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Windower4\Spreadsheets\"/>
    </mc:Choice>
  </mc:AlternateContent>
  <xr:revisionPtr revIDLastSave="0" documentId="13_ncr:1_{B99FCCB0-94E8-4072-8FE8-F1321241B626}" xr6:coauthVersionLast="45" xr6:coauthVersionMax="45" xr10:uidLastSave="{00000000-0000-0000-0000-000000000000}"/>
  <bookViews>
    <workbookView minimized="1" xWindow="29055" yWindow="360" windowWidth="27720" windowHeight="15510" activeTab="1" xr2:uid="{00000000-000D-0000-FFFF-FFFF00000000}"/>
  </bookViews>
  <sheets>
    <sheet name="Setup" sheetId="1" r:id="rId1"/>
    <sheet name="Gear" sheetId="2" r:id="rId2"/>
    <sheet name="Data" sheetId="3" r:id="rId3"/>
    <sheet name="Weaponskill" sheetId="4" r:id="rId4"/>
    <sheet name="Melee" sheetId="5" r:id="rId5"/>
    <sheet name="Gear Lists" sheetId="6" r:id="rId6"/>
    <sheet name="Other Lists" sheetId="7" r:id="rId7"/>
    <sheet name="Stats" sheetId="8" r:id="rId8"/>
  </sheets>
  <definedNames>
    <definedName name="AM2Table">Data!$G$39:$I$45</definedName>
    <definedName name="Ammo">'Gear Lists'!$A$47:$AP$67</definedName>
    <definedName name="AmmoList">'Gear Lists'!$A$48:$A$67</definedName>
    <definedName name="AtmaHeader">'Other Lists'!$A$112:$U$112</definedName>
    <definedName name="AtmaList">'Other Lists'!$A$113:$U$126</definedName>
    <definedName name="Atmas">'Other Lists'!$A$113:$A$126</definedName>
    <definedName name="AvgHitsPerHand1TP1">Melee!$F$16</definedName>
    <definedName name="AvgHitsPerHand1TP2">Melee!$F$56</definedName>
    <definedName name="AvgHitsPerHand2TP1">Melee!$F$32</definedName>
    <definedName name="AvgHitsPerHand2TP2">Melee!$F$72</definedName>
    <definedName name="AvgHitsPerRound1">Melee!$E$38</definedName>
    <definedName name="AvgHitsPerRound2">Melee!$E$78</definedName>
    <definedName name="AvgRoundsSet1">Melee!$Q$12:$R$112</definedName>
    <definedName name="AvgRoundsSet2">Melee!$T$12:$U$112</definedName>
    <definedName name="Axe">'Gear Lists'!$A$28:$BD$30</definedName>
    <definedName name="AxeList">'Gear Lists'!$A$29:$A$30</definedName>
    <definedName name="AxeWS">'Other Lists'!$A$41:$A$42</definedName>
    <definedName name="Back">'Gear Lists'!$A$259:$AP$261</definedName>
    <definedName name="BackList">'Gear Lists'!$A$261</definedName>
    <definedName name="Body">'Gear Lists'!$A$156:$AP$179</definedName>
    <definedName name="BodyList">'Gear Lists'!$A$157:$A$179</definedName>
    <definedName name="Boosts">'Other Lists'!$A$177:$A$178</definedName>
    <definedName name="Brd">Setup!$I$23:$O$33</definedName>
    <definedName name="BrdHeaders">Setup!$I$23:$O$23</definedName>
    <definedName name="DREAMBonuses">Data!$J$228:$P$234</definedName>
    <definedName name="DREAMWeaponskills">Data!$J$228:$P$228</definedName>
    <definedName name="Earring">'Gear Lists'!$A$123:$AP$153</definedName>
    <definedName name="EarringList">'Gear Lists'!$A$124:$A$153</definedName>
    <definedName name="ElvaanStats">'Other Lists'!$A$88:$J$89</definedName>
    <definedName name="Entropy">Setup!$C$24</definedName>
    <definedName name="Feet">'Gear Lists'!$A$332:$AP$354</definedName>
    <definedName name="FeetList">'Gear Lists'!$A$333:$A$354</definedName>
    <definedName name="Food">'Other Lists'!$A$2:$Q$26</definedName>
    <definedName name="FoodHeader">'Other Lists'!$A$2:$Q$2</definedName>
    <definedName name="FoodList">'Other Lists'!$A$3:$A$26</definedName>
    <definedName name="GalkaStats">'Other Lists'!$A$80:$I$86</definedName>
    <definedName name="Geo">Setup!$I$50:$K$53</definedName>
    <definedName name="GeoHeaders">Setup!$I$50:$K$50</definedName>
    <definedName name="Geomancy">'Other Lists'!$F$41:$L$47</definedName>
    <definedName name="GeomancyBonuses">'Other Lists'!$G$41:$L$41</definedName>
    <definedName name="GeomancyHeaders">'Other Lists'!$F$41:$L$41</definedName>
    <definedName name="GeomancySpells">'Other Lists'!$F$42:$F$47</definedName>
    <definedName name="GradeRates">Stats!$A$38:$J$45</definedName>
    <definedName name="Grades">Stats!$A$8:$I$35</definedName>
    <definedName name="GreatAxe">'Gear Lists'!$A$19:$BD$20</definedName>
    <definedName name="GreatAxeList">'Gear Lists'!$A$20</definedName>
    <definedName name="GreatAxeWS">'Other Lists'!$A$45</definedName>
    <definedName name="GreatSword">'Gear Lists'!$A$4:$BD$16</definedName>
    <definedName name="GreatSwordList">'Gear Lists'!$A$5:$A$16</definedName>
    <definedName name="GreatSwordWS">'Other Lists'!$A$35:$A$38</definedName>
    <definedName name="Grip">'Gear Lists'!$A$33:$BD$44</definedName>
    <definedName name="GripList">'Gear Lists'!$A$34:$A$44</definedName>
    <definedName name="Hands">'Gear Lists'!$A$182:$AP$204</definedName>
    <definedName name="HandsList">'Gear Lists'!$A$183:$A$204</definedName>
    <definedName name="Hastes">'Other Lists'!$A$173:$A$174</definedName>
    <definedName name="Head">'Gear Lists'!$A$70:$AP$93</definedName>
    <definedName name="HeadList">'Gear Lists'!$A$72:$A$93</definedName>
    <definedName name="HumeStats">'Other Lists'!$A$75:$I$85</definedName>
    <definedName name="Ionis">'Other Lists'!$A$103:$B$107</definedName>
    <definedName name="Legs">'Gear Lists'!$A$305:$AP$329</definedName>
    <definedName name="LegsList">'Gear Lists'!$A$306:$A$329</definedName>
    <definedName name="MainList1">'Other Lists'!$A$183:$A$236</definedName>
    <definedName name="MainList2">'Other Lists'!$E$183:$E$236</definedName>
    <definedName name="MainWeaponGroup">'Other Lists'!$A$61:$B$64</definedName>
    <definedName name="MainWeapons">'Other Lists'!$A$61:$A$64</definedName>
    <definedName name="MithraStats">'Other Lists'!$A$78:$I$85</definedName>
    <definedName name="MobHeader">'Other Lists'!$A$128:$J$128</definedName>
    <definedName name="MobList">'Other Lists'!$A$129:$A$145</definedName>
    <definedName name="Mobs">'Other Lists'!$A$128:$J$145</definedName>
    <definedName name="Neck">'Gear Lists'!$A$96:$AP$120</definedName>
    <definedName name="NeckList">'Gear Lists'!$A$97:$A$120</definedName>
    <definedName name="PlayerStats">Stats!$A$2:$I$3</definedName>
    <definedName name="Races">'Other Lists'!$A$156:$A$160</definedName>
    <definedName name="RateTiers">Stats!$A$38:$J$38</definedName>
    <definedName name="Ring">'Gear Lists'!$A$207:$AP$256</definedName>
    <definedName name="RingList">'Gear Lists'!$A$208:$A$256</definedName>
    <definedName name="Set1AM3">Weaponskill!$E$6</definedName>
    <definedName name="Set1AM32">Weaponskill!$E$7</definedName>
    <definedName name="Set1AM33">Weaponskill!$E$8</definedName>
    <definedName name="Set1ConserveTP">Data!$D$241</definedName>
    <definedName name="Set1CRatio">Data!$D$85</definedName>
    <definedName name="Set1CritDmg">Data!$D$201</definedName>
    <definedName name="Set1CritMain">Data!$D$200</definedName>
    <definedName name="Set1CritOff">Data!$D$200</definedName>
    <definedName name="Set1DA">Data!$D$186</definedName>
    <definedName name="Set1FTP">Data!$D$240</definedName>
    <definedName name="Set1MainDmg">Data!$D$124</definedName>
    <definedName name="Set1MeleeTP">Data!$B$196</definedName>
    <definedName name="Set1MinTP">Setup!$F$46</definedName>
    <definedName name="Set1OffDmg">Data!$D$183</definedName>
    <definedName name="Set1OverTP">Setup!$F$44</definedName>
    <definedName name="Set1QA">Data!$D$188</definedName>
    <definedName name="Set1Regain">Data!$D$245</definedName>
    <definedName name="Set1SaveTP">Data!$K$25</definedName>
    <definedName name="Set1TA">Data!$D$187</definedName>
    <definedName name="Set1TPBonus">Data!$D$242</definedName>
    <definedName name="Set1WSAgi">Data!$D$32</definedName>
    <definedName name="Set1WSDex">Data!$D$31</definedName>
    <definedName name="Set1WSDmg">Data!$G$26</definedName>
    <definedName name="Set1WSHitRate">Data!$D$119</definedName>
    <definedName name="Set1WSInt">Data!$D$34</definedName>
    <definedName name="Set1WSMnd">Data!$D$35</definedName>
    <definedName name="Set1WSStoreTP">Data!$D$195</definedName>
    <definedName name="Set1WSStr">Data!$D$30</definedName>
    <definedName name="Set1WSTP">Data!$D$196</definedName>
    <definedName name="Set1WSVit">Data!$D$33</definedName>
    <definedName name="Set2AM3">Weaponskill!$E$541</definedName>
    <definedName name="Set2AM32">Weaponskill!$E$542</definedName>
    <definedName name="Set2AM33">Weaponskill!$E$543</definedName>
    <definedName name="Set2ConserveTP">Data!$E$241</definedName>
    <definedName name="Set2CRatio">Data!$E$85</definedName>
    <definedName name="Set2CritDmg">Data!$E$201</definedName>
    <definedName name="Set2CritMain">Data!$E$200</definedName>
    <definedName name="Set2CritOff">Data!$E$200</definedName>
    <definedName name="Set2DA">Data!$E$186</definedName>
    <definedName name="Set2FTP">Data!$E$240</definedName>
    <definedName name="Set2MainDmg">Data!$E$124</definedName>
    <definedName name="Set2MeleeTP">Data!$C$196</definedName>
    <definedName name="Set2MinTP">Setup!$G$46</definedName>
    <definedName name="Set2OffDmg">Data!$E$183</definedName>
    <definedName name="Set2OverTP">Setup!$G$44</definedName>
    <definedName name="Set2QA">Data!$E$188</definedName>
    <definedName name="Set2Regain">Data!$E$245</definedName>
    <definedName name="Set2SaveTP">Data!$L$25</definedName>
    <definedName name="Set2TA">Data!$E$187</definedName>
    <definedName name="Set2TPBonus">Data!$E$242</definedName>
    <definedName name="Set2WSAgi">Data!$E$32</definedName>
    <definedName name="Set2WSDex">Data!$E$31</definedName>
    <definedName name="Set2WSDmg">Data!$H$26</definedName>
    <definedName name="Set2WSHitRate">Data!$E$119</definedName>
    <definedName name="Set2WSInt">Data!$E$34</definedName>
    <definedName name="Set2WSMnd">Data!$E$35</definedName>
    <definedName name="Set2WSStoreTP">Data!$E$195</definedName>
    <definedName name="Set2WSStr">Data!$E$30</definedName>
    <definedName name="Set2WSTP">Data!$E$196</definedName>
    <definedName name="Set2WSVit">Data!$E$33</definedName>
    <definedName name="SetBonusLookup">'Other Lists'!$C$89:$M$91</definedName>
    <definedName name="Skills">'Other Lists'!$A$54:$D$58</definedName>
    <definedName name="Slots">Gear!$A$3:$A$21</definedName>
    <definedName name="solver_adj" localSheetId="1" hidden="1">Gear!$B$38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Gear!$B$45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Songs">'Other Lists'!$F$30:$P$39</definedName>
    <definedName name="SongsHeaders">'Other Lists'!$F$30:$P$30</definedName>
    <definedName name="SongsHonorBonuses">'Other Lists'!$G$30:$K$30</definedName>
    <definedName name="SongsMadrigalBonuses">'Other Lists'!$G$30:$P$30</definedName>
    <definedName name="SongsMinuetBonuses">'Other Lists'!$G$30:$O$30</definedName>
    <definedName name="Souleater10">Melee!$A$87:$F$96</definedName>
    <definedName name="Souleater12">Melee!$H$87:$M$96</definedName>
    <definedName name="SouleaterOptions">'Other Lists'!$A$167:$A$169</definedName>
    <definedName name="StatHeader">'Gear Lists'!$A$1:$BD$1</definedName>
    <definedName name="Stats">Stats!$A$8:$I$8</definedName>
    <definedName name="Sub1HWeapons">'Other Lists'!$A$68:$A$69</definedName>
    <definedName name="Sub2HWeapons">'Other Lists'!$A$72</definedName>
    <definedName name="Subjobs">'Other Lists'!$A$149:$A$153</definedName>
    <definedName name="SubList1">'Other Lists'!$C$183:$C$201</definedName>
    <definedName name="SubList2">'Other Lists'!$G$183:$G$201</definedName>
    <definedName name="Sword">'Gear Lists'!$A$23:$BD$25</definedName>
    <definedName name="SwordList">'Gear Lists'!$A$24:$A$25</definedName>
    <definedName name="SwordWS">'Other Lists'!$A$30:$A$32</definedName>
    <definedName name="TarutaruStats">#REF!</definedName>
    <definedName name="Toggle">'Other Lists'!$A$163:$A$164</definedName>
    <definedName name="TPSet1">Gear!$A$2:$X$21</definedName>
    <definedName name="TPSet1Gear">Gear!$B$3:$B$17</definedName>
    <definedName name="TPSet2">Gear!$AA$2:$AX$21</definedName>
    <definedName name="TPSet2Gear">Gear!$AB$3:$AB$17</definedName>
    <definedName name="Waist">'Gear Lists'!$A$265:$AP$302</definedName>
    <definedName name="WaistList">'Gear Lists'!$A$266:$A$302</definedName>
    <definedName name="Weapon">'Gear Lists'!$A$4:$BD$13</definedName>
    <definedName name="WeaponList">'Gear Lists'!$A$5:$A$13</definedName>
    <definedName name="WeaponskillData">'Other Lists'!$A$76:$T$85</definedName>
    <definedName name="WeaponskillDataCols">'Other Lists'!$A$75:$T$75</definedName>
    <definedName name="WeaponTypes">'Other Lists'!$A$48:$A$51</definedName>
    <definedName name="WSSet1">Gear!$A$25:$X$44</definedName>
    <definedName name="WSSet1Gear">Gear!$B$26:$B$40</definedName>
    <definedName name="WSSet2">Gear!$AA$25:$AX$44</definedName>
    <definedName name="WSSet2Gear">Gear!$AB$26:$AB$40</definedName>
  </definedNames>
  <calcPr calcId="191029"/>
</workbook>
</file>

<file path=xl/calcChain.xml><?xml version="1.0" encoding="utf-8"?>
<calcChain xmlns="http://schemas.openxmlformats.org/spreadsheetml/2006/main">
  <c r="H86" i="6" l="1"/>
  <c r="G86" i="6"/>
  <c r="O87" i="6"/>
  <c r="AB86" i="6"/>
  <c r="W201" i="6" l="1"/>
  <c r="AB201" i="6"/>
  <c r="AO202" i="6"/>
  <c r="AO201" i="6"/>
  <c r="AO199" i="6"/>
  <c r="X201" i="6"/>
  <c r="Y201" i="6"/>
  <c r="Z201" i="6"/>
  <c r="AA201" i="6"/>
  <c r="AC201" i="6"/>
  <c r="AD201" i="6"/>
  <c r="AE201" i="6"/>
  <c r="AF201" i="6"/>
  <c r="AG201" i="6"/>
  <c r="AH201" i="6"/>
  <c r="AI201" i="6"/>
  <c r="AJ201" i="6"/>
  <c r="AK201" i="6"/>
  <c r="AL201" i="6"/>
  <c r="AM201" i="6"/>
  <c r="AN201" i="6"/>
  <c r="O201" i="6"/>
  <c r="N201" i="6"/>
  <c r="G201" i="6"/>
  <c r="H201" i="6"/>
  <c r="I201" i="6"/>
  <c r="J201" i="6"/>
  <c r="K201" i="6"/>
  <c r="L201" i="6"/>
  <c r="M201" i="6"/>
  <c r="H202" i="6"/>
  <c r="I202" i="6"/>
  <c r="J202" i="6"/>
  <c r="K202" i="6"/>
  <c r="L202" i="6"/>
  <c r="M202" i="6"/>
  <c r="N202" i="6"/>
  <c r="O202" i="6"/>
  <c r="X202" i="6"/>
  <c r="W202" i="6"/>
  <c r="AH329" i="6"/>
  <c r="O329" i="6" l="1"/>
  <c r="N329" i="6"/>
  <c r="O327" i="6"/>
  <c r="N327" i="6"/>
  <c r="G327" i="6"/>
  <c r="G319" i="6"/>
  <c r="O319" i="6"/>
  <c r="H319" i="6"/>
  <c r="H320" i="6"/>
  <c r="O179" i="6"/>
  <c r="AH179" i="6"/>
  <c r="G179" i="6"/>
  <c r="N179" i="6"/>
  <c r="AH93" i="6"/>
  <c r="O93" i="6"/>
  <c r="N93" i="6"/>
  <c r="I93" i="6"/>
  <c r="O354" i="6"/>
  <c r="N354" i="6"/>
  <c r="H354" i="6"/>
  <c r="B55" i="2"/>
  <c r="O353" i="6"/>
  <c r="N353" i="6"/>
  <c r="O352" i="6"/>
  <c r="N352" i="6"/>
  <c r="H352" i="6"/>
  <c r="AB63" i="6" l="1"/>
  <c r="AB294" i="6" l="1"/>
  <c r="A49" i="8"/>
  <c r="G49" i="8" s="1"/>
  <c r="J45" i="8"/>
  <c r="I45" i="8"/>
  <c r="J44" i="8"/>
  <c r="I44" i="8"/>
  <c r="J43" i="8"/>
  <c r="I43" i="8"/>
  <c r="J42" i="8"/>
  <c r="I42" i="8"/>
  <c r="J41" i="8"/>
  <c r="I41" i="8"/>
  <c r="J40" i="8"/>
  <c r="I40" i="8"/>
  <c r="J39" i="8"/>
  <c r="I39" i="8"/>
  <c r="W109" i="7"/>
  <c r="V109" i="7"/>
  <c r="U109" i="7"/>
  <c r="T109" i="7"/>
  <c r="W104" i="7"/>
  <c r="V104" i="7"/>
  <c r="U104" i="7"/>
  <c r="T104" i="7"/>
  <c r="W103" i="7"/>
  <c r="V103" i="7"/>
  <c r="U103" i="7"/>
  <c r="T103" i="7"/>
  <c r="W102" i="7"/>
  <c r="V102" i="7"/>
  <c r="U102" i="7"/>
  <c r="T102" i="7"/>
  <c r="W101" i="7"/>
  <c r="V101" i="7"/>
  <c r="U101" i="7"/>
  <c r="T101" i="7"/>
  <c r="W100" i="7"/>
  <c r="V100" i="7"/>
  <c r="U100" i="7"/>
  <c r="T100" i="7"/>
  <c r="W99" i="7"/>
  <c r="V99" i="7"/>
  <c r="U99" i="7"/>
  <c r="T99" i="7"/>
  <c r="W98" i="7"/>
  <c r="V98" i="7"/>
  <c r="U98" i="7"/>
  <c r="T98" i="7"/>
  <c r="W97" i="7"/>
  <c r="V97" i="7"/>
  <c r="U97" i="7"/>
  <c r="T97" i="7"/>
  <c r="W96" i="7"/>
  <c r="V96" i="7"/>
  <c r="U96" i="7"/>
  <c r="T96" i="7"/>
  <c r="W95" i="7"/>
  <c r="V95" i="7"/>
  <c r="U95" i="7"/>
  <c r="T95" i="7"/>
  <c r="J95" i="7"/>
  <c r="N95" i="7" s="1"/>
  <c r="W94" i="7"/>
  <c r="V94" i="7"/>
  <c r="U94" i="7"/>
  <c r="T94" i="7"/>
  <c r="J94" i="7"/>
  <c r="N94" i="7" s="1"/>
  <c r="AL90" i="7" s="1"/>
  <c r="M18" i="2" s="1"/>
  <c r="BN93" i="7"/>
  <c r="AK41" i="2" s="1"/>
  <c r="BM93" i="7"/>
  <c r="AJ41" i="2" s="1"/>
  <c r="BL93" i="7"/>
  <c r="BK93" i="7"/>
  <c r="BJ93" i="7"/>
  <c r="BI93" i="7"/>
  <c r="BH93" i="7"/>
  <c r="BG93" i="7"/>
  <c r="AW41" i="2" s="1"/>
  <c r="BE93" i="7"/>
  <c r="AT41" i="2" s="1"/>
  <c r="BD93" i="7"/>
  <c r="BC93" i="7"/>
  <c r="AX41" i="2" s="1"/>
  <c r="BB93" i="7"/>
  <c r="AS41" i="2" s="1"/>
  <c r="BA93" i="7"/>
  <c r="AR41" i="2" s="1"/>
  <c r="AZ93" i="7"/>
  <c r="AX93" i="7"/>
  <c r="AW93" i="7"/>
  <c r="AV93" i="7"/>
  <c r="AQ41" i="2" s="1"/>
  <c r="AU93" i="7"/>
  <c r="AP41" i="2" s="1"/>
  <c r="AS93" i="7"/>
  <c r="AR93" i="7"/>
  <c r="AQ93" i="7"/>
  <c r="AP93" i="7"/>
  <c r="AO93" i="7"/>
  <c r="AN93" i="7"/>
  <c r="AN41" i="2" s="1"/>
  <c r="AM93" i="7"/>
  <c r="AL41" i="2" s="1"/>
  <c r="AK93" i="7"/>
  <c r="AI93" i="7"/>
  <c r="AH41" i="2" s="1"/>
  <c r="AH93" i="7"/>
  <c r="AF93" i="7"/>
  <c r="AF41" i="2" s="1"/>
  <c r="AD93" i="7"/>
  <c r="AC93" i="7"/>
  <c r="AB93" i="7"/>
  <c r="AA93" i="7"/>
  <c r="Z93" i="7"/>
  <c r="W93" i="7"/>
  <c r="V93" i="7"/>
  <c r="U93" i="7"/>
  <c r="T93" i="7"/>
  <c r="J93" i="7"/>
  <c r="N93" i="7" s="1"/>
  <c r="BN92" i="7"/>
  <c r="K41" i="2" s="1"/>
  <c r="BM92" i="7"/>
  <c r="J41" i="2" s="1"/>
  <c r="BL92" i="7"/>
  <c r="BK92" i="7"/>
  <c r="BJ92" i="7"/>
  <c r="U41" i="2" s="1"/>
  <c r="BI92" i="7"/>
  <c r="BH92" i="7"/>
  <c r="BG92" i="7"/>
  <c r="W41" i="2" s="1"/>
  <c r="BE92" i="7"/>
  <c r="T41" i="2" s="1"/>
  <c r="BD92" i="7"/>
  <c r="BC92" i="7"/>
  <c r="X41" i="2" s="1"/>
  <c r="BB92" i="7"/>
  <c r="S41" i="2" s="1"/>
  <c r="BA92" i="7"/>
  <c r="R41" i="2" s="1"/>
  <c r="AZ92" i="7"/>
  <c r="AX92" i="7"/>
  <c r="AW92" i="7"/>
  <c r="AV92" i="7"/>
  <c r="Q41" i="2" s="1"/>
  <c r="AU92" i="7"/>
  <c r="P41" i="2" s="1"/>
  <c r="AS92" i="7"/>
  <c r="AR92" i="7"/>
  <c r="AQ92" i="7"/>
  <c r="AP92" i="7"/>
  <c r="AO92" i="7"/>
  <c r="AN92" i="7"/>
  <c r="N41" i="2" s="1"/>
  <c r="AM92" i="7"/>
  <c r="L41" i="2" s="1"/>
  <c r="AK92" i="7"/>
  <c r="AI92" i="7"/>
  <c r="H41" i="2" s="1"/>
  <c r="AH92" i="7"/>
  <c r="AF92" i="7"/>
  <c r="F41" i="2" s="1"/>
  <c r="AD92" i="7"/>
  <c r="AC92" i="7"/>
  <c r="AB92" i="7"/>
  <c r="AA92" i="7"/>
  <c r="Z92" i="7"/>
  <c r="W92" i="7"/>
  <c r="V92" i="7"/>
  <c r="U92" i="7"/>
  <c r="T92" i="7"/>
  <c r="J92" i="7"/>
  <c r="N92" i="7" s="1"/>
  <c r="BF90" i="7" s="1"/>
  <c r="BN91" i="7"/>
  <c r="AK18" i="2" s="1"/>
  <c r="BM91" i="7"/>
  <c r="AJ18" i="2" s="1"/>
  <c r="BL91" i="7"/>
  <c r="BK91" i="7"/>
  <c r="BJ91" i="7"/>
  <c r="BI91" i="7"/>
  <c r="BH91" i="7"/>
  <c r="BG91" i="7"/>
  <c r="BE91" i="7"/>
  <c r="BD91" i="7"/>
  <c r="AV18" i="2" s="1"/>
  <c r="BC91" i="7"/>
  <c r="AX18" i="2" s="1"/>
  <c r="BB91" i="7"/>
  <c r="AT18" i="2" s="1"/>
  <c r="BA91" i="7"/>
  <c r="AS18" i="2" s="1"/>
  <c r="AZ91" i="7"/>
  <c r="AU18" i="2" s="1"/>
  <c r="AX91" i="7"/>
  <c r="AR18" i="2" s="1"/>
  <c r="AW91" i="7"/>
  <c r="AV91" i="7"/>
  <c r="AQ18" i="2" s="1"/>
  <c r="AU91" i="7"/>
  <c r="AP18" i="2" s="1"/>
  <c r="AS91" i="7"/>
  <c r="AR91" i="7"/>
  <c r="AQ91" i="7"/>
  <c r="AP91" i="7"/>
  <c r="AO91" i="7"/>
  <c r="AN91" i="7"/>
  <c r="AN18" i="2" s="1"/>
  <c r="AM91" i="7"/>
  <c r="AL18" i="2" s="1"/>
  <c r="AK91" i="7"/>
  <c r="AI91" i="7"/>
  <c r="AH18" i="2" s="1"/>
  <c r="AH91" i="7"/>
  <c r="AF91" i="7"/>
  <c r="AF18" i="2" s="1"/>
  <c r="AD91" i="7"/>
  <c r="AC91" i="7"/>
  <c r="AB91" i="7"/>
  <c r="AA91" i="7"/>
  <c r="Z91" i="7"/>
  <c r="U91" i="7"/>
  <c r="T91" i="7"/>
  <c r="N91" i="7"/>
  <c r="AY90" i="7" s="1"/>
  <c r="W18" i="2" s="1"/>
  <c r="J91" i="7"/>
  <c r="BN90" i="7"/>
  <c r="K18" i="2" s="1"/>
  <c r="BM90" i="7"/>
  <c r="J18" i="2" s="1"/>
  <c r="BL90" i="7"/>
  <c r="BK90" i="7"/>
  <c r="BJ90" i="7"/>
  <c r="BI90" i="7"/>
  <c r="BH90" i="7"/>
  <c r="BG90" i="7"/>
  <c r="BE90" i="7"/>
  <c r="BD90" i="7"/>
  <c r="V18" i="2" s="1"/>
  <c r="BC90" i="7"/>
  <c r="X18" i="2" s="1"/>
  <c r="BB90" i="7"/>
  <c r="T18" i="2" s="1"/>
  <c r="BA90" i="7"/>
  <c r="S18" i="2" s="1"/>
  <c r="AZ90" i="7"/>
  <c r="U18" i="2" s="1"/>
  <c r="AX90" i="7"/>
  <c r="R18" i="2" s="1"/>
  <c r="AW90" i="7"/>
  <c r="AV90" i="7"/>
  <c r="Q18" i="2" s="1"/>
  <c r="AU90" i="7"/>
  <c r="P18" i="2" s="1"/>
  <c r="AS90" i="7"/>
  <c r="AR90" i="7"/>
  <c r="AQ90" i="7"/>
  <c r="AP90" i="7"/>
  <c r="AO90" i="7"/>
  <c r="AN90" i="7"/>
  <c r="N18" i="2" s="1"/>
  <c r="AM90" i="7"/>
  <c r="L18" i="2" s="1"/>
  <c r="AK90" i="7"/>
  <c r="AI90" i="7"/>
  <c r="H18" i="2" s="1"/>
  <c r="AH90" i="7"/>
  <c r="AF90" i="7"/>
  <c r="F18" i="2" s="1"/>
  <c r="AD90" i="7"/>
  <c r="AC90" i="7"/>
  <c r="AB90" i="7"/>
  <c r="AA90" i="7"/>
  <c r="Z90" i="7"/>
  <c r="U90" i="7"/>
  <c r="T90" i="7"/>
  <c r="J90" i="7"/>
  <c r="N90" i="7" s="1"/>
  <c r="AT90" i="7" s="1"/>
  <c r="O18" i="2" s="1"/>
  <c r="E85" i="7"/>
  <c r="E82" i="7"/>
  <c r="E80" i="7"/>
  <c r="E78" i="7"/>
  <c r="D58" i="7"/>
  <c r="D56" i="7"/>
  <c r="D55" i="7"/>
  <c r="D54" i="7"/>
  <c r="AS354" i="6"/>
  <c r="AR354" i="6"/>
  <c r="AQ354" i="6"/>
  <c r="AP354" i="6"/>
  <c r="AO354" i="6"/>
  <c r="AN354" i="6"/>
  <c r="AM354" i="6"/>
  <c r="AL354" i="6"/>
  <c r="AK354" i="6"/>
  <c r="AJ354" i="6"/>
  <c r="AI354" i="6"/>
  <c r="AG354" i="6"/>
  <c r="AF354" i="6"/>
  <c r="AE354" i="6"/>
  <c r="AD354" i="6"/>
  <c r="AC354" i="6"/>
  <c r="AB354" i="6"/>
  <c r="AA354" i="6"/>
  <c r="Z354" i="6"/>
  <c r="Y354" i="6"/>
  <c r="X354" i="6"/>
  <c r="W354" i="6"/>
  <c r="V354" i="6"/>
  <c r="U354" i="6"/>
  <c r="T354" i="6"/>
  <c r="S354" i="6"/>
  <c r="R354" i="6"/>
  <c r="Q354" i="6"/>
  <c r="P354" i="6"/>
  <c r="M354" i="6"/>
  <c r="L354" i="6"/>
  <c r="K354" i="6"/>
  <c r="J354" i="6"/>
  <c r="I354" i="6"/>
  <c r="G354" i="6"/>
  <c r="AS353" i="6"/>
  <c r="AR353" i="6"/>
  <c r="AQ353" i="6"/>
  <c r="AP353" i="6"/>
  <c r="AO353" i="6"/>
  <c r="AN353" i="6"/>
  <c r="AM353" i="6"/>
  <c r="AL353" i="6"/>
  <c r="AK353" i="6"/>
  <c r="AJ353" i="6"/>
  <c r="AI353" i="6"/>
  <c r="AH353" i="6"/>
  <c r="AG353" i="6"/>
  <c r="AF353" i="6"/>
  <c r="AE353" i="6"/>
  <c r="AD353" i="6"/>
  <c r="AB353" i="6"/>
  <c r="AA353" i="6"/>
  <c r="Z353" i="6"/>
  <c r="Y353" i="6"/>
  <c r="X353" i="6"/>
  <c r="W353" i="6"/>
  <c r="V353" i="6"/>
  <c r="U353" i="6"/>
  <c r="T353" i="6"/>
  <c r="S353" i="6"/>
  <c r="R353" i="6"/>
  <c r="Q353" i="6"/>
  <c r="P353" i="6"/>
  <c r="M353" i="6"/>
  <c r="L353" i="6"/>
  <c r="K353" i="6"/>
  <c r="J353" i="6"/>
  <c r="I353" i="6"/>
  <c r="H353" i="6"/>
  <c r="G353" i="6"/>
  <c r="AS352" i="6"/>
  <c r="AR352" i="6"/>
  <c r="AQ352" i="6"/>
  <c r="AP352" i="6"/>
  <c r="AO352" i="6"/>
  <c r="AN352" i="6"/>
  <c r="AM352" i="6"/>
  <c r="AL352" i="6"/>
  <c r="AK352" i="6"/>
  <c r="AJ352" i="6"/>
  <c r="AI352" i="6"/>
  <c r="AH352" i="6"/>
  <c r="AG352" i="6"/>
  <c r="AF352" i="6"/>
  <c r="AE352" i="6"/>
  <c r="AD352" i="6"/>
  <c r="AC352" i="6"/>
  <c r="AB352" i="6"/>
  <c r="AA352" i="6"/>
  <c r="Z352" i="6"/>
  <c r="Y352" i="6"/>
  <c r="X352" i="6"/>
  <c r="W352" i="6"/>
  <c r="V352" i="6"/>
  <c r="U352" i="6"/>
  <c r="T352" i="6"/>
  <c r="S352" i="6"/>
  <c r="R352" i="6"/>
  <c r="Q352" i="6"/>
  <c r="P352" i="6"/>
  <c r="M352" i="6"/>
  <c r="L352" i="6"/>
  <c r="K352" i="6"/>
  <c r="J352" i="6"/>
  <c r="I352" i="6"/>
  <c r="G352" i="6"/>
  <c r="AS350" i="6"/>
  <c r="AR350" i="6"/>
  <c r="AQ350" i="6"/>
  <c r="AP350" i="6"/>
  <c r="AO350" i="6"/>
  <c r="AN350" i="6"/>
  <c r="AM350" i="6"/>
  <c r="AL350" i="6"/>
  <c r="AK350" i="6"/>
  <c r="AJ350" i="6"/>
  <c r="AI350" i="6"/>
  <c r="AH350" i="6"/>
  <c r="AG350" i="6"/>
  <c r="AF350" i="6"/>
  <c r="AE350" i="6"/>
  <c r="AD350" i="6"/>
  <c r="AC350" i="6"/>
  <c r="AB350" i="6"/>
  <c r="AA350" i="6"/>
  <c r="Z350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I350" i="6"/>
  <c r="H350" i="6"/>
  <c r="G350" i="6"/>
  <c r="AS349" i="6"/>
  <c r="AR349" i="6"/>
  <c r="AQ349" i="6"/>
  <c r="AP349" i="6"/>
  <c r="AO349" i="6"/>
  <c r="AN349" i="6"/>
  <c r="AM349" i="6"/>
  <c r="AL349" i="6"/>
  <c r="AK349" i="6"/>
  <c r="AJ349" i="6"/>
  <c r="AI349" i="6"/>
  <c r="AH349" i="6"/>
  <c r="AG349" i="6"/>
  <c r="AF349" i="6"/>
  <c r="AE349" i="6"/>
  <c r="AD349" i="6"/>
  <c r="AC349" i="6"/>
  <c r="AB349" i="6"/>
  <c r="AA349" i="6"/>
  <c r="Z349" i="6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I349" i="6"/>
  <c r="H349" i="6"/>
  <c r="G349" i="6"/>
  <c r="AO347" i="6"/>
  <c r="AM347" i="6"/>
  <c r="AL347" i="6"/>
  <c r="AK347" i="6"/>
  <c r="AJ347" i="6"/>
  <c r="AI347" i="6"/>
  <c r="AH347" i="6"/>
  <c r="AG347" i="6"/>
  <c r="AF347" i="6"/>
  <c r="AE347" i="6"/>
  <c r="AD347" i="6"/>
  <c r="AC347" i="6"/>
  <c r="AB347" i="6"/>
  <c r="AA347" i="6"/>
  <c r="Z347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I347" i="6"/>
  <c r="H347" i="6"/>
  <c r="G347" i="6"/>
  <c r="AO346" i="6"/>
  <c r="AM346" i="6"/>
  <c r="AL346" i="6"/>
  <c r="AK346" i="6"/>
  <c r="AJ346" i="6"/>
  <c r="AI346" i="6"/>
  <c r="AH346" i="6"/>
  <c r="AG346" i="6"/>
  <c r="AF346" i="6"/>
  <c r="AE346" i="6"/>
  <c r="AD346" i="6"/>
  <c r="AC346" i="6"/>
  <c r="AB346" i="6"/>
  <c r="AA346" i="6"/>
  <c r="Z346" i="6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I346" i="6"/>
  <c r="H346" i="6"/>
  <c r="G346" i="6"/>
  <c r="AO345" i="6"/>
  <c r="AM345" i="6"/>
  <c r="AL345" i="6"/>
  <c r="AK345" i="6"/>
  <c r="AJ345" i="6"/>
  <c r="AI345" i="6"/>
  <c r="AH345" i="6"/>
  <c r="AG345" i="6"/>
  <c r="AF345" i="6"/>
  <c r="AE345" i="6"/>
  <c r="AD345" i="6"/>
  <c r="AC345" i="6"/>
  <c r="AB345" i="6"/>
  <c r="AA345" i="6"/>
  <c r="Z345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H345" i="6"/>
  <c r="G345" i="6"/>
  <c r="AO344" i="6"/>
  <c r="AM344" i="6"/>
  <c r="AL344" i="6"/>
  <c r="AK344" i="6"/>
  <c r="AJ344" i="6"/>
  <c r="AI344" i="6"/>
  <c r="AH344" i="6"/>
  <c r="AG344" i="6"/>
  <c r="AF344" i="6"/>
  <c r="AE344" i="6"/>
  <c r="AD344" i="6"/>
  <c r="AC344" i="6"/>
  <c r="AB344" i="6"/>
  <c r="AA344" i="6"/>
  <c r="Z344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I344" i="6"/>
  <c r="H344" i="6"/>
  <c r="G344" i="6"/>
  <c r="AS342" i="6"/>
  <c r="AR342" i="6"/>
  <c r="AQ342" i="6"/>
  <c r="AP342" i="6"/>
  <c r="AO342" i="6"/>
  <c r="AM342" i="6"/>
  <c r="AL342" i="6"/>
  <c r="AK342" i="6"/>
  <c r="AJ342" i="6"/>
  <c r="AI342" i="6"/>
  <c r="AH342" i="6"/>
  <c r="AG342" i="6"/>
  <c r="AF342" i="6"/>
  <c r="AE342" i="6"/>
  <c r="AD342" i="6"/>
  <c r="AC342" i="6"/>
  <c r="AB342" i="6"/>
  <c r="AA342" i="6"/>
  <c r="Z342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H342" i="6"/>
  <c r="G342" i="6"/>
  <c r="AS341" i="6"/>
  <c r="AR341" i="6"/>
  <c r="AQ341" i="6"/>
  <c r="AP341" i="6"/>
  <c r="AO341" i="6"/>
  <c r="AM341" i="6"/>
  <c r="AL341" i="6"/>
  <c r="AK341" i="6"/>
  <c r="AJ341" i="6"/>
  <c r="AI341" i="6"/>
  <c r="AH341" i="6"/>
  <c r="AG341" i="6"/>
  <c r="AF341" i="6"/>
  <c r="AE341" i="6"/>
  <c r="AD341" i="6"/>
  <c r="AC341" i="6"/>
  <c r="AB341" i="6"/>
  <c r="AA341" i="6"/>
  <c r="Z341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I341" i="6"/>
  <c r="H341" i="6"/>
  <c r="G341" i="6"/>
  <c r="AS340" i="6"/>
  <c r="AR340" i="6"/>
  <c r="AQ340" i="6"/>
  <c r="AP340" i="6"/>
  <c r="AO340" i="6"/>
  <c r="AM340" i="6"/>
  <c r="AL340" i="6"/>
  <c r="AK340" i="6"/>
  <c r="AJ340" i="6"/>
  <c r="AI340" i="6"/>
  <c r="AH340" i="6"/>
  <c r="AG340" i="6"/>
  <c r="AF340" i="6"/>
  <c r="AE340" i="6"/>
  <c r="AD340" i="6"/>
  <c r="AC340" i="6"/>
  <c r="AB340" i="6"/>
  <c r="AA340" i="6"/>
  <c r="Z340" i="6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I340" i="6"/>
  <c r="H340" i="6"/>
  <c r="G340" i="6"/>
  <c r="AS329" i="6"/>
  <c r="AR329" i="6"/>
  <c r="AQ329" i="6"/>
  <c r="AP329" i="6"/>
  <c r="AO329" i="6"/>
  <c r="AN329" i="6"/>
  <c r="AM329" i="6"/>
  <c r="AL329" i="6"/>
  <c r="AK329" i="6"/>
  <c r="AJ329" i="6"/>
  <c r="AI329" i="6"/>
  <c r="AG329" i="6"/>
  <c r="AF329" i="6"/>
  <c r="AE329" i="6"/>
  <c r="AD329" i="6"/>
  <c r="AC329" i="6"/>
  <c r="AB329" i="6"/>
  <c r="AA329" i="6"/>
  <c r="Z329" i="6"/>
  <c r="Y329" i="6"/>
  <c r="X329" i="6"/>
  <c r="W329" i="6"/>
  <c r="V329" i="6"/>
  <c r="U329" i="6"/>
  <c r="T329" i="6"/>
  <c r="S329" i="6"/>
  <c r="R329" i="6"/>
  <c r="Q329" i="6"/>
  <c r="P329" i="6"/>
  <c r="M329" i="6"/>
  <c r="L329" i="6"/>
  <c r="K329" i="6"/>
  <c r="J329" i="6"/>
  <c r="I329" i="6"/>
  <c r="G329" i="6"/>
  <c r="AS328" i="6"/>
  <c r="AR328" i="6"/>
  <c r="AQ328" i="6"/>
  <c r="AP328" i="6"/>
  <c r="AO328" i="6"/>
  <c r="AN328" i="6"/>
  <c r="AM328" i="6"/>
  <c r="AL328" i="6"/>
  <c r="AK328" i="6"/>
  <c r="AJ328" i="6"/>
  <c r="AI328" i="6"/>
  <c r="AH328" i="6"/>
  <c r="AG328" i="6"/>
  <c r="AF328" i="6"/>
  <c r="AE328" i="6"/>
  <c r="AD328" i="6"/>
  <c r="AC328" i="6"/>
  <c r="AB328" i="6"/>
  <c r="AA328" i="6"/>
  <c r="Z328" i="6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I328" i="6"/>
  <c r="H328" i="6"/>
  <c r="G328" i="6"/>
  <c r="AS327" i="6"/>
  <c r="AR327" i="6"/>
  <c r="AQ327" i="6"/>
  <c r="AP327" i="6"/>
  <c r="AO327" i="6"/>
  <c r="AN327" i="6"/>
  <c r="AM327" i="6"/>
  <c r="AL327" i="6"/>
  <c r="AK327" i="6"/>
  <c r="AJ327" i="6"/>
  <c r="AI327" i="6"/>
  <c r="AH327" i="6"/>
  <c r="AG327" i="6"/>
  <c r="AF327" i="6"/>
  <c r="AE327" i="6"/>
  <c r="AD327" i="6"/>
  <c r="AC327" i="6"/>
  <c r="AB327" i="6"/>
  <c r="AA327" i="6"/>
  <c r="Z327" i="6"/>
  <c r="Y327" i="6"/>
  <c r="X327" i="6"/>
  <c r="W327" i="6"/>
  <c r="V327" i="6"/>
  <c r="U327" i="6"/>
  <c r="T327" i="6"/>
  <c r="S327" i="6"/>
  <c r="R327" i="6"/>
  <c r="Q327" i="6"/>
  <c r="P327" i="6"/>
  <c r="M327" i="6"/>
  <c r="L327" i="6"/>
  <c r="K327" i="6"/>
  <c r="J327" i="6"/>
  <c r="I327" i="6"/>
  <c r="H327" i="6"/>
  <c r="AS325" i="6"/>
  <c r="AR325" i="6"/>
  <c r="AQ325" i="6"/>
  <c r="AP325" i="6"/>
  <c r="AO325" i="6"/>
  <c r="AN325" i="6"/>
  <c r="AM325" i="6"/>
  <c r="AL325" i="6"/>
  <c r="AK325" i="6"/>
  <c r="AJ325" i="6"/>
  <c r="AI325" i="6"/>
  <c r="AH325" i="6"/>
  <c r="AG325" i="6"/>
  <c r="AF325" i="6"/>
  <c r="AE325" i="6"/>
  <c r="AD325" i="6"/>
  <c r="AC325" i="6"/>
  <c r="AB325" i="6"/>
  <c r="AA325" i="6"/>
  <c r="Z325" i="6"/>
  <c r="Y325" i="6"/>
  <c r="X325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K325" i="6"/>
  <c r="J325" i="6"/>
  <c r="I325" i="6"/>
  <c r="H325" i="6"/>
  <c r="G325" i="6"/>
  <c r="AS324" i="6"/>
  <c r="AR324" i="6"/>
  <c r="AQ324" i="6"/>
  <c r="AP324" i="6"/>
  <c r="AO324" i="6"/>
  <c r="AN324" i="6"/>
  <c r="AM324" i="6"/>
  <c r="AL324" i="6"/>
  <c r="AK324" i="6"/>
  <c r="AJ324" i="6"/>
  <c r="AI324" i="6"/>
  <c r="AH324" i="6"/>
  <c r="AG324" i="6"/>
  <c r="AF324" i="6"/>
  <c r="AE324" i="6"/>
  <c r="AD324" i="6"/>
  <c r="AC324" i="6"/>
  <c r="AB324" i="6"/>
  <c r="AA324" i="6"/>
  <c r="Z324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I324" i="6"/>
  <c r="H324" i="6"/>
  <c r="G324" i="6"/>
  <c r="AO322" i="6"/>
  <c r="AM322" i="6"/>
  <c r="AL322" i="6"/>
  <c r="AK322" i="6"/>
  <c r="AJ322" i="6"/>
  <c r="AI322" i="6"/>
  <c r="AH322" i="6"/>
  <c r="AG322" i="6"/>
  <c r="AF322" i="6"/>
  <c r="AE322" i="6"/>
  <c r="AD322" i="6"/>
  <c r="AC322" i="6"/>
  <c r="AB322" i="6"/>
  <c r="AA322" i="6"/>
  <c r="Z322" i="6"/>
  <c r="Y322" i="6"/>
  <c r="X322" i="6"/>
  <c r="W322" i="6"/>
  <c r="V322" i="6"/>
  <c r="U322" i="6"/>
  <c r="T322" i="6"/>
  <c r="S322" i="6"/>
  <c r="R322" i="6"/>
  <c r="Q322" i="6"/>
  <c r="P322" i="6"/>
  <c r="O322" i="6"/>
  <c r="N322" i="6"/>
  <c r="M322" i="6"/>
  <c r="L322" i="6"/>
  <c r="K322" i="6"/>
  <c r="J322" i="6"/>
  <c r="I322" i="6"/>
  <c r="H322" i="6"/>
  <c r="G322" i="6"/>
  <c r="AO321" i="6"/>
  <c r="AM321" i="6"/>
  <c r="AL321" i="6"/>
  <c r="AK321" i="6"/>
  <c r="AJ321" i="6"/>
  <c r="AI321" i="6"/>
  <c r="AH321" i="6"/>
  <c r="AG321" i="6"/>
  <c r="AF321" i="6"/>
  <c r="AE321" i="6"/>
  <c r="AD321" i="6"/>
  <c r="AC321" i="6"/>
  <c r="AB321" i="6"/>
  <c r="AA321" i="6"/>
  <c r="Z321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I321" i="6"/>
  <c r="H321" i="6"/>
  <c r="G321" i="6"/>
  <c r="AO320" i="6"/>
  <c r="AM320" i="6"/>
  <c r="AL320" i="6"/>
  <c r="AK320" i="6"/>
  <c r="AJ320" i="6"/>
  <c r="AI320" i="6"/>
  <c r="AH320" i="6"/>
  <c r="AG320" i="6"/>
  <c r="AF320" i="6"/>
  <c r="AE320" i="6"/>
  <c r="AD320" i="6"/>
  <c r="AB320" i="6"/>
  <c r="AA320" i="6"/>
  <c r="Z320" i="6"/>
  <c r="Y320" i="6"/>
  <c r="X320" i="6"/>
  <c r="W320" i="6"/>
  <c r="V320" i="6"/>
  <c r="U320" i="6"/>
  <c r="T320" i="6"/>
  <c r="S320" i="6"/>
  <c r="R320" i="6"/>
  <c r="Q320" i="6"/>
  <c r="P320" i="6"/>
  <c r="M320" i="6"/>
  <c r="L320" i="6"/>
  <c r="K320" i="6"/>
  <c r="J320" i="6"/>
  <c r="I320" i="6"/>
  <c r="G320" i="6"/>
  <c r="AO318" i="6"/>
  <c r="AM318" i="6"/>
  <c r="AL318" i="6"/>
  <c r="AK318" i="6"/>
  <c r="AJ318" i="6"/>
  <c r="AI318" i="6"/>
  <c r="AH318" i="6"/>
  <c r="AG318" i="6"/>
  <c r="AF318" i="6"/>
  <c r="AE318" i="6"/>
  <c r="AD318" i="6"/>
  <c r="AC318" i="6"/>
  <c r="AB318" i="6"/>
  <c r="AA318" i="6"/>
  <c r="Z318" i="6"/>
  <c r="Y318" i="6"/>
  <c r="X318" i="6"/>
  <c r="W318" i="6"/>
  <c r="V318" i="6"/>
  <c r="U318" i="6"/>
  <c r="T318" i="6"/>
  <c r="S318" i="6"/>
  <c r="R318" i="6"/>
  <c r="Q318" i="6"/>
  <c r="P318" i="6"/>
  <c r="O318" i="6"/>
  <c r="N318" i="6"/>
  <c r="N319" i="6" s="1"/>
  <c r="M318" i="6"/>
  <c r="M319" i="6" s="1"/>
  <c r="L318" i="6"/>
  <c r="L319" i="6" s="1"/>
  <c r="K318" i="6"/>
  <c r="K319" i="6" s="1"/>
  <c r="J318" i="6"/>
  <c r="J319" i="6" s="1"/>
  <c r="H318" i="6"/>
  <c r="G318" i="6"/>
  <c r="AO316" i="6"/>
  <c r="AO319" i="6" s="1"/>
  <c r="AM316" i="6"/>
  <c r="AM319" i="6" s="1"/>
  <c r="AL316" i="6"/>
  <c r="AL319" i="6" s="1"/>
  <c r="AK316" i="6"/>
  <c r="AK319" i="6" s="1"/>
  <c r="AJ316" i="6"/>
  <c r="AJ319" i="6" s="1"/>
  <c r="AI316" i="6"/>
  <c r="AI319" i="6" s="1"/>
  <c r="AH316" i="6"/>
  <c r="AH319" i="6" s="1"/>
  <c r="AG316" i="6"/>
  <c r="AG319" i="6" s="1"/>
  <c r="AF316" i="6"/>
  <c r="AF319" i="6" s="1"/>
  <c r="AE316" i="6"/>
  <c r="AE319" i="6" s="1"/>
  <c r="AD316" i="6"/>
  <c r="AD319" i="6" s="1"/>
  <c r="AC316" i="6"/>
  <c r="AC319" i="6" s="1"/>
  <c r="AB316" i="6"/>
  <c r="AB319" i="6" s="1"/>
  <c r="AA316" i="6"/>
  <c r="AA319" i="6" s="1"/>
  <c r="Z316" i="6"/>
  <c r="Z319" i="6" s="1"/>
  <c r="Y316" i="6"/>
  <c r="Y319" i="6" s="1"/>
  <c r="X316" i="6"/>
  <c r="X319" i="6" s="1"/>
  <c r="W316" i="6"/>
  <c r="W319" i="6" s="1"/>
  <c r="V316" i="6"/>
  <c r="V319" i="6" s="1"/>
  <c r="U316" i="6"/>
  <c r="U319" i="6" s="1"/>
  <c r="T316" i="6"/>
  <c r="T319" i="6" s="1"/>
  <c r="S316" i="6"/>
  <c r="S319" i="6" s="1"/>
  <c r="R316" i="6"/>
  <c r="R319" i="6" s="1"/>
  <c r="Q316" i="6"/>
  <c r="Q319" i="6" s="1"/>
  <c r="P316" i="6"/>
  <c r="P319" i="6" s="1"/>
  <c r="O316" i="6"/>
  <c r="N316" i="6"/>
  <c r="M316" i="6"/>
  <c r="L316" i="6"/>
  <c r="K316" i="6"/>
  <c r="J316" i="6"/>
  <c r="I316" i="6"/>
  <c r="H316" i="6"/>
  <c r="G316" i="6"/>
  <c r="AO315" i="6"/>
  <c r="AM315" i="6"/>
  <c r="AL315" i="6"/>
  <c r="AK315" i="6"/>
  <c r="AJ315" i="6"/>
  <c r="AI315" i="6"/>
  <c r="AH315" i="6"/>
  <c r="AG315" i="6"/>
  <c r="AF315" i="6"/>
  <c r="AE315" i="6"/>
  <c r="AD315" i="6"/>
  <c r="AC315" i="6"/>
  <c r="AB315" i="6"/>
  <c r="AA315" i="6"/>
  <c r="Z315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H315" i="6"/>
  <c r="G315" i="6"/>
  <c r="AO314" i="6"/>
  <c r="AM314" i="6"/>
  <c r="AL314" i="6"/>
  <c r="AK314" i="6"/>
  <c r="AJ314" i="6"/>
  <c r="AI314" i="6"/>
  <c r="AH314" i="6"/>
  <c r="AG314" i="6"/>
  <c r="AF314" i="6"/>
  <c r="AE314" i="6"/>
  <c r="AD314" i="6"/>
  <c r="AC314" i="6"/>
  <c r="AB314" i="6"/>
  <c r="AA314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I314" i="6"/>
  <c r="H314" i="6"/>
  <c r="G314" i="6"/>
  <c r="AS204" i="6"/>
  <c r="AR204" i="6"/>
  <c r="AQ204" i="6"/>
  <c r="AP204" i="6"/>
  <c r="AO204" i="6"/>
  <c r="AN204" i="6"/>
  <c r="AM204" i="6"/>
  <c r="AL204" i="6"/>
  <c r="AK204" i="6"/>
  <c r="AJ204" i="6"/>
  <c r="AI204" i="6"/>
  <c r="AH204" i="6"/>
  <c r="AG204" i="6"/>
  <c r="AF204" i="6"/>
  <c r="AE204" i="6"/>
  <c r="AD204" i="6"/>
  <c r="AC204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H204" i="6"/>
  <c r="G204" i="6"/>
  <c r="AS203" i="6"/>
  <c r="AR203" i="6"/>
  <c r="AQ203" i="6"/>
  <c r="AP203" i="6"/>
  <c r="AO203" i="6"/>
  <c r="AN203" i="6"/>
  <c r="AM203" i="6"/>
  <c r="AL203" i="6"/>
  <c r="AK203" i="6"/>
  <c r="AJ203" i="6"/>
  <c r="AI203" i="6"/>
  <c r="AH203" i="6"/>
  <c r="AG203" i="6"/>
  <c r="AF203" i="6"/>
  <c r="AE203" i="6"/>
  <c r="AD203" i="6"/>
  <c r="AC203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H203" i="6"/>
  <c r="G203" i="6"/>
  <c r="AS202" i="6"/>
  <c r="AR202" i="6"/>
  <c r="AQ202" i="6"/>
  <c r="AP202" i="6"/>
  <c r="AN202" i="6"/>
  <c r="AM202" i="6"/>
  <c r="AL202" i="6"/>
  <c r="AK202" i="6"/>
  <c r="AJ202" i="6"/>
  <c r="AI202" i="6"/>
  <c r="AH202" i="6"/>
  <c r="AG202" i="6"/>
  <c r="AF202" i="6"/>
  <c r="AE202" i="6"/>
  <c r="AD202" i="6"/>
  <c r="AC202" i="6"/>
  <c r="AB202" i="6"/>
  <c r="AA202" i="6"/>
  <c r="Z202" i="6"/>
  <c r="Y202" i="6"/>
  <c r="V202" i="6"/>
  <c r="U202" i="6"/>
  <c r="T202" i="6"/>
  <c r="S202" i="6"/>
  <c r="R202" i="6"/>
  <c r="Q202" i="6"/>
  <c r="P202" i="6"/>
  <c r="G202" i="6"/>
  <c r="AS199" i="6"/>
  <c r="AS201" i="6" s="1"/>
  <c r="AR199" i="6"/>
  <c r="AR201" i="6" s="1"/>
  <c r="AQ199" i="6"/>
  <c r="AQ201" i="6" s="1"/>
  <c r="AP199" i="6"/>
  <c r="AP201" i="6" s="1"/>
  <c r="AN199" i="6"/>
  <c r="AM199" i="6"/>
  <c r="AL199" i="6"/>
  <c r="AK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X199" i="6"/>
  <c r="W199" i="6"/>
  <c r="V199" i="6"/>
  <c r="V201" i="6" s="1"/>
  <c r="U199" i="6"/>
  <c r="U201" i="6" s="1"/>
  <c r="T199" i="6"/>
  <c r="T201" i="6" s="1"/>
  <c r="S199" i="6"/>
  <c r="S201" i="6" s="1"/>
  <c r="R199" i="6"/>
  <c r="R201" i="6" s="1"/>
  <c r="Q199" i="6"/>
  <c r="Q201" i="6" s="1"/>
  <c r="P199" i="6"/>
  <c r="P201" i="6" s="1"/>
  <c r="O199" i="6"/>
  <c r="N199" i="6"/>
  <c r="M199" i="6"/>
  <c r="L199" i="6"/>
  <c r="K199" i="6"/>
  <c r="J199" i="6"/>
  <c r="I199" i="6"/>
  <c r="H199" i="6"/>
  <c r="G199" i="6"/>
  <c r="AS198" i="6"/>
  <c r="AR198" i="6"/>
  <c r="AQ198" i="6"/>
  <c r="AP198" i="6"/>
  <c r="AO198" i="6"/>
  <c r="AN198" i="6"/>
  <c r="AM198" i="6"/>
  <c r="AL198" i="6"/>
  <c r="AK198" i="6"/>
  <c r="AJ198" i="6"/>
  <c r="AI198" i="6"/>
  <c r="AH198" i="6"/>
  <c r="AG198" i="6"/>
  <c r="AF198" i="6"/>
  <c r="AE198" i="6"/>
  <c r="AD198" i="6"/>
  <c r="AC198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H198" i="6"/>
  <c r="G198" i="6"/>
  <c r="AO196" i="6"/>
  <c r="AM196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H196" i="6"/>
  <c r="G196" i="6"/>
  <c r="AO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H195" i="6"/>
  <c r="G195" i="6"/>
  <c r="AO194" i="6"/>
  <c r="AM194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H194" i="6"/>
  <c r="G194" i="6"/>
  <c r="AO193" i="6"/>
  <c r="AM193" i="6"/>
  <c r="AL193" i="6"/>
  <c r="AK193" i="6"/>
  <c r="AJ193" i="6"/>
  <c r="AI193" i="6"/>
  <c r="AH193" i="6"/>
  <c r="AG193" i="6"/>
  <c r="AF193" i="6"/>
  <c r="AE193" i="6"/>
  <c r="AD193" i="6"/>
  <c r="AC193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I193" i="6"/>
  <c r="H193" i="6"/>
  <c r="G193" i="6"/>
  <c r="AO191" i="6"/>
  <c r="AM191" i="6"/>
  <c r="AL191" i="6"/>
  <c r="AK191" i="6"/>
  <c r="AJ191" i="6"/>
  <c r="AI191" i="6"/>
  <c r="AH191" i="6"/>
  <c r="AG191" i="6"/>
  <c r="AF191" i="6"/>
  <c r="AE191" i="6"/>
  <c r="AD191" i="6"/>
  <c r="AC191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H191" i="6"/>
  <c r="G191" i="6"/>
  <c r="AO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H190" i="6"/>
  <c r="G190" i="6"/>
  <c r="AS179" i="6"/>
  <c r="AR179" i="6"/>
  <c r="AQ179" i="6"/>
  <c r="AP179" i="6"/>
  <c r="AO179" i="6"/>
  <c r="AN179" i="6"/>
  <c r="AM179" i="6"/>
  <c r="AL179" i="6"/>
  <c r="AK179" i="6"/>
  <c r="AJ179" i="6"/>
  <c r="AI179" i="6"/>
  <c r="AG179" i="6"/>
  <c r="AF179" i="6"/>
  <c r="AE179" i="6"/>
  <c r="AD179" i="6"/>
  <c r="AC179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M179" i="6"/>
  <c r="L179" i="6"/>
  <c r="K179" i="6"/>
  <c r="J179" i="6"/>
  <c r="I179" i="6"/>
  <c r="H179" i="6"/>
  <c r="AS178" i="6"/>
  <c r="AR178" i="6"/>
  <c r="AQ178" i="6"/>
  <c r="AP178" i="6"/>
  <c r="AO178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H178" i="6"/>
  <c r="G178" i="6"/>
  <c r="AS177" i="6"/>
  <c r="AR177" i="6"/>
  <c r="AQ177" i="6"/>
  <c r="AP177" i="6"/>
  <c r="AO177" i="6"/>
  <c r="AN177" i="6"/>
  <c r="AM177" i="6"/>
  <c r="AL177" i="6"/>
  <c r="AK177" i="6"/>
  <c r="AJ177" i="6"/>
  <c r="AI177" i="6"/>
  <c r="AH177" i="6"/>
  <c r="AG177" i="6"/>
  <c r="AF177" i="6"/>
  <c r="AE177" i="6"/>
  <c r="AD177" i="6"/>
  <c r="AC177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H177" i="6"/>
  <c r="G177" i="6"/>
  <c r="AS175" i="6"/>
  <c r="AR175" i="6"/>
  <c r="AQ175" i="6"/>
  <c r="AP175" i="6"/>
  <c r="AO175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H175" i="6"/>
  <c r="G175" i="6"/>
  <c r="AS174" i="6"/>
  <c r="AR174" i="6"/>
  <c r="AQ174" i="6"/>
  <c r="AP174" i="6"/>
  <c r="AO174" i="6"/>
  <c r="AN174" i="6"/>
  <c r="AM174" i="6"/>
  <c r="AL174" i="6"/>
  <c r="AK174" i="6"/>
  <c r="AJ174" i="6"/>
  <c r="AI174" i="6"/>
  <c r="AH174" i="6"/>
  <c r="AG174" i="6"/>
  <c r="AF174" i="6"/>
  <c r="AE174" i="6"/>
  <c r="AD174" i="6"/>
  <c r="AC174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H174" i="6"/>
  <c r="G174" i="6"/>
  <c r="AO172" i="6"/>
  <c r="AM172" i="6"/>
  <c r="AL172" i="6"/>
  <c r="AK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H172" i="6"/>
  <c r="G172" i="6"/>
  <c r="AO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H171" i="6"/>
  <c r="G171" i="6"/>
  <c r="AO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H170" i="6"/>
  <c r="G170" i="6"/>
  <c r="AO169" i="6"/>
  <c r="AM169" i="6"/>
  <c r="AL169" i="6"/>
  <c r="AK169" i="6"/>
  <c r="AJ169" i="6"/>
  <c r="AI169" i="6"/>
  <c r="AH169" i="6"/>
  <c r="AG169" i="6"/>
  <c r="AF169" i="6"/>
  <c r="AE169" i="6"/>
  <c r="AD169" i="6"/>
  <c r="AC169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H169" i="6"/>
  <c r="G169" i="6"/>
  <c r="AT167" i="6"/>
  <c r="AS167" i="6"/>
  <c r="AR167" i="6"/>
  <c r="AQ167" i="6"/>
  <c r="AO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H167" i="6"/>
  <c r="G167" i="6"/>
  <c r="AT166" i="6"/>
  <c r="AS166" i="6"/>
  <c r="AR166" i="6"/>
  <c r="AQ166" i="6"/>
  <c r="AO166" i="6"/>
  <c r="AM166" i="6"/>
  <c r="AL166" i="6"/>
  <c r="AK166" i="6"/>
  <c r="AJ166" i="6"/>
  <c r="AI166" i="6"/>
  <c r="AH166" i="6"/>
  <c r="AG166" i="6"/>
  <c r="AF166" i="6"/>
  <c r="AE166" i="6"/>
  <c r="AD166" i="6"/>
  <c r="AC166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H166" i="6"/>
  <c r="G166" i="6"/>
  <c r="AT165" i="6"/>
  <c r="AS165" i="6"/>
  <c r="AR165" i="6"/>
  <c r="AQ165" i="6"/>
  <c r="AO165" i="6"/>
  <c r="AM165" i="6"/>
  <c r="AL165" i="6"/>
  <c r="AK165" i="6"/>
  <c r="AJ165" i="6"/>
  <c r="AI165" i="6"/>
  <c r="AH165" i="6"/>
  <c r="AG165" i="6"/>
  <c r="AF165" i="6"/>
  <c r="AE165" i="6"/>
  <c r="AD165" i="6"/>
  <c r="AC165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H165" i="6"/>
  <c r="G165" i="6"/>
  <c r="AS93" i="6"/>
  <c r="AR93" i="6"/>
  <c r="AQ93" i="6"/>
  <c r="AP93" i="6"/>
  <c r="AO93" i="6"/>
  <c r="AN93" i="6"/>
  <c r="AM93" i="6"/>
  <c r="AL93" i="6"/>
  <c r="AK93" i="6"/>
  <c r="AJ93" i="6"/>
  <c r="AI93" i="6"/>
  <c r="AG93" i="6"/>
  <c r="AF93" i="6"/>
  <c r="AE93" i="6"/>
  <c r="AD93" i="6"/>
  <c r="AC93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M93" i="6"/>
  <c r="L93" i="6"/>
  <c r="K93" i="6"/>
  <c r="J93" i="6"/>
  <c r="H93" i="6"/>
  <c r="G93" i="6"/>
  <c r="AS92" i="6"/>
  <c r="AR92" i="6"/>
  <c r="AQ92" i="6"/>
  <c r="AP92" i="6"/>
  <c r="AO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H92" i="6"/>
  <c r="G92" i="6"/>
  <c r="AS91" i="6"/>
  <c r="AR91" i="6"/>
  <c r="AQ91" i="6"/>
  <c r="AP91" i="6"/>
  <c r="AO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H91" i="6"/>
  <c r="G91" i="6"/>
  <c r="AS89" i="6"/>
  <c r="AR89" i="6"/>
  <c r="AQ89" i="6"/>
  <c r="AP89" i="6"/>
  <c r="AO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AS88" i="6"/>
  <c r="AR88" i="6"/>
  <c r="AQ88" i="6"/>
  <c r="AP88" i="6"/>
  <c r="AO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AO85" i="6"/>
  <c r="AM85" i="6"/>
  <c r="AL85" i="6"/>
  <c r="AK85" i="6"/>
  <c r="AJ85" i="6"/>
  <c r="AI85" i="6"/>
  <c r="AH85" i="6"/>
  <c r="AG85" i="6"/>
  <c r="AF85" i="6"/>
  <c r="AE85" i="6"/>
  <c r="AD85" i="6"/>
  <c r="AC85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AO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H84" i="6"/>
  <c r="G84" i="6"/>
  <c r="AO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AO82" i="6"/>
  <c r="AM82" i="6"/>
  <c r="AL82" i="6"/>
  <c r="AK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H82" i="6"/>
  <c r="G82" i="6"/>
  <c r="AO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AO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AO78" i="6"/>
  <c r="AM78" i="6"/>
  <c r="AL78" i="6"/>
  <c r="AK78" i="6"/>
  <c r="AJ78" i="6"/>
  <c r="AI78" i="6"/>
  <c r="AH78" i="6"/>
  <c r="AG78" i="6"/>
  <c r="AF78" i="6"/>
  <c r="AE78" i="6"/>
  <c r="AD78" i="6"/>
  <c r="AC78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H78" i="6"/>
  <c r="G78" i="6"/>
  <c r="AR12" i="6"/>
  <c r="AQ12" i="6"/>
  <c r="AH12" i="6"/>
  <c r="N12" i="6"/>
  <c r="F12" i="6"/>
  <c r="AR9" i="6"/>
  <c r="AQ9" i="6"/>
  <c r="N9" i="6"/>
  <c r="F9" i="6"/>
  <c r="AR6" i="6"/>
  <c r="AQ6" i="6"/>
  <c r="N6" i="6"/>
  <c r="F6" i="6"/>
  <c r="L88" i="5"/>
  <c r="M88" i="5" s="1"/>
  <c r="J88" i="5"/>
  <c r="K88" i="5" s="1"/>
  <c r="E88" i="5"/>
  <c r="F88" i="5" s="1"/>
  <c r="C88" i="5"/>
  <c r="D88" i="5" s="1"/>
  <c r="B89" i="5" s="1"/>
  <c r="C89" i="5" s="1"/>
  <c r="N68" i="5"/>
  <c r="N67" i="5"/>
  <c r="M67" i="5"/>
  <c r="N66" i="5"/>
  <c r="M66" i="5"/>
  <c r="L66" i="5"/>
  <c r="N65" i="5"/>
  <c r="M65" i="5"/>
  <c r="L65" i="5"/>
  <c r="K65" i="5"/>
  <c r="N64" i="5"/>
  <c r="M64" i="5"/>
  <c r="L64" i="5"/>
  <c r="K64" i="5"/>
  <c r="J64" i="5"/>
  <c r="N63" i="5"/>
  <c r="M63" i="5"/>
  <c r="L63" i="5"/>
  <c r="K63" i="5"/>
  <c r="J63" i="5"/>
  <c r="I63" i="5"/>
  <c r="N62" i="5"/>
  <c r="M62" i="5"/>
  <c r="L62" i="5"/>
  <c r="K62" i="5"/>
  <c r="J62" i="5"/>
  <c r="I62" i="5"/>
  <c r="H62" i="5"/>
  <c r="N61" i="5"/>
  <c r="M61" i="5"/>
  <c r="L61" i="5"/>
  <c r="K61" i="5"/>
  <c r="J61" i="5"/>
  <c r="I61" i="5"/>
  <c r="H61" i="5"/>
  <c r="G61" i="5"/>
  <c r="N52" i="5"/>
  <c r="N51" i="5"/>
  <c r="M51" i="5"/>
  <c r="N50" i="5"/>
  <c r="M50" i="5"/>
  <c r="L50" i="5"/>
  <c r="N49" i="5"/>
  <c r="M49" i="5"/>
  <c r="L49" i="5"/>
  <c r="K49" i="5"/>
  <c r="N48" i="5"/>
  <c r="M48" i="5"/>
  <c r="L48" i="5"/>
  <c r="K48" i="5"/>
  <c r="J48" i="5"/>
  <c r="N47" i="5"/>
  <c r="M47" i="5"/>
  <c r="L47" i="5"/>
  <c r="K47" i="5"/>
  <c r="J47" i="5"/>
  <c r="I47" i="5"/>
  <c r="N46" i="5"/>
  <c r="M46" i="5"/>
  <c r="L46" i="5"/>
  <c r="K46" i="5"/>
  <c r="J46" i="5"/>
  <c r="I46" i="5"/>
  <c r="H46" i="5"/>
  <c r="N45" i="5"/>
  <c r="M45" i="5"/>
  <c r="L45" i="5"/>
  <c r="K45" i="5"/>
  <c r="J45" i="5"/>
  <c r="I45" i="5"/>
  <c r="H45" i="5"/>
  <c r="G45" i="5"/>
  <c r="N28" i="5"/>
  <c r="N27" i="5"/>
  <c r="M27" i="5"/>
  <c r="N26" i="5"/>
  <c r="M26" i="5"/>
  <c r="L26" i="5"/>
  <c r="N25" i="5"/>
  <c r="M25" i="5"/>
  <c r="L25" i="5"/>
  <c r="K25" i="5"/>
  <c r="N24" i="5"/>
  <c r="M24" i="5"/>
  <c r="L24" i="5"/>
  <c r="K24" i="5"/>
  <c r="J24" i="5"/>
  <c r="N23" i="5"/>
  <c r="M23" i="5"/>
  <c r="L23" i="5"/>
  <c r="K23" i="5"/>
  <c r="J23" i="5"/>
  <c r="I23" i="5"/>
  <c r="N22" i="5"/>
  <c r="M22" i="5"/>
  <c r="L22" i="5"/>
  <c r="K22" i="5"/>
  <c r="J22" i="5"/>
  <c r="I22" i="5"/>
  <c r="H22" i="5"/>
  <c r="N21" i="5"/>
  <c r="M21" i="5"/>
  <c r="L21" i="5"/>
  <c r="K21" i="5"/>
  <c r="J21" i="5"/>
  <c r="I21" i="5"/>
  <c r="H21" i="5"/>
  <c r="G21" i="5"/>
  <c r="N12" i="5"/>
  <c r="N11" i="5"/>
  <c r="M11" i="5"/>
  <c r="N10" i="5"/>
  <c r="M10" i="5"/>
  <c r="L10" i="5"/>
  <c r="N9" i="5"/>
  <c r="M9" i="5"/>
  <c r="L9" i="5"/>
  <c r="K9" i="5"/>
  <c r="N8" i="5"/>
  <c r="M8" i="5"/>
  <c r="L8" i="5"/>
  <c r="K8" i="5"/>
  <c r="J8" i="5"/>
  <c r="N7" i="5"/>
  <c r="M7" i="5"/>
  <c r="L7" i="5"/>
  <c r="K7" i="5"/>
  <c r="J7" i="5"/>
  <c r="I7" i="5"/>
  <c r="N6" i="5"/>
  <c r="M6" i="5"/>
  <c r="L6" i="5"/>
  <c r="K6" i="5"/>
  <c r="J6" i="5"/>
  <c r="I6" i="5"/>
  <c r="H6" i="5"/>
  <c r="N5" i="5"/>
  <c r="M5" i="5"/>
  <c r="L5" i="5"/>
  <c r="K5" i="5"/>
  <c r="J5" i="5"/>
  <c r="I5" i="5"/>
  <c r="H5" i="5"/>
  <c r="G5" i="5"/>
  <c r="K549" i="4"/>
  <c r="Q547" i="4"/>
  <c r="B547" i="4"/>
  <c r="Y761" i="4" s="1"/>
  <c r="Q544" i="4"/>
  <c r="K539" i="4"/>
  <c r="A537" i="4"/>
  <c r="B544" i="4" s="1"/>
  <c r="K14" i="4"/>
  <c r="Q12" i="4"/>
  <c r="B12" i="4"/>
  <c r="Y477" i="4" s="1"/>
  <c r="Q9" i="4"/>
  <c r="K4" i="4"/>
  <c r="A2" i="4"/>
  <c r="L6" i="4" s="1"/>
  <c r="C231" i="3"/>
  <c r="B231" i="3"/>
  <c r="C229" i="3"/>
  <c r="B229" i="3"/>
  <c r="C228" i="3"/>
  <c r="B228" i="3"/>
  <c r="C227" i="3"/>
  <c r="B227" i="3"/>
  <c r="C226" i="3"/>
  <c r="B226" i="3"/>
  <c r="C224" i="3"/>
  <c r="B224" i="3"/>
  <c r="C212" i="3"/>
  <c r="C211" i="3"/>
  <c r="B211" i="3"/>
  <c r="C210" i="3"/>
  <c r="B210" i="3"/>
  <c r="C209" i="3"/>
  <c r="B209" i="3"/>
  <c r="B212" i="3" s="1"/>
  <c r="E205" i="3"/>
  <c r="D205" i="3"/>
  <c r="C205" i="3"/>
  <c r="B205" i="3"/>
  <c r="E204" i="3"/>
  <c r="B548" i="4" s="1"/>
  <c r="D204" i="3"/>
  <c r="B13" i="4" s="1"/>
  <c r="C204" i="3"/>
  <c r="B204" i="3"/>
  <c r="E203" i="3"/>
  <c r="D203" i="3"/>
  <c r="C203" i="3"/>
  <c r="B203" i="3"/>
  <c r="E202" i="3"/>
  <c r="E206" i="3" s="1"/>
  <c r="D202" i="3"/>
  <c r="D206" i="3" s="1"/>
  <c r="C202" i="3"/>
  <c r="C206" i="3" s="1"/>
  <c r="B202" i="3"/>
  <c r="B206" i="3" s="1"/>
  <c r="E199" i="3"/>
  <c r="D199" i="3"/>
  <c r="C199" i="3"/>
  <c r="B199" i="3"/>
  <c r="D137" i="3"/>
  <c r="B137" i="3"/>
  <c r="E131" i="3"/>
  <c r="D131" i="3"/>
  <c r="C131" i="3"/>
  <c r="B131" i="3"/>
  <c r="E130" i="3"/>
  <c r="D130" i="3"/>
  <c r="C130" i="3"/>
  <c r="B130" i="3"/>
  <c r="E80" i="3"/>
  <c r="D80" i="3"/>
  <c r="C80" i="3"/>
  <c r="B80" i="3"/>
  <c r="D76" i="3"/>
  <c r="B76" i="3"/>
  <c r="E70" i="3"/>
  <c r="D70" i="3"/>
  <c r="C70" i="3"/>
  <c r="B70" i="3"/>
  <c r="E69" i="3"/>
  <c r="D69" i="3"/>
  <c r="C69" i="3"/>
  <c r="B69" i="3"/>
  <c r="E54" i="3"/>
  <c r="D54" i="3"/>
  <c r="C54" i="3"/>
  <c r="B54" i="3"/>
  <c r="D51" i="3"/>
  <c r="B51" i="3"/>
  <c r="E50" i="3"/>
  <c r="D50" i="3"/>
  <c r="C50" i="3"/>
  <c r="B50" i="3"/>
  <c r="E49" i="3"/>
  <c r="D49" i="3"/>
  <c r="C49" i="3"/>
  <c r="B49" i="3"/>
  <c r="E46" i="3"/>
  <c r="D46" i="3"/>
  <c r="C46" i="3"/>
  <c r="B46" i="3"/>
  <c r="E45" i="3"/>
  <c r="D45" i="3"/>
  <c r="C45" i="3"/>
  <c r="B45" i="3"/>
  <c r="E44" i="3"/>
  <c r="D44" i="3"/>
  <c r="C44" i="3"/>
  <c r="B44" i="3"/>
  <c r="E42" i="3"/>
  <c r="D42" i="3"/>
  <c r="C42" i="3"/>
  <c r="B42" i="3"/>
  <c r="E39" i="3"/>
  <c r="D39" i="3"/>
  <c r="C39" i="3"/>
  <c r="B39" i="3"/>
  <c r="I38" i="3"/>
  <c r="I40" i="3" s="1"/>
  <c r="H38" i="3"/>
  <c r="H41" i="3" s="1"/>
  <c r="E38" i="3"/>
  <c r="D38" i="3"/>
  <c r="C38" i="3"/>
  <c r="B38" i="3"/>
  <c r="E29" i="3"/>
  <c r="D29" i="3"/>
  <c r="C29" i="3"/>
  <c r="B29" i="3"/>
  <c r="D25" i="3"/>
  <c r="C25" i="3"/>
  <c r="L24" i="3"/>
  <c r="K24" i="3"/>
  <c r="D24" i="3"/>
  <c r="C24" i="3"/>
  <c r="L22" i="3"/>
  <c r="K22" i="3"/>
  <c r="D22" i="3"/>
  <c r="C22" i="3"/>
  <c r="H21" i="3"/>
  <c r="H22" i="3" s="1"/>
  <c r="G21" i="3"/>
  <c r="G22" i="3" s="1"/>
  <c r="D21" i="3"/>
  <c r="C21" i="3"/>
  <c r="D20" i="3"/>
  <c r="C20" i="3"/>
  <c r="L18" i="3"/>
  <c r="K18" i="3"/>
  <c r="D18" i="3"/>
  <c r="C18" i="3"/>
  <c r="B18" i="3"/>
  <c r="L17" i="3"/>
  <c r="K17" i="3"/>
  <c r="H17" i="3"/>
  <c r="G17" i="3"/>
  <c r="K21" i="3" s="1"/>
  <c r="D17" i="3"/>
  <c r="C17" i="3"/>
  <c r="L16" i="3"/>
  <c r="K16" i="3"/>
  <c r="F13" i="3"/>
  <c r="E13" i="3"/>
  <c r="F12" i="3"/>
  <c r="E12" i="3"/>
  <c r="G9" i="3"/>
  <c r="F9" i="3"/>
  <c r="E9" i="3"/>
  <c r="D9" i="3"/>
  <c r="G8" i="3"/>
  <c r="F8" i="3"/>
  <c r="E8" i="3"/>
  <c r="D8" i="3"/>
  <c r="P7" i="3"/>
  <c r="O7" i="3"/>
  <c r="G7" i="3"/>
  <c r="F7" i="3"/>
  <c r="E7" i="3"/>
  <c r="D7" i="3"/>
  <c r="G6" i="3"/>
  <c r="F6" i="3"/>
  <c r="E6" i="3"/>
  <c r="D6" i="3"/>
  <c r="G5" i="3"/>
  <c r="F5" i="3"/>
  <c r="E5" i="3"/>
  <c r="D5" i="3"/>
  <c r="P4" i="3"/>
  <c r="O4" i="3"/>
  <c r="G4" i="3"/>
  <c r="F4" i="3"/>
  <c r="E4" i="3"/>
  <c r="D4" i="3"/>
  <c r="G3" i="3"/>
  <c r="F3" i="3"/>
  <c r="E3" i="3"/>
  <c r="D3" i="3"/>
  <c r="L1" i="3"/>
  <c r="E1" i="3"/>
  <c r="C6" i="3" s="1"/>
  <c r="D1" i="3"/>
  <c r="C77" i="3" s="1"/>
  <c r="B1" i="3"/>
  <c r="B1" i="8" s="1"/>
  <c r="A1" i="3"/>
  <c r="A69" i="8" s="1"/>
  <c r="Z42" i="2"/>
  <c r="AU41" i="2"/>
  <c r="Z40" i="2"/>
  <c r="Z39" i="2"/>
  <c r="Z38" i="2"/>
  <c r="Z37" i="2"/>
  <c r="Z36" i="2"/>
  <c r="Z35" i="2"/>
  <c r="Z34" i="2"/>
  <c r="Z33" i="2"/>
  <c r="Z32" i="2"/>
  <c r="Z31" i="2"/>
  <c r="Z30" i="2"/>
  <c r="Z29" i="2"/>
  <c r="Z28" i="2"/>
  <c r="AB27" i="2"/>
  <c r="AA27" i="2"/>
  <c r="B27" i="2"/>
  <c r="A27" i="2"/>
  <c r="AB26" i="2"/>
  <c r="W90" i="7" s="1"/>
  <c r="AA26" i="2"/>
  <c r="B26" i="2"/>
  <c r="V90" i="7" s="1"/>
  <c r="A26" i="2"/>
  <c r="Z19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Z3" i="2"/>
  <c r="AD2" i="2"/>
  <c r="AD25" i="2" s="1"/>
  <c r="AC2" i="2"/>
  <c r="AC25" i="2" s="1"/>
  <c r="D2" i="2"/>
  <c r="D25" i="2" s="1"/>
  <c r="C2" i="2"/>
  <c r="C25" i="2" s="1"/>
  <c r="D44" i="1"/>
  <c r="N33" i="1"/>
  <c r="K33" i="1"/>
  <c r="J33" i="1"/>
  <c r="B47" i="3" s="1"/>
  <c r="N32" i="1"/>
  <c r="K32" i="1"/>
  <c r="J32" i="1"/>
  <c r="D40" i="3" s="1"/>
  <c r="N31" i="1"/>
  <c r="K31" i="1"/>
  <c r="C230" i="3" s="1"/>
  <c r="J31" i="1"/>
  <c r="B230" i="3" s="1"/>
  <c r="O30" i="1"/>
  <c r="M30" i="1"/>
  <c r="G30" i="1"/>
  <c r="E137" i="3" s="1"/>
  <c r="O28" i="1"/>
  <c r="M28" i="1"/>
  <c r="G25" i="1"/>
  <c r="C23" i="1"/>
  <c r="B23" i="1"/>
  <c r="C20" i="1"/>
  <c r="C19" i="1"/>
  <c r="C18" i="1"/>
  <c r="C17" i="1"/>
  <c r="C16" i="1"/>
  <c r="C15" i="1"/>
  <c r="C14" i="1"/>
  <c r="C13" i="1"/>
  <c r="C12" i="1"/>
  <c r="N11" i="1"/>
  <c r="O11" i="1" s="1"/>
  <c r="C11" i="1"/>
  <c r="N10" i="1"/>
  <c r="L7" i="3" s="1"/>
  <c r="C10" i="1"/>
  <c r="N9" i="1"/>
  <c r="L5" i="3" s="1"/>
  <c r="C9" i="1"/>
  <c r="N8" i="1"/>
  <c r="O8" i="1" s="1"/>
  <c r="N6" i="1"/>
  <c r="L4" i="3" s="1"/>
  <c r="C6" i="1"/>
  <c r="C5" i="1"/>
  <c r="N4" i="1"/>
  <c r="P3" i="3" s="1"/>
  <c r="C4" i="1"/>
  <c r="N3" i="1"/>
  <c r="L2" i="3" s="1"/>
  <c r="C3" i="1"/>
  <c r="B65" i="5"/>
  <c r="B67" i="5"/>
  <c r="B66" i="5"/>
  <c r="B26" i="5"/>
  <c r="B25" i="5"/>
  <c r="B27" i="5"/>
  <c r="E542" i="4" l="1"/>
  <c r="E543" i="4"/>
  <c r="E541" i="4"/>
  <c r="I42" i="3"/>
  <c r="Y24" i="4"/>
  <c r="I44" i="3"/>
  <c r="C51" i="3"/>
  <c r="Y28" i="4"/>
  <c r="Y44" i="4"/>
  <c r="Y60" i="4"/>
  <c r="Y76" i="4"/>
  <c r="Y92" i="4"/>
  <c r="Y108" i="4"/>
  <c r="Y124" i="4"/>
  <c r="Y140" i="4"/>
  <c r="Y165" i="4"/>
  <c r="Y197" i="4"/>
  <c r="Y229" i="4"/>
  <c r="Y261" i="4"/>
  <c r="Y314" i="4"/>
  <c r="Y392" i="4"/>
  <c r="Y507" i="4"/>
  <c r="Y586" i="4"/>
  <c r="Y618" i="4"/>
  <c r="Y650" i="4"/>
  <c r="Y680" i="4"/>
  <c r="Y733" i="4"/>
  <c r="Y29" i="4"/>
  <c r="Y45" i="4"/>
  <c r="Y61" i="4"/>
  <c r="Y77" i="4"/>
  <c r="Y93" i="4"/>
  <c r="Y109" i="4"/>
  <c r="Y125" i="4"/>
  <c r="Y141" i="4"/>
  <c r="Y169" i="4"/>
  <c r="Y201" i="4"/>
  <c r="Y233" i="4"/>
  <c r="Y266" i="4"/>
  <c r="Y320" i="4"/>
  <c r="Y410" i="4"/>
  <c r="Y511" i="4"/>
  <c r="Y558" i="4"/>
  <c r="Y590" i="4"/>
  <c r="Y622" i="4"/>
  <c r="Y654" i="4"/>
  <c r="Y681" i="4"/>
  <c r="Y765" i="4"/>
  <c r="C3" i="3"/>
  <c r="G18" i="3"/>
  <c r="Y32" i="4"/>
  <c r="Y48" i="4"/>
  <c r="Y64" i="4"/>
  <c r="Y80" i="4"/>
  <c r="Y96" i="4"/>
  <c r="Y112" i="4"/>
  <c r="Y128" i="4"/>
  <c r="Y144" i="4"/>
  <c r="Y173" i="4"/>
  <c r="Y205" i="4"/>
  <c r="Y237" i="4"/>
  <c r="Y267" i="4"/>
  <c r="Y324" i="4"/>
  <c r="Y412" i="4"/>
  <c r="Y531" i="4"/>
  <c r="Y562" i="4"/>
  <c r="Y594" i="4"/>
  <c r="Y626" i="4"/>
  <c r="Y658" i="4"/>
  <c r="Y693" i="4"/>
  <c r="Y772" i="4"/>
  <c r="Y33" i="4"/>
  <c r="Y49" i="4"/>
  <c r="Y65" i="4"/>
  <c r="Y81" i="4"/>
  <c r="Y97" i="4"/>
  <c r="Y113" i="4"/>
  <c r="Y129" i="4"/>
  <c r="Y147" i="4"/>
  <c r="Y177" i="4"/>
  <c r="Y209" i="4"/>
  <c r="Y241" i="4"/>
  <c r="Y268" i="4"/>
  <c r="Y328" i="4"/>
  <c r="Y414" i="4"/>
  <c r="Y566" i="4"/>
  <c r="Y598" i="4"/>
  <c r="Y630" i="4"/>
  <c r="Y662" i="4"/>
  <c r="Y701" i="4"/>
  <c r="Y789" i="4"/>
  <c r="Y20" i="4"/>
  <c r="Y36" i="4"/>
  <c r="Y52" i="4"/>
  <c r="Y68" i="4"/>
  <c r="Y84" i="4"/>
  <c r="Y100" i="4"/>
  <c r="Y116" i="4"/>
  <c r="Y132" i="4"/>
  <c r="Y149" i="4"/>
  <c r="Y181" i="4"/>
  <c r="Y213" i="4"/>
  <c r="Y245" i="4"/>
  <c r="Y278" i="4"/>
  <c r="Y342" i="4"/>
  <c r="Y426" i="4"/>
  <c r="Y570" i="4"/>
  <c r="Y602" i="4"/>
  <c r="Y634" i="4"/>
  <c r="Y666" i="4"/>
  <c r="Y709" i="4"/>
  <c r="Y793" i="4"/>
  <c r="Y21" i="4"/>
  <c r="Y37" i="4"/>
  <c r="Y53" i="4"/>
  <c r="Y69" i="4"/>
  <c r="Y85" i="4"/>
  <c r="Y101" i="4"/>
  <c r="Y117" i="4"/>
  <c r="Y133" i="4"/>
  <c r="Y151" i="4"/>
  <c r="Y185" i="4"/>
  <c r="Y217" i="4"/>
  <c r="Y249" i="4"/>
  <c r="Y292" i="4"/>
  <c r="Y368" i="4"/>
  <c r="Y440" i="4"/>
  <c r="Y574" i="4"/>
  <c r="Y606" i="4"/>
  <c r="Y638" i="4"/>
  <c r="Y670" i="4"/>
  <c r="Y717" i="4"/>
  <c r="Y804" i="4"/>
  <c r="E49" i="8"/>
  <c r="E53" i="8" s="1"/>
  <c r="C60" i="3"/>
  <c r="Y40" i="4"/>
  <c r="Y56" i="4"/>
  <c r="Y72" i="4"/>
  <c r="Y88" i="4"/>
  <c r="Y104" i="4"/>
  <c r="Y120" i="4"/>
  <c r="Y136" i="4"/>
  <c r="Y161" i="4"/>
  <c r="Y189" i="4"/>
  <c r="Y221" i="4"/>
  <c r="Y253" i="4"/>
  <c r="Y306" i="4"/>
  <c r="Y372" i="4"/>
  <c r="Y483" i="4"/>
  <c r="Y578" i="4"/>
  <c r="Y610" i="4"/>
  <c r="Y642" i="4"/>
  <c r="Y674" i="4"/>
  <c r="Y723" i="4"/>
  <c r="Y812" i="4"/>
  <c r="F49" i="8"/>
  <c r="F53" i="8" s="1"/>
  <c r="O6" i="1"/>
  <c r="Y25" i="4"/>
  <c r="Y41" i="4"/>
  <c r="Y57" i="4"/>
  <c r="Y73" i="4"/>
  <c r="Y89" i="4"/>
  <c r="Y105" i="4"/>
  <c r="Y121" i="4"/>
  <c r="Y137" i="4"/>
  <c r="Y163" i="4"/>
  <c r="Y193" i="4"/>
  <c r="Y225" i="4"/>
  <c r="Y257" i="4"/>
  <c r="Y310" i="4"/>
  <c r="Y382" i="4"/>
  <c r="Y503" i="4"/>
  <c r="Y582" i="4"/>
  <c r="Y614" i="4"/>
  <c r="Y646" i="4"/>
  <c r="Y679" i="4"/>
  <c r="Y728" i="4"/>
  <c r="K2" i="4"/>
  <c r="J98" i="7"/>
  <c r="N98" i="7" s="1"/>
  <c r="AJ90" i="7" s="1"/>
  <c r="I18" i="2" s="1"/>
  <c r="J96" i="7"/>
  <c r="N96" i="7" s="1"/>
  <c r="AE90" i="7" s="1"/>
  <c r="E18" i="2" s="1"/>
  <c r="J97" i="7"/>
  <c r="N97" i="7" s="1"/>
  <c r="AG90" i="7" s="1"/>
  <c r="G18" i="2" s="1"/>
  <c r="K97" i="7"/>
  <c r="K96" i="7"/>
  <c r="O8" i="3"/>
  <c r="N7" i="1" s="1"/>
  <c r="H43" i="3"/>
  <c r="E243" i="3"/>
  <c r="I537" i="4"/>
  <c r="I538" i="4"/>
  <c r="L541" i="4"/>
  <c r="AC18" i="2"/>
  <c r="AC41" i="2"/>
  <c r="C41" i="2"/>
  <c r="B12" i="3"/>
  <c r="D12" i="3"/>
  <c r="C55" i="3"/>
  <c r="H12" i="3"/>
  <c r="B53" i="3"/>
  <c r="B77" i="3"/>
  <c r="E6" i="4"/>
  <c r="E8" i="4"/>
  <c r="E7" i="4"/>
  <c r="C69" i="8"/>
  <c r="B69" i="8"/>
  <c r="I69" i="8"/>
  <c r="H69" i="8"/>
  <c r="G69" i="8"/>
  <c r="F69" i="8"/>
  <c r="E69" i="8"/>
  <c r="D69" i="8"/>
  <c r="O3" i="1"/>
  <c r="O9" i="1"/>
  <c r="E40" i="3"/>
  <c r="E41" i="3" s="1"/>
  <c r="C18" i="2"/>
  <c r="V91" i="7"/>
  <c r="L93" i="7" s="1"/>
  <c r="P93" i="7" s="1"/>
  <c r="E60" i="3"/>
  <c r="D60" i="3"/>
  <c r="E59" i="3"/>
  <c r="B23" i="3"/>
  <c r="C12" i="3"/>
  <c r="C59" i="3"/>
  <c r="C13" i="3"/>
  <c r="C5" i="3"/>
  <c r="B59" i="3"/>
  <c r="B13" i="3"/>
  <c r="C8" i="3"/>
  <c r="C7" i="3"/>
  <c r="C4" i="3"/>
  <c r="D59" i="3"/>
  <c r="D13" i="3"/>
  <c r="H45" i="3"/>
  <c r="H44" i="3"/>
  <c r="H42" i="3"/>
  <c r="H39" i="3"/>
  <c r="H40" i="3"/>
  <c r="E47" i="3"/>
  <c r="E48" i="3" s="1"/>
  <c r="C47" i="3"/>
  <c r="C48" i="3" s="1"/>
  <c r="L8" i="3"/>
  <c r="C232" i="3"/>
  <c r="P5" i="3"/>
  <c r="P6" i="3" s="1"/>
  <c r="L3" i="3"/>
  <c r="O4" i="1"/>
  <c r="O10" i="1"/>
  <c r="L6" i="3"/>
  <c r="C9" i="3"/>
  <c r="B60" i="3"/>
  <c r="L21" i="3"/>
  <c r="H18" i="3" s="1"/>
  <c r="G53" i="8"/>
  <c r="G52" i="8"/>
  <c r="G51" i="8"/>
  <c r="G50" i="8"/>
  <c r="D41" i="3"/>
  <c r="B40" i="3"/>
  <c r="B41" i="3" s="1"/>
  <c r="C137" i="3"/>
  <c r="E76" i="3"/>
  <c r="E51" i="3"/>
  <c r="C76" i="3"/>
  <c r="W91" i="7"/>
  <c r="M97" i="7" s="1"/>
  <c r="Q97" i="7" s="1"/>
  <c r="AG93" i="7" s="1"/>
  <c r="AG41" i="2" s="1"/>
  <c r="O3" i="3"/>
  <c r="O5" i="3" s="1"/>
  <c r="C40" i="3"/>
  <c r="C41" i="3" s="1"/>
  <c r="B48" i="3"/>
  <c r="D47" i="3"/>
  <c r="D48" i="3" s="1"/>
  <c r="L11" i="3"/>
  <c r="B22" i="3"/>
  <c r="E138" i="3"/>
  <c r="B232" i="3"/>
  <c r="B9" i="4"/>
  <c r="K6" i="4"/>
  <c r="J6" i="4"/>
  <c r="I3" i="4"/>
  <c r="I2" i="4"/>
  <c r="B78" i="8"/>
  <c r="C1" i="8"/>
  <c r="H13" i="3"/>
  <c r="C19" i="3"/>
  <c r="I45" i="3"/>
  <c r="I39" i="3"/>
  <c r="I41" i="3"/>
  <c r="I43" i="3"/>
  <c r="B52" i="3"/>
  <c r="J9" i="4"/>
  <c r="A59" i="8"/>
  <c r="C233" i="3"/>
  <c r="E52" i="3"/>
  <c r="B233" i="3"/>
  <c r="D52" i="3"/>
  <c r="C138" i="3"/>
  <c r="E77" i="3"/>
  <c r="E55" i="3"/>
  <c r="E53" i="3"/>
  <c r="D19" i="3"/>
  <c r="C52" i="3"/>
  <c r="B55" i="3"/>
  <c r="D77" i="3"/>
  <c r="B17" i="3"/>
  <c r="C53" i="3"/>
  <c r="D55" i="3"/>
  <c r="B138" i="3"/>
  <c r="D53" i="3"/>
  <c r="D138" i="3"/>
  <c r="D243" i="3"/>
  <c r="Y157" i="4"/>
  <c r="Y171" i="4"/>
  <c r="Y179" i="4"/>
  <c r="Y187" i="4"/>
  <c r="Y195" i="4"/>
  <c r="Y203" i="4"/>
  <c r="Y211" i="4"/>
  <c r="Y219" i="4"/>
  <c r="Y227" i="4"/>
  <c r="Y235" i="4"/>
  <c r="Y243" i="4"/>
  <c r="Y251" i="4"/>
  <c r="Y259" i="4"/>
  <c r="Y274" i="4"/>
  <c r="Y275" i="4"/>
  <c r="Y276" i="4"/>
  <c r="Y326" i="4"/>
  <c r="Y340" i="4"/>
  <c r="Y446" i="4"/>
  <c r="Y23" i="4"/>
  <c r="Y27" i="4"/>
  <c r="Y31" i="4"/>
  <c r="Y35" i="4"/>
  <c r="Y39" i="4"/>
  <c r="Y43" i="4"/>
  <c r="Y47" i="4"/>
  <c r="Y51" i="4"/>
  <c r="Y55" i="4"/>
  <c r="Y59" i="4"/>
  <c r="Y63" i="4"/>
  <c r="Y67" i="4"/>
  <c r="Y71" i="4"/>
  <c r="Y75" i="4"/>
  <c r="Y79" i="4"/>
  <c r="Y83" i="4"/>
  <c r="Y87" i="4"/>
  <c r="Y91" i="4"/>
  <c r="Y95" i="4"/>
  <c r="Y99" i="4"/>
  <c r="Y103" i="4"/>
  <c r="Y107" i="4"/>
  <c r="Y111" i="4"/>
  <c r="Y115" i="4"/>
  <c r="Y119" i="4"/>
  <c r="Y123" i="4"/>
  <c r="Y127" i="4"/>
  <c r="Y131" i="4"/>
  <c r="Y135" i="4"/>
  <c r="Y139" i="4"/>
  <c r="Y143" i="4"/>
  <c r="Y153" i="4"/>
  <c r="Y167" i="4"/>
  <c r="Y282" i="4"/>
  <c r="Y296" i="4"/>
  <c r="Y346" i="4"/>
  <c r="Y424" i="4"/>
  <c r="Y22" i="4"/>
  <c r="Y26" i="4"/>
  <c r="Y30" i="4"/>
  <c r="Y34" i="4"/>
  <c r="Y38" i="4"/>
  <c r="Y42" i="4"/>
  <c r="Y46" i="4"/>
  <c r="Y50" i="4"/>
  <c r="Y54" i="4"/>
  <c r="Y58" i="4"/>
  <c r="Y62" i="4"/>
  <c r="Y66" i="4"/>
  <c r="Y70" i="4"/>
  <c r="Y74" i="4"/>
  <c r="Y78" i="4"/>
  <c r="Y82" i="4"/>
  <c r="Y86" i="4"/>
  <c r="Y90" i="4"/>
  <c r="Y94" i="4"/>
  <c r="Y98" i="4"/>
  <c r="Y102" i="4"/>
  <c r="Y106" i="4"/>
  <c r="Y110" i="4"/>
  <c r="Y114" i="4"/>
  <c r="Y118" i="4"/>
  <c r="Y122" i="4"/>
  <c r="Y126" i="4"/>
  <c r="Y130" i="4"/>
  <c r="Y134" i="4"/>
  <c r="Y138" i="4"/>
  <c r="Y142" i="4"/>
  <c r="Y145" i="4"/>
  <c r="Y159" i="4"/>
  <c r="Y288" i="4"/>
  <c r="Y338" i="4"/>
  <c r="Y352" i="4"/>
  <c r="Y361" i="4"/>
  <c r="Y428" i="4"/>
  <c r="Y528" i="4"/>
  <c r="Y524" i="4"/>
  <c r="Y520" i="4"/>
  <c r="Y516" i="4"/>
  <c r="Y512" i="4"/>
  <c r="Y508" i="4"/>
  <c r="Y504" i="4"/>
  <c r="Y500" i="4"/>
  <c r="Y496" i="4"/>
  <c r="Y492" i="4"/>
  <c r="Y488" i="4"/>
  <c r="Y484" i="4"/>
  <c r="Y480" i="4"/>
  <c r="Y476" i="4"/>
  <c r="Y530" i="4"/>
  <c r="Y526" i="4"/>
  <c r="Y522" i="4"/>
  <c r="Y518" i="4"/>
  <c r="Y514" i="4"/>
  <c r="Y510" i="4"/>
  <c r="Y506" i="4"/>
  <c r="Y502" i="4"/>
  <c r="Y498" i="4"/>
  <c r="Y494" i="4"/>
  <c r="Y490" i="4"/>
  <c r="Y486" i="4"/>
  <c r="Y482" i="4"/>
  <c r="Y478" i="4"/>
  <c r="Y525" i="4"/>
  <c r="Y517" i="4"/>
  <c r="Y509" i="4"/>
  <c r="Y501" i="4"/>
  <c r="Y493" i="4"/>
  <c r="Y481" i="4"/>
  <c r="Y471" i="4"/>
  <c r="Y467" i="4"/>
  <c r="Y463" i="4"/>
  <c r="Y459" i="4"/>
  <c r="Y455" i="4"/>
  <c r="Y451" i="4"/>
  <c r="Y447" i="4"/>
  <c r="Y443" i="4"/>
  <c r="Y439" i="4"/>
  <c r="Y435" i="4"/>
  <c r="Y431" i="4"/>
  <c r="Y427" i="4"/>
  <c r="Y423" i="4"/>
  <c r="Y419" i="4"/>
  <c r="Y415" i="4"/>
  <c r="Y411" i="4"/>
  <c r="Y407" i="4"/>
  <c r="Y403" i="4"/>
  <c r="Y399" i="4"/>
  <c r="Y395" i="4"/>
  <c r="Y391" i="4"/>
  <c r="Y387" i="4"/>
  <c r="Y383" i="4"/>
  <c r="Y379" i="4"/>
  <c r="Y375" i="4"/>
  <c r="Y371" i="4"/>
  <c r="Y367" i="4"/>
  <c r="Y363" i="4"/>
  <c r="Y359" i="4"/>
  <c r="Y355" i="4"/>
  <c r="Y475" i="4"/>
  <c r="Y529" i="4"/>
  <c r="Y521" i="4"/>
  <c r="Y513" i="4"/>
  <c r="Y505" i="4"/>
  <c r="Y497" i="4"/>
  <c r="Y489" i="4"/>
  <c r="Y473" i="4"/>
  <c r="Y469" i="4"/>
  <c r="Y465" i="4"/>
  <c r="Y461" i="4"/>
  <c r="Y457" i="4"/>
  <c r="Y453" i="4"/>
  <c r="Y449" i="4"/>
  <c r="Y445" i="4"/>
  <c r="Y441" i="4"/>
  <c r="Y437" i="4"/>
  <c r="Y433" i="4"/>
  <c r="Y429" i="4"/>
  <c r="Y425" i="4"/>
  <c r="Y421" i="4"/>
  <c r="Y417" i="4"/>
  <c r="Y413" i="4"/>
  <c r="Y409" i="4"/>
  <c r="Y405" i="4"/>
  <c r="Y401" i="4"/>
  <c r="Y397" i="4"/>
  <c r="Y393" i="4"/>
  <c r="Y389" i="4"/>
  <c r="Y385" i="4"/>
  <c r="Y381" i="4"/>
  <c r="Y377" i="4"/>
  <c r="Y373" i="4"/>
  <c r="Y369" i="4"/>
  <c r="Y365" i="4"/>
  <c r="Y519" i="4"/>
  <c r="Y491" i="4"/>
  <c r="Y479" i="4"/>
  <c r="Y468" i="4"/>
  <c r="Y454" i="4"/>
  <c r="Y436" i="4"/>
  <c r="Y422" i="4"/>
  <c r="Y404" i="4"/>
  <c r="Y402" i="4"/>
  <c r="Y386" i="4"/>
  <c r="Y370" i="4"/>
  <c r="Y351" i="4"/>
  <c r="Y347" i="4"/>
  <c r="Y343" i="4"/>
  <c r="Y339" i="4"/>
  <c r="Y335" i="4"/>
  <c r="Y331" i="4"/>
  <c r="Y327" i="4"/>
  <c r="Y323" i="4"/>
  <c r="Y319" i="4"/>
  <c r="Y315" i="4"/>
  <c r="Y311" i="4"/>
  <c r="Y307" i="4"/>
  <c r="Y303" i="4"/>
  <c r="Y299" i="4"/>
  <c r="Y295" i="4"/>
  <c r="Y291" i="4"/>
  <c r="Y287" i="4"/>
  <c r="Y283" i="4"/>
  <c r="Y279" i="4"/>
  <c r="Y515" i="4"/>
  <c r="Y466" i="4"/>
  <c r="Y448" i="4"/>
  <c r="Y434" i="4"/>
  <c r="Y416" i="4"/>
  <c r="Y396" i="4"/>
  <c r="Y380" i="4"/>
  <c r="Y523" i="4"/>
  <c r="Y470" i="4"/>
  <c r="Y452" i="4"/>
  <c r="Y438" i="4"/>
  <c r="Y420" i="4"/>
  <c r="Y406" i="4"/>
  <c r="Y394" i="4"/>
  <c r="Y378" i="4"/>
  <c r="Y362" i="4"/>
  <c r="Y357" i="4"/>
  <c r="Y353" i="4"/>
  <c r="Y349" i="4"/>
  <c r="Y345" i="4"/>
  <c r="Y341" i="4"/>
  <c r="Y337" i="4"/>
  <c r="Y333" i="4"/>
  <c r="Y329" i="4"/>
  <c r="Y325" i="4"/>
  <c r="Y321" i="4"/>
  <c r="Y317" i="4"/>
  <c r="Y313" i="4"/>
  <c r="Y309" i="4"/>
  <c r="Y305" i="4"/>
  <c r="Y301" i="4"/>
  <c r="Y297" i="4"/>
  <c r="Y293" i="4"/>
  <c r="Y289" i="4"/>
  <c r="Y285" i="4"/>
  <c r="Y281" i="4"/>
  <c r="Y277" i="4"/>
  <c r="Y273" i="4"/>
  <c r="Y269" i="4"/>
  <c r="Y265" i="4"/>
  <c r="Y527" i="4"/>
  <c r="Y499" i="4"/>
  <c r="Y464" i="4"/>
  <c r="Y450" i="4"/>
  <c r="Y388" i="4"/>
  <c r="Y374" i="4"/>
  <c r="Y364" i="4"/>
  <c r="Y350" i="4"/>
  <c r="Y332" i="4"/>
  <c r="Y318" i="4"/>
  <c r="Y300" i="4"/>
  <c r="Y286" i="4"/>
  <c r="Y264" i="4"/>
  <c r="Y262" i="4"/>
  <c r="Y258" i="4"/>
  <c r="Y254" i="4"/>
  <c r="Y250" i="4"/>
  <c r="Y246" i="4"/>
  <c r="Y242" i="4"/>
  <c r="Y238" i="4"/>
  <c r="Y234" i="4"/>
  <c r="Y230" i="4"/>
  <c r="Y226" i="4"/>
  <c r="Y222" i="4"/>
  <c r="Y218" i="4"/>
  <c r="Y214" i="4"/>
  <c r="Y210" i="4"/>
  <c r="Y206" i="4"/>
  <c r="Y202" i="4"/>
  <c r="Y198" i="4"/>
  <c r="Y194" i="4"/>
  <c r="Y190" i="4"/>
  <c r="Y186" i="4"/>
  <c r="Y182" i="4"/>
  <c r="Y178" i="4"/>
  <c r="Y174" i="4"/>
  <c r="Y170" i="4"/>
  <c r="Y166" i="4"/>
  <c r="Y162" i="4"/>
  <c r="Y158" i="4"/>
  <c r="Y154" i="4"/>
  <c r="Y150" i="4"/>
  <c r="Y146" i="4"/>
  <c r="Y495" i="4"/>
  <c r="Y474" i="4"/>
  <c r="Y462" i="4"/>
  <c r="Y408" i="4"/>
  <c r="Y398" i="4"/>
  <c r="Y384" i="4"/>
  <c r="Y360" i="4"/>
  <c r="Y358" i="4"/>
  <c r="Y356" i="4"/>
  <c r="Y354" i="4"/>
  <c r="Y336" i="4"/>
  <c r="Y322" i="4"/>
  <c r="Y304" i="4"/>
  <c r="Y290" i="4"/>
  <c r="Y472" i="4"/>
  <c r="Y458" i="4"/>
  <c r="Y432" i="4"/>
  <c r="Y418" i="4"/>
  <c r="Y390" i="4"/>
  <c r="Y376" i="4"/>
  <c r="Y366" i="4"/>
  <c r="Y344" i="4"/>
  <c r="Y330" i="4"/>
  <c r="Y312" i="4"/>
  <c r="Y298" i="4"/>
  <c r="Y280" i="4"/>
  <c r="Y487" i="4"/>
  <c r="Y456" i="4"/>
  <c r="Y444" i="4"/>
  <c r="Y442" i="4"/>
  <c r="Y430" i="4"/>
  <c r="Y400" i="4"/>
  <c r="Y348" i="4"/>
  <c r="Y334" i="4"/>
  <c r="Y316" i="4"/>
  <c r="Y302" i="4"/>
  <c r="Y284" i="4"/>
  <c r="Y272" i="4"/>
  <c r="Y271" i="4"/>
  <c r="Y270" i="4"/>
  <c r="Y260" i="4"/>
  <c r="Y256" i="4"/>
  <c r="Y252" i="4"/>
  <c r="Y248" i="4"/>
  <c r="Y244" i="4"/>
  <c r="Y240" i="4"/>
  <c r="Y236" i="4"/>
  <c r="Y232" i="4"/>
  <c r="Y228" i="4"/>
  <c r="Y224" i="4"/>
  <c r="Y220" i="4"/>
  <c r="Y216" i="4"/>
  <c r="Y212" i="4"/>
  <c r="Y208" i="4"/>
  <c r="Y204" i="4"/>
  <c r="Y200" i="4"/>
  <c r="Y196" i="4"/>
  <c r="Y192" i="4"/>
  <c r="Y188" i="4"/>
  <c r="Y184" i="4"/>
  <c r="Y180" i="4"/>
  <c r="Y176" i="4"/>
  <c r="Y172" i="4"/>
  <c r="Y168" i="4"/>
  <c r="Y164" i="4"/>
  <c r="Y160" i="4"/>
  <c r="Y156" i="4"/>
  <c r="Y152" i="4"/>
  <c r="Y148" i="4"/>
  <c r="Y155" i="4"/>
  <c r="Y175" i="4"/>
  <c r="Y183" i="4"/>
  <c r="Y191" i="4"/>
  <c r="Y199" i="4"/>
  <c r="Y207" i="4"/>
  <c r="Y215" i="4"/>
  <c r="Y223" i="4"/>
  <c r="Y231" i="4"/>
  <c r="Y239" i="4"/>
  <c r="Y247" i="4"/>
  <c r="Y255" i="4"/>
  <c r="Y263" i="4"/>
  <c r="Y294" i="4"/>
  <c r="Y308" i="4"/>
  <c r="Y460" i="4"/>
  <c r="Y485" i="4"/>
  <c r="K541" i="4"/>
  <c r="J541" i="4"/>
  <c r="K537" i="4"/>
  <c r="J544" i="4"/>
  <c r="Y556" i="4"/>
  <c r="Y564" i="4"/>
  <c r="Y572" i="4"/>
  <c r="Y580" i="4"/>
  <c r="Y588" i="4"/>
  <c r="Y596" i="4"/>
  <c r="Y604" i="4"/>
  <c r="Y612" i="4"/>
  <c r="Y620" i="4"/>
  <c r="Y628" i="4"/>
  <c r="Y636" i="4"/>
  <c r="Y644" i="4"/>
  <c r="Y652" i="4"/>
  <c r="Y660" i="4"/>
  <c r="Y668" i="4"/>
  <c r="Y676" i="4"/>
  <c r="Y687" i="4"/>
  <c r="Y705" i="4"/>
  <c r="Y721" i="4"/>
  <c r="Y1067" i="4"/>
  <c r="Y1063" i="4"/>
  <c r="Y1059" i="4"/>
  <c r="Y1055" i="4"/>
  <c r="Y1051" i="4"/>
  <c r="Y1065" i="4"/>
  <c r="Y1060" i="4"/>
  <c r="Y1054" i="4"/>
  <c r="Y1049" i="4"/>
  <c r="Y1064" i="4"/>
  <c r="Y1061" i="4"/>
  <c r="Y1047" i="4"/>
  <c r="Y1042" i="4"/>
  <c r="Y1038" i="4"/>
  <c r="Y1034" i="4"/>
  <c r="Y1030" i="4"/>
  <c r="Y1026" i="4"/>
  <c r="Y1022" i="4"/>
  <c r="Y1058" i="4"/>
  <c r="Y1044" i="4"/>
  <c r="Y1056" i="4"/>
  <c r="Y1052" i="4"/>
  <c r="Y1046" i="4"/>
  <c r="Y1062" i="4"/>
  <c r="Y1053" i="4"/>
  <c r="Y1050" i="4"/>
  <c r="Y1045" i="4"/>
  <c r="Y1043" i="4"/>
  <c r="Y1040" i="4"/>
  <c r="Y1039" i="4"/>
  <c r="Y1025" i="4"/>
  <c r="Y1024" i="4"/>
  <c r="Y1023" i="4"/>
  <c r="Y1019" i="4"/>
  <c r="Y1057" i="4"/>
  <c r="Y1066" i="4"/>
  <c r="Y1032" i="4"/>
  <c r="Y1020" i="4"/>
  <c r="Y1007" i="4"/>
  <c r="Y1001" i="4"/>
  <c r="Y997" i="4"/>
  <c r="Y993" i="4"/>
  <c r="Y989" i="4"/>
  <c r="Y985" i="4"/>
  <c r="Y1028" i="4"/>
  <c r="Y1018" i="4"/>
  <c r="Y1009" i="4"/>
  <c r="Y1004" i="4"/>
  <c r="Y1002" i="4"/>
  <c r="Y998" i="4"/>
  <c r="Y994" i="4"/>
  <c r="Y990" i="4"/>
  <c r="Y986" i="4"/>
  <c r="Y1048" i="4"/>
  <c r="Y1041" i="4"/>
  <c r="Y1037" i="4"/>
  <c r="Y1035" i="4"/>
  <c r="Y1017" i="4"/>
  <c r="Y1016" i="4"/>
  <c r="Y1015" i="4"/>
  <c r="Y1003" i="4"/>
  <c r="Y996" i="4"/>
  <c r="Y984" i="4"/>
  <c r="Y979" i="4"/>
  <c r="Y1012" i="4"/>
  <c r="Y1005" i="4"/>
  <c r="Y1000" i="4"/>
  <c r="Y974" i="4"/>
  <c r="Y970" i="4"/>
  <c r="Y966" i="4"/>
  <c r="Y962" i="4"/>
  <c r="Y1021" i="4"/>
  <c r="Y1014" i="4"/>
  <c r="Y1011" i="4"/>
  <c r="Y987" i="4"/>
  <c r="Y983" i="4"/>
  <c r="Y975" i="4"/>
  <c r="Y971" i="4"/>
  <c r="Y967" i="4"/>
  <c r="Y963" i="4"/>
  <c r="Y959" i="4"/>
  <c r="Y1031" i="4"/>
  <c r="Y1027" i="4"/>
  <c r="Y1008" i="4"/>
  <c r="Y1006" i="4"/>
  <c r="Y991" i="4"/>
  <c r="Y978" i="4"/>
  <c r="Y960" i="4"/>
  <c r="Y953" i="4"/>
  <c r="Y949" i="4"/>
  <c r="Y945" i="4"/>
  <c r="Y941" i="4"/>
  <c r="Y937" i="4"/>
  <c r="Y933" i="4"/>
  <c r="Y929" i="4"/>
  <c r="Y925" i="4"/>
  <c r="Y1033" i="4"/>
  <c r="Y1029" i="4"/>
  <c r="Y995" i="4"/>
  <c r="Y972" i="4"/>
  <c r="Y964" i="4"/>
  <c r="Y982" i="4"/>
  <c r="Y977" i="4"/>
  <c r="Y969" i="4"/>
  <c r="Y961" i="4"/>
  <c r="Y981" i="4"/>
  <c r="Y958" i="4"/>
  <c r="Y957" i="4"/>
  <c r="Y955" i="4"/>
  <c r="Y951" i="4"/>
  <c r="Y947" i="4"/>
  <c r="Y943" i="4"/>
  <c r="Y939" i="4"/>
  <c r="Y935" i="4"/>
  <c r="Y931" i="4"/>
  <c r="Y927" i="4"/>
  <c r="Y1013" i="4"/>
  <c r="Y1010" i="4"/>
  <c r="Y988" i="4"/>
  <c r="Y950" i="4"/>
  <c r="Y942" i="4"/>
  <c r="Y934" i="4"/>
  <c r="Y980" i="4"/>
  <c r="Y968" i="4"/>
  <c r="Y928" i="4"/>
  <c r="Y922" i="4"/>
  <c r="Y918" i="4"/>
  <c r="Y914" i="4"/>
  <c r="Y910" i="4"/>
  <c r="Y906" i="4"/>
  <c r="Y902" i="4"/>
  <c r="Y898" i="4"/>
  <c r="Y894" i="4"/>
  <c r="Y890" i="4"/>
  <c r="Y886" i="4"/>
  <c r="Y882" i="4"/>
  <c r="Y878" i="4"/>
  <c r="Y874" i="4"/>
  <c r="Y870" i="4"/>
  <c r="Y866" i="4"/>
  <c r="Y862" i="4"/>
  <c r="Y858" i="4"/>
  <c r="Y854" i="4"/>
  <c r="Y850" i="4"/>
  <c r="Y846" i="4"/>
  <c r="Y842" i="4"/>
  <c r="Y838" i="4"/>
  <c r="Y992" i="4"/>
  <c r="Y965" i="4"/>
  <c r="Y923" i="4"/>
  <c r="Y919" i="4"/>
  <c r="Y915" i="4"/>
  <c r="Y911" i="4"/>
  <c r="Y907" i="4"/>
  <c r="Y903" i="4"/>
  <c r="Y899" i="4"/>
  <c r="Y895" i="4"/>
  <c r="Y891" i="4"/>
  <c r="Y887" i="4"/>
  <c r="Y883" i="4"/>
  <c r="Y879" i="4"/>
  <c r="Y875" i="4"/>
  <c r="Y954" i="4"/>
  <c r="Y946" i="4"/>
  <c r="Y938" i="4"/>
  <c r="Y976" i="4"/>
  <c r="Y924" i="4"/>
  <c r="Y916" i="4"/>
  <c r="Y908" i="4"/>
  <c r="Y900" i="4"/>
  <c r="Y892" i="4"/>
  <c r="Y884" i="4"/>
  <c r="Y876" i="4"/>
  <c r="Y871" i="4"/>
  <c r="Y864" i="4"/>
  <c r="Y853" i="4"/>
  <c r="Y835" i="4"/>
  <c r="Y833" i="4"/>
  <c r="Y829" i="4"/>
  <c r="Y825" i="4"/>
  <c r="Y821" i="4"/>
  <c r="Y817" i="4"/>
  <c r="Y813" i="4"/>
  <c r="Y948" i="4"/>
  <c r="Y930" i="4"/>
  <c r="Y868" i="4"/>
  <c r="Y857" i="4"/>
  <c r="Y849" i="4"/>
  <c r="Y848" i="4"/>
  <c r="Y847" i="4"/>
  <c r="Y999" i="4"/>
  <c r="Y952" i="4"/>
  <c r="Y936" i="4"/>
  <c r="Y932" i="4"/>
  <c r="Y865" i="4"/>
  <c r="Y851" i="4"/>
  <c r="Y845" i="4"/>
  <c r="Y844" i="4"/>
  <c r="Y843" i="4"/>
  <c r="Y834" i="4"/>
  <c r="Y920" i="4"/>
  <c r="Y912" i="4"/>
  <c r="Y904" i="4"/>
  <c r="Y896" i="4"/>
  <c r="Y888" i="4"/>
  <c r="Y880" i="4"/>
  <c r="Y869" i="4"/>
  <c r="Y855" i="4"/>
  <c r="Y831" i="4"/>
  <c r="Y827" i="4"/>
  <c r="Y823" i="4"/>
  <c r="Y819" i="4"/>
  <c r="Y815" i="4"/>
  <c r="Y811" i="4"/>
  <c r="Y807" i="4"/>
  <c r="Y803" i="4"/>
  <c r="Y799" i="4"/>
  <c r="Y795" i="4"/>
  <c r="Y791" i="4"/>
  <c r="Y787" i="4"/>
  <c r="Y783" i="4"/>
  <c r="Y779" i="4"/>
  <c r="Y940" i="4"/>
  <c r="Y873" i="4"/>
  <c r="Y859" i="4"/>
  <c r="Y852" i="4"/>
  <c r="Y841" i="4"/>
  <c r="Y840" i="4"/>
  <c r="Y839" i="4"/>
  <c r="Y805" i="4"/>
  <c r="Y798" i="4"/>
  <c r="Y784" i="4"/>
  <c r="Y780" i="4"/>
  <c r="Y1036" i="4"/>
  <c r="Y909" i="4"/>
  <c r="Y893" i="4"/>
  <c r="Y877" i="4"/>
  <c r="Y832" i="4"/>
  <c r="Y824" i="4"/>
  <c r="Y816" i="4"/>
  <c r="Y809" i="4"/>
  <c r="Y802" i="4"/>
  <c r="Y788" i="4"/>
  <c r="Y778" i="4"/>
  <c r="Y774" i="4"/>
  <c r="Y770" i="4"/>
  <c r="Y766" i="4"/>
  <c r="Y762" i="4"/>
  <c r="Y758" i="4"/>
  <c r="Y754" i="4"/>
  <c r="Y750" i="4"/>
  <c r="Y746" i="4"/>
  <c r="Y742" i="4"/>
  <c r="Y738" i="4"/>
  <c r="Y734" i="4"/>
  <c r="Y730" i="4"/>
  <c r="Y726" i="4"/>
  <c r="Y722" i="4"/>
  <c r="Y973" i="4"/>
  <c r="Y913" i="4"/>
  <c r="Y897" i="4"/>
  <c r="Y881" i="4"/>
  <c r="Y861" i="4"/>
  <c r="Y826" i="4"/>
  <c r="Y818" i="4"/>
  <c r="Y810" i="4"/>
  <c r="Y796" i="4"/>
  <c r="Y785" i="4"/>
  <c r="Y775" i="4"/>
  <c r="Y771" i="4"/>
  <c r="Y767" i="4"/>
  <c r="Y763" i="4"/>
  <c r="Y759" i="4"/>
  <c r="Y956" i="4"/>
  <c r="Y926" i="4"/>
  <c r="Y836" i="4"/>
  <c r="Y814" i="4"/>
  <c r="Y800" i="4"/>
  <c r="Y769" i="4"/>
  <c r="Y747" i="4"/>
  <c r="Y725" i="4"/>
  <c r="Y718" i="4"/>
  <c r="Y714" i="4"/>
  <c r="Y710" i="4"/>
  <c r="Y706" i="4"/>
  <c r="Y702" i="4"/>
  <c r="Y698" i="4"/>
  <c r="Y694" i="4"/>
  <c r="Y690" i="4"/>
  <c r="Y686" i="4"/>
  <c r="Y682" i="4"/>
  <c r="Y678" i="4"/>
  <c r="Y901" i="4"/>
  <c r="Y863" i="4"/>
  <c r="Y856" i="4"/>
  <c r="Y828" i="4"/>
  <c r="Y801" i="4"/>
  <c r="Y786" i="4"/>
  <c r="Y773" i="4"/>
  <c r="Y737" i="4"/>
  <c r="Y732" i="4"/>
  <c r="Y727" i="4"/>
  <c r="Y921" i="4"/>
  <c r="Y889" i="4"/>
  <c r="Y872" i="4"/>
  <c r="Y822" i="4"/>
  <c r="Y797" i="4"/>
  <c r="Y782" i="4"/>
  <c r="Y760" i="4"/>
  <c r="Y729" i="4"/>
  <c r="Y724" i="4"/>
  <c r="Y867" i="4"/>
  <c r="Y860" i="4"/>
  <c r="Y837" i="4"/>
  <c r="Y808" i="4"/>
  <c r="Y764" i="4"/>
  <c r="Y753" i="4"/>
  <c r="Y752" i="4"/>
  <c r="Y751" i="4"/>
  <c r="Y741" i="4"/>
  <c r="Y736" i="4"/>
  <c r="Y731" i="4"/>
  <c r="Y720" i="4"/>
  <c r="Y716" i="4"/>
  <c r="Y712" i="4"/>
  <c r="Y708" i="4"/>
  <c r="Y704" i="4"/>
  <c r="Y700" i="4"/>
  <c r="Y696" i="4"/>
  <c r="Y692" i="4"/>
  <c r="Y757" i="4"/>
  <c r="Y756" i="4"/>
  <c r="Y755" i="4"/>
  <c r="Y719" i="4"/>
  <c r="Y711" i="4"/>
  <c r="Y703" i="4"/>
  <c r="Y695" i="4"/>
  <c r="Y675" i="4"/>
  <c r="Y671" i="4"/>
  <c r="Y667" i="4"/>
  <c r="Y663" i="4"/>
  <c r="Y659" i="4"/>
  <c r="Y655" i="4"/>
  <c r="Y651" i="4"/>
  <c r="Y647" i="4"/>
  <c r="Y643" i="4"/>
  <c r="Y639" i="4"/>
  <c r="Y635" i="4"/>
  <c r="Y631" i="4"/>
  <c r="Y627" i="4"/>
  <c r="Y623" i="4"/>
  <c r="Y619" i="4"/>
  <c r="Y615" i="4"/>
  <c r="Y611" i="4"/>
  <c r="Y607" i="4"/>
  <c r="Y603" i="4"/>
  <c r="Y599" i="4"/>
  <c r="Y595" i="4"/>
  <c r="Y591" i="4"/>
  <c r="Y587" i="4"/>
  <c r="Y583" i="4"/>
  <c r="Y579" i="4"/>
  <c r="Y575" i="4"/>
  <c r="Y571" i="4"/>
  <c r="Y567" i="4"/>
  <c r="Y563" i="4"/>
  <c r="Y559" i="4"/>
  <c r="Y885" i="4"/>
  <c r="Y794" i="4"/>
  <c r="Y792" i="4"/>
  <c r="Y768" i="4"/>
  <c r="Y691" i="4"/>
  <c r="Y689" i="4"/>
  <c r="Y688" i="4"/>
  <c r="Y790" i="4"/>
  <c r="Y776" i="4"/>
  <c r="Y745" i="4"/>
  <c r="Y740" i="4"/>
  <c r="Y735" i="4"/>
  <c r="Y685" i="4"/>
  <c r="Y684" i="4"/>
  <c r="Y944" i="4"/>
  <c r="Y777" i="4"/>
  <c r="Y749" i="4"/>
  <c r="Y744" i="4"/>
  <c r="Y739" i="4"/>
  <c r="Y715" i="4"/>
  <c r="Y707" i="4"/>
  <c r="Y699" i="4"/>
  <c r="Y683" i="4"/>
  <c r="Y677" i="4"/>
  <c r="Y673" i="4"/>
  <c r="Y669" i="4"/>
  <c r="Y665" i="4"/>
  <c r="Y661" i="4"/>
  <c r="Y657" i="4"/>
  <c r="Y653" i="4"/>
  <c r="Y649" i="4"/>
  <c r="Y645" i="4"/>
  <c r="Y641" i="4"/>
  <c r="Y637" i="4"/>
  <c r="Y633" i="4"/>
  <c r="Y629" i="4"/>
  <c r="Y625" i="4"/>
  <c r="Y621" i="4"/>
  <c r="Y617" i="4"/>
  <c r="Y613" i="4"/>
  <c r="Y609" i="4"/>
  <c r="Y605" i="4"/>
  <c r="Y601" i="4"/>
  <c r="Y597" i="4"/>
  <c r="Y593" i="4"/>
  <c r="Y589" i="4"/>
  <c r="Y585" i="4"/>
  <c r="Y581" i="4"/>
  <c r="Y577" i="4"/>
  <c r="Y573" i="4"/>
  <c r="Y569" i="4"/>
  <c r="Y565" i="4"/>
  <c r="Y561" i="4"/>
  <c r="Y557" i="4"/>
  <c r="Y830" i="4"/>
  <c r="Y905" i="4"/>
  <c r="Y743" i="4"/>
  <c r="Y748" i="4"/>
  <c r="Y806" i="4"/>
  <c r="Y917" i="4"/>
  <c r="Y560" i="4"/>
  <c r="Y568" i="4"/>
  <c r="Y576" i="4"/>
  <c r="Y584" i="4"/>
  <c r="Y592" i="4"/>
  <c r="Y600" i="4"/>
  <c r="Y608" i="4"/>
  <c r="Y616" i="4"/>
  <c r="Y624" i="4"/>
  <c r="Y632" i="4"/>
  <c r="Y640" i="4"/>
  <c r="Y648" i="4"/>
  <c r="Y656" i="4"/>
  <c r="Y664" i="4"/>
  <c r="Y672" i="4"/>
  <c r="Y697" i="4"/>
  <c r="Y713" i="4"/>
  <c r="Y781" i="4"/>
  <c r="Y820" i="4"/>
  <c r="I89" i="5"/>
  <c r="O97" i="7"/>
  <c r="AG91" i="7" s="1"/>
  <c r="K95" i="7"/>
  <c r="O95" i="7" s="1"/>
  <c r="K93" i="7"/>
  <c r="O93" i="7" s="1"/>
  <c r="K91" i="7"/>
  <c r="O91" i="7" s="1"/>
  <c r="AY91" i="7" s="1"/>
  <c r="AW18" i="2" s="1"/>
  <c r="K98" i="7"/>
  <c r="O98" i="7" s="1"/>
  <c r="AJ91" i="7" s="1"/>
  <c r="AI18" i="2" s="1"/>
  <c r="K94" i="7"/>
  <c r="O94" i="7" s="1"/>
  <c r="K92" i="7"/>
  <c r="O92" i="7" s="1"/>
  <c r="BF91" i="7" s="1"/>
  <c r="K90" i="7"/>
  <c r="O90" i="7" s="1"/>
  <c r="AT91" i="7" s="1"/>
  <c r="AO18" i="2" s="1"/>
  <c r="D89" i="5"/>
  <c r="E89" i="5"/>
  <c r="F89" i="5" s="1"/>
  <c r="H49" i="8"/>
  <c r="I49" i="8"/>
  <c r="B49" i="8"/>
  <c r="C49" i="8"/>
  <c r="D49" i="8"/>
  <c r="E50" i="8"/>
  <c r="E51" i="8"/>
  <c r="E52" i="8"/>
  <c r="F50" i="8"/>
  <c r="F51" i="8"/>
  <c r="F52" i="8"/>
  <c r="O96" i="7" l="1"/>
  <c r="AE91" i="7" s="1"/>
  <c r="AE18" i="2" s="1"/>
  <c r="AG18" i="2"/>
  <c r="J538" i="4"/>
  <c r="K538" i="4"/>
  <c r="M98" i="7"/>
  <c r="Q98" i="7" s="1"/>
  <c r="AJ93" i="7" s="1"/>
  <c r="AI41" i="2" s="1"/>
  <c r="M91" i="7"/>
  <c r="Q91" i="7" s="1"/>
  <c r="AY93" i="7" s="1"/>
  <c r="AL91" i="7"/>
  <c r="AM18" i="2" s="1"/>
  <c r="L95" i="7"/>
  <c r="P95" i="7" s="1"/>
  <c r="L94" i="7"/>
  <c r="P94" i="7" s="1"/>
  <c r="L96" i="7"/>
  <c r="P96" i="7" s="1"/>
  <c r="AE92" i="7" s="1"/>
  <c r="E41" i="2" s="1"/>
  <c r="L98" i="7"/>
  <c r="P98" i="7" s="1"/>
  <c r="AJ92" i="7" s="1"/>
  <c r="I41" i="2" s="1"/>
  <c r="E63" i="3"/>
  <c r="C63" i="3"/>
  <c r="O5" i="1"/>
  <c r="E59" i="8"/>
  <c r="D59" i="8"/>
  <c r="C59" i="8"/>
  <c r="B59" i="8"/>
  <c r="I59" i="8"/>
  <c r="H59" i="8"/>
  <c r="G59" i="8"/>
  <c r="F59" i="8"/>
  <c r="H73" i="8"/>
  <c r="H72" i="8"/>
  <c r="H71" i="8"/>
  <c r="H70" i="8"/>
  <c r="B90" i="5"/>
  <c r="B54" i="8"/>
  <c r="B53" i="8"/>
  <c r="B52" i="8"/>
  <c r="B51" i="8"/>
  <c r="B50" i="8"/>
  <c r="L550" i="4"/>
  <c r="L548" i="4"/>
  <c r="L549" i="4"/>
  <c r="L547" i="4"/>
  <c r="H53" i="8"/>
  <c r="H52" i="8"/>
  <c r="H51" i="8"/>
  <c r="H50" i="8"/>
  <c r="L89" i="5"/>
  <c r="M89" i="5" s="1"/>
  <c r="J89" i="5"/>
  <c r="K89" i="5" s="1"/>
  <c r="G55" i="8"/>
  <c r="M90" i="7"/>
  <c r="Q90" i="7" s="1"/>
  <c r="AT93" i="7" s="1"/>
  <c r="AO41" i="2" s="1"/>
  <c r="L91" i="7"/>
  <c r="P91" i="7" s="1"/>
  <c r="AY92" i="7" s="1"/>
  <c r="O6" i="3"/>
  <c r="C73" i="8"/>
  <c r="C72" i="8"/>
  <c r="C71" i="8"/>
  <c r="C70" i="8"/>
  <c r="C53" i="8"/>
  <c r="C52" i="8"/>
  <c r="C51" i="8"/>
  <c r="C50" i="8"/>
  <c r="L15" i="4"/>
  <c r="L14" i="4"/>
  <c r="L13" i="4"/>
  <c r="L12" i="4"/>
  <c r="M93" i="7"/>
  <c r="Q93" i="7" s="1"/>
  <c r="B74" i="8"/>
  <c r="B73" i="8"/>
  <c r="B72" i="8"/>
  <c r="B71" i="8"/>
  <c r="B70" i="8"/>
  <c r="F55" i="8"/>
  <c r="M95" i="7"/>
  <c r="Q95" i="7" s="1"/>
  <c r="L97" i="7"/>
  <c r="P97" i="7" s="1"/>
  <c r="AG92" i="7" s="1"/>
  <c r="G41" i="2" s="1"/>
  <c r="L92" i="7"/>
  <c r="P92" i="7" s="1"/>
  <c r="BF92" i="7" s="1"/>
  <c r="V41" i="2" s="1"/>
  <c r="D73" i="8"/>
  <c r="D72" i="8"/>
  <c r="D71" i="8"/>
  <c r="D70" i="8"/>
  <c r="I53" i="8"/>
  <c r="I52" i="8"/>
  <c r="I51" i="8"/>
  <c r="I50" i="8"/>
  <c r="M92" i="7"/>
  <c r="Q92" i="7" s="1"/>
  <c r="BF93" i="7" s="1"/>
  <c r="AV41" i="2" s="1"/>
  <c r="E55" i="8"/>
  <c r="M94" i="7"/>
  <c r="Q94" i="7" s="1"/>
  <c r="L90" i="7"/>
  <c r="P90" i="7" s="1"/>
  <c r="AT92" i="7" s="1"/>
  <c r="O41" i="2" s="1"/>
  <c r="F73" i="8"/>
  <c r="F72" i="8"/>
  <c r="F71" i="8"/>
  <c r="F70" i="8"/>
  <c r="I73" i="8"/>
  <c r="I72" i="8"/>
  <c r="I71" i="8"/>
  <c r="I70" i="8"/>
  <c r="E73" i="8"/>
  <c r="E72" i="8"/>
  <c r="E71" i="8"/>
  <c r="E70" i="8"/>
  <c r="D53" i="8"/>
  <c r="D52" i="8"/>
  <c r="D51" i="8"/>
  <c r="D50" i="8"/>
  <c r="J3" i="4"/>
  <c r="K3" i="4"/>
  <c r="M96" i="7"/>
  <c r="Q96" i="7" s="1"/>
  <c r="AE93" i="7" s="1"/>
  <c r="AE41" i="2" s="1"/>
  <c r="G73" i="8"/>
  <c r="G72" i="8"/>
  <c r="G71" i="8"/>
  <c r="G70" i="8"/>
  <c r="S31" i="2"/>
  <c r="AG39" i="2"/>
  <c r="AK26" i="2"/>
  <c r="AS39" i="2"/>
  <c r="M8" i="2"/>
  <c r="AR40" i="2"/>
  <c r="B8" i="5"/>
  <c r="AC13" i="2"/>
  <c r="U33" i="2"/>
  <c r="S11" i="2"/>
  <c r="AM36" i="2"/>
  <c r="Q38" i="2"/>
  <c r="Q35" i="2"/>
  <c r="M40" i="2"/>
  <c r="AW10" i="2"/>
  <c r="AO8" i="2"/>
  <c r="AV40" i="2"/>
  <c r="N30" i="2"/>
  <c r="AJ30" i="2"/>
  <c r="K16" i="2"/>
  <c r="AW29" i="2"/>
  <c r="P37" i="2"/>
  <c r="H9" i="2"/>
  <c r="M11" i="2"/>
  <c r="I33" i="2"/>
  <c r="V28" i="2"/>
  <c r="M9" i="2"/>
  <c r="AU28" i="2"/>
  <c r="T36" i="2"/>
  <c r="O36" i="2"/>
  <c r="I38" i="2"/>
  <c r="AD28" i="2"/>
  <c r="AP33" i="2"/>
  <c r="AV7" i="2"/>
  <c r="P38" i="2"/>
  <c r="U36" i="2"/>
  <c r="AJ14" i="2"/>
  <c r="Q7" i="2"/>
  <c r="N32" i="2"/>
  <c r="AJ40" i="2"/>
  <c r="D33" i="2"/>
  <c r="H37" i="2"/>
  <c r="AT5" i="2"/>
  <c r="AL37" i="2"/>
  <c r="AW31" i="2"/>
  <c r="AI27" i="2"/>
  <c r="R17" i="2"/>
  <c r="K36" i="2"/>
  <c r="AM13" i="2"/>
  <c r="O10" i="2"/>
  <c r="AO34" i="2"/>
  <c r="D29" i="2"/>
  <c r="AF6" i="2"/>
  <c r="AN35" i="2"/>
  <c r="AP5" i="2"/>
  <c r="X27" i="2"/>
  <c r="AD27" i="2"/>
  <c r="J27" i="2"/>
  <c r="AT3" i="2"/>
  <c r="AM12" i="2"/>
  <c r="AD17" i="2"/>
  <c r="W7" i="2"/>
  <c r="T27" i="2"/>
  <c r="AT34" i="2"/>
  <c r="AE28" i="2"/>
  <c r="AT27" i="2"/>
  <c r="S27" i="2"/>
  <c r="AW36" i="2"/>
  <c r="J26" i="2"/>
  <c r="P27" i="2"/>
  <c r="G11" i="2"/>
  <c r="B48" i="5"/>
  <c r="I40" i="2"/>
  <c r="AC39" i="2"/>
  <c r="AH29" i="2"/>
  <c r="AT29" i="2"/>
  <c r="AG4" i="2"/>
  <c r="I29" i="2"/>
  <c r="AX37" i="2"/>
  <c r="C26" i="2"/>
  <c r="O9" i="2"/>
  <c r="AR7" i="2"/>
  <c r="O17" i="2"/>
  <c r="T32" i="2"/>
  <c r="E26" i="2"/>
  <c r="V34" i="2"/>
  <c r="W17" i="2"/>
  <c r="AO40" i="2"/>
  <c r="AW9" i="2"/>
  <c r="U37" i="2"/>
  <c r="V9" i="2"/>
  <c r="AV5" i="2"/>
  <c r="AQ39" i="2"/>
  <c r="H15" i="2"/>
  <c r="AH14" i="2"/>
  <c r="D13" i="2"/>
  <c r="AL30" i="2"/>
  <c r="W39" i="2"/>
  <c r="AX9" i="2"/>
  <c r="AQ36" i="2"/>
  <c r="AL8" i="2"/>
  <c r="C11" i="2"/>
  <c r="D35" i="2"/>
  <c r="J39" i="2"/>
  <c r="AU35" i="2"/>
  <c r="AO30" i="2"/>
  <c r="K6" i="2"/>
  <c r="AK7" i="2"/>
  <c r="AQ9" i="2"/>
  <c r="AG10" i="2"/>
  <c r="S12" i="2"/>
  <c r="G13" i="2"/>
  <c r="AX38" i="2"/>
  <c r="AX30" i="2"/>
  <c r="F4" i="2"/>
  <c r="AJ39" i="2"/>
  <c r="AW33" i="2"/>
  <c r="AM32" i="2"/>
  <c r="AJ32" i="2"/>
  <c r="P40" i="2"/>
  <c r="S16" i="2"/>
  <c r="AI29" i="2"/>
  <c r="H19" i="3"/>
  <c r="AD34" i="2"/>
  <c r="F34" i="2"/>
  <c r="R36" i="2"/>
  <c r="AV6" i="2"/>
  <c r="AP35" i="2"/>
  <c r="AE39" i="2"/>
  <c r="AH26" i="2"/>
  <c r="AV16" i="2"/>
  <c r="AR12" i="2"/>
  <c r="AC34" i="2"/>
  <c r="G3" i="2"/>
  <c r="AK27" i="2"/>
  <c r="AC14" i="2"/>
  <c r="L35" i="2"/>
  <c r="B54" i="5"/>
  <c r="D32" i="2"/>
  <c r="E9" i="2"/>
  <c r="H24" i="3"/>
  <c r="AU31" i="2"/>
  <c r="AN28" i="2"/>
  <c r="J30" i="2"/>
  <c r="L6" i="2"/>
  <c r="AN30" i="2"/>
  <c r="AI17" i="2"/>
  <c r="AP4" i="2"/>
  <c r="N11" i="2"/>
  <c r="I28" i="2"/>
  <c r="W32" i="2"/>
  <c r="AP29" i="2"/>
  <c r="AR39" i="2"/>
  <c r="AQ13" i="2"/>
  <c r="AC5" i="2"/>
  <c r="F3" i="2"/>
  <c r="AI9" i="2"/>
  <c r="H31" i="2"/>
  <c r="AM26" i="2"/>
  <c r="L40" i="2"/>
  <c r="M33" i="2"/>
  <c r="O6" i="2"/>
  <c r="J7" i="2"/>
  <c r="AT31" i="2"/>
  <c r="AR26" i="2"/>
  <c r="Q37" i="2"/>
  <c r="V8" i="2"/>
  <c r="AC37" i="2"/>
  <c r="AG3" i="2"/>
  <c r="L29" i="2"/>
  <c r="X13" i="2"/>
  <c r="AH16" i="2"/>
  <c r="AE3" i="2"/>
  <c r="AP27" i="2"/>
  <c r="E11" i="2"/>
  <c r="AR16" i="2"/>
  <c r="N15" i="2"/>
  <c r="W13" i="2"/>
  <c r="AE37" i="2"/>
  <c r="AU5" i="2"/>
  <c r="A183" i="7" a="1"/>
  <c r="C183" i="7" a="1"/>
  <c r="AG28" i="2"/>
  <c r="O4" i="2"/>
  <c r="U10" i="2"/>
  <c r="AO31" i="2"/>
  <c r="AJ29" i="2"/>
  <c r="D34" i="2"/>
  <c r="U7" i="2"/>
  <c r="R32" i="2"/>
  <c r="F32" i="2"/>
  <c r="AP3" i="2"/>
  <c r="P13" i="2"/>
  <c r="AQ7" i="2"/>
  <c r="AL27" i="2"/>
  <c r="Q29" i="2"/>
  <c r="X37" i="2"/>
  <c r="AM11" i="2"/>
  <c r="AL38" i="2"/>
  <c r="AW38" i="2"/>
  <c r="T8" i="2"/>
  <c r="O8" i="2"/>
  <c r="AV12" i="2"/>
  <c r="V4" i="2"/>
  <c r="V35" i="2"/>
  <c r="AV29" i="2"/>
  <c r="K38" i="2"/>
  <c r="K8" i="2"/>
  <c r="AI16" i="2"/>
  <c r="X9" i="2"/>
  <c r="AE10" i="2"/>
  <c r="AC7" i="2"/>
  <c r="T38" i="2"/>
  <c r="AX31" i="2"/>
  <c r="AU6" i="2"/>
  <c r="X33" i="2"/>
  <c r="AT36" i="2"/>
  <c r="AI32" i="2"/>
  <c r="B51" i="5"/>
  <c r="AR27" i="2"/>
  <c r="D17" i="2"/>
  <c r="M12" i="2"/>
  <c r="AD12" i="2"/>
  <c r="AS17" i="2"/>
  <c r="K17" i="2"/>
  <c r="AP16" i="2"/>
  <c r="R3" i="2"/>
  <c r="S14" i="2"/>
  <c r="AX6" i="2"/>
  <c r="K9" i="2"/>
  <c r="R9" i="2"/>
  <c r="AJ11" i="2"/>
  <c r="AL16" i="2"/>
  <c r="H17" i="2"/>
  <c r="AL13" i="2"/>
  <c r="S36" i="2"/>
  <c r="B55" i="5"/>
  <c r="AR15" i="2"/>
  <c r="L30" i="2"/>
  <c r="AP15" i="2"/>
  <c r="AE16" i="2"/>
  <c r="AO27" i="2"/>
  <c r="AR13" i="2"/>
  <c r="AV13" i="2"/>
  <c r="AQ31" i="2"/>
  <c r="S15" i="2"/>
  <c r="AH40" i="2"/>
  <c r="G19" i="3"/>
  <c r="K37" i="2"/>
  <c r="AO11" i="2"/>
  <c r="X35" i="2"/>
  <c r="AX4" i="2"/>
  <c r="AG16" i="2"/>
  <c r="L3" i="2"/>
  <c r="V10" i="2"/>
  <c r="C10" i="2"/>
  <c r="R26" i="2"/>
  <c r="AQ14" i="2"/>
  <c r="AG30" i="2"/>
  <c r="AN40" i="2"/>
  <c r="AC27" i="2"/>
  <c r="AU29" i="2"/>
  <c r="AW34" i="2"/>
  <c r="AM5" i="2"/>
  <c r="AP14" i="2"/>
  <c r="AI28" i="2"/>
  <c r="Q14" i="2"/>
  <c r="AW26" i="2"/>
  <c r="AF26" i="2"/>
  <c r="W10" i="2"/>
  <c r="AH4" i="2"/>
  <c r="C8" i="2"/>
  <c r="AV35" i="2"/>
  <c r="R27" i="2"/>
  <c r="AK8" i="2"/>
  <c r="AP17" i="2"/>
  <c r="AC29" i="2"/>
  <c r="AO39" i="2"/>
  <c r="F17" i="2"/>
  <c r="D36" i="2"/>
  <c r="AM4" i="2"/>
  <c r="AS14" i="2"/>
  <c r="AM33" i="2"/>
  <c r="AG35" i="2"/>
  <c r="AG27" i="2"/>
  <c r="AG6" i="2"/>
  <c r="O5" i="2"/>
  <c r="B50" i="5"/>
  <c r="AX12" i="2"/>
  <c r="AI12" i="2"/>
  <c r="AM38" i="2"/>
  <c r="I37" i="2"/>
  <c r="AT9" i="2"/>
  <c r="AW5" i="2"/>
  <c r="M3" i="2"/>
  <c r="AC11" i="2"/>
  <c r="AG15" i="2"/>
  <c r="Q5" i="2"/>
  <c r="M15" i="2"/>
  <c r="E8" i="2"/>
  <c r="AC4" i="2"/>
  <c r="G6" i="2"/>
  <c r="U38" i="2"/>
  <c r="AK13" i="2"/>
  <c r="H36" i="2"/>
  <c r="F13" i="2"/>
  <c r="AL32" i="2"/>
  <c r="F33" i="2"/>
  <c r="AP39" i="2"/>
  <c r="F12" i="2"/>
  <c r="AF12" i="2"/>
  <c r="T9" i="2"/>
  <c r="H3" i="2"/>
  <c r="AE15" i="2"/>
  <c r="AN15" i="2"/>
  <c r="AT4" i="2"/>
  <c r="N34" i="2"/>
  <c r="AU37" i="2"/>
  <c r="AW3" i="2"/>
  <c r="AN7" i="2"/>
  <c r="E35" i="2"/>
  <c r="F10" i="2"/>
  <c r="W12" i="2"/>
  <c r="AK15" i="2"/>
  <c r="AK35" i="2"/>
  <c r="AI36" i="2"/>
  <c r="P15" i="2"/>
  <c r="C17" i="2"/>
  <c r="L16" i="2"/>
  <c r="P32" i="2"/>
  <c r="Q28" i="2"/>
  <c r="V38" i="2"/>
  <c r="J33" i="2"/>
  <c r="AJ37" i="2"/>
  <c r="AJ36" i="2"/>
  <c r="H30" i="2"/>
  <c r="AN31" i="2"/>
  <c r="D4" i="2"/>
  <c r="P14" i="2"/>
  <c r="T14" i="2"/>
  <c r="AX34" i="2"/>
  <c r="AP37" i="2"/>
  <c r="C15" i="2"/>
  <c r="E30" i="2"/>
  <c r="AS15" i="2"/>
  <c r="S29" i="2"/>
  <c r="C38" i="2"/>
  <c r="N12" i="2"/>
  <c r="G183" i="7" a="1"/>
  <c r="AT6" i="2"/>
  <c r="AN3" i="2"/>
  <c r="S35" i="2"/>
  <c r="B53" i="5"/>
  <c r="D26" i="2"/>
  <c r="F16" i="2"/>
  <c r="S17" i="2"/>
  <c r="Q8" i="2"/>
  <c r="AF5" i="2"/>
  <c r="AR30" i="2"/>
  <c r="H13" i="2"/>
  <c r="H26" i="2"/>
  <c r="AW13" i="2"/>
  <c r="W4" i="2"/>
  <c r="N40" i="2"/>
  <c r="AK39" i="2"/>
  <c r="V5" i="2"/>
  <c r="K4" i="2"/>
  <c r="U16" i="2"/>
  <c r="AD10" i="2"/>
  <c r="K28" i="2"/>
  <c r="AO37" i="2"/>
  <c r="T15" i="2"/>
  <c r="D12" i="2"/>
  <c r="K5" i="2"/>
  <c r="U30" i="2"/>
  <c r="AX11" i="2"/>
  <c r="D38" i="2"/>
  <c r="P10" i="2"/>
  <c r="AK33" i="2"/>
  <c r="U34" i="2"/>
  <c r="AP31" i="2"/>
  <c r="L37" i="2"/>
  <c r="AS32" i="2"/>
  <c r="AE27" i="2"/>
  <c r="AV30" i="2"/>
  <c r="AS27" i="2"/>
  <c r="J34" i="2"/>
  <c r="G10" i="2"/>
  <c r="K14" i="2"/>
  <c r="I31" i="2"/>
  <c r="AP13" i="2"/>
  <c r="AH6" i="2"/>
  <c r="N38" i="2"/>
  <c r="C40" i="2"/>
  <c r="AO36" i="2"/>
  <c r="AV31" i="2"/>
  <c r="AM28" i="2"/>
  <c r="AI3" i="2"/>
  <c r="W30" i="2"/>
  <c r="M28" i="2"/>
  <c r="AC32" i="2"/>
  <c r="R8" i="2"/>
  <c r="AM9" i="2"/>
  <c r="AO7" i="2"/>
  <c r="AR17" i="2"/>
  <c r="C12" i="2"/>
  <c r="R14" i="2"/>
  <c r="F8" i="2"/>
  <c r="N36" i="2"/>
  <c r="E27" i="2"/>
  <c r="O27" i="2"/>
  <c r="AU4" i="2"/>
  <c r="AP40" i="2"/>
  <c r="AU10" i="2"/>
  <c r="O40" i="2"/>
  <c r="X34" i="2"/>
  <c r="J10" i="2"/>
  <c r="AJ33" i="2"/>
  <c r="AT38" i="2"/>
  <c r="AS31" i="2"/>
  <c r="S38" i="2"/>
  <c r="X3" i="2"/>
  <c r="X17" i="2"/>
  <c r="M7" i="2"/>
  <c r="AG5" i="2"/>
  <c r="AS8" i="2"/>
  <c r="AC33" i="2"/>
  <c r="P29" i="2"/>
  <c r="AX32" i="2"/>
  <c r="AI15" i="2"/>
  <c r="AV17" i="2"/>
  <c r="AQ37" i="2"/>
  <c r="V32" i="2"/>
  <c r="AW27" i="2"/>
  <c r="S26" i="2"/>
  <c r="AT14" i="2"/>
  <c r="H34" i="2"/>
  <c r="AC3" i="2"/>
  <c r="X6" i="2"/>
  <c r="G12" i="2"/>
  <c r="AL10" i="2"/>
  <c r="E40" i="2"/>
  <c r="AE36" i="2"/>
  <c r="Q40" i="2"/>
  <c r="L7" i="2"/>
  <c r="AV28" i="2"/>
  <c r="T37" i="2"/>
  <c r="W11" i="2"/>
  <c r="C27" i="2"/>
  <c r="R28" i="2"/>
  <c r="AH36" i="2"/>
  <c r="AV9" i="2"/>
  <c r="AX17" i="2"/>
  <c r="T4" i="2"/>
  <c r="S39" i="2"/>
  <c r="W34" i="2"/>
  <c r="AT28" i="2"/>
  <c r="AO16" i="2"/>
  <c r="AW15" i="2"/>
  <c r="U29" i="2"/>
  <c r="AV27" i="2"/>
  <c r="O11" i="2"/>
  <c r="AJ7" i="2"/>
  <c r="C35" i="2"/>
  <c r="AD26" i="2"/>
  <c r="AN38" i="2"/>
  <c r="L26" i="2"/>
  <c r="O28" i="2"/>
  <c r="AO28" i="2"/>
  <c r="X36" i="2"/>
  <c r="F38" i="2"/>
  <c r="L39" i="2"/>
  <c r="AI13" i="2"/>
  <c r="H38" i="2"/>
  <c r="E17" i="2"/>
  <c r="AP26" i="2"/>
  <c r="X30" i="2"/>
  <c r="AT7" i="2"/>
  <c r="R10" i="2"/>
  <c r="H11" i="2"/>
  <c r="J32" i="2"/>
  <c r="V39" i="2"/>
  <c r="X38" i="2"/>
  <c r="AL14" i="2"/>
  <c r="AX5" i="2"/>
  <c r="Q12" i="2"/>
  <c r="E10" i="2"/>
  <c r="U9" i="2"/>
  <c r="AL15" i="2"/>
  <c r="N16" i="2"/>
  <c r="G32" i="2"/>
  <c r="D30" i="2"/>
  <c r="V36" i="2"/>
  <c r="D5" i="2"/>
  <c r="AQ27" i="2"/>
  <c r="AP6" i="2"/>
  <c r="AG33" i="2"/>
  <c r="AJ8" i="2"/>
  <c r="AN12" i="2"/>
  <c r="AD35" i="2"/>
  <c r="AO10" i="2"/>
  <c r="AF29" i="2"/>
  <c r="AN34" i="2"/>
  <c r="AP12" i="2"/>
  <c r="I6" i="2"/>
  <c r="AX7" i="2"/>
  <c r="J14" i="2"/>
  <c r="Q31" i="2"/>
  <c r="U28" i="2"/>
  <c r="AK17" i="2"/>
  <c r="F28" i="2"/>
  <c r="AO35" i="2"/>
  <c r="P5" i="2"/>
  <c r="AV4" i="2"/>
  <c r="C7" i="2"/>
  <c r="AE32" i="2"/>
  <c r="AW30" i="2"/>
  <c r="E29" i="2"/>
  <c r="J3" i="2"/>
  <c r="F29" i="2"/>
  <c r="AP9" i="2"/>
  <c r="AL31" i="2"/>
  <c r="AU3" i="2"/>
  <c r="AG32" i="2"/>
  <c r="AD6" i="2"/>
  <c r="J28" i="2"/>
  <c r="AW37" i="2"/>
  <c r="C14" i="2"/>
  <c r="U12" i="2"/>
  <c r="B11" i="5"/>
  <c r="AQ12" i="2"/>
  <c r="AU38" i="2"/>
  <c r="M30" i="2"/>
  <c r="AS26" i="2"/>
  <c r="J36" i="2"/>
  <c r="K35" i="2"/>
  <c r="AK16" i="2"/>
  <c r="AI30" i="2"/>
  <c r="AU14" i="2"/>
  <c r="AD40" i="2"/>
  <c r="D31" i="2"/>
  <c r="N5" i="2"/>
  <c r="AH38" i="2"/>
  <c r="AX8" i="2"/>
  <c r="AL28" i="2"/>
  <c r="AP11" i="2"/>
  <c r="AX39" i="2"/>
  <c r="F35" i="2"/>
  <c r="AX15" i="2"/>
  <c r="X28" i="2"/>
  <c r="AR28" i="2"/>
  <c r="AF32" i="2"/>
  <c r="O39" i="2"/>
  <c r="AP34" i="2"/>
  <c r="T16" i="2"/>
  <c r="AX27" i="2"/>
  <c r="X26" i="2"/>
  <c r="I27" i="2"/>
  <c r="N35" i="2"/>
  <c r="E39" i="2"/>
  <c r="J38" i="2"/>
  <c r="AI26" i="2"/>
  <c r="N39" i="2"/>
  <c r="AJ26" i="2"/>
  <c r="W3" i="2"/>
  <c r="W35" i="2"/>
  <c r="AU32" i="2"/>
  <c r="AQ30" i="2"/>
  <c r="H16" i="2"/>
  <c r="AU17" i="2"/>
  <c r="AD7" i="2"/>
  <c r="R4" i="2"/>
  <c r="G28" i="2"/>
  <c r="AE17" i="2"/>
  <c r="D28" i="2"/>
  <c r="L13" i="2"/>
  <c r="AU13" i="2"/>
  <c r="L25" i="3"/>
  <c r="AS7" i="2"/>
  <c r="AM27" i="2"/>
  <c r="AH27" i="2"/>
  <c r="V33" i="2"/>
  <c r="O33" i="2"/>
  <c r="AS4" i="2"/>
  <c r="AG37" i="2"/>
  <c r="AS3" i="2"/>
  <c r="AH11" i="2"/>
  <c r="AV14" i="2"/>
  <c r="AW14" i="2"/>
  <c r="AI35" i="2"/>
  <c r="K30" i="2"/>
  <c r="AM16" i="2"/>
  <c r="AC15" i="2"/>
  <c r="AR14" i="2"/>
  <c r="X16" i="2"/>
  <c r="AR6" i="2"/>
  <c r="T39" i="2"/>
  <c r="Q27" i="2"/>
  <c r="AV15" i="2"/>
  <c r="E32" i="2"/>
  <c r="D16" i="2"/>
  <c r="AM29" i="2"/>
  <c r="X12" i="2"/>
  <c r="B12" i="5"/>
  <c r="AW4" i="2"/>
  <c r="C28" i="2"/>
  <c r="AC26" i="2"/>
  <c r="AJ5" i="2"/>
  <c r="I11" i="2"/>
  <c r="AI14" i="2"/>
  <c r="G24" i="3"/>
  <c r="AN14" i="2"/>
  <c r="T7" i="2"/>
  <c r="B10" i="5"/>
  <c r="P7" i="2"/>
  <c r="D6" i="2"/>
  <c r="AW39" i="2"/>
  <c r="S3" i="2"/>
  <c r="AO13" i="2"/>
  <c r="AD30" i="2"/>
  <c r="O14" i="2"/>
  <c r="J17" i="2"/>
  <c r="N13" i="2"/>
  <c r="AP8" i="2"/>
  <c r="AW28" i="2"/>
  <c r="AJ6" i="2"/>
  <c r="AD38" i="2"/>
  <c r="B14" i="5"/>
  <c r="AP28" i="2"/>
  <c r="AS37" i="2"/>
  <c r="AF36" i="2"/>
  <c r="O38" i="2"/>
  <c r="E36" i="2"/>
  <c r="AG8" i="2"/>
  <c r="D8" i="2"/>
  <c r="Q26" i="2"/>
  <c r="AR9" i="2"/>
  <c r="S28" i="2"/>
  <c r="H12" i="2"/>
  <c r="J11" i="2"/>
  <c r="AT15" i="2"/>
  <c r="AE14" i="2"/>
  <c r="D14" i="2"/>
  <c r="AX36" i="2"/>
  <c r="G30" i="2"/>
  <c r="I4" i="2"/>
  <c r="AX26" i="2"/>
  <c r="P6" i="2"/>
  <c r="AO12" i="2"/>
  <c r="AO26" i="2"/>
  <c r="AX35" i="2"/>
  <c r="H32" i="2"/>
  <c r="N4" i="2"/>
  <c r="T29" i="2"/>
  <c r="AD8" i="2"/>
  <c r="AU39" i="2"/>
  <c r="L4" i="2"/>
  <c r="K7" i="2"/>
  <c r="AE40" i="2"/>
  <c r="T33" i="2"/>
  <c r="AG7" i="2"/>
  <c r="AX16" i="2"/>
  <c r="P9" i="2"/>
  <c r="AO15" i="2"/>
  <c r="AD39" i="2"/>
  <c r="X8" i="2"/>
  <c r="H33" i="2"/>
  <c r="AD5" i="2"/>
  <c r="AK36" i="2"/>
  <c r="L15" i="2"/>
  <c r="AK14" i="2"/>
  <c r="AQ3" i="2"/>
  <c r="AG40" i="2"/>
  <c r="AE7" i="2"/>
  <c r="K11" i="2"/>
  <c r="AD14" i="2"/>
  <c r="AN26" i="2"/>
  <c r="AN8" i="2"/>
  <c r="AU9" i="2"/>
  <c r="W40" i="2"/>
  <c r="AO14" i="2"/>
  <c r="AU26" i="2"/>
  <c r="C39" i="2"/>
  <c r="U14" i="2"/>
  <c r="I9" i="2"/>
  <c r="E7" i="2"/>
  <c r="E183" i="7" a="1"/>
  <c r="AJ10" i="2"/>
  <c r="AT33" i="2"/>
  <c r="AF17" i="2"/>
  <c r="I14" i="2"/>
  <c r="G27" i="2"/>
  <c r="AT39" i="2"/>
  <c r="AO5" i="2"/>
  <c r="X14" i="2"/>
  <c r="AS33" i="2"/>
  <c r="X7" i="2"/>
  <c r="L10" i="2"/>
  <c r="E3" i="2"/>
  <c r="M39" i="2"/>
  <c r="AI40" i="2"/>
  <c r="N26" i="2"/>
  <c r="R35" i="2"/>
  <c r="E5" i="2"/>
  <c r="M16" i="2"/>
  <c r="G8" i="2"/>
  <c r="M36" i="2"/>
  <c r="AE31" i="2"/>
  <c r="AV32" i="2"/>
  <c r="AK40" i="2"/>
  <c r="X5" i="2"/>
  <c r="G14" i="2"/>
  <c r="P4" i="2"/>
  <c r="J29" i="2"/>
  <c r="AI4" i="2"/>
  <c r="AC28" i="2"/>
  <c r="AN36" i="2"/>
  <c r="AL33" i="2"/>
  <c r="AI7" i="2"/>
  <c r="AV37" i="2"/>
  <c r="AR38" i="2"/>
  <c r="AN27" i="2"/>
  <c r="O35" i="2"/>
  <c r="AE30" i="2"/>
  <c r="AS9" i="2"/>
  <c r="D40" i="2"/>
  <c r="AJ28" i="2"/>
  <c r="Q34" i="2"/>
  <c r="AL9" i="2"/>
  <c r="AC38" i="2"/>
  <c r="S37" i="2"/>
  <c r="AD33" i="2"/>
  <c r="AE35" i="2"/>
  <c r="P3" i="2"/>
  <c r="Q36" i="2"/>
  <c r="AE34" i="2"/>
  <c r="U8" i="2"/>
  <c r="L33" i="2"/>
  <c r="I15" i="2"/>
  <c r="AI38" i="2"/>
  <c r="AR10" i="2"/>
  <c r="P31" i="2"/>
  <c r="AK12" i="2"/>
  <c r="R29" i="2"/>
  <c r="M34" i="2"/>
  <c r="B9" i="5"/>
  <c r="AN6" i="2"/>
  <c r="AH35" i="2"/>
  <c r="AE9" i="2"/>
  <c r="Q16" i="2"/>
  <c r="D9" i="2"/>
  <c r="AC10" i="2"/>
  <c r="AT17" i="2"/>
  <c r="AN33" i="2"/>
  <c r="V12" i="2"/>
  <c r="M29" i="2"/>
  <c r="AQ10" i="2"/>
  <c r="H39" i="2"/>
  <c r="V29" i="2"/>
  <c r="AH28" i="2"/>
  <c r="D10" i="2"/>
  <c r="J9" i="2"/>
  <c r="W14" i="2"/>
  <c r="T5" i="2"/>
  <c r="AU12" i="2"/>
  <c r="I26" i="2"/>
  <c r="F39" i="2"/>
  <c r="AP36" i="2"/>
  <c r="I36" i="2"/>
  <c r="Q4" i="2"/>
  <c r="I12" i="2"/>
  <c r="U17" i="2"/>
  <c r="AH8" i="2"/>
  <c r="J12" i="2"/>
  <c r="T10" i="2"/>
  <c r="AW32" i="2"/>
  <c r="U35" i="2"/>
  <c r="V17" i="2"/>
  <c r="AN10" i="2"/>
  <c r="X32" i="2"/>
  <c r="AO4" i="2"/>
  <c r="C29" i="2"/>
  <c r="Q17" i="2"/>
  <c r="AF31" i="2"/>
  <c r="AK38" i="2"/>
  <c r="AR11" i="2"/>
  <c r="I39" i="2"/>
  <c r="K26" i="2"/>
  <c r="S33" i="2"/>
  <c r="AM14" i="2"/>
  <c r="AH37" i="2"/>
  <c r="AM37" i="2"/>
  <c r="AE8" i="2"/>
  <c r="N6" i="2"/>
  <c r="V11" i="2"/>
  <c r="AK28" i="2"/>
  <c r="AS12" i="2"/>
  <c r="AJ15" i="2"/>
  <c r="K13" i="2"/>
  <c r="P17" i="2"/>
  <c r="AC6" i="2"/>
  <c r="AC9" i="2"/>
  <c r="F37" i="2"/>
  <c r="T30" i="2"/>
  <c r="AD9" i="2"/>
  <c r="AG26" i="2"/>
  <c r="B49" i="5"/>
  <c r="AF35" i="2"/>
  <c r="AR3" i="2"/>
  <c r="P26" i="2"/>
  <c r="AK34" i="2"/>
  <c r="R16" i="2"/>
  <c r="AR4" i="2"/>
  <c r="I32" i="2"/>
  <c r="AD15" i="2"/>
  <c r="V15" i="2"/>
  <c r="I8" i="2"/>
  <c r="R15" i="2"/>
  <c r="AI31" i="2"/>
  <c r="N28" i="2"/>
  <c r="O29" i="2"/>
  <c r="AU36" i="2"/>
  <c r="AK30" i="2"/>
  <c r="AI33" i="2"/>
  <c r="AS29" i="2"/>
  <c r="AR32" i="2"/>
  <c r="H5" i="2"/>
  <c r="AP7" i="2"/>
  <c r="AS30" i="2"/>
  <c r="O12" i="2"/>
  <c r="AG11" i="2"/>
  <c r="AD29" i="2"/>
  <c r="V37" i="2"/>
  <c r="AQ28" i="2"/>
  <c r="X10" i="2"/>
  <c r="N29" i="2"/>
  <c r="AO9" i="2"/>
  <c r="S34" i="2"/>
  <c r="AV33" i="2"/>
  <c r="K10" i="2"/>
  <c r="AT12" i="2"/>
  <c r="AO3" i="2"/>
  <c r="AQ4" i="2"/>
  <c r="E12" i="2"/>
  <c r="I16" i="2"/>
  <c r="AO17" i="2"/>
  <c r="C36" i="2"/>
  <c r="N17" i="2"/>
  <c r="AH32" i="2"/>
  <c r="AH39" i="2"/>
  <c r="Q39" i="2"/>
  <c r="R6" i="2"/>
  <c r="J35" i="2"/>
  <c r="AJ17" i="2"/>
  <c r="AH34" i="2"/>
  <c r="U40" i="2"/>
  <c r="V6" i="2"/>
  <c r="F6" i="2"/>
  <c r="AM40" i="2"/>
  <c r="AT16" i="2"/>
  <c r="AK10" i="2"/>
  <c r="M37" i="2"/>
  <c r="AT37" i="2"/>
  <c r="O26" i="2"/>
  <c r="AC12" i="2"/>
  <c r="AM8" i="2"/>
  <c r="E6" i="2"/>
  <c r="C9" i="2"/>
  <c r="E31" i="2"/>
  <c r="J31" i="2"/>
  <c r="G4" i="2"/>
  <c r="S13" i="2"/>
  <c r="AC35" i="2"/>
  <c r="I7" i="2"/>
  <c r="W8" i="2"/>
  <c r="U27" i="2"/>
  <c r="U31" i="2"/>
  <c r="AG31" i="2"/>
  <c r="L38" i="2"/>
  <c r="K31" i="2"/>
  <c r="Q3" i="2"/>
  <c r="G15" i="2"/>
  <c r="AU40" i="2"/>
  <c r="AE33" i="2"/>
  <c r="AF37" i="2"/>
  <c r="AU11" i="2"/>
  <c r="AG34" i="2"/>
  <c r="H6" i="2"/>
  <c r="AL12" i="2"/>
  <c r="AL7" i="2"/>
  <c r="C6" i="2"/>
  <c r="H27" i="2"/>
  <c r="H4" i="2"/>
  <c r="F9" i="2"/>
  <c r="AX13" i="2"/>
  <c r="I35" i="2"/>
  <c r="AK32" i="2"/>
  <c r="AQ34" i="2"/>
  <c r="C3" i="2"/>
  <c r="AV3" i="2"/>
  <c r="J37" i="2"/>
  <c r="AC31" i="2"/>
  <c r="AN16" i="2"/>
  <c r="L32" i="2"/>
  <c r="AV11" i="2"/>
  <c r="P8" i="2"/>
  <c r="AK6" i="2"/>
  <c r="AH13" i="2"/>
  <c r="F5" i="2"/>
  <c r="M38" i="2"/>
  <c r="AN37" i="2"/>
  <c r="F40" i="2"/>
  <c r="K39" i="2"/>
  <c r="E33" i="2"/>
  <c r="H10" i="2"/>
  <c r="S40" i="2"/>
  <c r="AW12" i="2"/>
  <c r="AF8" i="2"/>
  <c r="X4" i="2"/>
  <c r="P28" i="2"/>
  <c r="AX29" i="2"/>
  <c r="G23" i="3"/>
  <c r="C13" i="2"/>
  <c r="AC40" i="2"/>
  <c r="AH9" i="2"/>
  <c r="AR34" i="2"/>
  <c r="S7" i="2"/>
  <c r="S8" i="2"/>
  <c r="W27" i="2"/>
  <c r="AS36" i="2"/>
  <c r="Q10" i="2"/>
  <c r="E38" i="2"/>
  <c r="AM7" i="2"/>
  <c r="L11" i="2"/>
  <c r="AP32" i="2"/>
  <c r="J40" i="2"/>
  <c r="R5" i="2"/>
  <c r="L34" i="2"/>
  <c r="V13" i="2"/>
  <c r="AK4" i="2"/>
  <c r="AR8" i="2"/>
  <c r="AJ4" i="2"/>
  <c r="AL29" i="2"/>
  <c r="AU33" i="2"/>
  <c r="AH3" i="2"/>
  <c r="AO32" i="2"/>
  <c r="AT26" i="2"/>
  <c r="L14" i="2"/>
  <c r="AX3" i="2"/>
  <c r="W31" i="2"/>
  <c r="AH5" i="2"/>
  <c r="P33" i="2"/>
  <c r="AF14" i="2"/>
  <c r="AX10" i="2"/>
  <c r="AH10" i="2"/>
  <c r="U4" i="2"/>
  <c r="L12" i="2"/>
  <c r="E4" i="2"/>
  <c r="AR36" i="2"/>
  <c r="S9" i="2"/>
  <c r="J13" i="2"/>
  <c r="R34" i="2"/>
  <c r="R31" i="2"/>
  <c r="S30" i="2"/>
  <c r="AK29" i="2"/>
  <c r="J5" i="2"/>
  <c r="Q30" i="2"/>
  <c r="H35" i="2"/>
  <c r="H40" i="2"/>
  <c r="AQ5" i="2"/>
  <c r="K29" i="2"/>
  <c r="AQ16" i="2"/>
  <c r="M4" i="2"/>
  <c r="AT8" i="2"/>
  <c r="AD36" i="2"/>
  <c r="AS28" i="2"/>
  <c r="AE26" i="2"/>
  <c r="C32" i="2"/>
  <c r="AN11" i="2"/>
  <c r="AF9" i="2"/>
  <c r="F7" i="2"/>
  <c r="W38" i="2"/>
  <c r="C16" i="2"/>
  <c r="AO6" i="2"/>
  <c r="AL35" i="2"/>
  <c r="AH17" i="2"/>
  <c r="AL34" i="2"/>
  <c r="D3" i="2"/>
  <c r="AW6" i="2"/>
  <c r="AD4" i="2"/>
  <c r="S6" i="2"/>
  <c r="AI6" i="2"/>
  <c r="M6" i="2"/>
  <c r="AC36" i="2"/>
  <c r="AK5" i="2"/>
  <c r="AH30" i="2"/>
  <c r="AH31" i="2"/>
  <c r="AR5" i="2"/>
  <c r="AV39" i="2"/>
  <c r="AF33" i="2"/>
  <c r="U39" i="2"/>
  <c r="AJ38" i="2"/>
  <c r="P34" i="2"/>
  <c r="AF27" i="2"/>
  <c r="V30" i="2"/>
  <c r="L31" i="2"/>
  <c r="AE38" i="2"/>
  <c r="G9" i="2"/>
  <c r="U15" i="2"/>
  <c r="AW40" i="2"/>
  <c r="AI37" i="2"/>
  <c r="AN13" i="2"/>
  <c r="AF7" i="2"/>
  <c r="N10" i="2"/>
  <c r="K34" i="2"/>
  <c r="K32" i="2"/>
  <c r="AL11" i="2"/>
  <c r="N7" i="2"/>
  <c r="S10" i="2"/>
  <c r="AL17" i="2"/>
  <c r="AJ31" i="2"/>
  <c r="D37" i="2"/>
  <c r="AV38" i="2"/>
  <c r="W16" i="2"/>
  <c r="AI10" i="2"/>
  <c r="AL39" i="2"/>
  <c r="D39" i="2"/>
  <c r="W26" i="2"/>
  <c r="F26" i="2"/>
  <c r="AU7" i="2"/>
  <c r="E34" i="2"/>
  <c r="O34" i="2"/>
  <c r="AF40" i="2"/>
  <c r="Q13" i="2"/>
  <c r="R39" i="2"/>
  <c r="AC17" i="2"/>
  <c r="AD11" i="2"/>
  <c r="AU15" i="2"/>
  <c r="O3" i="2"/>
  <c r="N3" i="2"/>
  <c r="R38" i="2"/>
  <c r="AD32" i="2"/>
  <c r="G26" i="2"/>
  <c r="W28" i="2"/>
  <c r="C37" i="2"/>
  <c r="AD16" i="2"/>
  <c r="AV10" i="2"/>
  <c r="C33" i="2"/>
  <c r="AE12" i="2"/>
  <c r="Q32" i="2"/>
  <c r="M26" i="2"/>
  <c r="AV8" i="2"/>
  <c r="AW7" i="2"/>
  <c r="AL4" i="2"/>
  <c r="AF11" i="2"/>
  <c r="G35" i="2"/>
  <c r="AQ35" i="2"/>
  <c r="AF28" i="2"/>
  <c r="P35" i="2"/>
  <c r="AQ29" i="2"/>
  <c r="R7" i="2"/>
  <c r="AP30" i="2"/>
  <c r="X39" i="2"/>
  <c r="G40" i="2"/>
  <c r="V31" i="2"/>
  <c r="AF38" i="2"/>
  <c r="AT11" i="2"/>
  <c r="G17" i="2"/>
  <c r="AL40" i="2"/>
  <c r="AQ15" i="2"/>
  <c r="L8" i="2"/>
  <c r="AD31" i="2"/>
  <c r="AM3" i="2"/>
  <c r="W5" i="2"/>
  <c r="U3" i="2"/>
  <c r="AO33" i="2"/>
  <c r="AN5" i="2"/>
  <c r="T3" i="2"/>
  <c r="O7" i="2"/>
  <c r="T35" i="2"/>
  <c r="AM10" i="2"/>
  <c r="AR35" i="2"/>
  <c r="N8" i="2"/>
  <c r="U6" i="2"/>
  <c r="AP38" i="2"/>
  <c r="J6" i="2"/>
  <c r="AQ8" i="2"/>
  <c r="I17" i="2"/>
  <c r="AN39" i="2"/>
  <c r="AM17" i="2"/>
  <c r="AK31" i="2"/>
  <c r="P11" i="2"/>
  <c r="P16" i="2"/>
  <c r="X29" i="2"/>
  <c r="AH33" i="2"/>
  <c r="AJ34" i="2"/>
  <c r="M10" i="2"/>
  <c r="G7" i="2"/>
  <c r="M14" i="2"/>
  <c r="V40" i="2"/>
  <c r="V16" i="2"/>
  <c r="AK37" i="2"/>
  <c r="AS6" i="2"/>
  <c r="AP10" i="2"/>
  <c r="T17" i="2"/>
  <c r="N27" i="2"/>
  <c r="AV26" i="2"/>
  <c r="B13" i="5"/>
  <c r="E37" i="2"/>
  <c r="AE4" i="2"/>
  <c r="AI39" i="2"/>
  <c r="B52" i="5"/>
  <c r="AW17" i="2"/>
  <c r="J15" i="2"/>
  <c r="D27" i="2"/>
  <c r="AC16" i="2"/>
  <c r="AQ26" i="2"/>
  <c r="AO29" i="2"/>
  <c r="AN4" i="2"/>
  <c r="AF3" i="2"/>
  <c r="AJ3" i="2"/>
  <c r="K25" i="3"/>
  <c r="T26" i="2"/>
  <c r="AJ12" i="2"/>
  <c r="F27" i="2"/>
  <c r="C30" i="2"/>
  <c r="AR31" i="2"/>
  <c r="H20" i="3"/>
  <c r="AM39" i="2"/>
  <c r="AG13" i="2"/>
  <c r="S5" i="2"/>
  <c r="H14" i="2"/>
  <c r="AJ13" i="2"/>
  <c r="B216" i="3"/>
  <c r="I34" i="2"/>
  <c r="E16" i="2"/>
  <c r="N9" i="2"/>
  <c r="R12" i="2"/>
  <c r="AF39" i="2"/>
  <c r="Q33" i="2"/>
  <c r="AI34" i="2"/>
  <c r="G20" i="3"/>
  <c r="F30" i="2"/>
  <c r="K3" i="2"/>
  <c r="AG17" i="2"/>
  <c r="O15" i="2"/>
  <c r="AD3" i="2"/>
  <c r="AW8" i="2"/>
  <c r="G5" i="2"/>
  <c r="L5" i="2"/>
  <c r="V26" i="2"/>
  <c r="Q9" i="2"/>
  <c r="T28" i="2"/>
  <c r="AG29" i="2"/>
  <c r="AS13" i="2"/>
  <c r="AF15" i="2"/>
  <c r="AG14" i="2"/>
  <c r="C216" i="3"/>
  <c r="AF34" i="2"/>
  <c r="AG12" i="2"/>
  <c r="AV34" i="2"/>
  <c r="B15" i="5"/>
  <c r="N14" i="2"/>
  <c r="R40" i="2"/>
  <c r="AS10" i="2"/>
  <c r="G36" i="2"/>
  <c r="AG9" i="2"/>
  <c r="W33" i="2"/>
  <c r="K40" i="2"/>
  <c r="F31" i="2"/>
  <c r="AM30" i="2"/>
  <c r="M17" i="2"/>
  <c r="F14" i="2"/>
  <c r="S4" i="2"/>
  <c r="W15" i="2"/>
  <c r="AQ40" i="2"/>
  <c r="AU16" i="2"/>
  <c r="AS38" i="2"/>
  <c r="O37" i="2"/>
  <c r="AD37" i="2"/>
  <c r="C34" i="2"/>
  <c r="M32" i="2"/>
  <c r="I3" i="2"/>
  <c r="J8" i="2"/>
  <c r="H23" i="3"/>
  <c r="T6" i="2"/>
  <c r="T11" i="2"/>
  <c r="E13" i="2"/>
  <c r="AS35" i="2"/>
  <c r="G37" i="2"/>
  <c r="X15" i="2"/>
  <c r="O32" i="2"/>
  <c r="AF30" i="2"/>
  <c r="AL3" i="2"/>
  <c r="R13" i="2"/>
  <c r="W6" i="2"/>
  <c r="K15" i="2"/>
  <c r="S32" i="2"/>
  <c r="I13" i="2"/>
  <c r="AL36" i="2"/>
  <c r="AI11" i="2"/>
  <c r="F15" i="2"/>
  <c r="R11" i="2"/>
  <c r="AW11" i="2"/>
  <c r="I5" i="2"/>
  <c r="AN32" i="2"/>
  <c r="AD13" i="2"/>
  <c r="U5" i="2"/>
  <c r="Q15" i="2"/>
  <c r="AC8" i="2"/>
  <c r="AX14" i="2"/>
  <c r="U26" i="2"/>
  <c r="L17" i="2"/>
  <c r="O13" i="2"/>
  <c r="C4" i="2"/>
  <c r="L9" i="2"/>
  <c r="AE13" i="2"/>
  <c r="G33" i="2"/>
  <c r="V27" i="2"/>
  <c r="U13" i="2"/>
  <c r="AU34" i="2"/>
  <c r="R30" i="2"/>
  <c r="AC30" i="2"/>
  <c r="AN29" i="2"/>
  <c r="T34" i="2"/>
  <c r="J4" i="2"/>
  <c r="AL5" i="2"/>
  <c r="M31" i="2"/>
  <c r="D15" i="2"/>
  <c r="AW35" i="2"/>
  <c r="AH7" i="2"/>
  <c r="AO38" i="2"/>
  <c r="AE29" i="2"/>
  <c r="AS11" i="2"/>
  <c r="AQ33" i="2"/>
  <c r="K12" i="2"/>
  <c r="AQ6" i="2"/>
  <c r="T31" i="2"/>
  <c r="AG38" i="2"/>
  <c r="AT35" i="2"/>
  <c r="C31" i="2"/>
  <c r="AT13" i="2"/>
  <c r="G38" i="2"/>
  <c r="G29" i="2"/>
  <c r="I30" i="2"/>
  <c r="AE11" i="2"/>
  <c r="AQ38" i="2"/>
  <c r="D11" i="2"/>
  <c r="M13" i="2"/>
  <c r="P39" i="2"/>
  <c r="N31" i="2"/>
  <c r="AM31" i="2"/>
  <c r="F36" i="2"/>
  <c r="C5" i="2"/>
  <c r="AS40" i="2"/>
  <c r="U11" i="2"/>
  <c r="X40" i="2"/>
  <c r="I10" i="2"/>
  <c r="AS16" i="2"/>
  <c r="W36" i="2"/>
  <c r="D7" i="2"/>
  <c r="R37" i="2"/>
  <c r="AM15" i="2"/>
  <c r="AL26" i="2"/>
  <c r="AI8" i="2"/>
  <c r="L27" i="2"/>
  <c r="T12" i="2"/>
  <c r="AK9" i="2"/>
  <c r="M35" i="2"/>
  <c r="N33" i="2"/>
  <c r="AX33" i="2"/>
  <c r="H8" i="2"/>
  <c r="AU8" i="2"/>
  <c r="AR33" i="2"/>
  <c r="AS5" i="2"/>
  <c r="P30" i="2"/>
  <c r="AT32" i="2"/>
  <c r="H28" i="2"/>
  <c r="L28" i="2"/>
  <c r="AR29" i="2"/>
  <c r="Q6" i="2"/>
  <c r="AS34" i="2"/>
  <c r="AF10" i="2"/>
  <c r="W37" i="2"/>
  <c r="E28" i="2"/>
  <c r="J16" i="2"/>
  <c r="AK11" i="2"/>
  <c r="AH12" i="2"/>
  <c r="AX40" i="2"/>
  <c r="AL6" i="2"/>
  <c r="AJ27" i="2"/>
  <c r="V3" i="2"/>
  <c r="AJ9" i="2"/>
  <c r="K27" i="2"/>
  <c r="AF13" i="2"/>
  <c r="P12" i="2"/>
  <c r="L36" i="2"/>
  <c r="Q11" i="2"/>
  <c r="AF16" i="2"/>
  <c r="V14" i="2"/>
  <c r="T13" i="2"/>
  <c r="O16" i="2"/>
  <c r="H7" i="2"/>
  <c r="G16" i="2"/>
  <c r="AN9" i="2"/>
  <c r="E14" i="2"/>
  <c r="E15" i="2"/>
  <c r="AJ16" i="2"/>
  <c r="AH15" i="2"/>
  <c r="M5" i="2"/>
  <c r="AQ11" i="2"/>
  <c r="U32" i="2"/>
  <c r="W29" i="2"/>
  <c r="M27" i="2"/>
  <c r="AV36" i="2"/>
  <c r="O31" i="2"/>
  <c r="AI5" i="2"/>
  <c r="O30" i="2"/>
  <c r="AF4" i="2"/>
  <c r="G34" i="2"/>
  <c r="AT10" i="2"/>
  <c r="AE5" i="2"/>
  <c r="W9" i="2"/>
  <c r="F11" i="2"/>
  <c r="AU27" i="2"/>
  <c r="V7" i="2"/>
  <c r="AQ17" i="2"/>
  <c r="AT30" i="2"/>
  <c r="P36" i="2"/>
  <c r="AM6" i="2"/>
  <c r="AT40" i="2"/>
  <c r="AE6" i="2"/>
  <c r="AX28" i="2"/>
  <c r="N37" i="2"/>
  <c r="H29" i="2"/>
  <c r="X31" i="2"/>
  <c r="K33" i="2"/>
  <c r="AN17" i="2"/>
  <c r="AK3" i="2"/>
  <c r="AW16" i="2"/>
  <c r="AQ32" i="2"/>
  <c r="X11" i="2"/>
  <c r="AR37" i="2"/>
  <c r="AJ35" i="2"/>
  <c r="G31" i="2"/>
  <c r="AG36" i="2"/>
  <c r="AM35" i="2"/>
  <c r="AM34" i="2"/>
  <c r="R33" i="2"/>
  <c r="AU30" i="2"/>
  <c r="T40" i="2"/>
  <c r="D75" i="8" l="1"/>
  <c r="C188" i="7"/>
  <c r="C187" i="7"/>
  <c r="C185" i="7"/>
  <c r="C186" i="7"/>
  <c r="C184" i="7"/>
  <c r="C193" i="7"/>
  <c r="C190" i="7"/>
  <c r="C192" i="7"/>
  <c r="C191" i="7"/>
  <c r="C183" i="7"/>
  <c r="C189" i="7"/>
  <c r="AK21" i="2"/>
  <c r="AU44" i="2"/>
  <c r="E186" i="7"/>
  <c r="E189" i="7"/>
  <c r="E187" i="7"/>
  <c r="E190" i="7"/>
  <c r="E193" i="7"/>
  <c r="E188" i="7"/>
  <c r="E185" i="7"/>
  <c r="E192" i="7"/>
  <c r="E194" i="7"/>
  <c r="E184" i="7"/>
  <c r="E183" i="7"/>
  <c r="E191" i="7"/>
  <c r="A190" i="7"/>
  <c r="A186" i="7"/>
  <c r="A184" i="7"/>
  <c r="A183" i="7"/>
  <c r="A191" i="7"/>
  <c r="A187" i="7"/>
  <c r="A193" i="7"/>
  <c r="A189" i="7"/>
  <c r="A185" i="7"/>
  <c r="A194" i="7"/>
  <c r="A192" i="7"/>
  <c r="A188" i="7"/>
  <c r="Q546" i="4"/>
  <c r="L44" i="2"/>
  <c r="AR44" i="2"/>
  <c r="J44" i="2"/>
  <c r="AV21" i="2"/>
  <c r="AN44" i="2"/>
  <c r="AD44" i="2"/>
  <c r="M21" i="2"/>
  <c r="AG44" i="2"/>
  <c r="C237" i="3"/>
  <c r="K44" i="2"/>
  <c r="AQ21" i="2"/>
  <c r="B237" i="3"/>
  <c r="AP44" i="2"/>
  <c r="F21" i="2"/>
  <c r="C21" i="2"/>
  <c r="T44" i="2"/>
  <c r="W21" i="2"/>
  <c r="Q11" i="4"/>
  <c r="AJ44" i="2"/>
  <c r="AJ21" i="2"/>
  <c r="H44" i="2"/>
  <c r="AF44" i="2"/>
  <c r="AF21" i="2"/>
  <c r="AW44" i="2"/>
  <c r="AQ44" i="2"/>
  <c r="U44" i="2"/>
  <c r="N44" i="2"/>
  <c r="Q21" i="2"/>
  <c r="X44" i="2"/>
  <c r="AT21" i="2"/>
  <c r="D44" i="2"/>
  <c r="N21" i="2"/>
  <c r="O21" i="2"/>
  <c r="AN21" i="2"/>
  <c r="H25" i="3"/>
  <c r="C218" i="3" s="1"/>
  <c r="G186" i="7"/>
  <c r="G183" i="7"/>
  <c r="G193" i="7"/>
  <c r="G188" i="7"/>
  <c r="G185" i="7"/>
  <c r="G192" i="7"/>
  <c r="G191" i="7"/>
  <c r="G184" i="7"/>
  <c r="G190" i="7"/>
  <c r="G187" i="7"/>
  <c r="G189" i="7"/>
  <c r="R44" i="2"/>
  <c r="AC21" i="2"/>
  <c r="AP21" i="2"/>
  <c r="V21" i="2"/>
  <c r="L21" i="2"/>
  <c r="G21" i="2"/>
  <c r="AX44" i="2"/>
  <c r="S44" i="2"/>
  <c r="F44" i="2"/>
  <c r="W44" i="2"/>
  <c r="AH44" i="2"/>
  <c r="AX21" i="2"/>
  <c r="B121" i="3"/>
  <c r="B122" i="3" s="1"/>
  <c r="D121" i="3"/>
  <c r="D122" i="3" s="1"/>
  <c r="AL21" i="2"/>
  <c r="AT44" i="2"/>
  <c r="E21" i="2"/>
  <c r="AH21" i="2"/>
  <c r="C121" i="3"/>
  <c r="C122" i="3" s="1"/>
  <c r="E121" i="3"/>
  <c r="E122" i="3" s="1"/>
  <c r="Q44" i="2"/>
  <c r="AS44" i="2"/>
  <c r="AD21" i="2"/>
  <c r="X21" i="2"/>
  <c r="B62" i="5"/>
  <c r="B60" i="5"/>
  <c r="B58" i="5"/>
  <c r="B63" i="5"/>
  <c r="E180" i="3"/>
  <c r="E181" i="3" s="1"/>
  <c r="B59" i="5"/>
  <c r="B64" i="5"/>
  <c r="B545" i="4"/>
  <c r="C1056" i="4" s="1"/>
  <c r="D1056" i="4" s="1"/>
  <c r="C180" i="3"/>
  <c r="C182" i="3" s="1"/>
  <c r="C183" i="3" s="1"/>
  <c r="B61" i="5"/>
  <c r="B57" i="5"/>
  <c r="I21" i="2"/>
  <c r="AU21" i="2"/>
  <c r="AW21" i="2"/>
  <c r="T21" i="2"/>
  <c r="C44" i="2"/>
  <c r="P44" i="2"/>
  <c r="J21" i="2"/>
  <c r="R21" i="2"/>
  <c r="AL44" i="2"/>
  <c r="AO21" i="2"/>
  <c r="U21" i="2"/>
  <c r="P21" i="2"/>
  <c r="S21" i="2"/>
  <c r="H21" i="2"/>
  <c r="B20" i="5"/>
  <c r="B22" i="5"/>
  <c r="B24" i="5"/>
  <c r="B180" i="3"/>
  <c r="B23" i="5"/>
  <c r="B18" i="5"/>
  <c r="B10" i="4"/>
  <c r="C519" i="4" s="1"/>
  <c r="D519" i="4" s="1"/>
  <c r="D180" i="3"/>
  <c r="D182" i="3" s="1"/>
  <c r="D183" i="3" s="1"/>
  <c r="J15" i="4" s="1"/>
  <c r="K15" i="4" s="1"/>
  <c r="B19" i="5"/>
  <c r="B21" i="5"/>
  <c r="B17" i="5"/>
  <c r="K21" i="2"/>
  <c r="AR21" i="2"/>
  <c r="G25" i="3"/>
  <c r="E19" i="5" s="1"/>
  <c r="E22" i="5" s="1"/>
  <c r="AI21" i="2"/>
  <c r="AC44" i="2"/>
  <c r="D21" i="2"/>
  <c r="AK44" i="2"/>
  <c r="AS21" i="2"/>
  <c r="AI44" i="2"/>
  <c r="AV44" i="2"/>
  <c r="V44" i="2"/>
  <c r="AO44" i="2"/>
  <c r="I44" i="2"/>
  <c r="E44" i="2"/>
  <c r="AG21" i="2"/>
  <c r="O44" i="2"/>
  <c r="AM21" i="2"/>
  <c r="H55" i="8"/>
  <c r="E75" i="8"/>
  <c r="AE21" i="2"/>
  <c r="Z18" i="2"/>
  <c r="AL92" i="7"/>
  <c r="M41" i="2" s="1"/>
  <c r="M44" i="2" s="1"/>
  <c r="AL93" i="7"/>
  <c r="AM41" i="2" s="1"/>
  <c r="AM44" i="2" s="1"/>
  <c r="F75" i="8"/>
  <c r="F63" i="8"/>
  <c r="F62" i="8"/>
  <c r="F61" i="8"/>
  <c r="F60" i="8"/>
  <c r="AE44" i="2"/>
  <c r="I75" i="8"/>
  <c r="G63" i="8"/>
  <c r="G62" i="8"/>
  <c r="G61" i="8"/>
  <c r="G60" i="8"/>
  <c r="D55" i="8"/>
  <c r="I55" i="8"/>
  <c r="I90" i="5"/>
  <c r="G75" i="8"/>
  <c r="B63" i="3"/>
  <c r="N5" i="1"/>
  <c r="P8" i="3" s="1"/>
  <c r="O7" i="1" s="1"/>
  <c r="D63" i="3"/>
  <c r="B75" i="8"/>
  <c r="C55" i="8"/>
  <c r="C75" i="8"/>
  <c r="E63" i="8"/>
  <c r="E62" i="8"/>
  <c r="E61" i="8"/>
  <c r="E60" i="8"/>
  <c r="H75" i="8"/>
  <c r="H63" i="8"/>
  <c r="H62" i="8"/>
  <c r="H61" i="8"/>
  <c r="H60" i="8"/>
  <c r="C90" i="5"/>
  <c r="D90" i="5" s="1"/>
  <c r="E90" i="5"/>
  <c r="F90" i="5" s="1"/>
  <c r="I63" i="8"/>
  <c r="I62" i="8"/>
  <c r="I61" i="8"/>
  <c r="I60" i="8"/>
  <c r="B55" i="8"/>
  <c r="B64" i="8"/>
  <c r="B63" i="8"/>
  <c r="B62" i="8"/>
  <c r="B61" i="8"/>
  <c r="B60" i="8"/>
  <c r="C63" i="8"/>
  <c r="C62" i="8"/>
  <c r="C61" i="8"/>
  <c r="C60" i="8"/>
  <c r="D63" i="8"/>
  <c r="D62" i="8"/>
  <c r="D61" i="8"/>
  <c r="D60" i="8"/>
  <c r="D188" i="3"/>
  <c r="G26" i="3"/>
  <c r="C66" i="3"/>
  <c r="B127" i="3"/>
  <c r="B57" i="3"/>
  <c r="C201" i="3"/>
  <c r="E188" i="3"/>
  <c r="E244" i="3"/>
  <c r="D201" i="3"/>
  <c r="B186" i="3"/>
  <c r="E201" i="3"/>
  <c r="B188" i="3"/>
  <c r="E242" i="3"/>
  <c r="C187" i="3"/>
  <c r="B189" i="3"/>
  <c r="H26" i="3"/>
  <c r="D241" i="3"/>
  <c r="B195" i="3"/>
  <c r="E241" i="3"/>
  <c r="C57" i="3"/>
  <c r="B234" i="3"/>
  <c r="D66" i="3"/>
  <c r="E57" i="3"/>
  <c r="C186" i="3"/>
  <c r="C189" i="3"/>
  <c r="E186" i="3"/>
  <c r="D57" i="3"/>
  <c r="D240" i="3"/>
  <c r="E187" i="3"/>
  <c r="B66" i="3"/>
  <c r="D244" i="3"/>
  <c r="D195" i="3"/>
  <c r="D127" i="3"/>
  <c r="C195" i="3"/>
  <c r="E127" i="3"/>
  <c r="E195" i="3"/>
  <c r="D187" i="3"/>
  <c r="D186" i="3"/>
  <c r="C127" i="3"/>
  <c r="E66" i="3"/>
  <c r="J545" i="4"/>
  <c r="B201" i="3"/>
  <c r="D242" i="3"/>
  <c r="C234" i="3"/>
  <c r="C188" i="3"/>
  <c r="B187" i="3"/>
  <c r="E240" i="3"/>
  <c r="J10" i="4"/>
  <c r="C804" i="4" l="1"/>
  <c r="E804" i="4" s="1"/>
  <c r="C723" i="4"/>
  <c r="D723" i="4" s="1"/>
  <c r="C1012" i="4"/>
  <c r="E1012" i="4" s="1"/>
  <c r="C924" i="4"/>
  <c r="D924" i="4" s="1"/>
  <c r="C568" i="4"/>
  <c r="D568" i="4" s="1"/>
  <c r="C846" i="4"/>
  <c r="E846" i="4" s="1"/>
  <c r="C830" i="4"/>
  <c r="E830" i="4" s="1"/>
  <c r="C597" i="4"/>
  <c r="D597" i="4" s="1"/>
  <c r="J597" i="4" s="1"/>
  <c r="C666" i="4"/>
  <c r="D666" i="4" s="1"/>
  <c r="C899" i="4"/>
  <c r="E899" i="4" s="1"/>
  <c r="C976" i="4"/>
  <c r="E976" i="4" s="1"/>
  <c r="C747" i="4"/>
  <c r="E747" i="4" s="1"/>
  <c r="C786" i="4"/>
  <c r="D786" i="4" s="1"/>
  <c r="C685" i="4"/>
  <c r="D685" i="4" s="1"/>
  <c r="J685" i="4" s="1"/>
  <c r="C922" i="4"/>
  <c r="D922" i="4" s="1"/>
  <c r="C807" i="4"/>
  <c r="E807" i="4" s="1"/>
  <c r="C587" i="4"/>
  <c r="D587" i="4" s="1"/>
  <c r="C618" i="4"/>
  <c r="D618" i="4" s="1"/>
  <c r="C760" i="4"/>
  <c r="D760" i="4" s="1"/>
  <c r="B190" i="3"/>
  <c r="B191" i="3" s="1"/>
  <c r="C181" i="3"/>
  <c r="B218" i="3"/>
  <c r="C752" i="4"/>
  <c r="D752" i="4" s="1"/>
  <c r="C1017" i="4"/>
  <c r="E1017" i="4" s="1"/>
  <c r="C574" i="4"/>
  <c r="E574" i="4" s="1"/>
  <c r="C842" i="4"/>
  <c r="E842" i="4" s="1"/>
  <c r="C872" i="4"/>
  <c r="D872" i="4" s="1"/>
  <c r="C659" i="4"/>
  <c r="E659" i="4" s="1"/>
  <c r="C918" i="4"/>
  <c r="D918" i="4" s="1"/>
  <c r="C916" i="4"/>
  <c r="E916" i="4" s="1"/>
  <c r="C664" i="4"/>
  <c r="E664" i="4" s="1"/>
  <c r="C827" i="4"/>
  <c r="E827" i="4" s="1"/>
  <c r="C1066" i="4"/>
  <c r="E1066" i="4" s="1"/>
  <c r="C710" i="4"/>
  <c r="E710" i="4" s="1"/>
  <c r="C583" i="4"/>
  <c r="E583" i="4" s="1"/>
  <c r="C805" i="4"/>
  <c r="E805" i="4" s="1"/>
  <c r="C991" i="4"/>
  <c r="D991" i="4" s="1"/>
  <c r="C1021" i="4"/>
  <c r="D1021" i="4" s="1"/>
  <c r="C590" i="4"/>
  <c r="D590" i="4" s="1"/>
  <c r="C859" i="4"/>
  <c r="D859" i="4" s="1"/>
  <c r="C1005" i="4"/>
  <c r="D1005" i="4" s="1"/>
  <c r="C932" i="4"/>
  <c r="E932" i="4" s="1"/>
  <c r="C770" i="4"/>
  <c r="D770" i="4" s="1"/>
  <c r="C856" i="4"/>
  <c r="E856" i="4" s="1"/>
  <c r="C789" i="4"/>
  <c r="E789" i="4" s="1"/>
  <c r="C869" i="4"/>
  <c r="E869" i="4" s="1"/>
  <c r="C761" i="4"/>
  <c r="E761" i="4" s="1"/>
  <c r="C965" i="4"/>
  <c r="E965" i="4" s="1"/>
  <c r="C829" i="4"/>
  <c r="D829" i="4" s="1"/>
  <c r="C958" i="4"/>
  <c r="D958" i="4" s="1"/>
  <c r="C905" i="4"/>
  <c r="E905" i="4" s="1"/>
  <c r="C625" i="4"/>
  <c r="E625" i="4" s="1"/>
  <c r="C1059" i="4"/>
  <c r="D1059" i="4" s="1"/>
  <c r="C921" i="4"/>
  <c r="D921" i="4" s="1"/>
  <c r="C959" i="4"/>
  <c r="E959" i="4" s="1"/>
  <c r="C707" i="4"/>
  <c r="D707" i="4" s="1"/>
  <c r="C683" i="4"/>
  <c r="D683" i="4" s="1"/>
  <c r="C746" i="4"/>
  <c r="D746" i="4" s="1"/>
  <c r="C977" i="4"/>
  <c r="E977" i="4" s="1"/>
  <c r="C616" i="4"/>
  <c r="D616" i="4" s="1"/>
  <c r="C906" i="4"/>
  <c r="E906" i="4" s="1"/>
  <c r="C996" i="4"/>
  <c r="D996" i="4" s="1"/>
  <c r="C567" i="4"/>
  <c r="D567" i="4" s="1"/>
  <c r="E59" i="5"/>
  <c r="E68" i="5" s="1"/>
  <c r="C714" i="4"/>
  <c r="D714" i="4" s="1"/>
  <c r="C834" i="4"/>
  <c r="E834" i="4" s="1"/>
  <c r="C784" i="4"/>
  <c r="E784" i="4" s="1"/>
  <c r="C884" i="4"/>
  <c r="D884" i="4" s="1"/>
  <c r="C887" i="4"/>
  <c r="D887" i="4" s="1"/>
  <c r="C898" i="4"/>
  <c r="D898" i="4" s="1"/>
  <c r="C733" i="4"/>
  <c r="D733" i="4" s="1"/>
  <c r="C622" i="4"/>
  <c r="D622" i="4" s="1"/>
  <c r="C839" i="4"/>
  <c r="D839" i="4" s="1"/>
  <c r="C957" i="4"/>
  <c r="E957" i="4" s="1"/>
  <c r="C601" i="4"/>
  <c r="E601" i="4" s="1"/>
  <c r="C711" i="4"/>
  <c r="E711" i="4" s="1"/>
  <c r="C853" i="4"/>
  <c r="D853" i="4" s="1"/>
  <c r="C966" i="4"/>
  <c r="D966" i="4" s="1"/>
  <c r="C617" i="4"/>
  <c r="E617" i="4" s="1"/>
  <c r="C606" i="4"/>
  <c r="D606" i="4" s="1"/>
  <c r="C907" i="4"/>
  <c r="E907" i="4" s="1"/>
  <c r="C941" i="4"/>
  <c r="E941" i="4" s="1"/>
  <c r="C947" i="4"/>
  <c r="D947" i="4" s="1"/>
  <c r="C1037" i="4"/>
  <c r="E1037" i="4" s="1"/>
  <c r="C780" i="4"/>
  <c r="D780" i="4" s="1"/>
  <c r="C662" i="4"/>
  <c r="D662" i="4" s="1"/>
  <c r="C782" i="4"/>
  <c r="D782" i="4" s="1"/>
  <c r="C754" i="4"/>
  <c r="D754" i="4" s="1"/>
  <c r="C797" i="4"/>
  <c r="D797" i="4" s="1"/>
  <c r="C910" i="4"/>
  <c r="D910" i="4" s="1"/>
  <c r="C913" i="4"/>
  <c r="E913" i="4" s="1"/>
  <c r="C931" i="4"/>
  <c r="D931" i="4" s="1"/>
  <c r="C632" i="4"/>
  <c r="D632" i="4" s="1"/>
  <c r="C654" i="4"/>
  <c r="D654" i="4" s="1"/>
  <c r="C793" i="4"/>
  <c r="E793" i="4" s="1"/>
  <c r="C952" i="4"/>
  <c r="E952" i="4" s="1"/>
  <c r="C564" i="4"/>
  <c r="E564" i="4" s="1"/>
  <c r="C865" i="4"/>
  <c r="E865" i="4" s="1"/>
  <c r="C934" i="4"/>
  <c r="E934" i="4" s="1"/>
  <c r="C1044" i="4"/>
  <c r="E1044" i="4" s="1"/>
  <c r="C612" i="4"/>
  <c r="E612" i="4" s="1"/>
  <c r="C638" i="4"/>
  <c r="D638" i="4" s="1"/>
  <c r="C938" i="4"/>
  <c r="E938" i="4" s="1"/>
  <c r="C936" i="4"/>
  <c r="D936" i="4" s="1"/>
  <c r="C1035" i="4"/>
  <c r="D1035" i="4" s="1"/>
  <c r="C814" i="4"/>
  <c r="E814" i="4" s="1"/>
  <c r="C579" i="4"/>
  <c r="D579" i="4" s="1"/>
  <c r="C641" i="4"/>
  <c r="E641" i="4" s="1"/>
  <c r="C687" i="4"/>
  <c r="E687" i="4" s="1"/>
  <c r="C819" i="4"/>
  <c r="E819" i="4" s="1"/>
  <c r="C772" i="4"/>
  <c r="D772" i="4" s="1"/>
  <c r="C919" i="4"/>
  <c r="E919" i="4" s="1"/>
  <c r="C871" i="4"/>
  <c r="E871" i="4" s="1"/>
  <c r="C840" i="4"/>
  <c r="D840" i="4" s="1"/>
  <c r="C673" i="4"/>
  <c r="D673" i="4" s="1"/>
  <c r="C693" i="4"/>
  <c r="D693" i="4" s="1"/>
  <c r="J693" i="4" s="1"/>
  <c r="C825" i="4"/>
  <c r="E825" i="4" s="1"/>
  <c r="C1026" i="4"/>
  <c r="E1026" i="4" s="1"/>
  <c r="C684" i="4"/>
  <c r="E684" i="4" s="1"/>
  <c r="C724" i="4"/>
  <c r="E724" i="4" s="1"/>
  <c r="C808" i="4"/>
  <c r="E808" i="4" s="1"/>
  <c r="C979" i="4"/>
  <c r="D979" i="4" s="1"/>
  <c r="C596" i="4"/>
  <c r="E596" i="4" s="1"/>
  <c r="C670" i="4"/>
  <c r="E670" i="4" s="1"/>
  <c r="C809" i="4"/>
  <c r="E809" i="4" s="1"/>
  <c r="C973" i="4"/>
  <c r="E973" i="4" s="1"/>
  <c r="C864" i="4"/>
  <c r="E864" i="4" s="1"/>
  <c r="C837" i="4"/>
  <c r="E837" i="4" s="1"/>
  <c r="C680" i="4"/>
  <c r="D680" i="4" s="1"/>
  <c r="C588" i="4"/>
  <c r="E588" i="4" s="1"/>
  <c r="C867" i="4"/>
  <c r="D867" i="4" s="1"/>
  <c r="C1047" i="4"/>
  <c r="D1047" i="4" s="1"/>
  <c r="C630" i="4"/>
  <c r="D630" i="4" s="1"/>
  <c r="C766" i="4"/>
  <c r="D766" i="4" s="1"/>
  <c r="C753" i="4"/>
  <c r="E753" i="4" s="1"/>
  <c r="C954" i="4"/>
  <c r="E954" i="4" s="1"/>
  <c r="C730" i="4"/>
  <c r="E730" i="4" s="1"/>
  <c r="C969" i="4"/>
  <c r="E969" i="4" s="1"/>
  <c r="C656" i="4"/>
  <c r="E656" i="4" s="1"/>
  <c r="C732" i="4"/>
  <c r="D732" i="4" s="1"/>
  <c r="J732" i="4" s="1"/>
  <c r="C796" i="4"/>
  <c r="D796" i="4" s="1"/>
  <c r="C1027" i="4"/>
  <c r="E1027" i="4" s="1"/>
  <c r="C661" i="4"/>
  <c r="E661" i="4" s="1"/>
  <c r="C702" i="4"/>
  <c r="E702" i="4" s="1"/>
  <c r="C971" i="4"/>
  <c r="E971" i="4" s="1"/>
  <c r="C997" i="4"/>
  <c r="D997" i="4" s="1"/>
  <c r="C577" i="4"/>
  <c r="D577" i="4" s="1"/>
  <c r="C961" i="4"/>
  <c r="E961" i="4" s="1"/>
  <c r="C1039" i="4"/>
  <c r="E1039" i="4" s="1"/>
  <c r="C992" i="4"/>
  <c r="E992" i="4" s="1"/>
  <c r="C975" i="4"/>
  <c r="D975" i="4" s="1"/>
  <c r="C894" i="4"/>
  <c r="D894" i="4" s="1"/>
  <c r="C619" i="4"/>
  <c r="E619" i="4" s="1"/>
  <c r="C748" i="4"/>
  <c r="D748" i="4" s="1"/>
  <c r="C728" i="4"/>
  <c r="E728" i="4" s="1"/>
  <c r="C1055" i="4"/>
  <c r="E1055" i="4" s="1"/>
  <c r="C582" i="4"/>
  <c r="E582" i="4" s="1"/>
  <c r="C791" i="4"/>
  <c r="D791" i="4" s="1"/>
  <c r="C794" i="4"/>
  <c r="D794" i="4" s="1"/>
  <c r="C768" i="4"/>
  <c r="E768" i="4" s="1"/>
  <c r="C721" i="4"/>
  <c r="D721" i="4" s="1"/>
  <c r="C948" i="4"/>
  <c r="D948" i="4" s="1"/>
  <c r="C573" i="4"/>
  <c r="D573" i="4" s="1"/>
  <c r="J573" i="4" s="1"/>
  <c r="C773" i="4"/>
  <c r="E773" i="4" s="1"/>
  <c r="C828" i="4"/>
  <c r="D828" i="4" s="1"/>
  <c r="J828" i="4" s="1"/>
  <c r="C964" i="4"/>
  <c r="D964" i="4" s="1"/>
  <c r="C767" i="4"/>
  <c r="E767" i="4" s="1"/>
  <c r="C739" i="4"/>
  <c r="E739" i="4" s="1"/>
  <c r="C946" i="4"/>
  <c r="D946" i="4" s="1"/>
  <c r="C1034" i="4"/>
  <c r="D1034" i="4" s="1"/>
  <c r="C802" i="4"/>
  <c r="D802" i="4" s="1"/>
  <c r="C741" i="4"/>
  <c r="E741" i="4" s="1"/>
  <c r="C812" i="4"/>
  <c r="D812" i="4" s="1"/>
  <c r="J812" i="4" s="1"/>
  <c r="C984" i="4"/>
  <c r="D984" i="4" s="1"/>
  <c r="C945" i="4"/>
  <c r="E945" i="4" s="1"/>
  <c r="C1020" i="4"/>
  <c r="E1020" i="4" s="1"/>
  <c r="C713" i="4"/>
  <c r="E713" i="4" s="1"/>
  <c r="C841" i="4"/>
  <c r="E841" i="4" s="1"/>
  <c r="C719" i="4"/>
  <c r="E719" i="4" s="1"/>
  <c r="C1028" i="4"/>
  <c r="E1028" i="4" s="1"/>
  <c r="C1003" i="4"/>
  <c r="D1003" i="4" s="1"/>
  <c r="C700" i="4"/>
  <c r="D700" i="4" s="1"/>
  <c r="J700" i="4" s="1"/>
  <c r="C678" i="4"/>
  <c r="E678" i="4" s="1"/>
  <c r="C698" i="4"/>
  <c r="E698" i="4" s="1"/>
  <c r="C735" i="4"/>
  <c r="D735" i="4" s="1"/>
  <c r="C762" i="4"/>
  <c r="D762" i="4" s="1"/>
  <c r="C983" i="4"/>
  <c r="D983" i="4" s="1"/>
  <c r="C637" i="4"/>
  <c r="E637" i="4" s="1"/>
  <c r="C690" i="4"/>
  <c r="D690" i="4" s="1"/>
  <c r="C911" i="4"/>
  <c r="E911" i="4" s="1"/>
  <c r="C985" i="4"/>
  <c r="E985" i="4" s="1"/>
  <c r="C749" i="4"/>
  <c r="D749" i="4" s="1"/>
  <c r="C697" i="4"/>
  <c r="E697" i="4" s="1"/>
  <c r="C882" i="4"/>
  <c r="D882" i="4" s="1"/>
  <c r="C1032" i="4"/>
  <c r="E1032" i="4" s="1"/>
  <c r="C605" i="4"/>
  <c r="D605" i="4" s="1"/>
  <c r="J605" i="4" s="1"/>
  <c r="C901" i="4"/>
  <c r="D901" i="4" s="1"/>
  <c r="C879" i="4"/>
  <c r="E879" i="4" s="1"/>
  <c r="C987" i="4"/>
  <c r="E987" i="4" s="1"/>
  <c r="C940" i="4"/>
  <c r="E940" i="4" s="1"/>
  <c r="C949" i="4"/>
  <c r="E949" i="4" s="1"/>
  <c r="C893" i="4"/>
  <c r="E893" i="4" s="1"/>
  <c r="C624" i="4"/>
  <c r="E624" i="4" s="1"/>
  <c r="C970" i="4"/>
  <c r="D970" i="4" s="1"/>
  <c r="C929" i="4"/>
  <c r="E929" i="4" s="1"/>
  <c r="C1025" i="4"/>
  <c r="D1025" i="4" s="1"/>
  <c r="C626" i="4"/>
  <c r="D626" i="4" s="1"/>
  <c r="C751" i="4"/>
  <c r="D751" i="4" s="1"/>
  <c r="C737" i="4"/>
  <c r="E737" i="4" s="1"/>
  <c r="C686" i="4"/>
  <c r="D686" i="4" s="1"/>
  <c r="C1024" i="4"/>
  <c r="E1024" i="4" s="1"/>
  <c r="C696" i="4"/>
  <c r="E696" i="4" s="1"/>
  <c r="C722" i="4"/>
  <c r="E722" i="4" s="1"/>
  <c r="C847" i="4"/>
  <c r="E847" i="4" s="1"/>
  <c r="C1023" i="4"/>
  <c r="D1023" i="4" s="1"/>
  <c r="C563" i="4"/>
  <c r="D563" i="4" s="1"/>
  <c r="C742" i="4"/>
  <c r="D742" i="4" s="1"/>
  <c r="C914" i="4"/>
  <c r="E914" i="4" s="1"/>
  <c r="C1063" i="4"/>
  <c r="E1063" i="4" s="1"/>
  <c r="C669" i="4"/>
  <c r="D669" i="4" s="1"/>
  <c r="C706" i="4"/>
  <c r="D706" i="4" s="1"/>
  <c r="C980" i="4"/>
  <c r="E980" i="4" s="1"/>
  <c r="C1001" i="4"/>
  <c r="D1001" i="4" s="1"/>
  <c r="C988" i="4"/>
  <c r="D988" i="4" s="1"/>
  <c r="C995" i="4"/>
  <c r="E995" i="4" s="1"/>
  <c r="C598" i="4"/>
  <c r="D598" i="4" s="1"/>
  <c r="C650" i="4"/>
  <c r="D650" i="4" s="1"/>
  <c r="C896" i="4"/>
  <c r="E896" i="4" s="1"/>
  <c r="C942" i="4"/>
  <c r="E942" i="4" s="1"/>
  <c r="C993" i="4"/>
  <c r="E993" i="4" s="1"/>
  <c r="C578" i="4"/>
  <c r="D578" i="4" s="1"/>
  <c r="C777" i="4"/>
  <c r="D777" i="4" s="1"/>
  <c r="C769" i="4"/>
  <c r="E769" i="4" s="1"/>
  <c r="C755" i="4"/>
  <c r="E755" i="4" s="1"/>
  <c r="C981" i="4"/>
  <c r="E981" i="4" s="1"/>
  <c r="C909" i="4"/>
  <c r="E909" i="4" s="1"/>
  <c r="C795" i="4"/>
  <c r="D795" i="4" s="1"/>
  <c r="C870" i="4"/>
  <c r="D870" i="4" s="1"/>
  <c r="C1018" i="4"/>
  <c r="D1018" i="4" s="1"/>
  <c r="C595" i="4"/>
  <c r="E595" i="4" s="1"/>
  <c r="C799" i="4"/>
  <c r="D799" i="4" s="1"/>
  <c r="C1038" i="4"/>
  <c r="D1038" i="4" s="1"/>
  <c r="C1029" i="4"/>
  <c r="D1029" i="4" s="1"/>
  <c r="C803" i="4"/>
  <c r="D803" i="4" s="1"/>
  <c r="C744" i="4"/>
  <c r="E744" i="4" s="1"/>
  <c r="C854" i="4"/>
  <c r="D854" i="4" s="1"/>
  <c r="C1036" i="4"/>
  <c r="E1036" i="4" s="1"/>
  <c r="C974" i="4"/>
  <c r="E974" i="4" s="1"/>
  <c r="C1060" i="4"/>
  <c r="E1060" i="4" s="1"/>
  <c r="C878" i="4"/>
  <c r="E878" i="4" s="1"/>
  <c r="C644" i="4"/>
  <c r="E644" i="4" s="1"/>
  <c r="C817" i="4"/>
  <c r="E817" i="4" s="1"/>
  <c r="C855" i="4"/>
  <c r="E855" i="4" s="1"/>
  <c r="C962" i="4"/>
  <c r="D962" i="4" s="1"/>
  <c r="C675" i="4"/>
  <c r="E675" i="4" s="1"/>
  <c r="C674" i="4"/>
  <c r="D674" i="4" s="1"/>
  <c r="C694" i="4"/>
  <c r="E694" i="4" s="1"/>
  <c r="C917" i="4"/>
  <c r="E917" i="4" s="1"/>
  <c r="C1052" i="4"/>
  <c r="D1052" i="4" s="1"/>
  <c r="C823" i="4"/>
  <c r="E823" i="4" s="1"/>
  <c r="C717" i="4"/>
  <c r="D717" i="4" s="1"/>
  <c r="C902" i="4"/>
  <c r="E902" i="4" s="1"/>
  <c r="C1042" i="4"/>
  <c r="D1042" i="4" s="1"/>
  <c r="C627" i="4"/>
  <c r="E627" i="4" s="1"/>
  <c r="C740" i="4"/>
  <c r="E740" i="4" s="1"/>
  <c r="C986" i="4"/>
  <c r="E986" i="4" s="1"/>
  <c r="C1046" i="4"/>
  <c r="D1046" i="4" s="1"/>
  <c r="C765" i="4"/>
  <c r="E765" i="4" s="1"/>
  <c r="C701" i="4"/>
  <c r="E701" i="4" s="1"/>
  <c r="C886" i="4"/>
  <c r="E886" i="4" s="1"/>
  <c r="C1045" i="4"/>
  <c r="E1045" i="4" s="1"/>
  <c r="C999" i="4"/>
  <c r="E999" i="4" s="1"/>
  <c r="C822" i="4"/>
  <c r="E822" i="4" s="1"/>
  <c r="C639" i="4"/>
  <c r="D639" i="4" s="1"/>
  <c r="C562" i="4"/>
  <c r="E562" i="4" s="1"/>
  <c r="C838" i="4"/>
  <c r="E838" i="4" s="1"/>
  <c r="C725" i="4"/>
  <c r="D725" i="4" s="1"/>
  <c r="C1064" i="4"/>
  <c r="E1064" i="4" s="1"/>
  <c r="C716" i="4"/>
  <c r="E716" i="4" s="1"/>
  <c r="C926" i="4"/>
  <c r="D926" i="4" s="1"/>
  <c r="C888" i="4"/>
  <c r="E888" i="4" s="1"/>
  <c r="C620" i="4"/>
  <c r="E620" i="4" s="1"/>
  <c r="C599" i="4"/>
  <c r="E599" i="4" s="1"/>
  <c r="C818" i="4"/>
  <c r="E818" i="4" s="1"/>
  <c r="C939" i="4"/>
  <c r="E939" i="4" s="1"/>
  <c r="C1033" i="4"/>
  <c r="E1033" i="4" s="1"/>
  <c r="C998" i="4"/>
  <c r="E998" i="4" s="1"/>
  <c r="C903" i="4"/>
  <c r="D903" i="4" s="1"/>
  <c r="C692" i="4"/>
  <c r="D692" i="4" s="1"/>
  <c r="J692" i="4" s="1"/>
  <c r="C585" i="4"/>
  <c r="E585" i="4" s="1"/>
  <c r="C989" i="4"/>
  <c r="D989" i="4" s="1"/>
  <c r="C1013" i="4"/>
  <c r="E1013" i="4" s="1"/>
  <c r="C861" i="4"/>
  <c r="E861" i="4" s="1"/>
  <c r="C1006" i="4"/>
  <c r="D1006" i="4" s="1"/>
  <c r="C1043" i="4"/>
  <c r="E1043" i="4" s="1"/>
  <c r="C671" i="4"/>
  <c r="D671" i="4" s="1"/>
  <c r="C968" i="4"/>
  <c r="E968" i="4" s="1"/>
  <c r="C821" i="4"/>
  <c r="E821" i="4" s="1"/>
  <c r="C1053" i="4"/>
  <c r="D1053" i="4" s="1"/>
  <c r="C647" i="4"/>
  <c r="E647" i="4" s="1"/>
  <c r="C826" i="4"/>
  <c r="E826" i="4" s="1"/>
  <c r="C844" i="4"/>
  <c r="E844" i="4" s="1"/>
  <c r="C1065" i="4"/>
  <c r="C570" i="4"/>
  <c r="D570" i="4" s="1"/>
  <c r="C776" i="4"/>
  <c r="E776" i="4" s="1"/>
  <c r="C920" i="4"/>
  <c r="E920" i="4" s="1"/>
  <c r="C560" i="4"/>
  <c r="E560" i="4" s="1"/>
  <c r="C631" i="4"/>
  <c r="D631" i="4" s="1"/>
  <c r="C771" i="4"/>
  <c r="D771" i="4" s="1"/>
  <c r="C1000" i="4"/>
  <c r="D1000" i="4" s="1"/>
  <c r="C1054" i="4"/>
  <c r="D1054" i="4" s="1"/>
  <c r="C1004" i="4"/>
  <c r="C1015" i="4"/>
  <c r="D1015" i="4" s="1"/>
  <c r="C963" i="4"/>
  <c r="E963" i="4" s="1"/>
  <c r="C604" i="4"/>
  <c r="C990" i="4"/>
  <c r="E990" i="4" s="1"/>
  <c r="C930" i="4"/>
  <c r="D930" i="4" s="1"/>
  <c r="E1056" i="4"/>
  <c r="C883" i="4"/>
  <c r="E883" i="4" s="1"/>
  <c r="C800" i="4"/>
  <c r="D800" i="4" s="1"/>
  <c r="C912" i="4"/>
  <c r="E912" i="4" s="1"/>
  <c r="C1058" i="4"/>
  <c r="E1058" i="4" s="1"/>
  <c r="C956" i="4"/>
  <c r="E956" i="4" s="1"/>
  <c r="C897" i="4"/>
  <c r="E897" i="4" s="1"/>
  <c r="C600" i="4"/>
  <c r="E600" i="4" s="1"/>
  <c r="C681" i="4"/>
  <c r="D681" i="4" s="1"/>
  <c r="C943" i="4"/>
  <c r="E943" i="4" s="1"/>
  <c r="C876" i="4"/>
  <c r="E876" i="4" s="1"/>
  <c r="C640" i="4"/>
  <c r="E640" i="4" s="1"/>
  <c r="C602" i="4"/>
  <c r="D602" i="4" s="1"/>
  <c r="C891" i="4"/>
  <c r="D891" i="4" s="1"/>
  <c r="C937" i="4"/>
  <c r="E937" i="4" s="1"/>
  <c r="C738" i="4"/>
  <c r="E738" i="4" s="1"/>
  <c r="C663" i="4"/>
  <c r="E663" i="4" s="1"/>
  <c r="C915" i="4"/>
  <c r="E915" i="4" s="1"/>
  <c r="C860" i="4"/>
  <c r="D860" i="4" s="1"/>
  <c r="C858" i="4"/>
  <c r="E858" i="4" s="1"/>
  <c r="C1048" i="4"/>
  <c r="D1048" i="4" s="1"/>
  <c r="C950" i="4"/>
  <c r="D950" i="4" s="1"/>
  <c r="C594" i="4"/>
  <c r="D594" i="4" s="1"/>
  <c r="C813" i="4"/>
  <c r="E813" i="4" s="1"/>
  <c r="C566" i="4"/>
  <c r="D566" i="4" s="1"/>
  <c r="J566" i="4" s="1"/>
  <c r="C1050" i="4"/>
  <c r="D1050" i="4" s="1"/>
  <c r="C615" i="4"/>
  <c r="D615" i="4" s="1"/>
  <c r="C775" i="4"/>
  <c r="E775" i="4" s="1"/>
  <c r="C801" i="4"/>
  <c r="E801" i="4" s="1"/>
  <c r="C967" i="4"/>
  <c r="E967" i="4" s="1"/>
  <c r="C972" i="4"/>
  <c r="E972" i="4" s="1"/>
  <c r="C880" i="4"/>
  <c r="E880" i="4" s="1"/>
  <c r="C824" i="4"/>
  <c r="D824" i="4" s="1"/>
  <c r="C699" i="4"/>
  <c r="E699" i="4" s="1"/>
  <c r="C558" i="4"/>
  <c r="E558" i="4" s="1"/>
  <c r="C764" i="4"/>
  <c r="E764" i="4" s="1"/>
  <c r="C908" i="4"/>
  <c r="E908" i="4" s="1"/>
  <c r="C608" i="4"/>
  <c r="E608" i="4" s="1"/>
  <c r="C634" i="4"/>
  <c r="D634" i="4" s="1"/>
  <c r="C928" i="4"/>
  <c r="D928" i="4" s="1"/>
  <c r="C1040" i="4"/>
  <c r="D1040" i="4" s="1"/>
  <c r="C704" i="4"/>
  <c r="E704" i="4" s="1"/>
  <c r="C745" i="4"/>
  <c r="D745" i="4" s="1"/>
  <c r="C935" i="4"/>
  <c r="E935" i="4" s="1"/>
  <c r="C892" i="4"/>
  <c r="E892" i="4" s="1"/>
  <c r="C890" i="4"/>
  <c r="D890" i="4" s="1"/>
  <c r="C1049" i="4"/>
  <c r="D1049" i="4" s="1"/>
  <c r="C873" i="4"/>
  <c r="E873" i="4" s="1"/>
  <c r="C607" i="4"/>
  <c r="D607" i="4" s="1"/>
  <c r="C184" i="4"/>
  <c r="E184" i="4" s="1"/>
  <c r="C86" i="4"/>
  <c r="D86" i="4" s="1"/>
  <c r="C265" i="4"/>
  <c r="E265" i="4" s="1"/>
  <c r="C144" i="4"/>
  <c r="E144" i="4" s="1"/>
  <c r="C48" i="4"/>
  <c r="E48" i="4" s="1"/>
  <c r="C240" i="4"/>
  <c r="D240" i="4" s="1"/>
  <c r="C100" i="4"/>
  <c r="E100" i="4" s="1"/>
  <c r="C136" i="4"/>
  <c r="D136" i="4" s="1"/>
  <c r="C40" i="4"/>
  <c r="D40" i="4" s="1"/>
  <c r="C208" i="4"/>
  <c r="D208" i="4" s="1"/>
  <c r="C230" i="4"/>
  <c r="E230" i="4" s="1"/>
  <c r="C442" i="4"/>
  <c r="D442" i="4" s="1"/>
  <c r="C357" i="4"/>
  <c r="E357" i="4" s="1"/>
  <c r="C248" i="4"/>
  <c r="D248" i="4" s="1"/>
  <c r="C432" i="4"/>
  <c r="E432" i="4" s="1"/>
  <c r="C21" i="4"/>
  <c r="D21" i="4" s="1"/>
  <c r="J21" i="4" s="1"/>
  <c r="C511" i="4"/>
  <c r="D511" i="4" s="1"/>
  <c r="C531" i="4"/>
  <c r="D531" i="4" s="1"/>
  <c r="C27" i="4"/>
  <c r="D27" i="4" s="1"/>
  <c r="C209" i="4"/>
  <c r="E209" i="4" s="1"/>
  <c r="C498" i="4"/>
  <c r="D498" i="4" s="1"/>
  <c r="C488" i="4"/>
  <c r="E488" i="4" s="1"/>
  <c r="C522" i="4"/>
  <c r="E522" i="4" s="1"/>
  <c r="C77" i="4"/>
  <c r="E77" i="4" s="1"/>
  <c r="C385" i="4"/>
  <c r="D385" i="4" s="1"/>
  <c r="C371" i="4"/>
  <c r="E371" i="4" s="1"/>
  <c r="C409" i="4"/>
  <c r="D409" i="4" s="1"/>
  <c r="C313" i="4"/>
  <c r="E313" i="4" s="1"/>
  <c r="C292" i="4"/>
  <c r="E292" i="4" s="1"/>
  <c r="C345" i="4"/>
  <c r="D345" i="4" s="1"/>
  <c r="C428" i="4"/>
  <c r="D428" i="4" s="1"/>
  <c r="C157" i="4"/>
  <c r="D157" i="4" s="1"/>
  <c r="J157" i="4" s="1"/>
  <c r="C140" i="4"/>
  <c r="E140" i="4" s="1"/>
  <c r="C310" i="4"/>
  <c r="D310" i="4" s="1"/>
  <c r="C180" i="4"/>
  <c r="E180" i="4" s="1"/>
  <c r="C52" i="4"/>
  <c r="E52" i="4" s="1"/>
  <c r="C44" i="4"/>
  <c r="E44" i="4" s="1"/>
  <c r="C64" i="4"/>
  <c r="E64" i="4" s="1"/>
  <c r="C68" i="4"/>
  <c r="D68" i="4" s="1"/>
  <c r="J68" i="4" s="1"/>
  <c r="C368" i="4"/>
  <c r="E368" i="4" s="1"/>
  <c r="C264" i="4"/>
  <c r="D264" i="4" s="1"/>
  <c r="C26" i="4"/>
  <c r="D26" i="4" s="1"/>
  <c r="C62" i="4"/>
  <c r="D62" i="4" s="1"/>
  <c r="C256" i="4"/>
  <c r="D256" i="4" s="1"/>
  <c r="C224" i="4"/>
  <c r="D224" i="4" s="1"/>
  <c r="C337" i="4"/>
  <c r="E337" i="4" s="1"/>
  <c r="C175" i="4"/>
  <c r="E175" i="4" s="1"/>
  <c r="C515" i="4"/>
  <c r="D515" i="4" s="1"/>
  <c r="C507" i="4"/>
  <c r="D507" i="4" s="1"/>
  <c r="C316" i="4"/>
  <c r="E316" i="4" s="1"/>
  <c r="C490" i="4"/>
  <c r="E490" i="4" s="1"/>
  <c r="C487" i="4"/>
  <c r="D487" i="4" s="1"/>
  <c r="C463" i="4"/>
  <c r="D463" i="4" s="1"/>
  <c r="C285" i="4"/>
  <c r="E285" i="4" s="1"/>
  <c r="C378" i="4"/>
  <c r="E378" i="4" s="1"/>
  <c r="C352" i="4"/>
  <c r="E352" i="4" s="1"/>
  <c r="C335" i="4"/>
  <c r="E335" i="4" s="1"/>
  <c r="C195" i="4"/>
  <c r="D195" i="4" s="1"/>
  <c r="C306" i="4"/>
  <c r="D306" i="4" s="1"/>
  <c r="C281" i="4"/>
  <c r="D281" i="4" s="1"/>
  <c r="C454" i="4"/>
  <c r="E454" i="4" s="1"/>
  <c r="C126" i="4"/>
  <c r="D126" i="4" s="1"/>
  <c r="C756" i="4"/>
  <c r="D756" i="4" s="1"/>
  <c r="C900" i="4"/>
  <c r="E900" i="4" s="1"/>
  <c r="C863" i="4"/>
  <c r="E863" i="4" s="1"/>
  <c r="C933" i="4"/>
  <c r="D933" i="4" s="1"/>
  <c r="C635" i="4"/>
  <c r="E635" i="4" s="1"/>
  <c r="C881" i="4"/>
  <c r="D881" i="4" s="1"/>
  <c r="C843" i="4"/>
  <c r="E843" i="4" s="1"/>
  <c r="C810" i="4"/>
  <c r="D810" i="4" s="1"/>
  <c r="C613" i="4"/>
  <c r="D613" i="4" s="1"/>
  <c r="J613" i="4" s="1"/>
  <c r="C565" i="4"/>
  <c r="E565" i="4" s="1"/>
  <c r="C633" i="4"/>
  <c r="E633" i="4" s="1"/>
  <c r="C785" i="4"/>
  <c r="D785" i="4" s="1"/>
  <c r="C944" i="4"/>
  <c r="E944" i="4" s="1"/>
  <c r="C792" i="4"/>
  <c r="D792" i="4" s="1"/>
  <c r="C816" i="4"/>
  <c r="E816" i="4" s="1"/>
  <c r="C689" i="4"/>
  <c r="D689" i="4" s="1"/>
  <c r="C695" i="4"/>
  <c r="E695" i="4" s="1"/>
  <c r="C779" i="4"/>
  <c r="D779" i="4" s="1"/>
  <c r="C815" i="4"/>
  <c r="D815" i="4" s="1"/>
  <c r="C572" i="4"/>
  <c r="E572" i="4" s="1"/>
  <c r="C743" i="4"/>
  <c r="E743" i="4" s="1"/>
  <c r="C643" i="4"/>
  <c r="D643" i="4" s="1"/>
  <c r="C889" i="4"/>
  <c r="D889" i="4" s="1"/>
  <c r="C978" i="4"/>
  <c r="E978" i="4" s="1"/>
  <c r="C866" i="4"/>
  <c r="D866" i="4" s="1"/>
  <c r="C875" i="4"/>
  <c r="D875" i="4" s="1"/>
  <c r="C832" i="4"/>
  <c r="D832" i="4" s="1"/>
  <c r="C667" i="4"/>
  <c r="E667" i="4" s="1"/>
  <c r="C852" i="4"/>
  <c r="D852" i="4" s="1"/>
  <c r="C951" i="4"/>
  <c r="E951" i="4" s="1"/>
  <c r="C759" i="4"/>
  <c r="D759" i="4" s="1"/>
  <c r="C712" i="4"/>
  <c r="E712" i="4" s="1"/>
  <c r="C668" i="4"/>
  <c r="D668" i="4" s="1"/>
  <c r="C788" i="4"/>
  <c r="E788" i="4" s="1"/>
  <c r="C1007" i="4"/>
  <c r="E1007" i="4" s="1"/>
  <c r="C1010" i="4"/>
  <c r="E1010" i="4" s="1"/>
  <c r="C787" i="4"/>
  <c r="E787" i="4" s="1"/>
  <c r="C850" i="4"/>
  <c r="E850" i="4" s="1"/>
  <c r="C611" i="4"/>
  <c r="D611" i="4" s="1"/>
  <c r="C734" i="4"/>
  <c r="E734" i="4" s="1"/>
  <c r="C726" i="4"/>
  <c r="E726" i="4" s="1"/>
  <c r="C727" i="4"/>
  <c r="E727" i="4" s="1"/>
  <c r="C757" i="4"/>
  <c r="E757" i="4" s="1"/>
  <c r="C848" i="4"/>
  <c r="E848" i="4" s="1"/>
  <c r="C820" i="4"/>
  <c r="D820" i="4" s="1"/>
  <c r="J820" i="4" s="1"/>
  <c r="C1002" i="4"/>
  <c r="E1002" i="4" s="1"/>
  <c r="C904" i="4"/>
  <c r="E904" i="4" s="1"/>
  <c r="C781" i="4"/>
  <c r="D781" i="4" s="1"/>
  <c r="C806" i="4"/>
  <c r="E806" i="4" s="1"/>
  <c r="C559" i="4"/>
  <c r="E559" i="4" s="1"/>
  <c r="C658" i="4"/>
  <c r="C750" i="4"/>
  <c r="E750" i="4" s="1"/>
  <c r="C783" i="4"/>
  <c r="C609" i="4"/>
  <c r="D609" i="4" s="1"/>
  <c r="C648" i="4"/>
  <c r="E648" i="4" s="1"/>
  <c r="C895" i="4"/>
  <c r="E895" i="4" s="1"/>
  <c r="C1019" i="4"/>
  <c r="D1019" i="4" s="1"/>
  <c r="C953" i="4"/>
  <c r="E953" i="4" s="1"/>
  <c r="C705" i="4"/>
  <c r="D705" i="4" s="1"/>
  <c r="C703" i="4"/>
  <c r="E703" i="4" s="1"/>
  <c r="C715" i="4"/>
  <c r="D715" i="4" s="1"/>
  <c r="C651" i="4"/>
  <c r="E651" i="4" s="1"/>
  <c r="C575" i="4"/>
  <c r="D575" i="4" s="1"/>
  <c r="C581" i="4"/>
  <c r="D581" i="4" s="1"/>
  <c r="J581" i="4" s="1"/>
  <c r="C691" i="4"/>
  <c r="D691" i="4" s="1"/>
  <c r="C556" i="4"/>
  <c r="E556" i="4" s="1"/>
  <c r="C845" i="4"/>
  <c r="D845" i="4" s="1"/>
  <c r="C1014" i="4"/>
  <c r="E1014" i="4" s="1"/>
  <c r="C1022" i="4"/>
  <c r="E1022" i="4" s="1"/>
  <c r="C1030" i="4"/>
  <c r="E1030" i="4" s="1"/>
  <c r="C610" i="4"/>
  <c r="D610" i="4" s="1"/>
  <c r="C645" i="4"/>
  <c r="D645" i="4" s="1"/>
  <c r="C811" i="4"/>
  <c r="E811" i="4" s="1"/>
  <c r="C982" i="4"/>
  <c r="E982" i="4" s="1"/>
  <c r="C592" i="4"/>
  <c r="E592" i="4" s="1"/>
  <c r="C729" i="4"/>
  <c r="D729" i="4" s="1"/>
  <c r="C657" i="4"/>
  <c r="E657" i="4" s="1"/>
  <c r="C862" i="4"/>
  <c r="E862" i="4" s="1"/>
  <c r="C1051" i="4"/>
  <c r="E1051" i="4" s="1"/>
  <c r="C960" i="4"/>
  <c r="E960" i="4" s="1"/>
  <c r="C874" i="4"/>
  <c r="E874" i="4" s="1"/>
  <c r="C708" i="4"/>
  <c r="E708" i="4" s="1"/>
  <c r="C1031" i="4"/>
  <c r="E1031" i="4" s="1"/>
  <c r="C835" i="4"/>
  <c r="D835" i="4" s="1"/>
  <c r="C709" i="4"/>
  <c r="D709" i="4" s="1"/>
  <c r="J709" i="4" s="1"/>
  <c r="C660" i="4"/>
  <c r="D660" i="4" s="1"/>
  <c r="C589" i="4"/>
  <c r="D589" i="4" s="1"/>
  <c r="J589" i="4" s="1"/>
  <c r="C857" i="4"/>
  <c r="D857" i="4" s="1"/>
  <c r="C927" i="4"/>
  <c r="D927" i="4" s="1"/>
  <c r="C1009" i="4"/>
  <c r="D1009" i="4" s="1"/>
  <c r="C1061" i="4"/>
  <c r="E1061" i="4" s="1"/>
  <c r="C682" i="4"/>
  <c r="D682" i="4" s="1"/>
  <c r="C571" i="4"/>
  <c r="E571" i="4" s="1"/>
  <c r="C790" i="4"/>
  <c r="E790" i="4" s="1"/>
  <c r="C614" i="4"/>
  <c r="E614" i="4" s="1"/>
  <c r="C655" i="4"/>
  <c r="D655" i="4" s="1"/>
  <c r="C593" i="4"/>
  <c r="E593" i="4" s="1"/>
  <c r="C591" i="4"/>
  <c r="E591" i="4" s="1"/>
  <c r="C580" i="4"/>
  <c r="C1057" i="4"/>
  <c r="D1057" i="4" s="1"/>
  <c r="C955" i="4"/>
  <c r="D955" i="4" s="1"/>
  <c r="C1041" i="4"/>
  <c r="D1041" i="4" s="1"/>
  <c r="C1067" i="4"/>
  <c r="D1067" i="4" s="1"/>
  <c r="C731" i="4"/>
  <c r="E731" i="4" s="1"/>
  <c r="C763" i="4"/>
  <c r="E763" i="4" s="1"/>
  <c r="C718" i="4"/>
  <c r="D718" i="4" s="1"/>
  <c r="C623" i="4"/>
  <c r="D623" i="4" s="1"/>
  <c r="C925" i="4"/>
  <c r="D925" i="4" s="1"/>
  <c r="C649" i="4"/>
  <c r="E649" i="4" s="1"/>
  <c r="C628" i="4"/>
  <c r="E628" i="4" s="1"/>
  <c r="C720" i="4"/>
  <c r="E720" i="4" s="1"/>
  <c r="C885" i="4"/>
  <c r="E885" i="4" s="1"/>
  <c r="C836" i="4"/>
  <c r="D836" i="4" s="1"/>
  <c r="J836" i="4" s="1"/>
  <c r="C1062" i="4"/>
  <c r="D1062" i="4" s="1"/>
  <c r="C1016" i="4"/>
  <c r="E1016" i="4" s="1"/>
  <c r="C642" i="4"/>
  <c r="E642" i="4" s="1"/>
  <c r="C653" i="4"/>
  <c r="E653" i="4" s="1"/>
  <c r="C736" i="4"/>
  <c r="E736" i="4" s="1"/>
  <c r="C679" i="4"/>
  <c r="E679" i="4" s="1"/>
  <c r="C923" i="4"/>
  <c r="E923" i="4" s="1"/>
  <c r="C688" i="4"/>
  <c r="D688" i="4" s="1"/>
  <c r="C851" i="4"/>
  <c r="E851" i="4" s="1"/>
  <c r="C798" i="4"/>
  <c r="E798" i="4" s="1"/>
  <c r="C868" i="4"/>
  <c r="E868" i="4" s="1"/>
  <c r="C994" i="4"/>
  <c r="D994" i="4" s="1"/>
  <c r="C1011" i="4"/>
  <c r="D1011" i="4" s="1"/>
  <c r="C778" i="4"/>
  <c r="D778" i="4" s="1"/>
  <c r="C1008" i="4"/>
  <c r="E1008" i="4" s="1"/>
  <c r="C646" i="4"/>
  <c r="E646" i="4" s="1"/>
  <c r="C833" i="4"/>
  <c r="D833" i="4" s="1"/>
  <c r="C603" i="4"/>
  <c r="E603" i="4" s="1"/>
  <c r="C758" i="4"/>
  <c r="E758" i="4" s="1"/>
  <c r="C877" i="4"/>
  <c r="E877" i="4" s="1"/>
  <c r="C528" i="4"/>
  <c r="E528" i="4" s="1"/>
  <c r="C302" i="4"/>
  <c r="D302" i="4" s="1"/>
  <c r="C116" i="4"/>
  <c r="E116" i="4" s="1"/>
  <c r="C171" i="4"/>
  <c r="E171" i="4" s="1"/>
  <c r="C524" i="4"/>
  <c r="D524" i="4" s="1"/>
  <c r="C288" i="4"/>
  <c r="D288" i="4" s="1"/>
  <c r="C112" i="4"/>
  <c r="E112" i="4" s="1"/>
  <c r="C466" i="4"/>
  <c r="D466" i="4" s="1"/>
  <c r="C520" i="4"/>
  <c r="E520" i="4" s="1"/>
  <c r="C277" i="4"/>
  <c r="D277" i="4" s="1"/>
  <c r="C108" i="4"/>
  <c r="E108" i="4" s="1"/>
  <c r="C389" i="4"/>
  <c r="D389" i="4" s="1"/>
  <c r="C516" i="4"/>
  <c r="D516" i="4" s="1"/>
  <c r="C509" i="4"/>
  <c r="E509" i="4" s="1"/>
  <c r="C104" i="4"/>
  <c r="D104" i="4" s="1"/>
  <c r="C333" i="4"/>
  <c r="D333" i="4" s="1"/>
  <c r="C499" i="4"/>
  <c r="D499" i="4" s="1"/>
  <c r="C334" i="4"/>
  <c r="E334" i="4" s="1"/>
  <c r="C128" i="4"/>
  <c r="D128" i="4" s="1"/>
  <c r="C216" i="4"/>
  <c r="D216" i="4" s="1"/>
  <c r="C523" i="4"/>
  <c r="D523" i="4" s="1"/>
  <c r="C303" i="4"/>
  <c r="D303" i="4" s="1"/>
  <c r="C198" i="4"/>
  <c r="E198" i="4" s="1"/>
  <c r="C159" i="4"/>
  <c r="D159" i="4" s="1"/>
  <c r="C484" i="4"/>
  <c r="D484" i="4" s="1"/>
  <c r="C88" i="4"/>
  <c r="D88" i="4" s="1"/>
  <c r="C199" i="4"/>
  <c r="E199" i="4" s="1"/>
  <c r="C384" i="4"/>
  <c r="D384" i="4" s="1"/>
  <c r="C30" i="4"/>
  <c r="D30" i="4" s="1"/>
  <c r="J30" i="4" s="1"/>
  <c r="C232" i="4"/>
  <c r="D232" i="4" s="1"/>
  <c r="C235" i="4"/>
  <c r="D235" i="4" s="1"/>
  <c r="C326" i="4"/>
  <c r="D326" i="4" s="1"/>
  <c r="C496" i="4"/>
  <c r="E496" i="4" s="1"/>
  <c r="C433" i="4"/>
  <c r="E433" i="4" s="1"/>
  <c r="C84" i="4"/>
  <c r="D84" i="4" s="1"/>
  <c r="J84" i="4" s="1"/>
  <c r="C344" i="4"/>
  <c r="E344" i="4" s="1"/>
  <c r="C492" i="4"/>
  <c r="E492" i="4" s="1"/>
  <c r="C421" i="4"/>
  <c r="E421" i="4" s="1"/>
  <c r="C80" i="4"/>
  <c r="E80" i="4" s="1"/>
  <c r="C167" i="4"/>
  <c r="E167" i="4" s="1"/>
  <c r="C478" i="4"/>
  <c r="D478" i="4" s="1"/>
  <c r="C420" i="4"/>
  <c r="E420" i="4" s="1"/>
  <c r="C76" i="4"/>
  <c r="D76" i="4" s="1"/>
  <c r="J76" i="4" s="1"/>
  <c r="C143" i="4"/>
  <c r="E143" i="4" s="1"/>
  <c r="C477" i="4"/>
  <c r="E477" i="4" s="1"/>
  <c r="C395" i="4"/>
  <c r="D395" i="4" s="1"/>
  <c r="C72" i="4"/>
  <c r="E72" i="4" s="1"/>
  <c r="C135" i="4"/>
  <c r="E135" i="4" s="1"/>
  <c r="C508" i="4"/>
  <c r="D508" i="4" s="1"/>
  <c r="C474" i="4"/>
  <c r="D474" i="4" s="1"/>
  <c r="C96" i="4"/>
  <c r="E96" i="4" s="1"/>
  <c r="C312" i="4"/>
  <c r="E312" i="4" s="1"/>
  <c r="C500" i="4"/>
  <c r="E500" i="4" s="1"/>
  <c r="C271" i="4"/>
  <c r="E271" i="4" s="1"/>
  <c r="C166" i="4"/>
  <c r="E166" i="4" s="1"/>
  <c r="C118" i="4"/>
  <c r="E118" i="4" s="1"/>
  <c r="C85" i="4"/>
  <c r="E85" i="4" s="1"/>
  <c r="C239" i="4"/>
  <c r="E239" i="4" s="1"/>
  <c r="C473" i="4"/>
  <c r="D473" i="4" s="1"/>
  <c r="C50" i="4"/>
  <c r="D50" i="4" s="1"/>
  <c r="C192" i="4"/>
  <c r="E192" i="4" s="1"/>
  <c r="C156" i="4"/>
  <c r="D156" i="4" s="1"/>
  <c r="J156" i="4" s="1"/>
  <c r="C187" i="4"/>
  <c r="D187" i="4" s="1"/>
  <c r="C475" i="4"/>
  <c r="D475" i="4" s="1"/>
  <c r="C261" i="4"/>
  <c r="C459" i="4"/>
  <c r="E459" i="4" s="1"/>
  <c r="C257" i="4"/>
  <c r="D257" i="4" s="1"/>
  <c r="C20" i="4"/>
  <c r="D20" i="4" s="1"/>
  <c r="J20" i="4" s="1"/>
  <c r="C396" i="4"/>
  <c r="D396" i="4" s="1"/>
  <c r="C455" i="4"/>
  <c r="E455" i="4" s="1"/>
  <c r="C253" i="4"/>
  <c r="D253" i="4" s="1"/>
  <c r="C521" i="4"/>
  <c r="D521" i="4" s="1"/>
  <c r="C301" i="4"/>
  <c r="E301" i="4" s="1"/>
  <c r="C451" i="4"/>
  <c r="E451" i="4" s="1"/>
  <c r="C249" i="4"/>
  <c r="D249" i="4" s="1"/>
  <c r="C414" i="4"/>
  <c r="D414" i="4" s="1"/>
  <c r="C294" i="4"/>
  <c r="D294" i="4" s="1"/>
  <c r="C447" i="4"/>
  <c r="E447" i="4" s="1"/>
  <c r="C245" i="4"/>
  <c r="D245" i="4" s="1"/>
  <c r="C412" i="4"/>
  <c r="E412" i="4" s="1"/>
  <c r="C280" i="4"/>
  <c r="D280" i="4" s="1"/>
  <c r="C471" i="4"/>
  <c r="E471" i="4" s="1"/>
  <c r="C273" i="4"/>
  <c r="E273" i="4" s="1"/>
  <c r="C32" i="4"/>
  <c r="E32" i="4" s="1"/>
  <c r="C176" i="4"/>
  <c r="D176" i="4" s="1"/>
  <c r="C485" i="4"/>
  <c r="D485" i="4" s="1"/>
  <c r="C374" i="4"/>
  <c r="E374" i="4" s="1"/>
  <c r="C293" i="4"/>
  <c r="D293" i="4" s="1"/>
  <c r="C54" i="4"/>
  <c r="D54" i="4" s="1"/>
  <c r="C97" i="4"/>
  <c r="E97" i="4" s="1"/>
  <c r="C82" i="4"/>
  <c r="D82" i="4" s="1"/>
  <c r="C437" i="4"/>
  <c r="E437" i="4" s="1"/>
  <c r="C31" i="4"/>
  <c r="E31" i="4" s="1"/>
  <c r="C41" i="4"/>
  <c r="E41" i="4" s="1"/>
  <c r="C53" i="4"/>
  <c r="E53" i="4" s="1"/>
  <c r="C299" i="4"/>
  <c r="E299" i="4" s="1"/>
  <c r="C263" i="4"/>
  <c r="E263" i="4" s="1"/>
  <c r="C427" i="4"/>
  <c r="E427" i="4" s="1"/>
  <c r="C225" i="4"/>
  <c r="D225" i="4" s="1"/>
  <c r="C354" i="4"/>
  <c r="D354" i="4" s="1"/>
  <c r="C203" i="4"/>
  <c r="E203" i="4" s="1"/>
  <c r="C423" i="4"/>
  <c r="D423" i="4" s="1"/>
  <c r="C221" i="4"/>
  <c r="D221" i="4" s="1"/>
  <c r="C340" i="4"/>
  <c r="E340" i="4" s="1"/>
  <c r="C149" i="4"/>
  <c r="D149" i="4" s="1"/>
  <c r="J149" i="4" s="1"/>
  <c r="C419" i="4"/>
  <c r="D419" i="4" s="1"/>
  <c r="C217" i="4"/>
  <c r="E217" i="4" s="1"/>
  <c r="C297" i="4"/>
  <c r="E297" i="4" s="1"/>
  <c r="C141" i="4"/>
  <c r="E141" i="4" s="1"/>
  <c r="C415" i="4"/>
  <c r="E415" i="4" s="1"/>
  <c r="C213" i="4"/>
  <c r="D213" i="4" s="1"/>
  <c r="C290" i="4"/>
  <c r="D290" i="4" s="1"/>
  <c r="C127" i="4"/>
  <c r="E127" i="4" s="1"/>
  <c r="C439" i="4"/>
  <c r="D439" i="4" s="1"/>
  <c r="C237" i="4"/>
  <c r="D237" i="4" s="1"/>
  <c r="C386" i="4"/>
  <c r="D386" i="4" s="1"/>
  <c r="C441" i="4"/>
  <c r="E441" i="4" s="1"/>
  <c r="C527" i="4"/>
  <c r="E527" i="4" s="1"/>
  <c r="C402" i="4"/>
  <c r="E402" i="4" s="1"/>
  <c r="C296" i="4"/>
  <c r="E296" i="4" s="1"/>
  <c r="C22" i="4"/>
  <c r="D22" i="4" s="1"/>
  <c r="J22" i="4" s="1"/>
  <c r="C491" i="4"/>
  <c r="E491" i="4" s="1"/>
  <c r="C379" i="4"/>
  <c r="E379" i="4" s="1"/>
  <c r="C55" i="4"/>
  <c r="E55" i="4" s="1"/>
  <c r="C121" i="4"/>
  <c r="D121" i="4" s="1"/>
  <c r="C37" i="4"/>
  <c r="E37" i="4" s="1"/>
  <c r="C530" i="4"/>
  <c r="D530" i="4" s="1"/>
  <c r="C194" i="4"/>
  <c r="E194" i="4" s="1"/>
  <c r="C119" i="4"/>
  <c r="D119" i="4" s="1"/>
  <c r="C529" i="4"/>
  <c r="D529" i="4" s="1"/>
  <c r="C193" i="4"/>
  <c r="D193" i="4" s="1"/>
  <c r="C231" i="4"/>
  <c r="D231" i="4" s="1"/>
  <c r="C87" i="4"/>
  <c r="E87" i="4" s="1"/>
  <c r="C493" i="4"/>
  <c r="E493" i="4" s="1"/>
  <c r="C189" i="4"/>
  <c r="E189" i="4" s="1"/>
  <c r="C223" i="4"/>
  <c r="E223" i="4" s="1"/>
  <c r="C79" i="4"/>
  <c r="E79" i="4" s="1"/>
  <c r="C476" i="4"/>
  <c r="D476" i="4" s="1"/>
  <c r="C185" i="4"/>
  <c r="D185" i="4" s="1"/>
  <c r="C215" i="4"/>
  <c r="E215" i="4" s="1"/>
  <c r="C71" i="4"/>
  <c r="E71" i="4" s="1"/>
  <c r="C470" i="4"/>
  <c r="E470" i="4" s="1"/>
  <c r="C181" i="4"/>
  <c r="D181" i="4" s="1"/>
  <c r="C207" i="4"/>
  <c r="E207" i="4" s="1"/>
  <c r="C63" i="4"/>
  <c r="E63" i="4" s="1"/>
  <c r="C407" i="4"/>
  <c r="D407" i="4" s="1"/>
  <c r="C205" i="4"/>
  <c r="E205" i="4" s="1"/>
  <c r="C255" i="4"/>
  <c r="E255" i="4" s="1"/>
  <c r="C111" i="4"/>
  <c r="E111" i="4" s="1"/>
  <c r="C495" i="4"/>
  <c r="D495" i="4" s="1"/>
  <c r="C320" i="4"/>
  <c r="D320" i="4" s="1"/>
  <c r="C124" i="4"/>
  <c r="D124" i="4" s="1"/>
  <c r="C200" i="4"/>
  <c r="D200" i="4" s="1"/>
  <c r="C506" i="4"/>
  <c r="E506" i="4" s="1"/>
  <c r="C95" i="4"/>
  <c r="E95" i="4" s="1"/>
  <c r="C43" i="4"/>
  <c r="D43" i="4" s="1"/>
  <c r="C81" i="4"/>
  <c r="E81" i="4" s="1"/>
  <c r="C512" i="4"/>
  <c r="E512" i="4" s="1"/>
  <c r="C450" i="4"/>
  <c r="D450" i="4" s="1"/>
  <c r="C148" i="4"/>
  <c r="D148" i="4" s="1"/>
  <c r="J148" i="4" s="1"/>
  <c r="C366" i="4"/>
  <c r="E366" i="4" s="1"/>
  <c r="C413" i="4"/>
  <c r="D413" i="4" s="1"/>
  <c r="C430" i="4"/>
  <c r="D430" i="4" s="1"/>
  <c r="C168" i="4"/>
  <c r="D168" i="4" s="1"/>
  <c r="C23" i="4"/>
  <c r="E23" i="4" s="1"/>
  <c r="C406" i="4"/>
  <c r="D406" i="4" s="1"/>
  <c r="C417" i="4"/>
  <c r="E417" i="4" s="1"/>
  <c r="C161" i="4"/>
  <c r="D161" i="4" s="1"/>
  <c r="C453" i="4"/>
  <c r="E453" i="4" s="1"/>
  <c r="C399" i="4"/>
  <c r="E399" i="4" s="1"/>
  <c r="C416" i="4"/>
  <c r="D416" i="4" s="1"/>
  <c r="C147" i="4"/>
  <c r="E147" i="4" s="1"/>
  <c r="C259" i="4"/>
  <c r="E259" i="4" s="1"/>
  <c r="C398" i="4"/>
  <c r="E398" i="4" s="1"/>
  <c r="C404" i="4"/>
  <c r="D404" i="4" s="1"/>
  <c r="C513" i="4"/>
  <c r="D513" i="4" s="1"/>
  <c r="C227" i="4"/>
  <c r="E227" i="4" s="1"/>
  <c r="C445" i="4"/>
  <c r="E445" i="4" s="1"/>
  <c r="C173" i="4"/>
  <c r="D173" i="4" s="1"/>
  <c r="J173" i="4" s="1"/>
  <c r="C191" i="4"/>
  <c r="D191" i="4" s="1"/>
  <c r="C47" i="4"/>
  <c r="E47" i="4" s="1"/>
  <c r="C504" i="4"/>
  <c r="E504" i="4" s="1"/>
  <c r="C460" i="4"/>
  <c r="D460" i="4" s="1"/>
  <c r="C92" i="4"/>
  <c r="E92" i="4" s="1"/>
  <c r="C465" i="4"/>
  <c r="E465" i="4" s="1"/>
  <c r="C431" i="4"/>
  <c r="D431" i="4" s="1"/>
  <c r="C83" i="4"/>
  <c r="D83" i="4" s="1"/>
  <c r="C129" i="4"/>
  <c r="E129" i="4" s="1"/>
  <c r="C383" i="4"/>
  <c r="E383" i="4" s="1"/>
  <c r="C489" i="4"/>
  <c r="D489" i="4" s="1"/>
  <c r="C267" i="4"/>
  <c r="E267" i="4" s="1"/>
  <c r="C322" i="4"/>
  <c r="E322" i="4" s="1"/>
  <c r="C380" i="4"/>
  <c r="E380" i="4" s="1"/>
  <c r="C361" i="4"/>
  <c r="E361" i="4" s="1"/>
  <c r="C373" i="4"/>
  <c r="D373" i="4" s="1"/>
  <c r="C348" i="4"/>
  <c r="E348" i="4" s="1"/>
  <c r="C403" i="4"/>
  <c r="E403" i="4" s="1"/>
  <c r="C356" i="4"/>
  <c r="D356" i="4" s="1"/>
  <c r="C364" i="4"/>
  <c r="E364" i="4" s="1"/>
  <c r="C305" i="4"/>
  <c r="E305" i="4" s="1"/>
  <c r="C266" i="4"/>
  <c r="E266" i="4" s="1"/>
  <c r="C517" i="4"/>
  <c r="E517" i="4" s="1"/>
  <c r="C358" i="4"/>
  <c r="E358" i="4" s="1"/>
  <c r="C298" i="4"/>
  <c r="E298" i="4" s="1"/>
  <c r="C163" i="4"/>
  <c r="E163" i="4" s="1"/>
  <c r="C502" i="4"/>
  <c r="D502" i="4" s="1"/>
  <c r="C353" i="4"/>
  <c r="E353" i="4" s="1"/>
  <c r="C284" i="4"/>
  <c r="E284" i="4" s="1"/>
  <c r="C133" i="4"/>
  <c r="E133" i="4" s="1"/>
  <c r="C382" i="4"/>
  <c r="D382" i="4" s="1"/>
  <c r="C394" i="4"/>
  <c r="E394" i="4" s="1"/>
  <c r="C410" i="4"/>
  <c r="D410" i="4" s="1"/>
  <c r="C152" i="4"/>
  <c r="E152" i="4" s="1"/>
  <c r="C514" i="4"/>
  <c r="D514" i="4" s="1"/>
  <c r="C338" i="4"/>
  <c r="E338" i="4" s="1"/>
  <c r="C60" i="4"/>
  <c r="E60" i="4" s="1"/>
  <c r="C330" i="4"/>
  <c r="D330" i="4" s="1"/>
  <c r="C424" i="4"/>
  <c r="E424" i="4" s="1"/>
  <c r="C45" i="4"/>
  <c r="D45" i="4" s="1"/>
  <c r="J45" i="4" s="1"/>
  <c r="C456" i="4"/>
  <c r="E456" i="4" s="1"/>
  <c r="C311" i="4"/>
  <c r="D311" i="4" s="1"/>
  <c r="C279" i="4"/>
  <c r="E279" i="4" s="1"/>
  <c r="C309" i="4"/>
  <c r="D309" i="4" s="1"/>
  <c r="C472" i="4"/>
  <c r="E472" i="4" s="1"/>
  <c r="C359" i="4"/>
  <c r="E359" i="4" s="1"/>
  <c r="C436" i="4"/>
  <c r="E436" i="4" s="1"/>
  <c r="C300" i="4"/>
  <c r="D300" i="4" s="1"/>
  <c r="J300" i="4" s="1"/>
  <c r="C236" i="4"/>
  <c r="E236" i="4" s="1"/>
  <c r="C165" i="4"/>
  <c r="E165" i="4" s="1"/>
  <c r="C425" i="4"/>
  <c r="E425" i="4" s="1"/>
  <c r="C289" i="4"/>
  <c r="E289" i="4" s="1"/>
  <c r="C228" i="4"/>
  <c r="E228" i="4" s="1"/>
  <c r="C131" i="4"/>
  <c r="E131" i="4" s="1"/>
  <c r="C418" i="4"/>
  <c r="D418" i="4" s="1"/>
  <c r="C282" i="4"/>
  <c r="D282" i="4" s="1"/>
  <c r="C220" i="4"/>
  <c r="D220" i="4" s="1"/>
  <c r="C123" i="4"/>
  <c r="E123" i="4" s="1"/>
  <c r="C393" i="4"/>
  <c r="E393" i="4" s="1"/>
  <c r="C270" i="4"/>
  <c r="E270" i="4" s="1"/>
  <c r="C212" i="4"/>
  <c r="D212" i="4" s="1"/>
  <c r="C115" i="4"/>
  <c r="E115" i="4" s="1"/>
  <c r="C468" i="4"/>
  <c r="D468" i="4" s="1"/>
  <c r="C332" i="4"/>
  <c r="E332" i="4" s="1"/>
  <c r="C260" i="4"/>
  <c r="E260" i="4" s="1"/>
  <c r="C251" i="4"/>
  <c r="E251" i="4" s="1"/>
  <c r="C467" i="4"/>
  <c r="E467" i="4" s="1"/>
  <c r="C272" i="4"/>
  <c r="D272" i="4" s="1"/>
  <c r="C28" i="4"/>
  <c r="D28" i="4" s="1"/>
  <c r="J28" i="4" s="1"/>
  <c r="C160" i="4"/>
  <c r="D160" i="4" s="1"/>
  <c r="C411" i="4"/>
  <c r="E411" i="4" s="1"/>
  <c r="C331" i="4"/>
  <c r="E331" i="4" s="1"/>
  <c r="C448" i="4"/>
  <c r="E448" i="4" s="1"/>
  <c r="C341" i="4"/>
  <c r="E341" i="4" s="1"/>
  <c r="C229" i="4"/>
  <c r="D229" i="4" s="1"/>
  <c r="C483" i="4"/>
  <c r="D483" i="4" s="1"/>
  <c r="C137" i="4"/>
  <c r="D137" i="4" s="1"/>
  <c r="C360" i="4"/>
  <c r="D360" i="4" s="1"/>
  <c r="C254" i="4"/>
  <c r="E254" i="4" s="1"/>
  <c r="C172" i="4"/>
  <c r="E172" i="4" s="1"/>
  <c r="C75" i="4"/>
  <c r="E75" i="4" s="1"/>
  <c r="C355" i="4"/>
  <c r="D355" i="4" s="1"/>
  <c r="C250" i="4"/>
  <c r="E250" i="4" s="1"/>
  <c r="C169" i="4"/>
  <c r="D169" i="4" s="1"/>
  <c r="C67" i="4"/>
  <c r="E67" i="4" s="1"/>
  <c r="C351" i="4"/>
  <c r="D351" i="4" s="1"/>
  <c r="C246" i="4"/>
  <c r="E246" i="4" s="1"/>
  <c r="C155" i="4"/>
  <c r="E155" i="4" s="1"/>
  <c r="C59" i="4"/>
  <c r="D59" i="4" s="1"/>
  <c r="C347" i="4"/>
  <c r="E347" i="4" s="1"/>
  <c r="C242" i="4"/>
  <c r="D242" i="4" s="1"/>
  <c r="C494" i="4"/>
  <c r="D494" i="4" s="1"/>
  <c r="C51" i="4"/>
  <c r="E51" i="4" s="1"/>
  <c r="C377" i="4"/>
  <c r="E377" i="4" s="1"/>
  <c r="C268" i="4"/>
  <c r="D268" i="4" s="1"/>
  <c r="C196" i="4"/>
  <c r="D196" i="4" s="1"/>
  <c r="J196" i="4" s="1"/>
  <c r="C99" i="4"/>
  <c r="E99" i="4" s="1"/>
  <c r="C435" i="4"/>
  <c r="E435" i="4" s="1"/>
  <c r="C233" i="4"/>
  <c r="D233" i="4" s="1"/>
  <c r="C372" i="4"/>
  <c r="D372" i="4" s="1"/>
  <c r="C329" i="4"/>
  <c r="E329" i="4" s="1"/>
  <c r="C443" i="4"/>
  <c r="D443" i="4" s="1"/>
  <c r="C343" i="4"/>
  <c r="E343" i="4" s="1"/>
  <c r="C362" i="4"/>
  <c r="E362" i="4" s="1"/>
  <c r="C274" i="4"/>
  <c r="E274" i="4" s="1"/>
  <c r="C241" i="4"/>
  <c r="E241" i="4" s="1"/>
  <c r="C314" i="4"/>
  <c r="D314" i="4" s="1"/>
  <c r="C94" i="4"/>
  <c r="D94" i="4" s="1"/>
  <c r="C153" i="4"/>
  <c r="D153" i="4" s="1"/>
  <c r="C327" i="4"/>
  <c r="D327" i="4" s="1"/>
  <c r="C222" i="4"/>
  <c r="E222" i="4" s="1"/>
  <c r="C370" i="4"/>
  <c r="D370" i="4" s="1"/>
  <c r="C105" i="4"/>
  <c r="E105" i="4" s="1"/>
  <c r="C323" i="4"/>
  <c r="E323" i="4" s="1"/>
  <c r="C218" i="4"/>
  <c r="E218" i="4" s="1"/>
  <c r="C349" i="4"/>
  <c r="E349" i="4" s="1"/>
  <c r="C89" i="4"/>
  <c r="E89" i="4" s="1"/>
  <c r="C319" i="4"/>
  <c r="E319" i="4" s="1"/>
  <c r="C214" i="4"/>
  <c r="E214" i="4" s="1"/>
  <c r="C342" i="4"/>
  <c r="E342" i="4" s="1"/>
  <c r="C73" i="4"/>
  <c r="E73" i="4" s="1"/>
  <c r="C315" i="4"/>
  <c r="E315" i="4" s="1"/>
  <c r="C210" i="4"/>
  <c r="E210" i="4" s="1"/>
  <c r="C328" i="4"/>
  <c r="E328" i="4" s="1"/>
  <c r="C57" i="4"/>
  <c r="E57" i="4" s="1"/>
  <c r="C339" i="4"/>
  <c r="D339" i="4" s="1"/>
  <c r="C234" i="4"/>
  <c r="E234" i="4" s="1"/>
  <c r="C458" i="4"/>
  <c r="D458" i="4" s="1"/>
  <c r="C35" i="4"/>
  <c r="E35" i="4" s="1"/>
  <c r="C486" i="4"/>
  <c r="D486" i="4" s="1"/>
  <c r="C201" i="4"/>
  <c r="D201" i="4" s="1"/>
  <c r="C247" i="4"/>
  <c r="E247" i="4" s="1"/>
  <c r="C103" i="4"/>
  <c r="E103" i="4" s="1"/>
  <c r="C365" i="4"/>
  <c r="D365" i="4" s="1"/>
  <c r="C390" i="4"/>
  <c r="E390" i="4" s="1"/>
  <c r="C324" i="4"/>
  <c r="D324" i="4" s="1"/>
  <c r="C401" i="4"/>
  <c r="E401" i="4" s="1"/>
  <c r="C346" i="4"/>
  <c r="D346" i="4" s="1"/>
  <c r="C162" i="4"/>
  <c r="E162" i="4" s="1"/>
  <c r="C109" i="4"/>
  <c r="E109" i="4" s="1"/>
  <c r="C392" i="4"/>
  <c r="D392" i="4" s="1"/>
  <c r="C295" i="4"/>
  <c r="E295" i="4" s="1"/>
  <c r="C190" i="4"/>
  <c r="E190" i="4" s="1"/>
  <c r="C142" i="4"/>
  <c r="E142" i="4" s="1"/>
  <c r="C145" i="4"/>
  <c r="E145" i="4" s="1"/>
  <c r="C291" i="4"/>
  <c r="D291" i="4" s="1"/>
  <c r="C186" i="4"/>
  <c r="E186" i="4" s="1"/>
  <c r="C138" i="4"/>
  <c r="D138" i="4" s="1"/>
  <c r="C117" i="4"/>
  <c r="E117" i="4" s="1"/>
  <c r="C287" i="4"/>
  <c r="D287" i="4" s="1"/>
  <c r="C182" i="4"/>
  <c r="E182" i="4" s="1"/>
  <c r="C134" i="4"/>
  <c r="D134" i="4" s="1"/>
  <c r="C101" i="4"/>
  <c r="E101" i="4" s="1"/>
  <c r="C283" i="4"/>
  <c r="D283" i="4" s="1"/>
  <c r="C178" i="4"/>
  <c r="E178" i="4" s="1"/>
  <c r="C130" i="4"/>
  <c r="D130" i="4" s="1"/>
  <c r="C69" i="4"/>
  <c r="E69" i="4" s="1"/>
  <c r="C307" i="4"/>
  <c r="E307" i="4" s="1"/>
  <c r="C202" i="4"/>
  <c r="D202" i="4" s="1"/>
  <c r="C278" i="4"/>
  <c r="D278" i="4" s="1"/>
  <c r="C25" i="4"/>
  <c r="E25" i="4" s="1"/>
  <c r="C438" i="4"/>
  <c r="D438" i="4" s="1"/>
  <c r="C501" i="4"/>
  <c r="E501" i="4" s="1"/>
  <c r="C183" i="4"/>
  <c r="D183" i="4" s="1"/>
  <c r="C39" i="4"/>
  <c r="E39" i="4" s="1"/>
  <c r="C440" i="4"/>
  <c r="E440" i="4" s="1"/>
  <c r="C381" i="4"/>
  <c r="D381" i="4" s="1"/>
  <c r="C482" i="4"/>
  <c r="E482" i="4" s="1"/>
  <c r="C206" i="4"/>
  <c r="E206" i="4" s="1"/>
  <c r="C174" i="4"/>
  <c r="E174" i="4" s="1"/>
  <c r="C120" i="4"/>
  <c r="E120" i="4" s="1"/>
  <c r="C388" i="4"/>
  <c r="E388" i="4" s="1"/>
  <c r="C269" i="4"/>
  <c r="E269" i="4" s="1"/>
  <c r="E519" i="4"/>
  <c r="C525" i="4"/>
  <c r="D525" i="4" s="1"/>
  <c r="C158" i="4"/>
  <c r="E158" i="4" s="1"/>
  <c r="C110" i="4"/>
  <c r="D110" i="4" s="1"/>
  <c r="C426" i="4"/>
  <c r="E426" i="4" s="1"/>
  <c r="C510" i="4"/>
  <c r="E510" i="4" s="1"/>
  <c r="C154" i="4"/>
  <c r="E154" i="4" s="1"/>
  <c r="C106" i="4"/>
  <c r="D106" i="4" s="1"/>
  <c r="C179" i="4"/>
  <c r="E179" i="4" s="1"/>
  <c r="C497" i="4"/>
  <c r="E497" i="4" s="1"/>
  <c r="C150" i="4"/>
  <c r="D150" i="4" s="1"/>
  <c r="C102" i="4"/>
  <c r="D102" i="4" s="1"/>
  <c r="C243" i="4"/>
  <c r="E243" i="4" s="1"/>
  <c r="C481" i="4"/>
  <c r="E481" i="4" s="1"/>
  <c r="C146" i="4"/>
  <c r="D146" i="4" s="1"/>
  <c r="C98" i="4"/>
  <c r="D98" i="4" s="1"/>
  <c r="C125" i="4"/>
  <c r="D125" i="4" s="1"/>
  <c r="C275" i="4"/>
  <c r="D275" i="4" s="1"/>
  <c r="C170" i="4"/>
  <c r="D170" i="4" s="1"/>
  <c r="C122" i="4"/>
  <c r="E122" i="4" s="1"/>
  <c r="C61" i="4"/>
  <c r="E61" i="4" s="1"/>
  <c r="C367" i="4"/>
  <c r="E367" i="4" s="1"/>
  <c r="C387" i="4"/>
  <c r="E387" i="4" s="1"/>
  <c r="C363" i="4"/>
  <c r="D363" i="4" s="1"/>
  <c r="C139" i="4"/>
  <c r="D139" i="4" s="1"/>
  <c r="C434" i="4"/>
  <c r="D434" i="4" s="1"/>
  <c r="C177" i="4"/>
  <c r="D177" i="4" s="1"/>
  <c r="C226" i="4"/>
  <c r="E226" i="4" s="1"/>
  <c r="C317" i="4"/>
  <c r="E317" i="4" s="1"/>
  <c r="C132" i="4"/>
  <c r="E132" i="4" s="1"/>
  <c r="C369" i="4"/>
  <c r="E369" i="4" s="1"/>
  <c r="C164" i="4"/>
  <c r="D164" i="4" s="1"/>
  <c r="J164" i="4" s="1"/>
  <c r="C204" i="4"/>
  <c r="E204" i="4" s="1"/>
  <c r="C503" i="4"/>
  <c r="D503" i="4" s="1"/>
  <c r="C429" i="4"/>
  <c r="D429" i="4" s="1"/>
  <c r="C397" i="4"/>
  <c r="D397" i="4" s="1"/>
  <c r="C78" i="4"/>
  <c r="D78" i="4" s="1"/>
  <c r="C29" i="4"/>
  <c r="D29" i="4" s="1"/>
  <c r="J29" i="4" s="1"/>
  <c r="C422" i="4"/>
  <c r="D422" i="4" s="1"/>
  <c r="C350" i="4"/>
  <c r="D350" i="4" s="1"/>
  <c r="C74" i="4"/>
  <c r="D74" i="4" s="1"/>
  <c r="C479" i="4"/>
  <c r="E479" i="4" s="1"/>
  <c r="C408" i="4"/>
  <c r="E408" i="4" s="1"/>
  <c r="C336" i="4"/>
  <c r="D336" i="4" s="1"/>
  <c r="C70" i="4"/>
  <c r="E70" i="4" s="1"/>
  <c r="C308" i="4"/>
  <c r="D308" i="4" s="1"/>
  <c r="C391" i="4"/>
  <c r="D391" i="4" s="1"/>
  <c r="C325" i="4"/>
  <c r="E325" i="4" s="1"/>
  <c r="C66" i="4"/>
  <c r="E66" i="4" s="1"/>
  <c r="C151" i="4"/>
  <c r="D151" i="4" s="1"/>
  <c r="C461" i="4"/>
  <c r="E461" i="4" s="1"/>
  <c r="C469" i="4"/>
  <c r="E469" i="4" s="1"/>
  <c r="C90" i="4"/>
  <c r="E90" i="4" s="1"/>
  <c r="C93" i="4"/>
  <c r="D93" i="4" s="1"/>
  <c r="C457" i="4"/>
  <c r="E457" i="4" s="1"/>
  <c r="C321" i="4"/>
  <c r="D321" i="4" s="1"/>
  <c r="C252" i="4"/>
  <c r="E252" i="4" s="1"/>
  <c r="C219" i="4"/>
  <c r="E219" i="4" s="1"/>
  <c r="C197" i="4"/>
  <c r="D197" i="4" s="1"/>
  <c r="C238" i="4"/>
  <c r="E238" i="4" s="1"/>
  <c r="C286" i="4"/>
  <c r="D286" i="4" s="1"/>
  <c r="C36" i="4"/>
  <c r="D36" i="4" s="1"/>
  <c r="J36" i="4" s="1"/>
  <c r="C400" i="4"/>
  <c r="D400" i="4" s="1"/>
  <c r="C244" i="4"/>
  <c r="E244" i="4" s="1"/>
  <c r="C452" i="4"/>
  <c r="E452" i="4" s="1"/>
  <c r="C526" i="4"/>
  <c r="E526" i="4" s="1"/>
  <c r="C518" i="4"/>
  <c r="E518" i="4" s="1"/>
  <c r="C46" i="4"/>
  <c r="D46" i="4" s="1"/>
  <c r="J46" i="4" s="1"/>
  <c r="C65" i="4"/>
  <c r="D65" i="4" s="1"/>
  <c r="C480" i="4"/>
  <c r="D480" i="4" s="1"/>
  <c r="C446" i="4"/>
  <c r="D446" i="4" s="1"/>
  <c r="C42" i="4"/>
  <c r="D42" i="4" s="1"/>
  <c r="C49" i="4"/>
  <c r="E49" i="4" s="1"/>
  <c r="C462" i="4"/>
  <c r="E462" i="4" s="1"/>
  <c r="C444" i="4"/>
  <c r="E444" i="4" s="1"/>
  <c r="C38" i="4"/>
  <c r="D38" i="4" s="1"/>
  <c r="J38" i="4" s="1"/>
  <c r="C33" i="4"/>
  <c r="D33" i="4" s="1"/>
  <c r="C449" i="4"/>
  <c r="D449" i="4" s="1"/>
  <c r="C405" i="4"/>
  <c r="E405" i="4" s="1"/>
  <c r="C34" i="4"/>
  <c r="D34" i="4" s="1"/>
  <c r="C211" i="4"/>
  <c r="E211" i="4" s="1"/>
  <c r="C375" i="4"/>
  <c r="D375" i="4" s="1"/>
  <c r="C304" i="4"/>
  <c r="D304" i="4" s="1"/>
  <c r="C58" i="4"/>
  <c r="D58" i="4" s="1"/>
  <c r="C113" i="4"/>
  <c r="E113" i="4" s="1"/>
  <c r="C376" i="4"/>
  <c r="D376" i="4" s="1"/>
  <c r="C262" i="4"/>
  <c r="E262" i="4" s="1"/>
  <c r="C188" i="4"/>
  <c r="E188" i="4" s="1"/>
  <c r="C91" i="4"/>
  <c r="E91" i="4" s="1"/>
  <c r="C258" i="4"/>
  <c r="E258" i="4" s="1"/>
  <c r="C318" i="4"/>
  <c r="E318" i="4" s="1"/>
  <c r="C56" i="4"/>
  <c r="E56" i="4" s="1"/>
  <c r="C464" i="4"/>
  <c r="E464" i="4" s="1"/>
  <c r="C276" i="4"/>
  <c r="E276" i="4" s="1"/>
  <c r="C114" i="4"/>
  <c r="E114" i="4" s="1"/>
  <c r="C505" i="4"/>
  <c r="D505" i="4" s="1"/>
  <c r="E182" i="3"/>
  <c r="E183" i="3" s="1"/>
  <c r="J550" i="4" s="1"/>
  <c r="K550" i="4" s="1"/>
  <c r="C190" i="3"/>
  <c r="C191" i="3" s="1"/>
  <c r="E975" i="4"/>
  <c r="E190" i="3"/>
  <c r="E191" i="3" s="1"/>
  <c r="D730" i="4"/>
  <c r="D982" i="4"/>
  <c r="D678" i="4"/>
  <c r="D565" i="4"/>
  <c r="J565" i="4" s="1"/>
  <c r="C584" i="4"/>
  <c r="D584" i="4" s="1"/>
  <c r="C576" i="4"/>
  <c r="E576" i="4" s="1"/>
  <c r="C561" i="4"/>
  <c r="D561" i="4" s="1"/>
  <c r="C676" i="4"/>
  <c r="E676" i="4" s="1"/>
  <c r="C629" i="4"/>
  <c r="D629" i="4" s="1"/>
  <c r="C677" i="4"/>
  <c r="D677" i="4" s="1"/>
  <c r="C849" i="4"/>
  <c r="E849" i="4" s="1"/>
  <c r="C636" i="4"/>
  <c r="E636" i="4" s="1"/>
  <c r="C586" i="4"/>
  <c r="D586" i="4" s="1"/>
  <c r="C672" i="4"/>
  <c r="E672" i="4" s="1"/>
  <c r="C665" i="4"/>
  <c r="C652" i="4"/>
  <c r="E652" i="4" s="1"/>
  <c r="C557" i="4"/>
  <c r="C774" i="4"/>
  <c r="C569" i="4"/>
  <c r="C831" i="4"/>
  <c r="C24" i="4"/>
  <c r="C621" i="4"/>
  <c r="C107" i="4"/>
  <c r="D107" i="4" s="1"/>
  <c r="Z21" i="2"/>
  <c r="F3" i="4"/>
  <c r="E3" i="4"/>
  <c r="Q10" i="4"/>
  <c r="B28" i="5"/>
  <c r="B45" i="5"/>
  <c r="B4" i="5"/>
  <c r="F1033" i="4"/>
  <c r="F1017" i="4"/>
  <c r="F911" i="4"/>
  <c r="F795" i="4"/>
  <c r="F753" i="4"/>
  <c r="F667" i="4"/>
  <c r="F597" i="4"/>
  <c r="F678" i="4"/>
  <c r="F929" i="4"/>
  <c r="F794" i="4"/>
  <c r="F627" i="4"/>
  <c r="F674" i="4"/>
  <c r="F734" i="4"/>
  <c r="F638" i="4"/>
  <c r="F596" i="4"/>
  <c r="F1008" i="4"/>
  <c r="F934" i="4"/>
  <c r="F956" i="4"/>
  <c r="F921" i="4"/>
  <c r="F748" i="4"/>
  <c r="F735" i="4"/>
  <c r="F732" i="4"/>
  <c r="F1031" i="4"/>
  <c r="F973" i="4"/>
  <c r="F798" i="4"/>
  <c r="F589" i="4"/>
  <c r="F972" i="4"/>
  <c r="F643" i="4"/>
  <c r="F939" i="4"/>
  <c r="F575" i="4"/>
  <c r="F607" i="4"/>
  <c r="F1054" i="4"/>
  <c r="F955" i="4"/>
  <c r="F916" i="4"/>
  <c r="F778" i="4"/>
  <c r="F1036" i="4"/>
  <c r="F937" i="4"/>
  <c r="F879" i="4"/>
  <c r="F917" i="4"/>
  <c r="F710" i="4"/>
  <c r="F635" i="4"/>
  <c r="F565" i="4"/>
  <c r="F574" i="4"/>
  <c r="F922" i="4"/>
  <c r="F905" i="4"/>
  <c r="F563" i="4"/>
  <c r="F1055" i="4"/>
  <c r="F848" i="4"/>
  <c r="F1000" i="4"/>
  <c r="F687" i="4"/>
  <c r="F1007" i="4"/>
  <c r="F894" i="4"/>
  <c r="F944" i="4"/>
  <c r="F809" i="4"/>
  <c r="F723" i="4"/>
  <c r="F707" i="4"/>
  <c r="F725" i="4"/>
  <c r="F1060" i="4"/>
  <c r="F960" i="4"/>
  <c r="F702" i="4"/>
  <c r="F648" i="4"/>
  <c r="F874" i="4"/>
  <c r="F873" i="4"/>
  <c r="F870" i="4"/>
  <c r="F665" i="4"/>
  <c r="F672" i="4"/>
  <c r="F998" i="4"/>
  <c r="F991" i="4"/>
  <c r="F833" i="4"/>
  <c r="F746" i="4"/>
  <c r="F830" i="4"/>
  <c r="F559" i="4"/>
  <c r="F576" i="4"/>
  <c r="F1059" i="4"/>
  <c r="F910" i="4"/>
  <c r="F864" i="4"/>
  <c r="F800" i="4"/>
  <c r="F1053" i="4"/>
  <c r="F792" i="4"/>
  <c r="F964" i="4"/>
  <c r="F745" i="4"/>
  <c r="F1047" i="4"/>
  <c r="F951" i="4"/>
  <c r="F908" i="4"/>
  <c r="F774" i="4"/>
  <c r="F765" i="4"/>
  <c r="F587" i="4"/>
  <c r="F632" i="4"/>
  <c r="F622" i="4"/>
  <c r="F878" i="4"/>
  <c r="F779" i="4"/>
  <c r="F673" i="4"/>
  <c r="F1052" i="4"/>
  <c r="F729" i="4"/>
  <c r="F1028" i="4"/>
  <c r="F724" i="4"/>
  <c r="F826" i="4"/>
  <c r="F540" i="4"/>
  <c r="F993" i="4"/>
  <c r="F977" i="4"/>
  <c r="F987" i="4"/>
  <c r="F816" i="4"/>
  <c r="F893" i="4"/>
  <c r="F603" i="4"/>
  <c r="F664" i="4"/>
  <c r="F606" i="4"/>
  <c r="E540" i="4"/>
  <c r="F1013" i="4"/>
  <c r="F935" i="4"/>
  <c r="F876" i="4"/>
  <c r="F758" i="4"/>
  <c r="F965" i="4"/>
  <c r="F571" i="4"/>
  <c r="F600" i="4"/>
  <c r="F1058" i="4"/>
  <c r="F903" i="4"/>
  <c r="F749" i="4"/>
  <c r="F621" i="4"/>
  <c r="F1020" i="4"/>
  <c r="F704" i="4"/>
  <c r="F714" i="4"/>
  <c r="F1022" i="4"/>
  <c r="F980" i="4"/>
  <c r="F995" i="4"/>
  <c r="F823" i="4"/>
  <c r="F952" i="4"/>
  <c r="F719" i="4"/>
  <c r="F625" i="4"/>
  <c r="F580" i="4"/>
  <c r="F1066" i="4"/>
  <c r="F868" i="4"/>
  <c r="F720" i="4"/>
  <c r="F636" i="4"/>
  <c r="F861" i="4"/>
  <c r="F984" i="4"/>
  <c r="F839" i="4"/>
  <c r="F709" i="4"/>
  <c r="F1067" i="4"/>
  <c r="F1003" i="4"/>
  <c r="F886" i="4"/>
  <c r="F857" i="4"/>
  <c r="F788" i="4"/>
  <c r="F716" i="4"/>
  <c r="F691" i="4"/>
  <c r="F697" i="4"/>
  <c r="F1011" i="4"/>
  <c r="F891" i="4"/>
  <c r="F722" i="4"/>
  <c r="F577" i="4"/>
  <c r="F959" i="4"/>
  <c r="F579" i="4"/>
  <c r="F915" i="4"/>
  <c r="F660" i="4"/>
  <c r="F999" i="4"/>
  <c r="F914" i="4"/>
  <c r="F860" i="4"/>
  <c r="F871" i="4"/>
  <c r="F793" i="4"/>
  <c r="F897" i="4"/>
  <c r="F685" i="4"/>
  <c r="F1004" i="4"/>
  <c r="F938" i="4"/>
  <c r="F690" i="4"/>
  <c r="F721" i="4"/>
  <c r="F945" i="4"/>
  <c r="F804" i="4"/>
  <c r="F1010" i="4"/>
  <c r="F633" i="4"/>
  <c r="F843" i="4"/>
  <c r="F618" i="4"/>
  <c r="F650" i="4"/>
  <c r="F701" i="4"/>
  <c r="F1012" i="4"/>
  <c r="F976" i="4"/>
  <c r="F813" i="4"/>
  <c r="F726" i="4"/>
  <c r="F773" i="4"/>
  <c r="F740" i="4"/>
  <c r="F737" i="4"/>
  <c r="F1023" i="4"/>
  <c r="F924" i="4"/>
  <c r="F796" i="4"/>
  <c r="F557" i="4"/>
  <c r="F943" i="4"/>
  <c r="F611" i="4"/>
  <c r="F780" i="4"/>
  <c r="F1032" i="4"/>
  <c r="F996" i="4"/>
  <c r="F907" i="4"/>
  <c r="F791" i="4"/>
  <c r="F752" i="4"/>
  <c r="F663" i="4"/>
  <c r="F593" i="4"/>
  <c r="F642" i="4"/>
  <c r="F978" i="4"/>
  <c r="F819" i="4"/>
  <c r="F711" i="4"/>
  <c r="F614" i="4"/>
  <c r="F832" i="4"/>
  <c r="F747" i="4"/>
  <c r="F799" i="4"/>
  <c r="F821" i="4"/>
  <c r="F1057" i="4"/>
  <c r="F1044" i="4"/>
  <c r="F586" i="4"/>
  <c r="F1018" i="4"/>
  <c r="F898" i="4"/>
  <c r="F979" i="4"/>
  <c r="F818" i="4"/>
  <c r="F728" i="4"/>
  <c r="F715" i="4"/>
  <c r="F764" i="4"/>
  <c r="F1002" i="4"/>
  <c r="F940" i="4"/>
  <c r="F743" i="4"/>
  <c r="F584" i="4"/>
  <c r="F842" i="4"/>
  <c r="F669" i="4"/>
  <c r="F671" i="4"/>
  <c r="F1025" i="4"/>
  <c r="F933" i="4"/>
  <c r="F875" i="4"/>
  <c r="F901" i="4"/>
  <c r="F706" i="4"/>
  <c r="F631" i="4"/>
  <c r="F561" i="4"/>
  <c r="F756" i="4"/>
  <c r="F1027" i="4"/>
  <c r="F885" i="4"/>
  <c r="F595" i="4"/>
  <c r="F1034" i="4"/>
  <c r="F834" i="4"/>
  <c r="F1051" i="4"/>
  <c r="F771" i="4"/>
  <c r="F637" i="4"/>
  <c r="F1050" i="4"/>
  <c r="F971" i="4"/>
  <c r="F958" i="4"/>
  <c r="F815" i="4"/>
  <c r="F786" i="4"/>
  <c r="F703" i="4"/>
  <c r="F617" i="4"/>
  <c r="F564" i="4"/>
  <c r="F988" i="4"/>
  <c r="F841" i="4"/>
  <c r="F777" i="4"/>
  <c r="F684" i="4"/>
  <c r="F919" i="4"/>
  <c r="F604" i="4"/>
  <c r="F831" i="4"/>
  <c r="F1042" i="4"/>
  <c r="F1035" i="4"/>
  <c r="F1056" i="4"/>
  <c r="F966" i="4"/>
  <c r="F866" i="4"/>
  <c r="F912" i="4"/>
  <c r="F767" i="4"/>
  <c r="F696" i="4"/>
  <c r="F661" i="4"/>
  <c r="F652" i="4"/>
  <c r="F1005" i="4"/>
  <c r="F896" i="4"/>
  <c r="F852" i="4"/>
  <c r="F713" i="4"/>
  <c r="F892" i="4"/>
  <c r="F605" i="4"/>
  <c r="F859" i="4"/>
  <c r="F989" i="4"/>
  <c r="F969" i="4"/>
  <c r="F968" i="4"/>
  <c r="F801" i="4"/>
  <c r="F810" i="4"/>
  <c r="F599" i="4"/>
  <c r="F656" i="4"/>
  <c r="F689" i="4"/>
  <c r="F927" i="4"/>
  <c r="F750" i="4"/>
  <c r="F681" i="4"/>
  <c r="F1001" i="4"/>
  <c r="F718" i="4"/>
  <c r="F1014" i="4"/>
  <c r="F682" i="4"/>
  <c r="F570" i="4"/>
  <c r="F1021" i="4"/>
  <c r="F957" i="4"/>
  <c r="F899" i="4"/>
  <c r="F783" i="4"/>
  <c r="F744" i="4"/>
  <c r="F655" i="4"/>
  <c r="F585" i="4"/>
  <c r="F578" i="4"/>
  <c r="F1029" i="4"/>
  <c r="F872" i="4"/>
  <c r="F769" i="4"/>
  <c r="F612" i="4"/>
  <c r="F840" i="4"/>
  <c r="F1030" i="4"/>
  <c r="F762" i="4"/>
  <c r="F1046" i="4"/>
  <c r="F967" i="4"/>
  <c r="F928" i="4"/>
  <c r="F811" i="4"/>
  <c r="F785" i="4"/>
  <c r="F695" i="4"/>
  <c r="F613" i="4"/>
  <c r="F556" i="4"/>
  <c r="F963" i="4"/>
  <c r="F807" i="4"/>
  <c r="F683" i="4"/>
  <c r="F845" i="4"/>
  <c r="F961" i="4"/>
  <c r="F634" i="4"/>
  <c r="F920" i="4"/>
  <c r="F1045" i="4"/>
  <c r="F768" i="4"/>
  <c r="F1026" i="4"/>
  <c r="F985" i="4"/>
  <c r="F1065" i="4"/>
  <c r="F827" i="4"/>
  <c r="F1019" i="4"/>
  <c r="F731" i="4"/>
  <c r="F629" i="4"/>
  <c r="F588" i="4"/>
  <c r="F975" i="4"/>
  <c r="F787" i="4"/>
  <c r="F659" i="4"/>
  <c r="F572" i="4"/>
  <c r="F803" i="4"/>
  <c r="F760" i="4"/>
  <c r="F569" i="4"/>
  <c r="F1006" i="4"/>
  <c r="F931" i="4"/>
  <c r="F863" i="4"/>
  <c r="F754" i="4"/>
  <c r="F913" i="4"/>
  <c r="F567" i="4"/>
  <c r="F592" i="4"/>
  <c r="F1061" i="4"/>
  <c r="F890" i="4"/>
  <c r="F802" i="4"/>
  <c r="F653" i="4"/>
  <c r="F974" i="4"/>
  <c r="F759" i="4"/>
  <c r="F970" i="4"/>
  <c r="F700" i="4"/>
  <c r="F730" i="4"/>
  <c r="F1015" i="4"/>
  <c r="F925" i="4"/>
  <c r="F954" i="4"/>
  <c r="F869" i="4"/>
  <c r="F698" i="4"/>
  <c r="F623" i="4"/>
  <c r="F936" i="4"/>
  <c r="F646" i="4"/>
  <c r="F949" i="4"/>
  <c r="F797" i="4"/>
  <c r="F647" i="4"/>
  <c r="F666" i="4"/>
  <c r="F766" i="4"/>
  <c r="F997" i="4"/>
  <c r="F761" i="4"/>
  <c r="F1016" i="4"/>
  <c r="F953" i="4"/>
  <c r="F895" i="4"/>
  <c r="F808" i="4"/>
  <c r="F739" i="4"/>
  <c r="F651" i="4"/>
  <c r="F581" i="4"/>
  <c r="F688" i="4"/>
  <c r="F982" i="4"/>
  <c r="F835" i="4"/>
  <c r="F615" i="4"/>
  <c r="F582" i="4"/>
  <c r="F790" i="4"/>
  <c r="F562" i="4"/>
  <c r="F782" i="4"/>
  <c r="F1037" i="4"/>
  <c r="F658" i="4"/>
  <c r="F598" i="4"/>
  <c r="F1039" i="4"/>
  <c r="F692" i="4"/>
  <c r="F573" i="4"/>
  <c r="F888" i="4"/>
  <c r="F649" i="4"/>
  <c r="F846" i="4"/>
  <c r="F590" i="4"/>
  <c r="F817" i="4"/>
  <c r="F950" i="4"/>
  <c r="F742" i="4"/>
  <c r="F909" i="4"/>
  <c r="F1043" i="4"/>
  <c r="F784" i="4"/>
  <c r="F981" i="4"/>
  <c r="F941" i="4"/>
  <c r="F736" i="4"/>
  <c r="F822" i="4"/>
  <c r="F686" i="4"/>
  <c r="F657" i="4"/>
  <c r="F926" i="4"/>
  <c r="F889" i="4"/>
  <c r="F640" i="4"/>
  <c r="F900" i="4"/>
  <c r="F986" i="4"/>
  <c r="F733" i="4"/>
  <c r="F882" i="4"/>
  <c r="F781" i="4"/>
  <c r="F677" i="4"/>
  <c r="F990" i="4"/>
  <c r="F806" i="4"/>
  <c r="F906" i="4"/>
  <c r="F838" i="4"/>
  <c r="F654" i="4"/>
  <c r="F594" i="4"/>
  <c r="F824" i="4"/>
  <c r="F644" i="4"/>
  <c r="F608" i="4"/>
  <c r="F865" i="4"/>
  <c r="F693" i="4"/>
  <c r="F770" i="4"/>
  <c r="F930" i="4"/>
  <c r="F601" i="4"/>
  <c r="F850" i="4"/>
  <c r="F851" i="4"/>
  <c r="F645" i="4"/>
  <c r="F983" i="4"/>
  <c r="F708" i="4"/>
  <c r="F887" i="4"/>
  <c r="F884" i="4"/>
  <c r="F877" i="4"/>
  <c r="F626" i="4"/>
  <c r="F1064" i="4"/>
  <c r="F1049" i="4"/>
  <c r="F602" i="4"/>
  <c r="F776" i="4"/>
  <c r="F628" i="4"/>
  <c r="F849" i="4"/>
  <c r="F772" i="4"/>
  <c r="F1063" i="4"/>
  <c r="F946" i="4"/>
  <c r="F694" i="4"/>
  <c r="F789" i="4"/>
  <c r="F942" i="4"/>
  <c r="F814" i="4"/>
  <c r="F775" i="4"/>
  <c r="F847" i="4"/>
  <c r="F717" i="4"/>
  <c r="F558" i="4"/>
  <c r="F962" i="4"/>
  <c r="F856" i="4"/>
  <c r="F1024" i="4"/>
  <c r="F805" i="4"/>
  <c r="F755" i="4"/>
  <c r="F751" i="4"/>
  <c r="F675" i="4"/>
  <c r="F1009" i="4"/>
  <c r="F829" i="4"/>
  <c r="F820" i="4"/>
  <c r="F568" i="4"/>
  <c r="F923" i="4"/>
  <c r="F609" i="4"/>
  <c r="F741" i="4"/>
  <c r="F639" i="4"/>
  <c r="F828" i="4"/>
  <c r="F858" i="4"/>
  <c r="F862" i="4"/>
  <c r="F881" i="4"/>
  <c r="F918" i="4"/>
  <c r="F844" i="4"/>
  <c r="F1038" i="4"/>
  <c r="F583" i="4"/>
  <c r="F705" i="4"/>
  <c r="F994" i="4"/>
  <c r="F837" i="4"/>
  <c r="F712" i="4"/>
  <c r="F679" i="4"/>
  <c r="F825" i="4"/>
  <c r="F560" i="4"/>
  <c r="F616" i="4"/>
  <c r="F853" i="4"/>
  <c r="F566" i="4"/>
  <c r="F948" i="4"/>
  <c r="F904" i="4"/>
  <c r="F727" i="4"/>
  <c r="F854" i="4"/>
  <c r="F591" i="4"/>
  <c r="F1041" i="4"/>
  <c r="F641" i="4"/>
  <c r="F1062" i="4"/>
  <c r="F992" i="4"/>
  <c r="F880" i="4"/>
  <c r="F812" i="4"/>
  <c r="F620" i="4"/>
  <c r="F836" i="4"/>
  <c r="F676" i="4"/>
  <c r="F668" i="4"/>
  <c r="F630" i="4"/>
  <c r="F670" i="4"/>
  <c r="F699" i="4"/>
  <c r="F763" i="4"/>
  <c r="F932" i="4"/>
  <c r="F867" i="4"/>
  <c r="F680" i="4"/>
  <c r="F947" i="4"/>
  <c r="F624" i="4"/>
  <c r="F902" i="4"/>
  <c r="F1040" i="4"/>
  <c r="F855" i="4"/>
  <c r="F619" i="4"/>
  <c r="F610" i="4"/>
  <c r="F738" i="4"/>
  <c r="F662" i="4"/>
  <c r="F1048" i="4"/>
  <c r="F883" i="4"/>
  <c r="F757" i="4"/>
  <c r="B223" i="3"/>
  <c r="B128" i="3"/>
  <c r="B129" i="3"/>
  <c r="K7" i="4"/>
  <c r="J7" i="4"/>
  <c r="L7" i="4"/>
  <c r="C68" i="3"/>
  <c r="C67" i="3"/>
  <c r="J542" i="4"/>
  <c r="K542" i="4"/>
  <c r="L542" i="4"/>
  <c r="E67" i="3"/>
  <c r="E68" i="3"/>
  <c r="E4" i="4"/>
  <c r="F4" i="4"/>
  <c r="D129" i="3"/>
  <c r="D128" i="3"/>
  <c r="B68" i="3"/>
  <c r="B67" i="3"/>
  <c r="Q545" i="4"/>
  <c r="F538" i="4"/>
  <c r="E538" i="4"/>
  <c r="D68" i="3"/>
  <c r="D67" i="3"/>
  <c r="M12" i="4"/>
  <c r="M13" i="4"/>
  <c r="E129" i="3"/>
  <c r="E128" i="3"/>
  <c r="Q13" i="4"/>
  <c r="B5" i="5"/>
  <c r="C129" i="3"/>
  <c r="C223" i="3"/>
  <c r="C128" i="3"/>
  <c r="B540" i="4"/>
  <c r="B541" i="4" s="1"/>
  <c r="B5" i="4"/>
  <c r="B6" i="4" s="1"/>
  <c r="E539" i="4"/>
  <c r="F539" i="4"/>
  <c r="Q548" i="4"/>
  <c r="B68" i="5"/>
  <c r="B235" i="3"/>
  <c r="M547" i="4"/>
  <c r="M548" i="4"/>
  <c r="B6" i="5"/>
  <c r="B44" i="5"/>
  <c r="C235" i="3"/>
  <c r="F514" i="4"/>
  <c r="F504" i="4"/>
  <c r="F528" i="4"/>
  <c r="F520" i="4"/>
  <c r="F529" i="4"/>
  <c r="F506" i="4"/>
  <c r="F530" i="4"/>
  <c r="F522" i="4"/>
  <c r="F527" i="4"/>
  <c r="F513" i="4"/>
  <c r="F525" i="4"/>
  <c r="F509" i="4"/>
  <c r="E5" i="4"/>
  <c r="F531" i="4"/>
  <c r="F515" i="4"/>
  <c r="F511" i="4"/>
  <c r="F476" i="4"/>
  <c r="F389" i="4"/>
  <c r="F309" i="4"/>
  <c r="F376" i="4"/>
  <c r="F165" i="4"/>
  <c r="F71" i="4"/>
  <c r="F508" i="4"/>
  <c r="F500" i="4"/>
  <c r="F524" i="4"/>
  <c r="F516" i="4"/>
  <c r="F510" i="4"/>
  <c r="F502" i="4"/>
  <c r="F526" i="4"/>
  <c r="F518" i="4"/>
  <c r="F5" i="4"/>
  <c r="F521" i="4"/>
  <c r="F505" i="4"/>
  <c r="F517" i="4"/>
  <c r="F501" i="4"/>
  <c r="F512" i="4"/>
  <c r="F523" i="4"/>
  <c r="F519" i="4"/>
  <c r="F503" i="4"/>
  <c r="F507" i="4"/>
  <c r="F363" i="4"/>
  <c r="F283" i="4"/>
  <c r="F238" i="4"/>
  <c r="F192" i="4"/>
  <c r="F50" i="4"/>
  <c r="F149" i="4"/>
  <c r="F446" i="4"/>
  <c r="F271" i="4"/>
  <c r="F362" i="4"/>
  <c r="F39" i="4"/>
  <c r="F105" i="4"/>
  <c r="F77" i="4"/>
  <c r="F449" i="4"/>
  <c r="F412" i="4"/>
  <c r="F170" i="4"/>
  <c r="F156" i="4"/>
  <c r="F436" i="4"/>
  <c r="F249" i="4"/>
  <c r="F40" i="4"/>
  <c r="F451" i="4"/>
  <c r="F414" i="4"/>
  <c r="F342" i="4"/>
  <c r="F248" i="4"/>
  <c r="F106" i="4"/>
  <c r="F267" i="4"/>
  <c r="F415" i="4"/>
  <c r="F335" i="4"/>
  <c r="F324" i="4"/>
  <c r="F326" i="4"/>
  <c r="F134" i="4"/>
  <c r="F27" i="4"/>
  <c r="F81" i="4"/>
  <c r="F361" i="4"/>
  <c r="F437" i="4"/>
  <c r="F325" i="4"/>
  <c r="F356" i="4"/>
  <c r="F263" i="4"/>
  <c r="F119" i="4"/>
  <c r="F205" i="4"/>
  <c r="F84" i="4"/>
  <c r="F327" i="4"/>
  <c r="F416" i="4"/>
  <c r="F25" i="4"/>
  <c r="F465" i="4"/>
  <c r="F228" i="4"/>
  <c r="F424" i="4"/>
  <c r="F375" i="4"/>
  <c r="F204" i="4"/>
  <c r="F357" i="4"/>
  <c r="F371" i="4"/>
  <c r="F468" i="4"/>
  <c r="F237" i="4"/>
  <c r="F439" i="4"/>
  <c r="F182" i="4"/>
  <c r="F163" i="4"/>
  <c r="F435" i="4"/>
  <c r="F264" i="4"/>
  <c r="F173" i="4"/>
  <c r="F281" i="4"/>
  <c r="F420" i="4"/>
  <c r="F351" i="4"/>
  <c r="F260" i="4"/>
  <c r="F440" i="4"/>
  <c r="F68" i="4"/>
  <c r="F400" i="4"/>
  <c r="F154" i="4"/>
  <c r="F107" i="4"/>
  <c r="F347" i="4"/>
  <c r="F206" i="4"/>
  <c r="F231" i="4"/>
  <c r="F286" i="4"/>
  <c r="F41" i="4"/>
  <c r="F396" i="4"/>
  <c r="F417" i="4"/>
  <c r="F337" i="4"/>
  <c r="F487" i="4"/>
  <c r="F358" i="4"/>
  <c r="F131" i="4"/>
  <c r="F253" i="4"/>
  <c r="F108" i="4"/>
  <c r="F419" i="4"/>
  <c r="F339" i="4"/>
  <c r="F262" i="4"/>
  <c r="F216" i="4"/>
  <c r="F74" i="4"/>
  <c r="F211" i="4"/>
  <c r="F383" i="4"/>
  <c r="F303" i="4"/>
  <c r="F258" i="4"/>
  <c r="F244" i="4"/>
  <c r="F102" i="4"/>
  <c r="F266" i="4"/>
  <c r="F344" i="4"/>
  <c r="F492" i="4"/>
  <c r="F405" i="4"/>
  <c r="F293" i="4"/>
  <c r="F456" i="4"/>
  <c r="F199" i="4"/>
  <c r="F87" i="4"/>
  <c r="F452" i="4"/>
  <c r="F20" i="4"/>
  <c r="F426" i="4"/>
  <c r="F175" i="4"/>
  <c r="F32" i="4"/>
  <c r="F393" i="4"/>
  <c r="F380" i="4"/>
  <c r="F129" i="4"/>
  <c r="F461" i="4"/>
  <c r="F366" i="4"/>
  <c r="F121" i="4"/>
  <c r="F457" i="4"/>
  <c r="F200" i="4"/>
  <c r="F261" i="4"/>
  <c r="F367" i="4"/>
  <c r="F314" i="4"/>
  <c r="F189" i="4"/>
  <c r="F429" i="4"/>
  <c r="F172" i="4"/>
  <c r="F171" i="4"/>
  <c r="F442" i="4"/>
  <c r="F246" i="4"/>
  <c r="F26" i="4"/>
  <c r="F353" i="4"/>
  <c r="F161" i="4"/>
  <c r="F83" i="4"/>
  <c r="F459" i="4"/>
  <c r="F315" i="4"/>
  <c r="F174" i="4"/>
  <c r="F151" i="4"/>
  <c r="F227" i="4"/>
  <c r="F112" i="4"/>
  <c r="F498" i="4"/>
  <c r="F385" i="4"/>
  <c r="F305" i="4"/>
  <c r="F282" i="4"/>
  <c r="F223" i="4"/>
  <c r="F99" i="4"/>
  <c r="F288" i="4"/>
  <c r="F44" i="4"/>
  <c r="F387" i="4"/>
  <c r="F307" i="4"/>
  <c r="F230" i="4"/>
  <c r="F184" i="4"/>
  <c r="F42" i="4"/>
  <c r="F352" i="4"/>
  <c r="F483" i="4"/>
  <c r="F472" i="4"/>
  <c r="F226" i="4"/>
  <c r="F212" i="4"/>
  <c r="F70" i="4"/>
  <c r="F203" i="4"/>
  <c r="F88" i="4"/>
  <c r="F486" i="4"/>
  <c r="F373" i="4"/>
  <c r="F474" i="4"/>
  <c r="F304" i="4"/>
  <c r="F438" i="4"/>
  <c r="F55" i="4"/>
  <c r="F181" i="4"/>
  <c r="F117" i="4"/>
  <c r="F345" i="4"/>
  <c r="F90" i="4"/>
  <c r="F36" i="4"/>
  <c r="F323" i="4"/>
  <c r="F312" i="4"/>
  <c r="F177" i="4"/>
  <c r="F369" i="4"/>
  <c r="F298" i="4"/>
  <c r="F128" i="4"/>
  <c r="F295" i="4"/>
  <c r="F255" i="4"/>
  <c r="F113" i="4"/>
  <c r="F433" i="4"/>
  <c r="F294" i="4"/>
  <c r="F213" i="4"/>
  <c r="F365" i="4"/>
  <c r="F239" i="4"/>
  <c r="F65" i="4"/>
  <c r="F183" i="4"/>
  <c r="F118" i="4"/>
  <c r="F94" i="4"/>
  <c r="F284" i="4"/>
  <c r="F236" i="4"/>
  <c r="F164" i="4"/>
  <c r="F274" i="4"/>
  <c r="F292" i="4"/>
  <c r="F115" i="4"/>
  <c r="F100" i="4"/>
  <c r="F69" i="4"/>
  <c r="F56" i="4"/>
  <c r="F427" i="4"/>
  <c r="F404" i="4"/>
  <c r="F296" i="4"/>
  <c r="F114" i="4"/>
  <c r="F275" i="4"/>
  <c r="F48" i="4"/>
  <c r="F455" i="4"/>
  <c r="F428" i="4"/>
  <c r="F273" i="4"/>
  <c r="F354" i="4"/>
  <c r="F147" i="4"/>
  <c r="F67" i="4"/>
  <c r="F229" i="4"/>
  <c r="F225" i="4"/>
  <c r="F355" i="4"/>
  <c r="F372" i="4"/>
  <c r="F198" i="4"/>
  <c r="F152" i="4"/>
  <c r="F434" i="4"/>
  <c r="F233" i="4"/>
  <c r="F473" i="4"/>
  <c r="F364" i="4"/>
  <c r="F194" i="4"/>
  <c r="F180" i="4"/>
  <c r="F38" i="4"/>
  <c r="F338" i="4"/>
  <c r="F24" i="4"/>
  <c r="F475" i="4"/>
  <c r="F378" i="4"/>
  <c r="F310" i="4"/>
  <c r="F308" i="4"/>
  <c r="F130" i="4"/>
  <c r="F23" i="4"/>
  <c r="F334" i="4"/>
  <c r="F280" i="4"/>
  <c r="F406" i="4"/>
  <c r="F159" i="4"/>
  <c r="F21" i="4"/>
  <c r="F408" i="4"/>
  <c r="F86" i="4"/>
  <c r="F368" i="4"/>
  <c r="F319" i="4"/>
  <c r="F62" i="4"/>
  <c r="F140" i="4"/>
  <c r="F477" i="4"/>
  <c r="F169" i="4"/>
  <c r="F120" i="4"/>
  <c r="F460" i="4"/>
  <c r="F196" i="4"/>
  <c r="F89" i="4"/>
  <c r="F287" i="4"/>
  <c r="F122" i="4"/>
  <c r="F72" i="4"/>
  <c r="F300" i="4"/>
  <c r="F251" i="4"/>
  <c r="F392" i="4"/>
  <c r="F64" i="4"/>
  <c r="F22" i="4"/>
  <c r="F60" i="4"/>
  <c r="F66" i="4"/>
  <c r="F146" i="4"/>
  <c r="F51" i="4"/>
  <c r="F144" i="4"/>
  <c r="F462" i="4"/>
  <c r="F101" i="4"/>
  <c r="F157" i="4"/>
  <c r="F395" i="4"/>
  <c r="F430" i="4"/>
  <c r="F466" i="4"/>
  <c r="F82" i="4"/>
  <c r="F302" i="4"/>
  <c r="F116" i="4"/>
  <c r="F423" i="4"/>
  <c r="F343" i="4"/>
  <c r="F374" i="4"/>
  <c r="F454" i="4"/>
  <c r="F142" i="4"/>
  <c r="F35" i="4"/>
  <c r="F136" i="4"/>
  <c r="F37" i="4"/>
  <c r="F481" i="4"/>
  <c r="F402" i="4"/>
  <c r="F166" i="4"/>
  <c r="F332" i="4"/>
  <c r="F127" i="4"/>
  <c r="F496" i="4"/>
  <c r="F441" i="4"/>
  <c r="F386" i="4"/>
  <c r="F162" i="4"/>
  <c r="F148" i="4"/>
  <c r="F320" i="4"/>
  <c r="F217" i="4"/>
  <c r="F92" i="4"/>
  <c r="F443" i="4"/>
  <c r="F331" i="4"/>
  <c r="F254" i="4"/>
  <c r="F240" i="4"/>
  <c r="F98" i="4"/>
  <c r="F259" i="4"/>
  <c r="F73" i="4"/>
  <c r="F348" i="4"/>
  <c r="F218" i="4"/>
  <c r="F75" i="4"/>
  <c r="F132" i="4"/>
  <c r="F321" i="4"/>
  <c r="F143" i="4"/>
  <c r="F209" i="4"/>
  <c r="F317" i="4"/>
  <c r="F139" i="4"/>
  <c r="F193" i="4"/>
  <c r="F313" i="4"/>
  <c r="F58" i="4"/>
  <c r="F124" i="4"/>
  <c r="F291" i="4"/>
  <c r="F247" i="4"/>
  <c r="F96" i="4"/>
  <c r="F444" i="4"/>
  <c r="F30" i="4"/>
  <c r="F76" i="4"/>
  <c r="F276" i="4"/>
  <c r="F57" i="4"/>
  <c r="F49" i="4"/>
  <c r="F150" i="4"/>
  <c r="F464" i="4"/>
  <c r="F401" i="4"/>
  <c r="F222" i="4"/>
  <c r="F243" i="4"/>
  <c r="F330" i="4"/>
  <c r="F278" i="4"/>
  <c r="F126" i="4"/>
  <c r="F93" i="4"/>
  <c r="F497" i="4"/>
  <c r="F341" i="4"/>
  <c r="F256" i="4"/>
  <c r="F485" i="4"/>
  <c r="F422" i="4"/>
  <c r="F52" i="4"/>
  <c r="F391" i="4"/>
  <c r="F311" i="4"/>
  <c r="F270" i="4"/>
  <c r="F252" i="4"/>
  <c r="F110" i="4"/>
  <c r="F268" i="4"/>
  <c r="F97" i="4"/>
  <c r="F61" i="4"/>
  <c r="F445" i="4"/>
  <c r="F333" i="4"/>
  <c r="F432" i="4"/>
  <c r="F215" i="4"/>
  <c r="F95" i="4"/>
  <c r="F490" i="4"/>
  <c r="F409" i="4"/>
  <c r="F329" i="4"/>
  <c r="F418" i="4"/>
  <c r="F318" i="4"/>
  <c r="F123" i="4"/>
  <c r="F221" i="4"/>
  <c r="F28" i="4"/>
  <c r="F411" i="4"/>
  <c r="F299" i="4"/>
  <c r="F208" i="4"/>
  <c r="F195" i="4"/>
  <c r="F488" i="4"/>
  <c r="F484" i="4"/>
  <c r="F398" i="4"/>
  <c r="F47" i="4"/>
  <c r="F410" i="4"/>
  <c r="F285" i="4"/>
  <c r="F45" i="4"/>
  <c r="F79" i="4"/>
  <c r="F453" i="4"/>
  <c r="F277" i="4"/>
  <c r="F224" i="4"/>
  <c r="F135" i="4"/>
  <c r="F245" i="4"/>
  <c r="F241" i="4"/>
  <c r="F359" i="4"/>
  <c r="F279" i="4"/>
  <c r="F234" i="4"/>
  <c r="F220" i="4"/>
  <c r="F78" i="4"/>
  <c r="F219" i="4"/>
  <c r="F33" i="4"/>
  <c r="F155" i="4"/>
  <c r="F413" i="4"/>
  <c r="F301" i="4"/>
  <c r="F336" i="4"/>
  <c r="F495" i="4"/>
  <c r="F63" i="4"/>
  <c r="F493" i="4"/>
  <c r="F377" i="4"/>
  <c r="F297" i="4"/>
  <c r="F499" i="4"/>
  <c r="F207" i="4"/>
  <c r="F91" i="4"/>
  <c r="F197" i="4"/>
  <c r="F145" i="4"/>
  <c r="F379" i="4"/>
  <c r="F458" i="4"/>
  <c r="F190" i="4"/>
  <c r="F176" i="4"/>
  <c r="F34" i="4"/>
  <c r="F141" i="4"/>
  <c r="F80" i="4"/>
  <c r="F403" i="4"/>
  <c r="F390" i="4"/>
  <c r="F185" i="4"/>
  <c r="F471" i="4"/>
  <c r="F214" i="4"/>
  <c r="F235" i="4"/>
  <c r="F480" i="4"/>
  <c r="F210" i="4"/>
  <c r="F187" i="4"/>
  <c r="F482" i="4"/>
  <c r="F186" i="4"/>
  <c r="F43" i="4"/>
  <c r="F125" i="4"/>
  <c r="F289" i="4"/>
  <c r="F54" i="4"/>
  <c r="F153" i="4"/>
  <c r="F250" i="4"/>
  <c r="F350" i="4"/>
  <c r="F109" i="4"/>
  <c r="F407" i="4"/>
  <c r="F349" i="4"/>
  <c r="F191" i="4"/>
  <c r="F425" i="4"/>
  <c r="F168" i="4"/>
  <c r="F421" i="4"/>
  <c r="F384" i="4"/>
  <c r="F160" i="4"/>
  <c r="F103" i="4"/>
  <c r="F137" i="4"/>
  <c r="F53" i="4"/>
  <c r="F489" i="4"/>
  <c r="F388" i="4"/>
  <c r="F202" i="4"/>
  <c r="F188" i="4"/>
  <c r="F46" i="4"/>
  <c r="F448" i="4"/>
  <c r="F104" i="4"/>
  <c r="F494" i="4"/>
  <c r="F381" i="4"/>
  <c r="F269" i="4"/>
  <c r="F340" i="4"/>
  <c r="F138" i="4"/>
  <c r="F31" i="4"/>
  <c r="F447" i="4"/>
  <c r="F394" i="4"/>
  <c r="F265" i="4"/>
  <c r="F322" i="4"/>
  <c r="F491" i="4"/>
  <c r="F59" i="4"/>
  <c r="F382" i="4"/>
  <c r="F257" i="4"/>
  <c r="F469" i="4"/>
  <c r="F370" i="4"/>
  <c r="F158" i="4"/>
  <c r="F470" i="4"/>
  <c r="F306" i="4"/>
  <c r="F201" i="4"/>
  <c r="F167" i="4"/>
  <c r="F397" i="4"/>
  <c r="F232" i="4"/>
  <c r="F479" i="4"/>
  <c r="F399" i="4"/>
  <c r="F290" i="4"/>
  <c r="F450" i="4"/>
  <c r="F467" i="4"/>
  <c r="F346" i="4"/>
  <c r="F316" i="4"/>
  <c r="F463" i="4"/>
  <c r="F328" i="4"/>
  <c r="F179" i="4"/>
  <c r="F478" i="4"/>
  <c r="F272" i="4"/>
  <c r="F111" i="4"/>
  <c r="F29" i="4"/>
  <c r="F178" i="4"/>
  <c r="F133" i="4"/>
  <c r="F431" i="4"/>
  <c r="F360" i="4"/>
  <c r="F85" i="4"/>
  <c r="F242" i="4"/>
  <c r="B46" i="5"/>
  <c r="D181" i="3"/>
  <c r="D190" i="3"/>
  <c r="D191" i="3" s="1"/>
  <c r="B182" i="3"/>
  <c r="B183" i="3" s="1"/>
  <c r="B181" i="3"/>
  <c r="D727" i="4"/>
  <c r="E752" i="4"/>
  <c r="E926" i="4"/>
  <c r="E586" i="4"/>
  <c r="D878" i="4"/>
  <c r="D657" i="4"/>
  <c r="D938" i="4"/>
  <c r="D111" i="4"/>
  <c r="D90" i="4"/>
  <c r="E782" i="4"/>
  <c r="E1035" i="4"/>
  <c r="E683" i="4"/>
  <c r="E1042" i="4"/>
  <c r="D740" i="4"/>
  <c r="J740" i="4" s="1"/>
  <c r="E797" i="4"/>
  <c r="E875" i="4"/>
  <c r="D902" i="4"/>
  <c r="D87" i="4"/>
  <c r="E78" i="4"/>
  <c r="E715" i="4"/>
  <c r="E854" i="4"/>
  <c r="D1036" i="4"/>
  <c r="D769" i="4"/>
  <c r="E733" i="4"/>
  <c r="E578" i="4"/>
  <c r="E1005" i="4"/>
  <c r="E924" i="4"/>
  <c r="E1023" i="4"/>
  <c r="D1012" i="4"/>
  <c r="D1060" i="4"/>
  <c r="E563" i="4"/>
  <c r="D619" i="4"/>
  <c r="D574" i="4"/>
  <c r="J574" i="4" s="1"/>
  <c r="E568" i="4"/>
  <c r="D914" i="4"/>
  <c r="E1015" i="4"/>
  <c r="D846" i="4"/>
  <c r="D830" i="4"/>
  <c r="E666" i="4"/>
  <c r="E742" i="4"/>
  <c r="E590" i="4"/>
  <c r="D847" i="4"/>
  <c r="D893" i="4"/>
  <c r="D1043" i="4"/>
  <c r="D753" i="4"/>
  <c r="E1054" i="4"/>
  <c r="D968" i="4"/>
  <c r="D953" i="4"/>
  <c r="E718" i="4"/>
  <c r="D684" i="4"/>
  <c r="J684" i="4" s="1"/>
  <c r="E723" i="4"/>
  <c r="D888" i="4"/>
  <c r="E1050" i="4"/>
  <c r="E385" i="4"/>
  <c r="D716" i="4"/>
  <c r="J716" i="4" s="1"/>
  <c r="K716" i="4" s="1"/>
  <c r="E760" i="4"/>
  <c r="D808" i="4"/>
  <c r="D804" i="4"/>
  <c r="D959" i="4"/>
  <c r="E1034" i="4"/>
  <c r="E946" i="4"/>
  <c r="E839" i="4"/>
  <c r="D767" i="4"/>
  <c r="D943" i="4"/>
  <c r="D640" i="4"/>
  <c r="E1009" i="4"/>
  <c r="D775" i="4"/>
  <c r="D935" i="4"/>
  <c r="E745" i="4"/>
  <c r="D949" i="4"/>
  <c r="E735" i="4"/>
  <c r="D987" i="4"/>
  <c r="D704" i="4"/>
  <c r="E40" i="4"/>
  <c r="E24" i="5"/>
  <c r="E396" i="4"/>
  <c r="E21" i="5"/>
  <c r="D500" i="4"/>
  <c r="D492" i="4"/>
  <c r="D435" i="4"/>
  <c r="E355" i="4"/>
  <c r="E524" i="4"/>
  <c r="D251" i="4"/>
  <c r="D165" i="4"/>
  <c r="J165" i="4" s="1"/>
  <c r="E523" i="4"/>
  <c r="D368" i="4"/>
  <c r="E136" i="4"/>
  <c r="D403" i="4"/>
  <c r="D152" i="4"/>
  <c r="D352" i="4"/>
  <c r="E27" i="5"/>
  <c r="E23" i="5"/>
  <c r="E176" i="4"/>
  <c r="E29" i="5"/>
  <c r="E438" i="4"/>
  <c r="E291" i="4"/>
  <c r="D113" i="4"/>
  <c r="E28" i="5"/>
  <c r="E26" i="5"/>
  <c r="E65" i="4"/>
  <c r="D23" i="4"/>
  <c r="E25" i="5"/>
  <c r="D47" i="4"/>
  <c r="D441" i="4"/>
  <c r="D426" i="4"/>
  <c r="D203" i="4"/>
  <c r="D61" i="4"/>
  <c r="J61" i="4" s="1"/>
  <c r="D323" i="4"/>
  <c r="D77" i="4"/>
  <c r="J77" i="4" s="1"/>
  <c r="E486" i="4"/>
  <c r="Z41" i="2"/>
  <c r="E65" i="8"/>
  <c r="E3" i="8" s="1"/>
  <c r="B6" i="3" s="1"/>
  <c r="H6" i="3" s="1"/>
  <c r="C65" i="8"/>
  <c r="C3" i="8" s="1"/>
  <c r="B3" i="3" s="1"/>
  <c r="G65" i="8"/>
  <c r="G3" i="8" s="1"/>
  <c r="B7" i="3" s="1"/>
  <c r="F65" i="8"/>
  <c r="F3" i="8" s="1"/>
  <c r="B5" i="3" s="1"/>
  <c r="H5" i="3" s="1"/>
  <c r="I65" i="8"/>
  <c r="I3" i="8" s="1"/>
  <c r="D65" i="8"/>
  <c r="D3" i="8" s="1"/>
  <c r="B4" i="3" s="1"/>
  <c r="H65" i="8"/>
  <c r="H3" i="8" s="1"/>
  <c r="B8" i="3" s="1"/>
  <c r="J90" i="5"/>
  <c r="K90" i="5" s="1"/>
  <c r="L90" i="5"/>
  <c r="M90" i="5" s="1"/>
  <c r="B91" i="5"/>
  <c r="B65" i="8"/>
  <c r="B3" i="8" s="1"/>
  <c r="B9" i="3" s="1"/>
  <c r="B192" i="3"/>
  <c r="C192" i="3"/>
  <c r="D192" i="3"/>
  <c r="E192" i="3"/>
  <c r="E26" i="4" l="1"/>
  <c r="D698" i="4"/>
  <c r="D1017" i="4"/>
  <c r="E891" i="4"/>
  <c r="D739" i="4"/>
  <c r="D724" i="4"/>
  <c r="J724" i="4" s="1"/>
  <c r="E936" i="4"/>
  <c r="E707" i="4"/>
  <c r="D974" i="4"/>
  <c r="E597" i="4"/>
  <c r="D954" i="4"/>
  <c r="K597" i="4"/>
  <c r="D703" i="4"/>
  <c r="E894" i="4"/>
  <c r="E777" i="4"/>
  <c r="E729" i="4"/>
  <c r="D940" i="4"/>
  <c r="E682" i="4"/>
  <c r="D876" i="4"/>
  <c r="D667" i="4"/>
  <c r="D627" i="4"/>
  <c r="E754" i="4"/>
  <c r="E208" i="4"/>
  <c r="E785" i="4"/>
  <c r="E1046" i="4"/>
  <c r="E671" i="4"/>
  <c r="D371" i="4"/>
  <c r="E622" i="4"/>
  <c r="E195" i="4"/>
  <c r="D868" i="4"/>
  <c r="E615" i="4"/>
  <c r="E925" i="4"/>
  <c r="D848" i="4"/>
  <c r="E859" i="4"/>
  <c r="E890" i="4"/>
  <c r="D981" i="4"/>
  <c r="E602" i="4"/>
  <c r="D957" i="4"/>
  <c r="D892" i="4"/>
  <c r="D967" i="4"/>
  <c r="E802" i="4"/>
  <c r="E770" i="4"/>
  <c r="D842" i="4"/>
  <c r="D963" i="4"/>
  <c r="E579" i="4"/>
  <c r="E746" i="4"/>
  <c r="E872" i="4"/>
  <c r="D1063" i="4"/>
  <c r="E1053" i="4"/>
  <c r="D977" i="4"/>
  <c r="D596" i="4"/>
  <c r="J596" i="4" s="1"/>
  <c r="K596" i="4" s="1"/>
  <c r="D620" i="4"/>
  <c r="J620" i="4" s="1"/>
  <c r="K620" i="4" s="1"/>
  <c r="D801" i="4"/>
  <c r="E762" i="4"/>
  <c r="D755" i="4"/>
  <c r="D932" i="4"/>
  <c r="E983" i="4"/>
  <c r="D601" i="4"/>
  <c r="D821" i="4"/>
  <c r="E748" i="4"/>
  <c r="D656" i="4"/>
  <c r="D814" i="4"/>
  <c r="D728" i="4"/>
  <c r="D986" i="4"/>
  <c r="D899" i="4"/>
  <c r="D624" i="4"/>
  <c r="D913" i="4"/>
  <c r="D599" i="4"/>
  <c r="D969" i="4"/>
  <c r="E979" i="4"/>
  <c r="D644" i="4"/>
  <c r="J644" i="4" s="1"/>
  <c r="E910" i="4"/>
  <c r="D976" i="4"/>
  <c r="D906" i="4"/>
  <c r="D789" i="4"/>
  <c r="E616" i="4"/>
  <c r="D659" i="4"/>
  <c r="D747" i="4"/>
  <c r="E732" i="4"/>
  <c r="D856" i="4"/>
  <c r="E786" i="4"/>
  <c r="E918" i="4"/>
  <c r="E567" i="4"/>
  <c r="E66" i="5"/>
  <c r="E845" i="4"/>
  <c r="D1010" i="4"/>
  <c r="E996" i="4"/>
  <c r="E922" i="4"/>
  <c r="D758" i="4"/>
  <c r="D916" i="4"/>
  <c r="D664" i="4"/>
  <c r="K685" i="4"/>
  <c r="E933" i="4"/>
  <c r="D512" i="4"/>
  <c r="E685" i="4"/>
  <c r="D869" i="4"/>
  <c r="D761" i="4"/>
  <c r="E587" i="4"/>
  <c r="E618" i="4"/>
  <c r="E829" i="4"/>
  <c r="D858" i="4"/>
  <c r="D787" i="4"/>
  <c r="E310" i="4"/>
  <c r="D653" i="4"/>
  <c r="E692" i="4"/>
  <c r="E680" i="4"/>
  <c r="D776" i="4"/>
  <c r="D743" i="4"/>
  <c r="D265" i="4"/>
  <c r="D713" i="4"/>
  <c r="D912" i="4"/>
  <c r="D1066" i="4"/>
  <c r="D965" i="4"/>
  <c r="D490" i="4"/>
  <c r="E61" i="5"/>
  <c r="D642" i="4"/>
  <c r="D907" i="4"/>
  <c r="E709" i="4"/>
  <c r="E714" i="4"/>
  <c r="E64" i="5"/>
  <c r="D871" i="4"/>
  <c r="E835" i="4"/>
  <c r="D737" i="4"/>
  <c r="D180" i="4"/>
  <c r="J180" i="4" s="1"/>
  <c r="K180" i="4" s="1"/>
  <c r="D316" i="4"/>
  <c r="D635" i="4"/>
  <c r="D572" i="4"/>
  <c r="J572" i="4" s="1"/>
  <c r="K572" i="4" s="1"/>
  <c r="E86" i="4"/>
  <c r="D697" i="4"/>
  <c r="D1022" i="4"/>
  <c r="E67" i="5"/>
  <c r="D807" i="4"/>
  <c r="E799" i="4"/>
  <c r="E69" i="5"/>
  <c r="E531" i="4"/>
  <c r="D764" i="4"/>
  <c r="E721" i="4"/>
  <c r="D827" i="4"/>
  <c r="E955" i="4"/>
  <c r="D694" i="4"/>
  <c r="K692" i="4"/>
  <c r="E65" i="5"/>
  <c r="D971" i="4"/>
  <c r="E27" i="4"/>
  <c r="D1014" i="4"/>
  <c r="D750" i="4"/>
  <c r="E62" i="5"/>
  <c r="D995" i="4"/>
  <c r="E1057" i="4"/>
  <c r="D564" i="4"/>
  <c r="J564" i="4" s="1"/>
  <c r="K564" i="4" s="1"/>
  <c r="E63" i="5"/>
  <c r="K709" i="4"/>
  <c r="D822" i="4"/>
  <c r="D841" i="4"/>
  <c r="D877" i="4"/>
  <c r="B193" i="3"/>
  <c r="B236" i="3" s="1"/>
  <c r="B238" i="3" s="1"/>
  <c r="D245" i="3" s="1"/>
  <c r="J17" i="4" s="1"/>
  <c r="D496" i="4"/>
  <c r="D263" i="4"/>
  <c r="D227" i="4"/>
  <c r="E125" i="4"/>
  <c r="D63" i="4"/>
  <c r="E499" i="4"/>
  <c r="D588" i="4"/>
  <c r="J588" i="4" s="1"/>
  <c r="K588" i="4" s="1"/>
  <c r="E997" i="4"/>
  <c r="K828" i="4"/>
  <c r="D377" i="4"/>
  <c r="E605" i="4"/>
  <c r="E884" i="4"/>
  <c r="D1044" i="4"/>
  <c r="D920" i="4"/>
  <c r="D211" i="4"/>
  <c r="E487" i="4"/>
  <c r="D834" i="4"/>
  <c r="D66" i="4"/>
  <c r="K84" i="4"/>
  <c r="D528" i="4"/>
  <c r="D359" i="4"/>
  <c r="E598" i="4"/>
  <c r="D452" i="4"/>
  <c r="D380" i="4"/>
  <c r="E958" i="4"/>
  <c r="D133" i="4"/>
  <c r="E339" i="4"/>
  <c r="D204" i="4"/>
  <c r="J204" i="4" s="1"/>
  <c r="K204" i="4" s="1"/>
  <c r="E1048" i="4"/>
  <c r="E1038" i="4"/>
  <c r="D908" i="4"/>
  <c r="D115" i="4"/>
  <c r="E508" i="4"/>
  <c r="E119" i="4"/>
  <c r="E327" i="4"/>
  <c r="D941" i="4"/>
  <c r="D865" i="4"/>
  <c r="E686" i="4"/>
  <c r="D366" i="4"/>
  <c r="E280" i="4"/>
  <c r="D1058" i="4"/>
  <c r="E840" i="4"/>
  <c r="D585" i="4"/>
  <c r="E463" i="4"/>
  <c r="D127" i="4"/>
  <c r="D295" i="4"/>
  <c r="D710" i="4"/>
  <c r="E660" i="4"/>
  <c r="E360" i="4"/>
  <c r="D307" i="4"/>
  <c r="E882" i="4"/>
  <c r="E948" i="4"/>
  <c r="D917" i="4"/>
  <c r="E693" i="4"/>
  <c r="D1037" i="4"/>
  <c r="D105" i="4"/>
  <c r="D44" i="4"/>
  <c r="J44" i="4" s="1"/>
  <c r="K44" i="4" s="1"/>
  <c r="D896" i="4"/>
  <c r="E631" i="4"/>
  <c r="E151" i="4"/>
  <c r="D255" i="4"/>
  <c r="D823" i="4"/>
  <c r="K693" i="4"/>
  <c r="E594" i="4"/>
  <c r="E803" i="4"/>
  <c r="E634" i="4"/>
  <c r="D843" i="4"/>
  <c r="K173" i="4"/>
  <c r="K613" i="4"/>
  <c r="E589" i="4"/>
  <c r="E610" i="4"/>
  <c r="D696" i="4"/>
  <c r="D679" i="4"/>
  <c r="D488" i="4"/>
  <c r="E991" i="4"/>
  <c r="D608" i="4"/>
  <c r="E725" i="4"/>
  <c r="K573" i="4"/>
  <c r="D838" i="4"/>
  <c r="D961" i="4"/>
  <c r="D461" i="4"/>
  <c r="D825" i="4"/>
  <c r="D222" i="4"/>
  <c r="D773" i="4"/>
  <c r="E498" i="4"/>
  <c r="E611" i="4"/>
  <c r="D805" i="4"/>
  <c r="E1067" i="4"/>
  <c r="D1013" i="4"/>
  <c r="D64" i="4"/>
  <c r="D942" i="4"/>
  <c r="K605" i="4"/>
  <c r="K589" i="4"/>
  <c r="E1047" i="4"/>
  <c r="E237" i="4"/>
  <c r="D897" i="4"/>
  <c r="D625" i="4"/>
  <c r="E889" i="4"/>
  <c r="E413" i="4"/>
  <c r="D48" i="4"/>
  <c r="D1028" i="4"/>
  <c r="D273" i="4"/>
  <c r="E370" i="4"/>
  <c r="E430" i="4"/>
  <c r="E382" i="4"/>
  <c r="D116" i="4"/>
  <c r="D993" i="4"/>
  <c r="E950" i="4"/>
  <c r="E673" i="4"/>
  <c r="D813" i="4"/>
  <c r="E947" i="4"/>
  <c r="D205" i="4"/>
  <c r="D978" i="4"/>
  <c r="E881" i="4"/>
  <c r="D209" i="4"/>
  <c r="E566" i="4"/>
  <c r="E964" i="4"/>
  <c r="D269" i="4"/>
  <c r="E766" i="4"/>
  <c r="D471" i="4"/>
  <c r="D1024" i="4"/>
  <c r="D763" i="4"/>
  <c r="D731" i="4"/>
  <c r="E407" i="4"/>
  <c r="E645" i="4"/>
  <c r="E375" i="4"/>
  <c r="D52" i="4"/>
  <c r="J52" i="4" s="1"/>
  <c r="K52" i="4" s="1"/>
  <c r="E225" i="4"/>
  <c r="E257" i="4"/>
  <c r="D518" i="4"/>
  <c r="E302" i="4"/>
  <c r="D285" i="4"/>
  <c r="D905" i="4"/>
  <c r="D1030" i="4"/>
  <c r="E630" i="4"/>
  <c r="E780" i="4"/>
  <c r="D850" i="4"/>
  <c r="E717" i="4"/>
  <c r="E529" i="4"/>
  <c r="E688" i="4"/>
  <c r="D784" i="4"/>
  <c r="E98" i="4"/>
  <c r="E928" i="4"/>
  <c r="D600" i="4"/>
  <c r="E1019" i="4"/>
  <c r="E577" i="4"/>
  <c r="E887" i="4"/>
  <c r="D612" i="4"/>
  <c r="J612" i="4" s="1"/>
  <c r="K612" i="4" s="1"/>
  <c r="D1064" i="4"/>
  <c r="K300" i="4"/>
  <c r="E202" i="4"/>
  <c r="E439" i="4"/>
  <c r="D332" i="4"/>
  <c r="D172" i="4"/>
  <c r="J172" i="4" s="1"/>
  <c r="K172" i="4" s="1"/>
  <c r="E196" i="4"/>
  <c r="E898" i="4"/>
  <c r="D1026" i="4"/>
  <c r="D861" i="4"/>
  <c r="D560" i="4"/>
  <c r="E429" i="4"/>
  <c r="D736" i="4"/>
  <c r="E1006" i="4"/>
  <c r="E128" i="4"/>
  <c r="D445" i="4"/>
  <c r="E458" i="4"/>
  <c r="D526" i="4"/>
  <c r="D361" i="4"/>
  <c r="D394" i="4"/>
  <c r="E268" i="4"/>
  <c r="D234" i="4"/>
  <c r="D100" i="4"/>
  <c r="J100" i="4" s="1"/>
  <c r="K100" i="4" s="1"/>
  <c r="E1003" i="4"/>
  <c r="D583" i="4"/>
  <c r="E638" i="4"/>
  <c r="K700" i="4"/>
  <c r="E700" i="4"/>
  <c r="E474" i="4"/>
  <c r="D1032" i="4"/>
  <c r="E170" i="4"/>
  <c r="E373" i="4"/>
  <c r="D254" i="4"/>
  <c r="D895" i="4"/>
  <c r="E1029" i="4"/>
  <c r="E1059" i="4"/>
  <c r="E927" i="4"/>
  <c r="E989" i="4"/>
  <c r="D934" i="4"/>
  <c r="K68" i="4"/>
  <c r="E173" i="4"/>
  <c r="K566" i="4"/>
  <c r="D436" i="4"/>
  <c r="D427" i="4"/>
  <c r="D144" i="4"/>
  <c r="E468" i="4"/>
  <c r="E681" i="4"/>
  <c r="D956" i="4"/>
  <c r="E866" i="4"/>
  <c r="E1052" i="4"/>
  <c r="E662" i="4"/>
  <c r="D923" i="4"/>
  <c r="K196" i="4"/>
  <c r="D726" i="4"/>
  <c r="D522" i="4"/>
  <c r="D378" i="4"/>
  <c r="E300" i="4"/>
  <c r="D96" i="4"/>
  <c r="E1040" i="4"/>
  <c r="E1021" i="4"/>
  <c r="E650" i="4"/>
  <c r="D142" i="4"/>
  <c r="E613" i="4"/>
  <c r="D734" i="4"/>
  <c r="E901" i="4"/>
  <c r="D1039" i="4"/>
  <c r="D158" i="4"/>
  <c r="D719" i="4"/>
  <c r="D744" i="4"/>
  <c r="D562" i="4"/>
  <c r="E503" i="4"/>
  <c r="D992" i="4"/>
  <c r="E275" i="4"/>
  <c r="E68" i="4"/>
  <c r="E525" i="4"/>
  <c r="D190" i="4"/>
  <c r="D334" i="4"/>
  <c r="E84" i="4"/>
  <c r="D459" i="4"/>
  <c r="D879" i="4"/>
  <c r="E828" i="4"/>
  <c r="D722" i="4"/>
  <c r="E1041" i="4"/>
  <c r="E609" i="4"/>
  <c r="E921" i="4"/>
  <c r="E278" i="4"/>
  <c r="E240" i="4"/>
  <c r="E304" i="4"/>
  <c r="D433" i="4"/>
  <c r="E573" i="4"/>
  <c r="E867" i="4"/>
  <c r="E1000" i="4"/>
  <c r="E771" i="4"/>
  <c r="E193" i="4"/>
  <c r="E643" i="4"/>
  <c r="E857" i="4"/>
  <c r="E810" i="4"/>
  <c r="D73" i="4"/>
  <c r="E639" i="4"/>
  <c r="D937" i="4"/>
  <c r="D701" i="4"/>
  <c r="J701" i="4" s="1"/>
  <c r="K701" i="4" s="1"/>
  <c r="E931" i="4"/>
  <c r="D929" i="4"/>
  <c r="D980" i="4"/>
  <c r="D647" i="4"/>
  <c r="D873" i="4"/>
  <c r="D687" i="4"/>
  <c r="D855" i="4"/>
  <c r="D637" i="4"/>
  <c r="D738" i="4"/>
  <c r="D809" i="4"/>
  <c r="D990" i="4"/>
  <c r="D711" i="4"/>
  <c r="D582" i="4"/>
  <c r="J582" i="4" s="1"/>
  <c r="K582" i="4" s="1"/>
  <c r="D826" i="4"/>
  <c r="E796" i="4"/>
  <c r="D909" i="4"/>
  <c r="E970" i="4"/>
  <c r="D818" i="4"/>
  <c r="E853" i="4"/>
  <c r="D972" i="4"/>
  <c r="D1055" i="4"/>
  <c r="D819" i="4"/>
  <c r="E706" i="4"/>
  <c r="D973" i="4"/>
  <c r="E930" i="4"/>
  <c r="E669" i="4"/>
  <c r="E632" i="4"/>
  <c r="K812" i="4"/>
  <c r="E795" i="4"/>
  <c r="E1049" i="4"/>
  <c r="D817" i="4"/>
  <c r="D765" i="4"/>
  <c r="D880" i="4"/>
  <c r="D741" i="4"/>
  <c r="D939" i="4"/>
  <c r="D641" i="4"/>
  <c r="E812" i="4"/>
  <c r="E690" i="4"/>
  <c r="D670" i="4"/>
  <c r="K732" i="4"/>
  <c r="E511" i="4"/>
  <c r="D699" i="4"/>
  <c r="E751" i="4"/>
  <c r="D999" i="4"/>
  <c r="D298" i="4"/>
  <c r="D768" i="4"/>
  <c r="D919" i="4"/>
  <c r="E674" i="4"/>
  <c r="K38" i="4"/>
  <c r="D863" i="4"/>
  <c r="D837" i="4"/>
  <c r="E800" i="4"/>
  <c r="E903" i="4"/>
  <c r="E606" i="4"/>
  <c r="D1016" i="4"/>
  <c r="E988" i="4"/>
  <c r="D952" i="4"/>
  <c r="D1007" i="4"/>
  <c r="D448" i="4"/>
  <c r="E570" i="4"/>
  <c r="E860" i="4"/>
  <c r="D603" i="4"/>
  <c r="E815" i="4"/>
  <c r="E749" i="4"/>
  <c r="D702" i="4"/>
  <c r="D184" i="4"/>
  <c r="D558" i="4"/>
  <c r="J558" i="4" s="1"/>
  <c r="K558" i="4" s="1"/>
  <c r="D140" i="4"/>
  <c r="D1031" i="4"/>
  <c r="D1020" i="4"/>
  <c r="E507" i="4"/>
  <c r="D595" i="4"/>
  <c r="E794" i="4"/>
  <c r="D985" i="4"/>
  <c r="E1018" i="4"/>
  <c r="D1045" i="4"/>
  <c r="D886" i="4"/>
  <c r="D556" i="4"/>
  <c r="J556" i="4" s="1"/>
  <c r="K556" i="4" s="1"/>
  <c r="D864" i="4"/>
  <c r="E1025" i="4"/>
  <c r="D604" i="4"/>
  <c r="J604" i="4" s="1"/>
  <c r="K604" i="4" s="1"/>
  <c r="E604" i="4"/>
  <c r="E966" i="4"/>
  <c r="E772" i="4"/>
  <c r="E83" i="4"/>
  <c r="D945" i="4"/>
  <c r="D998" i="4"/>
  <c r="D636" i="4"/>
  <c r="J636" i="4" s="1"/>
  <c r="K636" i="4" s="1"/>
  <c r="K157" i="4"/>
  <c r="E1004" i="4"/>
  <c r="D1004" i="4"/>
  <c r="E607" i="4"/>
  <c r="D793" i="4"/>
  <c r="E824" i="4"/>
  <c r="E791" i="4"/>
  <c r="D1027" i="4"/>
  <c r="E626" i="4"/>
  <c r="D1065" i="4"/>
  <c r="E1065" i="4"/>
  <c r="D911" i="4"/>
  <c r="D663" i="4"/>
  <c r="D661" i="4"/>
  <c r="D675" i="4"/>
  <c r="E51" i="5"/>
  <c r="D844" i="4"/>
  <c r="D883" i="4"/>
  <c r="E654" i="4"/>
  <c r="E984" i="4"/>
  <c r="D915" i="4"/>
  <c r="E1001" i="4"/>
  <c r="D617" i="4"/>
  <c r="E870" i="4"/>
  <c r="E962" i="4"/>
  <c r="D1033" i="4"/>
  <c r="D811" i="4"/>
  <c r="K574" i="4"/>
  <c r="E93" i="4"/>
  <c r="D230" i="4"/>
  <c r="E485" i="4"/>
  <c r="D455" i="4"/>
  <c r="E406" i="4"/>
  <c r="E233" i="4"/>
  <c r="E201" i="4"/>
  <c r="D501" i="4"/>
  <c r="E514" i="4"/>
  <c r="E629" i="4"/>
  <c r="D313" i="4"/>
  <c r="E442" i="4"/>
  <c r="E256" i="4"/>
  <c r="E281" i="4"/>
  <c r="E668" i="4"/>
  <c r="E419" i="4"/>
  <c r="D258" i="4"/>
  <c r="E431" i="4"/>
  <c r="E126" i="4"/>
  <c r="D851" i="4"/>
  <c r="D648" i="4"/>
  <c r="D506" i="4"/>
  <c r="D497" i="4"/>
  <c r="E836" i="4"/>
  <c r="D479" i="4"/>
  <c r="D451" i="4"/>
  <c r="E434" i="4"/>
  <c r="D175" i="4"/>
  <c r="D593" i="4"/>
  <c r="D411" i="4"/>
  <c r="D462" i="4"/>
  <c r="E476" i="4"/>
  <c r="D214" i="4"/>
  <c r="D246" i="4"/>
  <c r="D343" i="4"/>
  <c r="D874" i="4"/>
  <c r="E277" i="4"/>
  <c r="D239" i="4"/>
  <c r="E88" i="4"/>
  <c r="D806" i="4"/>
  <c r="D491" i="4"/>
  <c r="E418" i="4"/>
  <c r="D420" i="4"/>
  <c r="D399" i="4"/>
  <c r="E381" i="4"/>
  <c r="D390" i="4"/>
  <c r="D219" i="4"/>
  <c r="D695" i="4"/>
  <c r="K836" i="4"/>
  <c r="D97" i="4"/>
  <c r="D432" i="4"/>
  <c r="E428" i="4"/>
  <c r="D182" i="4"/>
  <c r="D517" i="4"/>
  <c r="D424" i="4"/>
  <c r="E756" i="4"/>
  <c r="E691" i="4"/>
  <c r="D646" i="4"/>
  <c r="K21" i="4"/>
  <c r="E224" i="4"/>
  <c r="D454" i="4"/>
  <c r="D357" i="4"/>
  <c r="D292" i="4"/>
  <c r="J292" i="4" s="1"/>
  <c r="K292" i="4" s="1"/>
  <c r="E515" i="4"/>
  <c r="D337" i="4"/>
  <c r="D900" i="4"/>
  <c r="E21" i="4"/>
  <c r="E45" i="4"/>
  <c r="D199" i="4"/>
  <c r="E185" i="4"/>
  <c r="E134" i="4"/>
  <c r="D591" i="4"/>
  <c r="E177" i="4"/>
  <c r="E779" i="4"/>
  <c r="E157" i="4"/>
  <c r="E833" i="4"/>
  <c r="E561" i="4"/>
  <c r="D331" i="4"/>
  <c r="E1062" i="4"/>
  <c r="E345" i="4"/>
  <c r="D708" i="4"/>
  <c r="J708" i="4" s="1"/>
  <c r="K708" i="4" s="1"/>
  <c r="E76" i="4"/>
  <c r="D788" i="4"/>
  <c r="D559" i="4"/>
  <c r="E248" i="4"/>
  <c r="E409" i="4"/>
  <c r="D312" i="4"/>
  <c r="E832" i="4"/>
  <c r="K46" i="4"/>
  <c r="D592" i="4"/>
  <c r="E110" i="4"/>
  <c r="D122" i="4"/>
  <c r="E288" i="4"/>
  <c r="E356" i="4"/>
  <c r="D236" i="4"/>
  <c r="D250" i="4"/>
  <c r="E495" i="4"/>
  <c r="D35" i="4"/>
  <c r="D367" i="4"/>
  <c r="D527" i="4"/>
  <c r="E191" i="4"/>
  <c r="D467" i="4"/>
  <c r="D944" i="4"/>
  <c r="E852" i="4"/>
  <c r="D798" i="4"/>
  <c r="E423" i="4"/>
  <c r="E480" i="4"/>
  <c r="E410" i="4"/>
  <c r="D75" i="4"/>
  <c r="D348" i="4"/>
  <c r="E376" i="4"/>
  <c r="D649" i="4"/>
  <c r="E264" i="4"/>
  <c r="E58" i="4"/>
  <c r="D260" i="4"/>
  <c r="D99" i="4"/>
  <c r="E623" i="4"/>
  <c r="E29" i="4"/>
  <c r="K20" i="4"/>
  <c r="E386" i="4"/>
  <c r="D25" i="4"/>
  <c r="E62" i="4"/>
  <c r="E705" i="4"/>
  <c r="K29" i="4"/>
  <c r="E354" i="4"/>
  <c r="E168" i="4"/>
  <c r="E216" i="4"/>
  <c r="D1061" i="4"/>
  <c r="E820" i="4"/>
  <c r="D32" i="4"/>
  <c r="D504" i="4"/>
  <c r="D186" i="4"/>
  <c r="D271" i="4"/>
  <c r="D571" i="4"/>
  <c r="K820" i="4"/>
  <c r="D171" i="4"/>
  <c r="E303" i="4"/>
  <c r="D344" i="4"/>
  <c r="D218" i="4"/>
  <c r="E20" i="4"/>
  <c r="D493" i="4"/>
  <c r="E994" i="4"/>
  <c r="E306" i="4"/>
  <c r="D145" i="4"/>
  <c r="D425" i="4"/>
  <c r="D633" i="4"/>
  <c r="E397" i="4"/>
  <c r="D469" i="4"/>
  <c r="E231" i="4"/>
  <c r="D510" i="4"/>
  <c r="E46" i="4"/>
  <c r="D335" i="4"/>
  <c r="D421" i="4"/>
  <c r="D757" i="4"/>
  <c r="E169" i="4"/>
  <c r="D862" i="4"/>
  <c r="D457" i="4"/>
  <c r="D364" i="4"/>
  <c r="D60" i="4"/>
  <c r="J60" i="4" s="1"/>
  <c r="K60" i="4" s="1"/>
  <c r="D338" i="4"/>
  <c r="D252" i="4"/>
  <c r="E253" i="4"/>
  <c r="E272" i="4"/>
  <c r="D374" i="4"/>
  <c r="D1002" i="4"/>
  <c r="E422" i="4"/>
  <c r="D651" i="4"/>
  <c r="D1008" i="4"/>
  <c r="E1011" i="4"/>
  <c r="D198" i="4"/>
  <c r="E460" i="4"/>
  <c r="E221" i="4"/>
  <c r="D131" i="4"/>
  <c r="D112" i="4"/>
  <c r="E792" i="4"/>
  <c r="D628" i="4"/>
  <c r="J628" i="4" s="1"/>
  <c r="K628" i="4" s="1"/>
  <c r="D166" i="4"/>
  <c r="E320" i="4"/>
  <c r="D262" i="4"/>
  <c r="D154" i="4"/>
  <c r="E466" i="4"/>
  <c r="D80" i="4"/>
  <c r="D951" i="4"/>
  <c r="D417" i="4"/>
  <c r="D189" i="4"/>
  <c r="D247" i="4"/>
  <c r="E446" i="4"/>
  <c r="D402" i="4"/>
  <c r="E138" i="4"/>
  <c r="D790" i="4"/>
  <c r="D349" i="4"/>
  <c r="E149" i="4"/>
  <c r="D329" i="4"/>
  <c r="E183" i="4"/>
  <c r="D387" i="4"/>
  <c r="D289" i="4"/>
  <c r="E372" i="4"/>
  <c r="D453" i="4"/>
  <c r="D228" i="4"/>
  <c r="D117" i="4"/>
  <c r="D904" i="4"/>
  <c r="K22" i="4"/>
  <c r="E74" i="4"/>
  <c r="D520" i="4"/>
  <c r="E160" i="4"/>
  <c r="D223" i="4"/>
  <c r="D712" i="4"/>
  <c r="K149" i="4"/>
  <c r="E351" i="4"/>
  <c r="D340" i="4"/>
  <c r="E161" i="4"/>
  <c r="D85" i="4"/>
  <c r="D614" i="4"/>
  <c r="D1051" i="4"/>
  <c r="D188" i="4"/>
  <c r="J188" i="4" s="1"/>
  <c r="K188" i="4" s="1"/>
  <c r="E484" i="4"/>
  <c r="E759" i="4"/>
  <c r="E781" i="4"/>
  <c r="D305" i="4"/>
  <c r="E42" i="4"/>
  <c r="E350" i="4"/>
  <c r="D816" i="4"/>
  <c r="E689" i="4"/>
  <c r="D319" i="4"/>
  <c r="E293" i="4"/>
  <c r="D960" i="4"/>
  <c r="D79" i="4"/>
  <c r="D89" i="4"/>
  <c r="D49" i="4"/>
  <c r="D67" i="4"/>
  <c r="D118" i="4"/>
  <c r="E287" i="4"/>
  <c r="E778" i="4"/>
  <c r="D440" i="4"/>
  <c r="E321" i="4"/>
  <c r="D720" i="4"/>
  <c r="K581" i="4"/>
  <c r="E330" i="4"/>
  <c r="D266" i="4"/>
  <c r="E478" i="4"/>
  <c r="E581" i="4"/>
  <c r="D783" i="4"/>
  <c r="E783" i="4"/>
  <c r="E139" i="4"/>
  <c r="D301" i="4"/>
  <c r="E54" i="4"/>
  <c r="E200" i="4"/>
  <c r="E575" i="4"/>
  <c r="D92" i="4"/>
  <c r="J92" i="4" s="1"/>
  <c r="K92" i="4" s="1"/>
  <c r="E365" i="4"/>
  <c r="D885" i="4"/>
  <c r="E580" i="4"/>
  <c r="D580" i="4"/>
  <c r="J580" i="4" s="1"/>
  <c r="K580" i="4" s="1"/>
  <c r="D658" i="4"/>
  <c r="E658" i="4"/>
  <c r="D179" i="4"/>
  <c r="E363" i="4"/>
  <c r="D465" i="4"/>
  <c r="D91" i="4"/>
  <c r="E28" i="4"/>
  <c r="E443" i="4"/>
  <c r="D672" i="4"/>
  <c r="K28" i="4"/>
  <c r="E22" i="4"/>
  <c r="D103" i="4"/>
  <c r="E106" i="4"/>
  <c r="D296" i="4"/>
  <c r="D39" i="4"/>
  <c r="E159" i="4"/>
  <c r="D167" i="4"/>
  <c r="E521" i="4"/>
  <c r="E124" i="4"/>
  <c r="E655" i="4"/>
  <c r="E82" i="4"/>
  <c r="D342" i="4"/>
  <c r="D217" i="4"/>
  <c r="D444" i="4"/>
  <c r="D482" i="4"/>
  <c r="D358" i="4"/>
  <c r="K45" i="4"/>
  <c r="D155" i="4"/>
  <c r="E416" i="4"/>
  <c r="E282" i="4"/>
  <c r="D408" i="4"/>
  <c r="K76" i="4"/>
  <c r="E150" i="4"/>
  <c r="D108" i="4"/>
  <c r="J108" i="4" s="1"/>
  <c r="K108" i="4" s="1"/>
  <c r="E324" i="4"/>
  <c r="D95" i="4"/>
  <c r="D379" i="4"/>
  <c r="D318" i="4"/>
  <c r="E249" i="4"/>
  <c r="D362" i="4"/>
  <c r="E473" i="4"/>
  <c r="E197" i="4"/>
  <c r="D210" i="4"/>
  <c r="D276" i="4"/>
  <c r="J276" i="4" s="1"/>
  <c r="K276" i="4" s="1"/>
  <c r="D509" i="4"/>
  <c r="D178" i="4"/>
  <c r="E314" i="4"/>
  <c r="D393" i="4"/>
  <c r="D415" i="4"/>
  <c r="E449" i="4"/>
  <c r="D447" i="4"/>
  <c r="E36" i="4"/>
  <c r="E229" i="4"/>
  <c r="D279" i="4"/>
  <c r="E395" i="4"/>
  <c r="E489" i="4"/>
  <c r="E232" i="4"/>
  <c r="D132" i="4"/>
  <c r="E156" i="4"/>
  <c r="D162" i="4"/>
  <c r="D398" i="4"/>
  <c r="D120" i="4"/>
  <c r="E242" i="4"/>
  <c r="E502" i="4"/>
  <c r="D470" i="4"/>
  <c r="D481" i="4"/>
  <c r="D37" i="4"/>
  <c r="J37" i="4" s="1"/>
  <c r="K37" i="4" s="1"/>
  <c r="D41" i="4"/>
  <c r="D56" i="4"/>
  <c r="E414" i="4"/>
  <c r="D274" i="4"/>
  <c r="D215" i="4"/>
  <c r="E336" i="4"/>
  <c r="D238" i="4"/>
  <c r="D226" i="4"/>
  <c r="D147" i="4"/>
  <c r="D206" i="4"/>
  <c r="E59" i="4"/>
  <c r="D456" i="4"/>
  <c r="D129" i="4"/>
  <c r="E384" i="4"/>
  <c r="E50" i="4"/>
  <c r="E308" i="4"/>
  <c r="D143" i="4"/>
  <c r="K36" i="4"/>
  <c r="E38" i="4"/>
  <c r="E389" i="4"/>
  <c r="D101" i="4"/>
  <c r="D437" i="4"/>
  <c r="D401" i="4"/>
  <c r="D55" i="4"/>
  <c r="E102" i="4"/>
  <c r="D297" i="4"/>
  <c r="E43" i="4"/>
  <c r="E220" i="4"/>
  <c r="K156" i="4"/>
  <c r="K148" i="4"/>
  <c r="D57" i="4"/>
  <c r="D51" i="4"/>
  <c r="E475" i="4"/>
  <c r="E34" i="4"/>
  <c r="E513" i="4"/>
  <c r="D135" i="4"/>
  <c r="D299" i="4"/>
  <c r="D576" i="4"/>
  <c r="E148" i="4"/>
  <c r="E153" i="4"/>
  <c r="E392" i="4"/>
  <c r="E326" i="4"/>
  <c r="D194" i="4"/>
  <c r="D412" i="4"/>
  <c r="E333" i="4"/>
  <c r="K164" i="4"/>
  <c r="E212" i="4"/>
  <c r="D244" i="4"/>
  <c r="E505" i="4"/>
  <c r="D325" i="4"/>
  <c r="D207" i="4"/>
  <c r="E290" i="4"/>
  <c r="E164" i="4"/>
  <c r="E137" i="4"/>
  <c r="D69" i="4"/>
  <c r="J69" i="4" s="1"/>
  <c r="K69" i="4" s="1"/>
  <c r="D284" i="4"/>
  <c r="J284" i="4" s="1"/>
  <c r="K284" i="4" s="1"/>
  <c r="D322" i="4"/>
  <c r="D472" i="4"/>
  <c r="D267" i="4"/>
  <c r="E30" i="4"/>
  <c r="E286" i="4"/>
  <c r="D369" i="4"/>
  <c r="E494" i="4"/>
  <c r="D259" i="4"/>
  <c r="D81" i="4"/>
  <c r="E516" i="4"/>
  <c r="E283" i="4"/>
  <c r="K77" i="4"/>
  <c r="E530" i="4"/>
  <c r="E187" i="4"/>
  <c r="D315" i="4"/>
  <c r="E213" i="4"/>
  <c r="D477" i="4"/>
  <c r="D241" i="4"/>
  <c r="D317" i="4"/>
  <c r="E121" i="4"/>
  <c r="D341" i="4"/>
  <c r="D405" i="4"/>
  <c r="E245" i="4"/>
  <c r="D31" i="4"/>
  <c r="E404" i="4"/>
  <c r="D53" i="4"/>
  <c r="J53" i="4" s="1"/>
  <c r="K53" i="4" s="1"/>
  <c r="D388" i="4"/>
  <c r="E235" i="4"/>
  <c r="D70" i="4"/>
  <c r="D174" i="4"/>
  <c r="D72" i="4"/>
  <c r="E311" i="4"/>
  <c r="E181" i="4"/>
  <c r="E33" i="4"/>
  <c r="D328" i="4"/>
  <c r="D163" i="4"/>
  <c r="E450" i="4"/>
  <c r="D383" i="4"/>
  <c r="D114" i="4"/>
  <c r="D109" i="4"/>
  <c r="D347" i="4"/>
  <c r="D192" i="4"/>
  <c r="E294" i="4"/>
  <c r="D243" i="4"/>
  <c r="E146" i="4"/>
  <c r="E94" i="4"/>
  <c r="D270" i="4"/>
  <c r="D123" i="4"/>
  <c r="E483" i="4"/>
  <c r="K30" i="4"/>
  <c r="D141" i="4"/>
  <c r="E130" i="4"/>
  <c r="E104" i="4"/>
  <c r="E400" i="4"/>
  <c r="D464" i="4"/>
  <c r="E309" i="4"/>
  <c r="E391" i="4"/>
  <c r="D353" i="4"/>
  <c r="E346" i="4"/>
  <c r="D71" i="4"/>
  <c r="D261" i="4"/>
  <c r="E261" i="4"/>
  <c r="E193" i="3"/>
  <c r="E194" i="3" s="1"/>
  <c r="E196" i="3" s="1"/>
  <c r="L1061" i="4" s="1"/>
  <c r="C193" i="3"/>
  <c r="C194" i="3" s="1"/>
  <c r="C196" i="3" s="1"/>
  <c r="B538" i="4" s="1"/>
  <c r="K684" i="4"/>
  <c r="E584" i="4"/>
  <c r="E107" i="4"/>
  <c r="D676" i="4"/>
  <c r="K740" i="4"/>
  <c r="D652" i="4"/>
  <c r="K165" i="4"/>
  <c r="E677" i="4"/>
  <c r="K61" i="4"/>
  <c r="K565" i="4"/>
  <c r="D849" i="4"/>
  <c r="D831" i="4"/>
  <c r="E831" i="4"/>
  <c r="E569" i="4"/>
  <c r="D569" i="4"/>
  <c r="E774" i="4"/>
  <c r="D774" i="4"/>
  <c r="D557" i="4"/>
  <c r="J557" i="4" s="1"/>
  <c r="K557" i="4" s="1"/>
  <c r="E557" i="4"/>
  <c r="D665" i="4"/>
  <c r="E665" i="4"/>
  <c r="E8" i="5"/>
  <c r="E621" i="4"/>
  <c r="D621" i="4"/>
  <c r="E24" i="4"/>
  <c r="D24" i="4"/>
  <c r="E10" i="5"/>
  <c r="E49" i="5"/>
  <c r="E53" i="5"/>
  <c r="E6" i="5"/>
  <c r="E47" i="5"/>
  <c r="E12" i="5"/>
  <c r="K724" i="4"/>
  <c r="E11" i="5"/>
  <c r="E7" i="5"/>
  <c r="E48" i="5"/>
  <c r="E50" i="5"/>
  <c r="E9" i="5"/>
  <c r="E52" i="5"/>
  <c r="E46" i="5"/>
  <c r="E13" i="5"/>
  <c r="K644" i="4"/>
  <c r="D193" i="3"/>
  <c r="D194" i="3" s="1"/>
  <c r="D196" i="3" s="1"/>
  <c r="E30" i="5"/>
  <c r="H7" i="3"/>
  <c r="I7" i="3"/>
  <c r="I6" i="3"/>
  <c r="I5" i="3"/>
  <c r="E32" i="3" s="1"/>
  <c r="I9" i="3"/>
  <c r="H9" i="3"/>
  <c r="C91" i="5"/>
  <c r="D91" i="5" s="1"/>
  <c r="E91" i="5"/>
  <c r="F91" i="5" s="1"/>
  <c r="I8" i="3"/>
  <c r="H8" i="3"/>
  <c r="I3" i="3"/>
  <c r="H3" i="3"/>
  <c r="D32" i="3"/>
  <c r="B32" i="3"/>
  <c r="I91" i="5"/>
  <c r="I4" i="3"/>
  <c r="H4" i="3"/>
  <c r="D34" i="3"/>
  <c r="C33" i="3"/>
  <c r="E34" i="3"/>
  <c r="E33" i="3"/>
  <c r="C34" i="3"/>
  <c r="B33" i="3"/>
  <c r="B34" i="3"/>
  <c r="C32" i="3" l="1"/>
  <c r="B194" i="3"/>
  <c r="B196" i="3" s="1"/>
  <c r="B3" i="4" s="1"/>
  <c r="E70" i="5"/>
  <c r="L948" i="4"/>
  <c r="L809" i="4"/>
  <c r="L784" i="4"/>
  <c r="L975" i="4"/>
  <c r="L1039" i="4"/>
  <c r="L1054" i="4"/>
  <c r="C236" i="3"/>
  <c r="C238" i="3" s="1"/>
  <c r="E245" i="3" s="1"/>
  <c r="J552" i="4" s="1"/>
  <c r="L617" i="4"/>
  <c r="L831" i="4"/>
  <c r="L577" i="4"/>
  <c r="L690" i="4"/>
  <c r="L1035" i="4"/>
  <c r="L683" i="4"/>
  <c r="L780" i="4"/>
  <c r="L562" i="4"/>
  <c r="L1056" i="4"/>
  <c r="L1031" i="4"/>
  <c r="L815" i="4"/>
  <c r="L947" i="4"/>
  <c r="L846" i="4"/>
  <c r="L764" i="4"/>
  <c r="L946" i="4"/>
  <c r="L767" i="4"/>
  <c r="L561" i="4"/>
  <c r="L1023" i="4"/>
  <c r="L919" i="4"/>
  <c r="L834" i="4"/>
  <c r="L596" i="4"/>
  <c r="L1005" i="4"/>
  <c r="L907" i="4"/>
  <c r="L1011" i="4"/>
  <c r="L564" i="4"/>
  <c r="L932" i="4"/>
  <c r="L775" i="4"/>
  <c r="L741" i="4"/>
  <c r="L761" i="4"/>
  <c r="L746" i="4"/>
  <c r="L928" i="4"/>
  <c r="L627" i="4"/>
  <c r="L983" i="4"/>
  <c r="L691" i="4"/>
  <c r="L592" i="4"/>
  <c r="L878" i="4"/>
  <c r="L1052" i="4"/>
  <c r="L1008" i="4"/>
  <c r="L1032" i="4"/>
  <c r="L972" i="4"/>
  <c r="L800" i="4"/>
  <c r="L649" i="4"/>
  <c r="L682" i="4"/>
  <c r="L962" i="4"/>
  <c r="L701" i="4"/>
  <c r="L660" i="4"/>
  <c r="L939" i="4"/>
  <c r="L844" i="4"/>
  <c r="M844" i="4" s="1"/>
  <c r="N844" i="4" s="1"/>
  <c r="L609" i="4"/>
  <c r="L655" i="4"/>
  <c r="L839" i="4"/>
  <c r="L762" i="4"/>
  <c r="L594" i="4"/>
  <c r="L1020" i="4"/>
  <c r="L894" i="4"/>
  <c r="L685" i="4"/>
  <c r="L628" i="4"/>
  <c r="L1009" i="4"/>
  <c r="L882" i="4"/>
  <c r="L593" i="4"/>
  <c r="L714" i="4"/>
  <c r="L860" i="4"/>
  <c r="L622" i="4"/>
  <c r="L750" i="4"/>
  <c r="M750" i="4" s="1"/>
  <c r="N750" i="4" s="1"/>
  <c r="L979" i="4"/>
  <c r="L583" i="4"/>
  <c r="L982" i="4"/>
  <c r="L841" i="4"/>
  <c r="L988" i="4"/>
  <c r="L1049" i="4"/>
  <c r="L1037" i="4"/>
  <c r="L956" i="4"/>
  <c r="L821" i="4"/>
  <c r="L585" i="4"/>
  <c r="L992" i="4"/>
  <c r="L799" i="4"/>
  <c r="L732" i="4"/>
  <c r="L698" i="4"/>
  <c r="L976" i="4"/>
  <c r="L759" i="4"/>
  <c r="M759" i="4" s="1"/>
  <c r="N759" i="4" s="1"/>
  <c r="L707" i="4"/>
  <c r="L751" i="4"/>
  <c r="L913" i="4"/>
  <c r="L716" i="4"/>
  <c r="L874" i="4"/>
  <c r="L963" i="4"/>
  <c r="L783" i="4"/>
  <c r="L782" i="4"/>
  <c r="L600" i="4"/>
  <c r="L923" i="4"/>
  <c r="L802" i="4"/>
  <c r="L678" i="4"/>
  <c r="L567" i="4"/>
  <c r="L616" i="4"/>
  <c r="L615" i="4"/>
  <c r="L584" i="4"/>
  <c r="M584" i="4" s="1"/>
  <c r="N584" i="4" s="1"/>
  <c r="L949" i="4"/>
  <c r="L1058" i="4"/>
  <c r="L974" i="4"/>
  <c r="L848" i="4"/>
  <c r="L611" i="4"/>
  <c r="L1059" i="4"/>
  <c r="L980" i="4"/>
  <c r="L1019" i="4"/>
  <c r="L915" i="4"/>
  <c r="L927" i="4"/>
  <c r="L670" i="4"/>
  <c r="L969" i="4"/>
  <c r="L828" i="4"/>
  <c r="L677" i="4"/>
  <c r="L647" i="4"/>
  <c r="L875" i="4"/>
  <c r="M875" i="4" s="1"/>
  <c r="N875" i="4" s="1"/>
  <c r="L866" i="4"/>
  <c r="L630" i="4"/>
  <c r="L663" i="4"/>
  <c r="L953" i="4"/>
  <c r="L725" i="4"/>
  <c r="L769" i="4"/>
  <c r="L1014" i="4"/>
  <c r="L812" i="4"/>
  <c r="L661" i="4"/>
  <c r="L568" i="4"/>
  <c r="L859" i="4"/>
  <c r="L908" i="4"/>
  <c r="L614" i="4"/>
  <c r="L1000" i="4"/>
  <c r="L727" i="4"/>
  <c r="L563" i="4"/>
  <c r="L940" i="4"/>
  <c r="L858" i="4"/>
  <c r="L966" i="4"/>
  <c r="L804" i="4"/>
  <c r="L712" i="4"/>
  <c r="L888" i="4"/>
  <c r="L1048" i="4"/>
  <c r="L967" i="4"/>
  <c r="L1021" i="4"/>
  <c r="L883" i="4"/>
  <c r="L906" i="4"/>
  <c r="L638" i="4"/>
  <c r="L964" i="4"/>
  <c r="L796" i="4"/>
  <c r="L645" i="4"/>
  <c r="L659" i="4"/>
  <c r="M659" i="4" s="1"/>
  <c r="N659" i="4" s="1"/>
  <c r="L843" i="4"/>
  <c r="L773" i="4"/>
  <c r="L598" i="4"/>
  <c r="L1062" i="4"/>
  <c r="L910" i="4"/>
  <c r="L693" i="4"/>
  <c r="L644" i="4"/>
  <c r="L960" i="4"/>
  <c r="L945" i="4"/>
  <c r="L629" i="4"/>
  <c r="L822" i="4"/>
  <c r="L957" i="4"/>
  <c r="L726" i="4"/>
  <c r="L582" i="4"/>
  <c r="L951" i="4"/>
  <c r="L643" i="4"/>
  <c r="M643" i="4" s="1"/>
  <c r="N643" i="4" s="1"/>
  <c r="L610" i="4"/>
  <c r="L835" i="4"/>
  <c r="L771" i="4"/>
  <c r="L938" i="4"/>
  <c r="L934" i="4"/>
  <c r="L1026" i="4"/>
  <c r="L1012" i="4"/>
  <c r="L1001" i="4"/>
  <c r="L1060" i="4"/>
  <c r="L851" i="4"/>
  <c r="L826" i="4"/>
  <c r="L606" i="4"/>
  <c r="L943" i="4"/>
  <c r="L845" i="4"/>
  <c r="L613" i="4"/>
  <c r="L672" i="4"/>
  <c r="M672" i="4" s="1"/>
  <c r="N672" i="4" s="1"/>
  <c r="L954" i="4"/>
  <c r="L793" i="4"/>
  <c r="L566" i="4"/>
  <c r="L1053" i="4"/>
  <c r="L823" i="4"/>
  <c r="L790" i="4"/>
  <c r="L580" i="4"/>
  <c r="L1015" i="4"/>
  <c r="L898" i="4"/>
  <c r="L597" i="4"/>
  <c r="L753" i="4"/>
  <c r="L1042" i="4"/>
  <c r="L743" i="4"/>
  <c r="L794" i="4"/>
  <c r="L887" i="4"/>
  <c r="L985" i="4"/>
  <c r="M985" i="4" s="1"/>
  <c r="N985" i="4" s="1"/>
  <c r="L900" i="4"/>
  <c r="L937" i="4"/>
  <c r="L978" i="4"/>
  <c r="L902" i="4"/>
  <c r="L738" i="4"/>
  <c r="L778" i="4"/>
  <c r="L662" i="4"/>
  <c r="L684" i="4"/>
  <c r="L1044" i="4"/>
  <c r="L1055" i="4"/>
  <c r="L1045" i="4"/>
  <c r="L941" i="4"/>
  <c r="L842" i="4"/>
  <c r="L574" i="4"/>
  <c r="L952" i="4"/>
  <c r="L813" i="4"/>
  <c r="M813" i="4" s="1"/>
  <c r="N813" i="4" s="1"/>
  <c r="L581" i="4"/>
  <c r="L817" i="4"/>
  <c r="L917" i="4"/>
  <c r="L720" i="4"/>
  <c r="B539" i="4"/>
  <c r="L989" i="4"/>
  <c r="L791" i="4"/>
  <c r="L830" i="4"/>
  <c r="L651" i="4"/>
  <c r="L936" i="4"/>
  <c r="L779" i="4"/>
  <c r="L565" i="4"/>
  <c r="L942" i="4"/>
  <c r="L901" i="4"/>
  <c r="L704" i="4"/>
  <c r="L765" i="4"/>
  <c r="M765" i="4" s="1"/>
  <c r="L897" i="4"/>
  <c r="L1018" i="4"/>
  <c r="L801" i="4"/>
  <c r="L896" i="4"/>
  <c r="L709" i="4"/>
  <c r="L816" i="4"/>
  <c r="L924" i="4"/>
  <c r="L981" i="4"/>
  <c r="L920" i="4"/>
  <c r="L789" i="4"/>
  <c r="L1051" i="4"/>
  <c r="L1036" i="4"/>
  <c r="L1028" i="4"/>
  <c r="L933" i="4"/>
  <c r="L733" i="4"/>
  <c r="L687" i="4"/>
  <c r="M687" i="4" s="1"/>
  <c r="L986" i="4"/>
  <c r="L763" i="4"/>
  <c r="L715" i="4"/>
  <c r="L603" i="4"/>
  <c r="L885" i="4"/>
  <c r="L854" i="4"/>
  <c r="L724" i="4"/>
  <c r="L990" i="4"/>
  <c r="L904" i="4"/>
  <c r="L749" i="4"/>
  <c r="L639" i="4"/>
  <c r="L931" i="4"/>
  <c r="L856" i="4"/>
  <c r="L688" i="4"/>
  <c r="L591" i="4"/>
  <c r="L869" i="4"/>
  <c r="M869" i="4" s="1"/>
  <c r="L758" i="4"/>
  <c r="L752" i="4"/>
  <c r="L807" i="4"/>
  <c r="L867" i="4"/>
  <c r="L1029" i="4"/>
  <c r="L781" i="4"/>
  <c r="L702" i="4"/>
  <c r="L870" i="4"/>
  <c r="L653" i="4"/>
  <c r="L633" i="4"/>
  <c r="L850" i="4"/>
  <c r="L837" i="4"/>
  <c r="L1057" i="4"/>
  <c r="L1004" i="4"/>
  <c r="L1063" i="4"/>
  <c r="L893" i="4"/>
  <c r="M893" i="4" s="1"/>
  <c r="N893" i="4" s="1"/>
  <c r="L696" i="4"/>
  <c r="L734" i="4"/>
  <c r="L911" i="4"/>
  <c r="L872" i="4"/>
  <c r="L666" i="4"/>
  <c r="M666" i="4" s="1"/>
  <c r="N666" i="4" s="1"/>
  <c r="L608" i="4"/>
  <c r="L853" i="4"/>
  <c r="L730" i="4"/>
  <c r="L776" i="4"/>
  <c r="L961" i="4"/>
  <c r="L820" i="4"/>
  <c r="L669" i="4"/>
  <c r="L619" i="4"/>
  <c r="L895" i="4"/>
  <c r="L810" i="4"/>
  <c r="L650" i="4"/>
  <c r="M650" i="4" s="1"/>
  <c r="L607" i="4"/>
  <c r="L838" i="4"/>
  <c r="L713" i="4"/>
  <c r="L680" i="4"/>
  <c r="L862" i="4"/>
  <c r="M862" i="4" s="1"/>
  <c r="N862" i="4" s="1"/>
  <c r="L877" i="4"/>
  <c r="L999" i="4"/>
  <c r="L748" i="4"/>
  <c r="L557" i="4"/>
  <c r="L777" i="4"/>
  <c r="L674" i="4"/>
  <c r="L909" i="4"/>
  <c r="L881" i="4"/>
  <c r="L646" i="4"/>
  <c r="L1030" i="4"/>
  <c r="L984" i="4"/>
  <c r="M984" i="4" s="1"/>
  <c r="N984" i="4" s="1"/>
  <c r="L1038" i="4"/>
  <c r="L1066" i="4"/>
  <c r="L861" i="4"/>
  <c r="L756" i="4"/>
  <c r="L722" i="4"/>
  <c r="M722" i="4" s="1"/>
  <c r="N722" i="4" s="1"/>
  <c r="L879" i="4"/>
  <c r="L890" i="4"/>
  <c r="L634" i="4"/>
  <c r="L635" i="4"/>
  <c r="L918" i="4"/>
  <c r="L697" i="4"/>
  <c r="L652" i="4"/>
  <c r="L991" i="4"/>
  <c r="L788" i="4"/>
  <c r="L637" i="4"/>
  <c r="L579" i="4"/>
  <c r="M579" i="4" s="1"/>
  <c r="L863" i="4"/>
  <c r="L825" i="4"/>
  <c r="L618" i="4"/>
  <c r="L1047" i="4"/>
  <c r="L886" i="4"/>
  <c r="M886" i="4" s="1"/>
  <c r="L681" i="4"/>
  <c r="L620" i="4"/>
  <c r="L922" i="4"/>
  <c r="L787" i="4"/>
  <c r="L855" i="4"/>
  <c r="L721" i="4"/>
  <c r="L578" i="4"/>
  <c r="L689" i="4"/>
  <c r="L723" i="4"/>
  <c r="L785" i="4"/>
  <c r="L805" i="4"/>
  <c r="L971" i="4"/>
  <c r="L1013" i="4"/>
  <c r="L1024" i="4"/>
  <c r="L836" i="4"/>
  <c r="L705" i="4"/>
  <c r="M705" i="4" s="1"/>
  <c r="N705" i="4" s="1"/>
  <c r="L668" i="4"/>
  <c r="L847" i="4"/>
  <c r="L818" i="4"/>
  <c r="L602" i="4"/>
  <c r="L1022" i="4"/>
  <c r="L827" i="4"/>
  <c r="L814" i="4"/>
  <c r="L588" i="4"/>
  <c r="L935" i="4"/>
  <c r="L930" i="4"/>
  <c r="L605" i="4"/>
  <c r="M605" i="4" s="1"/>
  <c r="N605" i="4" s="1"/>
  <c r="L595" i="4"/>
  <c r="L958" i="4"/>
  <c r="L731" i="4"/>
  <c r="L586" i="4"/>
  <c r="L1010" i="4"/>
  <c r="M1010" i="4" s="1"/>
  <c r="N1010" i="4" s="1"/>
  <c r="L811" i="4"/>
  <c r="L747" i="4"/>
  <c r="L556" i="4"/>
  <c r="L700" i="4"/>
  <c r="L914" i="4"/>
  <c r="L865" i="4"/>
  <c r="L744" i="4"/>
  <c r="L676" i="4"/>
  <c r="L665" i="4"/>
  <c r="L612" i="4"/>
  <c r="L899" i="4"/>
  <c r="M899" i="4" s="1"/>
  <c r="N899" i="4" s="1"/>
  <c r="L740" i="4"/>
  <c r="L718" i="4"/>
  <c r="L1034" i="4"/>
  <c r="L1033" i="4"/>
  <c r="L1067" i="4"/>
  <c r="M1067" i="4" s="1"/>
  <c r="N1067" i="4" s="1"/>
  <c r="L868" i="4"/>
  <c r="M868" i="4" s="1"/>
  <c r="N868" i="4" s="1"/>
  <c r="L892" i="4"/>
  <c r="L604" i="4"/>
  <c r="L1007" i="4"/>
  <c r="L840" i="4"/>
  <c r="L570" i="4"/>
  <c r="L1003" i="4"/>
  <c r="L795" i="4"/>
  <c r="L916" i="4"/>
  <c r="L664" i="4"/>
  <c r="L944" i="4"/>
  <c r="M944" i="4" s="1"/>
  <c r="L798" i="4"/>
  <c r="L573" i="4"/>
  <c r="L631" i="4"/>
  <c r="L929" i="4"/>
  <c r="L766" i="4"/>
  <c r="M766" i="4" s="1"/>
  <c r="L884" i="4"/>
  <c r="M884" i="4" s="1"/>
  <c r="L959" i="4"/>
  <c r="L995" i="4"/>
  <c r="L770" i="4"/>
  <c r="L587" i="4"/>
  <c r="L742" i="4"/>
  <c r="L833" i="4"/>
  <c r="L970" i="4"/>
  <c r="L569" i="4"/>
  <c r="L560" i="4"/>
  <c r="L692" i="4"/>
  <c r="M692" i="4" s="1"/>
  <c r="N692" i="4" s="1"/>
  <c r="L768" i="4"/>
  <c r="L654" i="4"/>
  <c r="L711" i="4"/>
  <c r="L891" i="4"/>
  <c r="L1043" i="4"/>
  <c r="M1043" i="4" s="1"/>
  <c r="N1043" i="4" s="1"/>
  <c r="L973" i="4"/>
  <c r="M973" i="4" s="1"/>
  <c r="N973" i="4" s="1"/>
  <c r="L1025" i="4"/>
  <c r="L996" i="4"/>
  <c r="L803" i="4"/>
  <c r="L737" i="4"/>
  <c r="L1002" i="4"/>
  <c r="L921" i="4"/>
  <c r="L728" i="4"/>
  <c r="L686" i="4"/>
  <c r="L993" i="4"/>
  <c r="L912" i="4"/>
  <c r="M912" i="4" s="1"/>
  <c r="N912" i="4" s="1"/>
  <c r="L679" i="4"/>
  <c r="L675" i="4"/>
  <c r="L968" i="4"/>
  <c r="L755" i="4"/>
  <c r="L699" i="4"/>
  <c r="M699" i="4" s="1"/>
  <c r="L667" i="4"/>
  <c r="M667" i="4" s="1"/>
  <c r="L905" i="4"/>
  <c r="L708" i="4"/>
  <c r="L772" i="4"/>
  <c r="L987" i="4"/>
  <c r="L880" i="4"/>
  <c r="L710" i="4"/>
  <c r="L575" i="4"/>
  <c r="L621" i="4"/>
  <c r="L774" i="4"/>
  <c r="L829" i="4"/>
  <c r="M829" i="4" s="1"/>
  <c r="N829" i="4" s="1"/>
  <c r="L590" i="4"/>
  <c r="L571" i="4"/>
  <c r="L636" i="4"/>
  <c r="L648" i="4"/>
  <c r="L1017" i="4"/>
  <c r="M1017" i="4" s="1"/>
  <c r="N1017" i="4" s="1"/>
  <c r="L994" i="4"/>
  <c r="M994" i="4" s="1"/>
  <c r="N994" i="4" s="1"/>
  <c r="L589" i="4"/>
  <c r="L623" i="4"/>
  <c r="L1016" i="4"/>
  <c r="L1065" i="4"/>
  <c r="L1064" i="4"/>
  <c r="L1027" i="4"/>
  <c r="L926" i="4"/>
  <c r="L745" i="4"/>
  <c r="L736" i="4"/>
  <c r="L889" i="4"/>
  <c r="M889" i="4" s="1"/>
  <c r="N889" i="4" s="1"/>
  <c r="L950" i="4"/>
  <c r="L729" i="4"/>
  <c r="L965" i="4"/>
  <c r="L824" i="4"/>
  <c r="L673" i="4"/>
  <c r="M673" i="4" s="1"/>
  <c r="N673" i="4" s="1"/>
  <c r="L632" i="4"/>
  <c r="M632" i="4" s="1"/>
  <c r="N632" i="4" s="1"/>
  <c r="L903" i="4"/>
  <c r="L849" i="4"/>
  <c r="L658" i="4"/>
  <c r="L559" i="4"/>
  <c r="L873" i="4"/>
  <c r="L760" i="4"/>
  <c r="L754" i="4"/>
  <c r="L997" i="4"/>
  <c r="L808" i="4"/>
  <c r="L657" i="4"/>
  <c r="M657" i="4" s="1"/>
  <c r="L786" i="4"/>
  <c r="L642" i="4"/>
  <c r="L806" i="4"/>
  <c r="L876" i="4"/>
  <c r="L719" i="4"/>
  <c r="M719" i="4" s="1"/>
  <c r="N719" i="4" s="1"/>
  <c r="L671" i="4"/>
  <c r="M671" i="4" s="1"/>
  <c r="N671" i="4" s="1"/>
  <c r="L640" i="4"/>
  <c r="L819" i="4"/>
  <c r="L576" i="4"/>
  <c r="L1006" i="4"/>
  <c r="L1046" i="4"/>
  <c r="L1040" i="4"/>
  <c r="L1050" i="4"/>
  <c r="L977" i="4"/>
  <c r="L832" i="4"/>
  <c r="L694" i="4"/>
  <c r="M694" i="4" s="1"/>
  <c r="N694" i="4" s="1"/>
  <c r="L695" i="4"/>
  <c r="L857" i="4"/>
  <c r="L735" i="4"/>
  <c r="L706" i="4"/>
  <c r="L998" i="4"/>
  <c r="M998" i="4" s="1"/>
  <c r="N998" i="4" s="1"/>
  <c r="L792" i="4"/>
  <c r="M792" i="4" s="1"/>
  <c r="N792" i="4" s="1"/>
  <c r="L641" i="4"/>
  <c r="L599" i="4"/>
  <c r="L871" i="4"/>
  <c r="L852" i="4"/>
  <c r="L626" i="4"/>
  <c r="L656" i="4"/>
  <c r="L864" i="4"/>
  <c r="L717" i="4"/>
  <c r="L703" i="4"/>
  <c r="L955" i="4"/>
  <c r="M955" i="4" s="1"/>
  <c r="L925" i="4"/>
  <c r="L625" i="4"/>
  <c r="M625" i="4" s="1"/>
  <c r="N625" i="4" s="1"/>
  <c r="L797" i="4"/>
  <c r="L739" i="4"/>
  <c r="L601" i="4"/>
  <c r="M601" i="4" s="1"/>
  <c r="N601" i="4" s="1"/>
  <c r="L757" i="4"/>
  <c r="M757" i="4" s="1"/>
  <c r="N757" i="4" s="1"/>
  <c r="L624" i="4"/>
  <c r="L558" i="4"/>
  <c r="L1041" i="4"/>
  <c r="L572" i="4"/>
  <c r="E54" i="5"/>
  <c r="E14" i="5"/>
  <c r="L252" i="4"/>
  <c r="M252" i="4" s="1"/>
  <c r="L238" i="4"/>
  <c r="L335" i="4"/>
  <c r="M335" i="4" s="1"/>
  <c r="L258" i="4"/>
  <c r="M258" i="4" s="1"/>
  <c r="N258" i="4" s="1"/>
  <c r="L52" i="4"/>
  <c r="M52" i="4" s="1"/>
  <c r="L529" i="4"/>
  <c r="M529" i="4" s="1"/>
  <c r="L447" i="4"/>
  <c r="M447" i="4" s="1"/>
  <c r="L398" i="4"/>
  <c r="M398" i="4" s="1"/>
  <c r="L248" i="4"/>
  <c r="M248" i="4" s="1"/>
  <c r="L185" i="4"/>
  <c r="M185" i="4" s="1"/>
  <c r="L111" i="4"/>
  <c r="M111" i="4" s="1"/>
  <c r="L307" i="4"/>
  <c r="M307" i="4" s="1"/>
  <c r="N307" i="4" s="1"/>
  <c r="L511" i="4"/>
  <c r="M511" i="4" s="1"/>
  <c r="L354" i="4"/>
  <c r="M354" i="4" s="1"/>
  <c r="L332" i="4"/>
  <c r="M332" i="4" s="1"/>
  <c r="L249" i="4"/>
  <c r="M249" i="4" s="1"/>
  <c r="L79" i="4"/>
  <c r="L227" i="4"/>
  <c r="L526" i="4"/>
  <c r="M526" i="4" s="1"/>
  <c r="L494" i="4"/>
  <c r="M494" i="4" s="1"/>
  <c r="L507" i="4"/>
  <c r="M507" i="4" s="1"/>
  <c r="L521" i="4"/>
  <c r="M521" i="4" s="1"/>
  <c r="L470" i="4"/>
  <c r="M470" i="4" s="1"/>
  <c r="L438" i="4"/>
  <c r="M438" i="4" s="1"/>
  <c r="N438" i="4" s="1"/>
  <c r="L406" i="4"/>
  <c r="M406" i="4" s="1"/>
  <c r="L436" i="4"/>
  <c r="M436" i="4" s="1"/>
  <c r="L512" i="4"/>
  <c r="M512" i="4" s="1"/>
  <c r="L400" i="4"/>
  <c r="M400" i="4" s="1"/>
  <c r="N400" i="4" s="1"/>
  <c r="L350" i="4"/>
  <c r="M350" i="4" s="1"/>
  <c r="L318" i="4"/>
  <c r="M318" i="4" s="1"/>
  <c r="L286" i="4"/>
  <c r="M286" i="4" s="1"/>
  <c r="L480" i="4"/>
  <c r="M480" i="4" s="1"/>
  <c r="L397" i="4"/>
  <c r="M397" i="4" s="1"/>
  <c r="L481" i="4"/>
  <c r="L387" i="4"/>
  <c r="M387" i="4" s="1"/>
  <c r="L325" i="4"/>
  <c r="M325" i="4" s="1"/>
  <c r="L444" i="4"/>
  <c r="M444" i="4" s="1"/>
  <c r="L297" i="4"/>
  <c r="M297" i="4" s="1"/>
  <c r="N297" i="4" s="1"/>
  <c r="L244" i="4"/>
  <c r="M244" i="4" s="1"/>
  <c r="L212" i="4"/>
  <c r="M212" i="4" s="1"/>
  <c r="N212" i="4" s="1"/>
  <c r="L180" i="4"/>
  <c r="M180" i="4" s="1"/>
  <c r="L386" i="4"/>
  <c r="M386" i="4" s="1"/>
  <c r="L291" i="4"/>
  <c r="M291" i="4" s="1"/>
  <c r="L245" i="4"/>
  <c r="M245" i="4" s="1"/>
  <c r="N245" i="4" s="1"/>
  <c r="L213" i="4"/>
  <c r="M213" i="4" s="1"/>
  <c r="L181" i="4"/>
  <c r="M181" i="4" s="1"/>
  <c r="L149" i="4"/>
  <c r="M149" i="4" s="1"/>
  <c r="L375" i="4"/>
  <c r="M375" i="4" s="1"/>
  <c r="L316" i="4"/>
  <c r="M316" i="4" s="1"/>
  <c r="L369" i="4"/>
  <c r="L139" i="4"/>
  <c r="M139" i="4" s="1"/>
  <c r="L107" i="4"/>
  <c r="M107" i="4" s="1"/>
  <c r="L75" i="4"/>
  <c r="M75" i="4" s="1"/>
  <c r="L43" i="4"/>
  <c r="M43" i="4" s="1"/>
  <c r="N43" i="4" s="1"/>
  <c r="L449" i="4"/>
  <c r="M449" i="4" s="1"/>
  <c r="L273" i="4"/>
  <c r="M273" i="4" s="1"/>
  <c r="L222" i="4"/>
  <c r="M222" i="4" s="1"/>
  <c r="L159" i="4"/>
  <c r="M159" i="4" s="1"/>
  <c r="L269" i="4"/>
  <c r="M269" i="4" s="1"/>
  <c r="L219" i="4"/>
  <c r="M219" i="4" s="1"/>
  <c r="N219" i="4" s="1"/>
  <c r="L146" i="4"/>
  <c r="M146" i="4" s="1"/>
  <c r="L308" i="4"/>
  <c r="M308" i="4" s="1"/>
  <c r="L137" i="4"/>
  <c r="M137" i="4" s="1"/>
  <c r="L105" i="4"/>
  <c r="M105" i="4" s="1"/>
  <c r="L73" i="4"/>
  <c r="M73" i="4" s="1"/>
  <c r="L41" i="4"/>
  <c r="L500" i="4"/>
  <c r="M500" i="4" s="1"/>
  <c r="L191" i="4"/>
  <c r="M191" i="4" s="1"/>
  <c r="L407" i="4"/>
  <c r="M407" i="4" s="1"/>
  <c r="L339" i="4"/>
  <c r="M339" i="4" s="1"/>
  <c r="L402" i="4"/>
  <c r="M402" i="4" s="1"/>
  <c r="L126" i="4"/>
  <c r="M126" i="4" s="1"/>
  <c r="N126" i="4" s="1"/>
  <c r="L62" i="4"/>
  <c r="M62" i="4" s="1"/>
  <c r="L202" i="4"/>
  <c r="M202" i="4" s="1"/>
  <c r="L522" i="4"/>
  <c r="M522" i="4" s="1"/>
  <c r="L490" i="4"/>
  <c r="M490" i="4" s="1"/>
  <c r="N490" i="4" s="1"/>
  <c r="L503" i="4"/>
  <c r="M503" i="4" s="1"/>
  <c r="L513" i="4"/>
  <c r="M513" i="4" s="1"/>
  <c r="L466" i="4"/>
  <c r="M466" i="4" s="1"/>
  <c r="L434" i="4"/>
  <c r="M434" i="4" s="1"/>
  <c r="L477" i="4"/>
  <c r="M477" i="4" s="1"/>
  <c r="L429" i="4"/>
  <c r="L473" i="4"/>
  <c r="M473" i="4" s="1"/>
  <c r="L399" i="4"/>
  <c r="M399" i="4" s="1"/>
  <c r="L346" i="4"/>
  <c r="M346" i="4" s="1"/>
  <c r="L314" i="4"/>
  <c r="M314" i="4" s="1"/>
  <c r="N314" i="4" s="1"/>
  <c r="L282" i="4"/>
  <c r="M282" i="4" s="1"/>
  <c r="L463" i="4"/>
  <c r="M463" i="4" s="1"/>
  <c r="N463" i="4" s="1"/>
  <c r="L382" i="4"/>
  <c r="M382" i="4" s="1"/>
  <c r="L472" i="4"/>
  <c r="M472" i="4" s="1"/>
  <c r="L380" i="4"/>
  <c r="M380" i="4" s="1"/>
  <c r="L311" i="4"/>
  <c r="M311" i="4" s="1"/>
  <c r="N311" i="4" s="1"/>
  <c r="L443" i="4"/>
  <c r="M443" i="4" s="1"/>
  <c r="L283" i="4"/>
  <c r="M283" i="4" s="1"/>
  <c r="L240" i="4"/>
  <c r="M240" i="4" s="1"/>
  <c r="L208" i="4"/>
  <c r="M208" i="4" s="1"/>
  <c r="L176" i="4"/>
  <c r="M176" i="4" s="1"/>
  <c r="L372" i="4"/>
  <c r="L280" i="4"/>
  <c r="M280" i="4" s="1"/>
  <c r="L241" i="4"/>
  <c r="M241" i="4" s="1"/>
  <c r="L209" i="4"/>
  <c r="M209" i="4" s="1"/>
  <c r="L177" i="4"/>
  <c r="M177" i="4" s="1"/>
  <c r="L508" i="4"/>
  <c r="M508" i="4" s="1"/>
  <c r="L361" i="4"/>
  <c r="M361" i="4" s="1"/>
  <c r="N361" i="4" s="1"/>
  <c r="L309" i="4"/>
  <c r="M309" i="4" s="1"/>
  <c r="L340" i="4"/>
  <c r="M340" i="4" s="1"/>
  <c r="L135" i="4"/>
  <c r="M135" i="4" s="1"/>
  <c r="L103" i="4"/>
  <c r="M103" i="4" s="1"/>
  <c r="N103" i="4" s="1"/>
  <c r="L71" i="4"/>
  <c r="M71" i="4" s="1"/>
  <c r="L39" i="4"/>
  <c r="M39" i="4" s="1"/>
  <c r="L423" i="4"/>
  <c r="M423" i="4" s="1"/>
  <c r="L272" i="4"/>
  <c r="M272" i="4" s="1"/>
  <c r="L214" i="4"/>
  <c r="M214" i="4" s="1"/>
  <c r="L152" i="4"/>
  <c r="L268" i="4"/>
  <c r="M268" i="4" s="1"/>
  <c r="L211" i="4"/>
  <c r="M211" i="4" s="1"/>
  <c r="L469" i="4"/>
  <c r="M469" i="4" s="1"/>
  <c r="L301" i="4"/>
  <c r="M301" i="4" s="1"/>
  <c r="N301" i="4" s="1"/>
  <c r="L133" i="4"/>
  <c r="M133" i="4" s="1"/>
  <c r="L101" i="4"/>
  <c r="M101" i="4" s="1"/>
  <c r="N101" i="4" s="1"/>
  <c r="L69" i="4"/>
  <c r="M69" i="4" s="1"/>
  <c r="L37" i="4"/>
  <c r="M37" i="4" s="1"/>
  <c r="L377" i="4"/>
  <c r="M377" i="4" s="1"/>
  <c r="L175" i="4"/>
  <c r="M175" i="4" s="1"/>
  <c r="N175" i="4" s="1"/>
  <c r="L388" i="4"/>
  <c r="M388" i="4" s="1"/>
  <c r="L263" i="4"/>
  <c r="M263" i="4" s="1"/>
  <c r="L324" i="4"/>
  <c r="M324" i="4" s="1"/>
  <c r="L118" i="4"/>
  <c r="M118" i="4" s="1"/>
  <c r="L54" i="4"/>
  <c r="M54" i="4" s="1"/>
  <c r="L154" i="4"/>
  <c r="L437" i="4"/>
  <c r="M437" i="4" s="1"/>
  <c r="L90" i="4"/>
  <c r="M90" i="4" s="1"/>
  <c r="L26" i="4"/>
  <c r="M26" i="4" s="1"/>
  <c r="L128" i="4"/>
  <c r="M128" i="4" s="1"/>
  <c r="N128" i="4" s="1"/>
  <c r="L68" i="4"/>
  <c r="M68" i="4" s="1"/>
  <c r="L163" i="4"/>
  <c r="M163" i="4" s="1"/>
  <c r="N163" i="4" s="1"/>
  <c r="L331" i="4"/>
  <c r="M331" i="4" s="1"/>
  <c r="L24" i="4"/>
  <c r="M24" i="4" s="1"/>
  <c r="L83" i="4"/>
  <c r="M83" i="4" s="1"/>
  <c r="L496" i="4"/>
  <c r="M496" i="4" s="1"/>
  <c r="N496" i="4" s="1"/>
  <c r="L352" i="4"/>
  <c r="M352" i="4" s="1"/>
  <c r="L28" i="4"/>
  <c r="M28" i="4" s="1"/>
  <c r="L474" i="4"/>
  <c r="M474" i="4" s="1"/>
  <c r="L525" i="4"/>
  <c r="M525" i="4" s="1"/>
  <c r="L487" i="4"/>
  <c r="M487" i="4" s="1"/>
  <c r="L456" i="4"/>
  <c r="L305" i="4"/>
  <c r="M305" i="4" s="1"/>
  <c r="L327" i="4"/>
  <c r="M327" i="4" s="1"/>
  <c r="L464" i="4"/>
  <c r="M464" i="4" s="1"/>
  <c r="L351" i="4"/>
  <c r="M351" i="4" s="1"/>
  <c r="L518" i="4"/>
  <c r="M518" i="4" s="1"/>
  <c r="L531" i="4"/>
  <c r="M531" i="4" s="1"/>
  <c r="N531" i="4" s="1"/>
  <c r="L499" i="4"/>
  <c r="M499" i="4" s="1"/>
  <c r="L505" i="4"/>
  <c r="M505" i="4" s="1"/>
  <c r="L462" i="4"/>
  <c r="M462" i="4" s="1"/>
  <c r="L430" i="4"/>
  <c r="M430" i="4" s="1"/>
  <c r="N430" i="4" s="1"/>
  <c r="L476" i="4"/>
  <c r="M476" i="4" s="1"/>
  <c r="L415" i="4"/>
  <c r="M415" i="4" s="1"/>
  <c r="L459" i="4"/>
  <c r="M459" i="4" s="1"/>
  <c r="L384" i="4"/>
  <c r="M384" i="4" s="1"/>
  <c r="L342" i="4"/>
  <c r="L310" i="4"/>
  <c r="L278" i="4"/>
  <c r="M278" i="4" s="1"/>
  <c r="L452" i="4"/>
  <c r="M452" i="4" s="1"/>
  <c r="L381" i="4"/>
  <c r="M381" i="4" s="1"/>
  <c r="L471" i="4"/>
  <c r="M471" i="4" s="1"/>
  <c r="N471" i="4" s="1"/>
  <c r="L370" i="4"/>
  <c r="M370" i="4" s="1"/>
  <c r="L300" i="4"/>
  <c r="M300" i="4" s="1"/>
  <c r="N300" i="4" s="1"/>
  <c r="L404" i="4"/>
  <c r="M404" i="4" s="1"/>
  <c r="L265" i="4"/>
  <c r="M265" i="4" s="1"/>
  <c r="L236" i="4"/>
  <c r="M236" i="4" s="1"/>
  <c r="L204" i="4"/>
  <c r="M204" i="4" s="1"/>
  <c r="N204" i="4" s="1"/>
  <c r="L172" i="4"/>
  <c r="M172" i="4" s="1"/>
  <c r="L365" i="4"/>
  <c r="M365" i="4" s="1"/>
  <c r="L276" i="4"/>
  <c r="M276" i="4" s="1"/>
  <c r="L237" i="4"/>
  <c r="M237" i="4" s="1"/>
  <c r="L205" i="4"/>
  <c r="M205" i="4" s="1"/>
  <c r="L173" i="4"/>
  <c r="L465" i="4"/>
  <c r="M465" i="4" s="1"/>
  <c r="L359" i="4"/>
  <c r="M359" i="4" s="1"/>
  <c r="L295" i="4"/>
  <c r="M295" i="4" s="1"/>
  <c r="L333" i="4"/>
  <c r="M333" i="4" s="1"/>
  <c r="N333" i="4" s="1"/>
  <c r="L131" i="4"/>
  <c r="M131" i="4" s="1"/>
  <c r="L99" i="4"/>
  <c r="M99" i="4" s="1"/>
  <c r="N99" i="4" s="1"/>
  <c r="L67" i="4"/>
  <c r="M67" i="4" s="1"/>
  <c r="L35" i="4"/>
  <c r="M35" i="4" s="1"/>
  <c r="L395" i="4"/>
  <c r="M395" i="4" s="1"/>
  <c r="L271" i="4"/>
  <c r="M271" i="4" s="1"/>
  <c r="N271" i="4" s="1"/>
  <c r="L206" i="4"/>
  <c r="M206" i="4" s="1"/>
  <c r="L524" i="4"/>
  <c r="M524" i="4" s="1"/>
  <c r="L267" i="4"/>
  <c r="M267" i="4" s="1"/>
  <c r="L203" i="4"/>
  <c r="M203" i="4" s="1"/>
  <c r="L467" i="4"/>
  <c r="M467" i="4" s="1"/>
  <c r="L287" i="4"/>
  <c r="L129" i="4"/>
  <c r="M129" i="4" s="1"/>
  <c r="L97" i="4"/>
  <c r="M97" i="4" s="1"/>
  <c r="L65" i="4"/>
  <c r="M65" i="4" s="1"/>
  <c r="L33" i="4"/>
  <c r="M33" i="4" s="1"/>
  <c r="N33" i="4" s="1"/>
  <c r="L296" i="4"/>
  <c r="M296" i="4" s="1"/>
  <c r="L151" i="4"/>
  <c r="M151" i="4" s="1"/>
  <c r="N151" i="4" s="1"/>
  <c r="L147" i="4"/>
  <c r="M147" i="4" s="1"/>
  <c r="L247" i="4"/>
  <c r="M247" i="4" s="1"/>
  <c r="L317" i="4"/>
  <c r="M317" i="4" s="1"/>
  <c r="L110" i="4"/>
  <c r="M110" i="4" s="1"/>
  <c r="L46" i="4"/>
  <c r="M46" i="4" s="1"/>
  <c r="L132" i="4"/>
  <c r="M132" i="4" s="1"/>
  <c r="L371" i="4"/>
  <c r="M371" i="4" s="1"/>
  <c r="L82" i="4"/>
  <c r="M82" i="4" s="1"/>
  <c r="L288" i="4"/>
  <c r="M288" i="4" s="1"/>
  <c r="L112" i="4"/>
  <c r="L36" i="4"/>
  <c r="M36" i="4" s="1"/>
  <c r="L156" i="4"/>
  <c r="M156" i="4" s="1"/>
  <c r="L140" i="4"/>
  <c r="M140" i="4" s="1"/>
  <c r="L345" i="4"/>
  <c r="M345" i="4" s="1"/>
  <c r="N345" i="4" s="1"/>
  <c r="L484" i="4"/>
  <c r="M484" i="4" s="1"/>
  <c r="L446" i="4"/>
  <c r="M446" i="4" s="1"/>
  <c r="L416" i="4"/>
  <c r="M416" i="4" s="1"/>
  <c r="L294" i="4"/>
  <c r="M294" i="4" s="1"/>
  <c r="L401" i="4"/>
  <c r="M401" i="4" s="1"/>
  <c r="L188" i="4"/>
  <c r="M188" i="4" s="1"/>
  <c r="L221" i="4"/>
  <c r="M221" i="4" s="1"/>
  <c r="L341" i="4"/>
  <c r="M341" i="4" s="1"/>
  <c r="L115" i="4"/>
  <c r="M115" i="4" s="1"/>
  <c r="L174" i="4"/>
  <c r="M174" i="4" s="1"/>
  <c r="L376" i="4"/>
  <c r="M376" i="4" s="1"/>
  <c r="L49" i="4"/>
  <c r="L178" i="4"/>
  <c r="M178" i="4" s="1"/>
  <c r="L136" i="4"/>
  <c r="M136" i="4" s="1"/>
  <c r="L530" i="4"/>
  <c r="M530" i="4" s="1"/>
  <c r="L442" i="4"/>
  <c r="M442" i="4" s="1"/>
  <c r="N442" i="4" s="1"/>
  <c r="L322" i="4"/>
  <c r="M322" i="4" s="1"/>
  <c r="L304" i="4"/>
  <c r="M304" i="4" s="1"/>
  <c r="L217" i="4"/>
  <c r="M217" i="4" s="1"/>
  <c r="L143" i="4"/>
  <c r="M143" i="4" s="1"/>
  <c r="L170" i="4"/>
  <c r="M170" i="4" s="1"/>
  <c r="L514" i="4"/>
  <c r="M514" i="4" s="1"/>
  <c r="N514" i="4" s="1"/>
  <c r="L527" i="4"/>
  <c r="M527" i="4" s="1"/>
  <c r="L495" i="4"/>
  <c r="M495" i="4" s="1"/>
  <c r="L497" i="4"/>
  <c r="M497" i="4" s="1"/>
  <c r="L458" i="4"/>
  <c r="M458" i="4" s="1"/>
  <c r="L426" i="4"/>
  <c r="M426" i="4" s="1"/>
  <c r="L516" i="4"/>
  <c r="L390" i="4"/>
  <c r="M390" i="4" s="1"/>
  <c r="L448" i="4"/>
  <c r="M448" i="4" s="1"/>
  <c r="L383" i="4"/>
  <c r="M383" i="4" s="1"/>
  <c r="L338" i="4"/>
  <c r="M338" i="4" s="1"/>
  <c r="N338" i="4" s="1"/>
  <c r="L306" i="4"/>
  <c r="M306" i="4" s="1"/>
  <c r="L274" i="4"/>
  <c r="M274" i="4" s="1"/>
  <c r="N274" i="4" s="1"/>
  <c r="L445" i="4"/>
  <c r="M445" i="4" s="1"/>
  <c r="L366" i="4"/>
  <c r="M366" i="4" s="1"/>
  <c r="L432" i="4"/>
  <c r="M432" i="4" s="1"/>
  <c r="L364" i="4"/>
  <c r="M364" i="4" s="1"/>
  <c r="N364" i="4" s="1"/>
  <c r="L293" i="4"/>
  <c r="M293" i="4" s="1"/>
  <c r="L347" i="4"/>
  <c r="M347" i="4" s="1"/>
  <c r="L264" i="4"/>
  <c r="M264" i="4" s="1"/>
  <c r="L232" i="4"/>
  <c r="M232" i="4" s="1"/>
  <c r="L200" i="4"/>
  <c r="M200" i="4" s="1"/>
  <c r="N200" i="4" s="1"/>
  <c r="L453" i="4"/>
  <c r="L344" i="4"/>
  <c r="M344" i="4" s="1"/>
  <c r="L275" i="4"/>
  <c r="M275" i="4" s="1"/>
  <c r="L233" i="4"/>
  <c r="M233" i="4" s="1"/>
  <c r="L201" i="4"/>
  <c r="M201" i="4" s="1"/>
  <c r="N201" i="4" s="1"/>
  <c r="L169" i="4"/>
  <c r="M169" i="4" s="1"/>
  <c r="L451" i="4"/>
  <c r="M451" i="4" s="1"/>
  <c r="N451" i="4" s="1"/>
  <c r="L357" i="4"/>
  <c r="M357" i="4" s="1"/>
  <c r="L284" i="4"/>
  <c r="M284" i="4" s="1"/>
  <c r="L319" i="4"/>
  <c r="M319" i="4" s="1"/>
  <c r="L127" i="4"/>
  <c r="M127" i="4" s="1"/>
  <c r="N127" i="4" s="1"/>
  <c r="L95" i="4"/>
  <c r="M95" i="4" s="1"/>
  <c r="L63" i="4"/>
  <c r="M63" i="4" s="1"/>
  <c r="L31" i="4"/>
  <c r="M31" i="4" s="1"/>
  <c r="L392" i="4"/>
  <c r="M392" i="4" s="1"/>
  <c r="L262" i="4"/>
  <c r="M262" i="4" s="1"/>
  <c r="L198" i="4"/>
  <c r="L460" i="4"/>
  <c r="M460" i="4" s="1"/>
  <c r="L259" i="4"/>
  <c r="M259" i="4" s="1"/>
  <c r="L195" i="4"/>
  <c r="M195" i="4" s="1"/>
  <c r="L428" i="4"/>
  <c r="M428" i="4" s="1"/>
  <c r="N428" i="4" s="1"/>
  <c r="L171" i="4"/>
  <c r="M171" i="4" s="1"/>
  <c r="L125" i="4"/>
  <c r="M125" i="4" s="1"/>
  <c r="N125" i="4" s="1"/>
  <c r="L93" i="4"/>
  <c r="M93" i="4" s="1"/>
  <c r="L61" i="4"/>
  <c r="M61" i="4" s="1"/>
  <c r="L29" i="4"/>
  <c r="M29" i="4" s="1"/>
  <c r="L289" i="4"/>
  <c r="M289" i="4" s="1"/>
  <c r="N289" i="4" s="1"/>
  <c r="L517" i="4"/>
  <c r="M517" i="4" s="1"/>
  <c r="L142" i="4"/>
  <c r="M142" i="4" s="1"/>
  <c r="L231" i="4"/>
  <c r="M231" i="4" s="1"/>
  <c r="L303" i="4"/>
  <c r="M303" i="4" s="1"/>
  <c r="L102" i="4"/>
  <c r="M102" i="4" s="1"/>
  <c r="L38" i="4"/>
  <c r="B4" i="4"/>
  <c r="L144" i="4"/>
  <c r="M144" i="4" s="1"/>
  <c r="L74" i="4"/>
  <c r="M74" i="4" s="1"/>
  <c r="L242" i="4"/>
  <c r="M242" i="4" s="1"/>
  <c r="N242" i="4" s="1"/>
  <c r="L96" i="4"/>
  <c r="M96" i="4" s="1"/>
  <c r="L76" i="4"/>
  <c r="M76" i="4" s="1"/>
  <c r="N76" i="4" s="1"/>
  <c r="L218" i="4"/>
  <c r="M218" i="4" s="1"/>
  <c r="L120" i="4"/>
  <c r="M120" i="4" s="1"/>
  <c r="L292" i="4"/>
  <c r="M292" i="4" s="1"/>
  <c r="L250" i="4"/>
  <c r="M250" i="4" s="1"/>
  <c r="N250" i="4" s="1"/>
  <c r="L515" i="4"/>
  <c r="M515" i="4" s="1"/>
  <c r="L414" i="4"/>
  <c r="M414" i="4" s="1"/>
  <c r="L356" i="4"/>
  <c r="M356" i="4" s="1"/>
  <c r="L413" i="4"/>
  <c r="M413" i="4" s="1"/>
  <c r="L343" i="4"/>
  <c r="M343" i="4" s="1"/>
  <c r="L220" i="4"/>
  <c r="L253" i="4"/>
  <c r="M253" i="4" s="1"/>
  <c r="L412" i="4"/>
  <c r="M412" i="4" s="1"/>
  <c r="L51" i="4"/>
  <c r="M51" i="4" s="1"/>
  <c r="L321" i="4"/>
  <c r="M321" i="4" s="1"/>
  <c r="N321" i="4" s="1"/>
  <c r="L113" i="4"/>
  <c r="M113" i="4" s="1"/>
  <c r="L391" i="4"/>
  <c r="M391" i="4" s="1"/>
  <c r="N391" i="4" s="1"/>
  <c r="L114" i="4"/>
  <c r="M114" i="4" s="1"/>
  <c r="L72" i="4"/>
  <c r="M72" i="4" s="1"/>
  <c r="L498" i="4"/>
  <c r="M498" i="4" s="1"/>
  <c r="L409" i="4"/>
  <c r="M409" i="4" s="1"/>
  <c r="N409" i="4" s="1"/>
  <c r="L394" i="4"/>
  <c r="M394" i="4" s="1"/>
  <c r="L396" i="4"/>
  <c r="M396" i="4" s="1"/>
  <c r="L455" i="4"/>
  <c r="M455" i="4" s="1"/>
  <c r="L230" i="4"/>
  <c r="M230" i="4" s="1"/>
  <c r="L141" i="4"/>
  <c r="M141" i="4" s="1"/>
  <c r="L510" i="4"/>
  <c r="L523" i="4"/>
  <c r="M523" i="4" s="1"/>
  <c r="L491" i="4"/>
  <c r="M491" i="4" s="1"/>
  <c r="L489" i="4"/>
  <c r="M489" i="4" s="1"/>
  <c r="L454" i="4"/>
  <c r="M454" i="4" s="1"/>
  <c r="L422" i="4"/>
  <c r="M422" i="4" s="1"/>
  <c r="L501" i="4"/>
  <c r="M501" i="4" s="1"/>
  <c r="N501" i="4" s="1"/>
  <c r="L389" i="4"/>
  <c r="M389" i="4" s="1"/>
  <c r="L441" i="4"/>
  <c r="M441" i="4" s="1"/>
  <c r="L368" i="4"/>
  <c r="M368" i="4" s="1"/>
  <c r="L334" i="4"/>
  <c r="M334" i="4" s="1"/>
  <c r="N334" i="4" s="1"/>
  <c r="L302" i="4"/>
  <c r="M302" i="4" s="1"/>
  <c r="L270" i="4"/>
  <c r="M270" i="4" s="1"/>
  <c r="L431" i="4"/>
  <c r="M431" i="4" s="1"/>
  <c r="L363" i="4"/>
  <c r="M363" i="4" s="1"/>
  <c r="L417" i="4"/>
  <c r="M417" i="4" s="1"/>
  <c r="L362" i="4"/>
  <c r="L279" i="4"/>
  <c r="M279" i="4" s="1"/>
  <c r="L336" i="4"/>
  <c r="M336" i="4" s="1"/>
  <c r="L260" i="4"/>
  <c r="M260" i="4" s="1"/>
  <c r="L228" i="4"/>
  <c r="M228" i="4" s="1"/>
  <c r="L196" i="4"/>
  <c r="M196" i="4" s="1"/>
  <c r="L440" i="4"/>
  <c r="M440" i="4" s="1"/>
  <c r="N440" i="4" s="1"/>
  <c r="L337" i="4"/>
  <c r="M337" i="4" s="1"/>
  <c r="L261" i="4"/>
  <c r="M261" i="4" s="1"/>
  <c r="L229" i="4"/>
  <c r="M229" i="4" s="1"/>
  <c r="L197" i="4"/>
  <c r="M197" i="4" s="1"/>
  <c r="N197" i="4" s="1"/>
  <c r="L165" i="4"/>
  <c r="M165" i="4" s="1"/>
  <c r="L425" i="4"/>
  <c r="M425" i="4" s="1"/>
  <c r="L355" i="4"/>
  <c r="M355" i="4" s="1"/>
  <c r="L277" i="4"/>
  <c r="M277" i="4" s="1"/>
  <c r="L166" i="4"/>
  <c r="M166" i="4" s="1"/>
  <c r="L123" i="4"/>
  <c r="L91" i="4"/>
  <c r="M91" i="4" s="1"/>
  <c r="L59" i="4"/>
  <c r="M59" i="4" s="1"/>
  <c r="L27" i="4"/>
  <c r="M27" i="4" s="1"/>
  <c r="L378" i="4"/>
  <c r="M378" i="4" s="1"/>
  <c r="L254" i="4"/>
  <c r="M254" i="4" s="1"/>
  <c r="L190" i="4"/>
  <c r="M190" i="4" s="1"/>
  <c r="N190" i="4" s="1"/>
  <c r="L419" i="4"/>
  <c r="M419" i="4" s="1"/>
  <c r="L251" i="4"/>
  <c r="M251" i="4" s="1"/>
  <c r="L187" i="4"/>
  <c r="M187" i="4" s="1"/>
  <c r="L393" i="4"/>
  <c r="M393" i="4" s="1"/>
  <c r="L164" i="4"/>
  <c r="M164" i="4" s="1"/>
  <c r="L121" i="4"/>
  <c r="M121" i="4" s="1"/>
  <c r="L89" i="4"/>
  <c r="M89" i="4" s="1"/>
  <c r="L57" i="4"/>
  <c r="M57" i="4" s="1"/>
  <c r="L25" i="4"/>
  <c r="M25" i="4" s="1"/>
  <c r="L255" i="4"/>
  <c r="L408" i="4"/>
  <c r="M408" i="4" s="1"/>
  <c r="L134" i="4"/>
  <c r="M134" i="4" s="1"/>
  <c r="L215" i="4"/>
  <c r="M215" i="4" s="1"/>
  <c r="L158" i="4"/>
  <c r="M158" i="4" s="1"/>
  <c r="N158" i="4" s="1"/>
  <c r="L94" i="4"/>
  <c r="M94" i="4" s="1"/>
  <c r="L30" i="4"/>
  <c r="M30" i="4" s="1"/>
  <c r="N30" i="4" s="1"/>
  <c r="L475" i="4"/>
  <c r="M475" i="4" s="1"/>
  <c r="L130" i="4"/>
  <c r="M130" i="4" s="1"/>
  <c r="L66" i="4"/>
  <c r="M66" i="4" s="1"/>
  <c r="L210" i="4"/>
  <c r="M210" i="4" s="1"/>
  <c r="L80" i="4"/>
  <c r="M80" i="4" s="1"/>
  <c r="L60" i="4"/>
  <c r="M60" i="4" s="1"/>
  <c r="L116" i="4"/>
  <c r="M116" i="4" s="1"/>
  <c r="L104" i="4"/>
  <c r="M104" i="4" s="1"/>
  <c r="L186" i="4"/>
  <c r="M186" i="4" s="1"/>
  <c r="L502" i="4"/>
  <c r="L478" i="4"/>
  <c r="M478" i="4" s="1"/>
  <c r="L373" i="4"/>
  <c r="M373" i="4" s="1"/>
  <c r="L326" i="4"/>
  <c r="M326" i="4" s="1"/>
  <c r="L509" i="4"/>
  <c r="M509" i="4" s="1"/>
  <c r="N509" i="4" s="1"/>
  <c r="L315" i="4"/>
  <c r="M315" i="4" s="1"/>
  <c r="L403" i="4"/>
  <c r="M403" i="4" s="1"/>
  <c r="N403" i="4" s="1"/>
  <c r="L189" i="4"/>
  <c r="M189" i="4" s="1"/>
  <c r="L483" i="4"/>
  <c r="M483" i="4" s="1"/>
  <c r="L528" i="4"/>
  <c r="M528" i="4" s="1"/>
  <c r="L167" i="4"/>
  <c r="M167" i="4" s="1"/>
  <c r="L81" i="4"/>
  <c r="M81" i="4" s="1"/>
  <c r="L183" i="4"/>
  <c r="M183" i="4" s="1"/>
  <c r="L50" i="4"/>
  <c r="M50" i="4" s="1"/>
  <c r="L124" i="4"/>
  <c r="M124" i="4" s="1"/>
  <c r="L410" i="4"/>
  <c r="M410" i="4" s="1"/>
  <c r="L492" i="4"/>
  <c r="L184" i="4"/>
  <c r="M184" i="4" s="1"/>
  <c r="L153" i="4"/>
  <c r="M153" i="4" s="1"/>
  <c r="L47" i="4"/>
  <c r="M47" i="4" s="1"/>
  <c r="L160" i="4"/>
  <c r="M160" i="4" s="1"/>
  <c r="N160" i="4" s="1"/>
  <c r="L506" i="4"/>
  <c r="M506" i="4" s="1"/>
  <c r="L519" i="4"/>
  <c r="M519" i="4" s="1"/>
  <c r="N519" i="4" s="1"/>
  <c r="L485" i="4"/>
  <c r="M485" i="4" s="1"/>
  <c r="L479" i="4"/>
  <c r="M479" i="4" s="1"/>
  <c r="L450" i="4"/>
  <c r="M450" i="4" s="1"/>
  <c r="L418" i="4"/>
  <c r="M418" i="4" s="1"/>
  <c r="N418" i="4" s="1"/>
  <c r="L468" i="4"/>
  <c r="M468" i="4" s="1"/>
  <c r="N468" i="4" s="1"/>
  <c r="L374" i="4"/>
  <c r="M374" i="4" s="1"/>
  <c r="L427" i="4"/>
  <c r="M427" i="4" s="1"/>
  <c r="L367" i="4"/>
  <c r="M367" i="4" s="1"/>
  <c r="L330" i="4"/>
  <c r="M330" i="4" s="1"/>
  <c r="L298" i="4"/>
  <c r="L266" i="4"/>
  <c r="M266" i="4" s="1"/>
  <c r="L420" i="4"/>
  <c r="M420" i="4" s="1"/>
  <c r="L358" i="4"/>
  <c r="M358" i="4" s="1"/>
  <c r="L405" i="4"/>
  <c r="M405" i="4" s="1"/>
  <c r="N405" i="4" s="1"/>
  <c r="L360" i="4"/>
  <c r="M360" i="4" s="1"/>
  <c r="L482" i="4"/>
  <c r="M482" i="4" s="1"/>
  <c r="N482" i="4" s="1"/>
  <c r="L329" i="4"/>
  <c r="M329" i="4" s="1"/>
  <c r="L256" i="4"/>
  <c r="M256" i="4" s="1"/>
  <c r="L224" i="4"/>
  <c r="M224" i="4" s="1"/>
  <c r="L192" i="4"/>
  <c r="M192" i="4" s="1"/>
  <c r="N192" i="4" s="1"/>
  <c r="L439" i="4"/>
  <c r="M439" i="4" s="1"/>
  <c r="N439" i="4" s="1"/>
  <c r="L323" i="4"/>
  <c r="M323" i="4" s="1"/>
  <c r="L257" i="4"/>
  <c r="M257" i="4" s="1"/>
  <c r="L225" i="4"/>
  <c r="M225" i="4" s="1"/>
  <c r="L193" i="4"/>
  <c r="M193" i="4" s="1"/>
  <c r="N193" i="4" s="1"/>
  <c r="L161" i="4"/>
  <c r="L424" i="4"/>
  <c r="M424" i="4" s="1"/>
  <c r="L348" i="4"/>
  <c r="M348" i="4" s="1"/>
  <c r="L488" i="4"/>
  <c r="M488" i="4" s="1"/>
  <c r="L155" i="4"/>
  <c r="M155" i="4" s="1"/>
  <c r="N155" i="4" s="1"/>
  <c r="L119" i="4"/>
  <c r="M119" i="4" s="1"/>
  <c r="L87" i="4"/>
  <c r="M87" i="4" s="1"/>
  <c r="N87" i="4" s="1"/>
  <c r="L55" i="4"/>
  <c r="M55" i="4" s="1"/>
  <c r="L23" i="4"/>
  <c r="M23" i="4" s="1"/>
  <c r="L320" i="4"/>
  <c r="M320" i="4" s="1"/>
  <c r="L246" i="4"/>
  <c r="M246" i="4" s="1"/>
  <c r="N246" i="4" s="1"/>
  <c r="L182" i="4"/>
  <c r="M182" i="4" s="1"/>
  <c r="N182" i="4" s="1"/>
  <c r="L328" i="4"/>
  <c r="M328" i="4" s="1"/>
  <c r="L243" i="4"/>
  <c r="M243" i="4" s="1"/>
  <c r="L179" i="4"/>
  <c r="M179" i="4" s="1"/>
  <c r="L379" i="4"/>
  <c r="M379" i="4" s="1"/>
  <c r="N379" i="4" s="1"/>
  <c r="L150" i="4"/>
  <c r="L117" i="4"/>
  <c r="M117" i="4" s="1"/>
  <c r="L85" i="4"/>
  <c r="M85" i="4" s="1"/>
  <c r="L53" i="4"/>
  <c r="M53" i="4" s="1"/>
  <c r="L21" i="4"/>
  <c r="M21" i="4" s="1"/>
  <c r="N21" i="4" s="1"/>
  <c r="L239" i="4"/>
  <c r="M239" i="4" s="1"/>
  <c r="L349" i="4"/>
  <c r="M349" i="4" s="1"/>
  <c r="N349" i="4" s="1"/>
  <c r="L433" i="4"/>
  <c r="M433" i="4" s="1"/>
  <c r="L199" i="4"/>
  <c r="M199" i="4" s="1"/>
  <c r="L281" i="4"/>
  <c r="M281" i="4" s="1"/>
  <c r="L86" i="4"/>
  <c r="M86" i="4" s="1"/>
  <c r="N86" i="4" s="1"/>
  <c r="L22" i="4"/>
  <c r="M22" i="4" s="1"/>
  <c r="N22" i="4" s="1"/>
  <c r="L285" i="4"/>
  <c r="M285" i="4" s="1"/>
  <c r="N285" i="4" s="1"/>
  <c r="L122" i="4"/>
  <c r="M122" i="4" s="1"/>
  <c r="L58" i="4"/>
  <c r="M58" i="4" s="1"/>
  <c r="L138" i="4"/>
  <c r="M138" i="4" s="1"/>
  <c r="N138" i="4" s="1"/>
  <c r="L64" i="4"/>
  <c r="L44" i="4"/>
  <c r="M44" i="4" s="1"/>
  <c r="L100" i="4"/>
  <c r="M100" i="4" s="1"/>
  <c r="N100" i="4" s="1"/>
  <c r="L88" i="4"/>
  <c r="M88" i="4" s="1"/>
  <c r="L461" i="4"/>
  <c r="M461" i="4" s="1"/>
  <c r="N461" i="4" s="1"/>
  <c r="L520" i="4"/>
  <c r="M520" i="4" s="1"/>
  <c r="L457" i="4"/>
  <c r="M457" i="4" s="1"/>
  <c r="L312" i="4"/>
  <c r="M312" i="4" s="1"/>
  <c r="L157" i="4"/>
  <c r="M157" i="4" s="1"/>
  <c r="L148" i="4"/>
  <c r="M148" i="4" s="1"/>
  <c r="L313" i="4"/>
  <c r="M313" i="4" s="1"/>
  <c r="L235" i="4"/>
  <c r="M235" i="4" s="1"/>
  <c r="L145" i="4"/>
  <c r="M145" i="4" s="1"/>
  <c r="L223" i="4"/>
  <c r="M223" i="4" s="1"/>
  <c r="L78" i="4"/>
  <c r="M78" i="4" s="1"/>
  <c r="L48" i="4"/>
  <c r="M48" i="4" s="1"/>
  <c r="N48" i="4" s="1"/>
  <c r="L290" i="4"/>
  <c r="L216" i="4"/>
  <c r="M216" i="4" s="1"/>
  <c r="L411" i="4"/>
  <c r="M411" i="4" s="1"/>
  <c r="N411" i="4" s="1"/>
  <c r="L299" i="4"/>
  <c r="M299" i="4" s="1"/>
  <c r="L109" i="4"/>
  <c r="M109" i="4" s="1"/>
  <c r="N109" i="4" s="1"/>
  <c r="L77" i="4"/>
  <c r="M77" i="4" s="1"/>
  <c r="L70" i="4"/>
  <c r="M70" i="4" s="1"/>
  <c r="N70" i="4" s="1"/>
  <c r="L493" i="4"/>
  <c r="M493" i="4" s="1"/>
  <c r="L56" i="4"/>
  <c r="M56" i="4" s="1"/>
  <c r="L421" i="4"/>
  <c r="M421" i="4" s="1"/>
  <c r="L45" i="4"/>
  <c r="M45" i="4" s="1"/>
  <c r="L234" i="4"/>
  <c r="M234" i="4" s="1"/>
  <c r="L435" i="4"/>
  <c r="M435" i="4" s="1"/>
  <c r="N435" i="4" s="1"/>
  <c r="L40" i="4"/>
  <c r="M40" i="4" s="1"/>
  <c r="L486" i="4"/>
  <c r="M486" i="4" s="1"/>
  <c r="L226" i="4"/>
  <c r="M226" i="4" s="1"/>
  <c r="N226" i="4" s="1"/>
  <c r="L32" i="4"/>
  <c r="L108" i="4"/>
  <c r="M108" i="4" s="1"/>
  <c r="L207" i="4"/>
  <c r="M207" i="4" s="1"/>
  <c r="N207" i="4" s="1"/>
  <c r="L194" i="4"/>
  <c r="M194" i="4" s="1"/>
  <c r="L92" i="4"/>
  <c r="M92" i="4" s="1"/>
  <c r="L504" i="4"/>
  <c r="M504" i="4" s="1"/>
  <c r="L106" i="4"/>
  <c r="M106" i="4" s="1"/>
  <c r="N106" i="4" s="1"/>
  <c r="L84" i="4"/>
  <c r="M84" i="4" s="1"/>
  <c r="N84" i="4" s="1"/>
  <c r="L34" i="4"/>
  <c r="M34" i="4" s="1"/>
  <c r="L353" i="4"/>
  <c r="M353" i="4" s="1"/>
  <c r="L98" i="4"/>
  <c r="M98" i="4" s="1"/>
  <c r="L385" i="4"/>
  <c r="M385" i="4" s="1"/>
  <c r="N385" i="4" s="1"/>
  <c r="L162" i="4"/>
  <c r="M162" i="4" s="1"/>
  <c r="N162" i="4" s="1"/>
  <c r="L42" i="4"/>
  <c r="M42" i="4" s="1"/>
  <c r="L20" i="4"/>
  <c r="M20" i="4" s="1"/>
  <c r="L168" i="4"/>
  <c r="M168" i="4" s="1"/>
  <c r="N168" i="4" s="1"/>
  <c r="M977" i="4"/>
  <c r="N977" i="4" s="1"/>
  <c r="M997" i="4"/>
  <c r="N997" i="4" s="1"/>
  <c r="M909" i="4"/>
  <c r="N909" i="4" s="1"/>
  <c r="M646" i="4"/>
  <c r="N646" i="4" s="1"/>
  <c r="M957" i="4"/>
  <c r="N957" i="4" s="1"/>
  <c r="M1061" i="4"/>
  <c r="N1061" i="4" s="1"/>
  <c r="M1042" i="4"/>
  <c r="N1042" i="4" s="1"/>
  <c r="M794" i="4"/>
  <c r="N794" i="4" s="1"/>
  <c r="M846" i="4"/>
  <c r="N846" i="4" s="1"/>
  <c r="M574" i="4"/>
  <c r="N574" i="4" s="1"/>
  <c r="M832" i="4"/>
  <c r="N832" i="4" s="1"/>
  <c r="M784" i="4"/>
  <c r="N784" i="4" s="1"/>
  <c r="M582" i="4"/>
  <c r="N582" i="4" s="1"/>
  <c r="M638" i="4"/>
  <c r="N638" i="4" s="1"/>
  <c r="M947" i="4"/>
  <c r="N947" i="4" s="1"/>
  <c r="M665" i="4"/>
  <c r="N665" i="4" s="1"/>
  <c r="M928" i="4"/>
  <c r="N928" i="4" s="1"/>
  <c r="M621" i="4"/>
  <c r="N621" i="4" s="1"/>
  <c r="M723" i="4"/>
  <c r="N723" i="4" s="1"/>
  <c r="M746" i="4"/>
  <c r="N746" i="4" s="1"/>
  <c r="M563" i="4"/>
  <c r="N563" i="4" s="1"/>
  <c r="M969" i="4"/>
  <c r="N969" i="4" s="1"/>
  <c r="M677" i="4"/>
  <c r="N677" i="4" s="1"/>
  <c r="M941" i="4"/>
  <c r="N941" i="4" s="1"/>
  <c r="M767" i="4"/>
  <c r="N767" i="4" s="1"/>
  <c r="M689" i="4"/>
  <c r="N689" i="4" s="1"/>
  <c r="M796" i="4"/>
  <c r="N796" i="4" s="1"/>
  <c r="M686" i="4"/>
  <c r="N686" i="4" s="1"/>
  <c r="M946" i="4"/>
  <c r="N946" i="4" s="1"/>
  <c r="M761" i="4"/>
  <c r="N761" i="4" s="1"/>
  <c r="M733" i="4"/>
  <c r="N733" i="4" s="1"/>
  <c r="M569" i="4"/>
  <c r="N569" i="4" s="1"/>
  <c r="M1039" i="4"/>
  <c r="N1039" i="4" s="1"/>
  <c r="M845" i="4"/>
  <c r="N845" i="4" s="1"/>
  <c r="M837" i="4"/>
  <c r="N837" i="4" s="1"/>
  <c r="M745" i="4"/>
  <c r="N745" i="4" s="1"/>
  <c r="M962" i="4"/>
  <c r="N962" i="4" s="1"/>
  <c r="M660" i="4"/>
  <c r="N660" i="4" s="1"/>
  <c r="M669" i="4"/>
  <c r="N669" i="4" s="1"/>
  <c r="M975" i="4"/>
  <c r="N975" i="4" s="1"/>
  <c r="M860" i="4"/>
  <c r="N860" i="4" s="1"/>
  <c r="M606" i="4"/>
  <c r="N606" i="4" s="1"/>
  <c r="M799" i="4"/>
  <c r="N799" i="4" s="1"/>
  <c r="M698" i="4"/>
  <c r="N698" i="4" s="1"/>
  <c r="M935" i="4"/>
  <c r="N935" i="4" s="1"/>
  <c r="M41" i="4"/>
  <c r="N41" i="4" s="1"/>
  <c r="M456" i="4"/>
  <c r="N456" i="4" s="1"/>
  <c r="M255" i="4"/>
  <c r="M298" i="4"/>
  <c r="N298" i="4" s="1"/>
  <c r="M161" i="4"/>
  <c r="N161" i="4" s="1"/>
  <c r="M150" i="4"/>
  <c r="N150" i="4" s="1"/>
  <c r="M64" i="4"/>
  <c r="N64" i="4" s="1"/>
  <c r="M342" i="4"/>
  <c r="N342" i="4" s="1"/>
  <c r="M173" i="4"/>
  <c r="N173" i="4" s="1"/>
  <c r="M481" i="4"/>
  <c r="N481" i="4" s="1"/>
  <c r="M310" i="4"/>
  <c r="N310" i="4" s="1"/>
  <c r="M516" i="4"/>
  <c r="N516" i="4" s="1"/>
  <c r="M453" i="4"/>
  <c r="N453" i="4" s="1"/>
  <c r="M198" i="4"/>
  <c r="N198" i="4" s="1"/>
  <c r="M38" i="4"/>
  <c r="N38" i="4" s="1"/>
  <c r="M1036" i="4"/>
  <c r="N1036" i="4" s="1"/>
  <c r="M948" i="4"/>
  <c r="N948" i="4" s="1"/>
  <c r="M510" i="4"/>
  <c r="N510" i="4" s="1"/>
  <c r="M123" i="4"/>
  <c r="N123" i="4" s="1"/>
  <c r="M290" i="4"/>
  <c r="N290" i="4" s="1"/>
  <c r="M1004" i="4"/>
  <c r="N1004" i="4" s="1"/>
  <c r="M287" i="4"/>
  <c r="N287" i="4" s="1"/>
  <c r="M112" i="4"/>
  <c r="N112" i="4" s="1"/>
  <c r="M492" i="4"/>
  <c r="N492" i="4" s="1"/>
  <c r="M652" i="4"/>
  <c r="N652" i="4" s="1"/>
  <c r="M809" i="4"/>
  <c r="N809" i="4" s="1"/>
  <c r="M49" i="4"/>
  <c r="N49" i="4" s="1"/>
  <c r="M227" i="4"/>
  <c r="N227" i="4" s="1"/>
  <c r="M788" i="4"/>
  <c r="N788" i="4" s="1"/>
  <c r="M717" i="4"/>
  <c r="N717" i="4" s="1"/>
  <c r="M916" i="4"/>
  <c r="N916" i="4" s="1"/>
  <c r="M429" i="4"/>
  <c r="N429" i="4" s="1"/>
  <c r="M933" i="4"/>
  <c r="N933" i="4" s="1"/>
  <c r="M614" i="4"/>
  <c r="N614" i="4" s="1"/>
  <c r="M764" i="4"/>
  <c r="N764" i="4" s="1"/>
  <c r="M741" i="4"/>
  <c r="N741" i="4" s="1"/>
  <c r="M616" i="4"/>
  <c r="N616" i="4" s="1"/>
  <c r="M32" i="4"/>
  <c r="N32" i="4" s="1"/>
  <c r="M908" i="4"/>
  <c r="N908" i="4" s="1"/>
  <c r="M1000" i="4"/>
  <c r="N1000" i="4" s="1"/>
  <c r="M152" i="4"/>
  <c r="N152" i="4" s="1"/>
  <c r="M154" i="4"/>
  <c r="N154" i="4" s="1"/>
  <c r="M565" i="4"/>
  <c r="N565" i="4" s="1"/>
  <c r="M593" i="4"/>
  <c r="N593" i="4" s="1"/>
  <c r="M362" i="4"/>
  <c r="N362" i="4" s="1"/>
  <c r="J91" i="5"/>
  <c r="K91" i="5" s="1"/>
  <c r="L91" i="5"/>
  <c r="M91" i="5" s="1"/>
  <c r="M627" i="4"/>
  <c r="M79" i="4"/>
  <c r="M805" i="4"/>
  <c r="M931" i="4"/>
  <c r="M688" i="4"/>
  <c r="M901" i="4"/>
  <c r="M369" i="4"/>
  <c r="M502" i="4"/>
  <c r="M220" i="4"/>
  <c r="M238" i="4"/>
  <c r="M372" i="4"/>
  <c r="M895" i="4"/>
  <c r="M926" i="4"/>
  <c r="B92" i="5"/>
  <c r="M622" i="4"/>
  <c r="M678" i="4"/>
  <c r="E35" i="3"/>
  <c r="B30" i="3"/>
  <c r="C35" i="3"/>
  <c r="E30" i="3"/>
  <c r="D35" i="3"/>
  <c r="C31" i="3"/>
  <c r="D30" i="3"/>
  <c r="C56" i="3"/>
  <c r="C30" i="3"/>
  <c r="B31" i="3"/>
  <c r="D31" i="3"/>
  <c r="E31" i="3"/>
  <c r="J537" i="4" s="1"/>
  <c r="D56" i="3"/>
  <c r="B56" i="3"/>
  <c r="B35" i="3"/>
  <c r="E56" i="3"/>
  <c r="M811" i="4" l="1"/>
  <c r="N811" i="4" s="1"/>
  <c r="M668" i="4"/>
  <c r="N668" i="4" s="1"/>
  <c r="M739" i="4"/>
  <c r="N739" i="4" s="1"/>
  <c r="M706" i="4"/>
  <c r="N706" i="4" s="1"/>
  <c r="M876" i="4"/>
  <c r="N876" i="4" s="1"/>
  <c r="M824" i="4"/>
  <c r="N824" i="4" s="1"/>
  <c r="M648" i="4"/>
  <c r="N648" i="4" s="1"/>
  <c r="M690" i="4"/>
  <c r="N690" i="4" s="1"/>
  <c r="M797" i="4"/>
  <c r="M735" i="4"/>
  <c r="N735" i="4" s="1"/>
  <c r="M806" i="4"/>
  <c r="N806" i="4" s="1"/>
  <c r="M968" i="4"/>
  <c r="N968" i="4" s="1"/>
  <c r="M861" i="4"/>
  <c r="N861" i="4" s="1"/>
  <c r="M715" i="4"/>
  <c r="N715" i="4" s="1"/>
  <c r="M966" i="4"/>
  <c r="N966" i="4" s="1"/>
  <c r="M857" i="4"/>
  <c r="N857" i="4" s="1"/>
  <c r="M642" i="4"/>
  <c r="N642" i="4" s="1"/>
  <c r="M729" i="4"/>
  <c r="N729" i="4" s="1"/>
  <c r="M571" i="4"/>
  <c r="N571" i="4" s="1"/>
  <c r="M675" i="4"/>
  <c r="N675" i="4" s="1"/>
  <c r="M654" i="4"/>
  <c r="N654" i="4" s="1"/>
  <c r="M573" i="4"/>
  <c r="M718" i="4"/>
  <c r="N718" i="4" s="1"/>
  <c r="M958" i="4"/>
  <c r="N958" i="4" s="1"/>
  <c r="M1013" i="4"/>
  <c r="N1013" i="4" s="1"/>
  <c r="M825" i="4"/>
  <c r="M1066" i="4"/>
  <c r="N1066" i="4" s="1"/>
  <c r="M838" i="4"/>
  <c r="N838" i="4" s="1"/>
  <c r="M734" i="4"/>
  <c r="N734" i="4" s="1"/>
  <c r="M752" i="4"/>
  <c r="N752" i="4" s="1"/>
  <c r="M763" i="4"/>
  <c r="N763" i="4" s="1"/>
  <c r="M1018" i="4"/>
  <c r="N1018" i="4" s="1"/>
  <c r="M817" i="4"/>
  <c r="N817" i="4" s="1"/>
  <c r="M937" i="4"/>
  <c r="N937" i="4" s="1"/>
  <c r="M793" i="4"/>
  <c r="N793" i="4" s="1"/>
  <c r="M835" i="4"/>
  <c r="N835" i="4" s="1"/>
  <c r="M773" i="4"/>
  <c r="N773" i="4" s="1"/>
  <c r="M858" i="4"/>
  <c r="N858" i="4" s="1"/>
  <c r="M630" i="4"/>
  <c r="N630" i="4" s="1"/>
  <c r="M1058" i="4"/>
  <c r="N1058" i="4" s="1"/>
  <c r="M751" i="4"/>
  <c r="N751" i="4" s="1"/>
  <c r="M583" i="4"/>
  <c r="M655" i="4"/>
  <c r="N655" i="4" s="1"/>
  <c r="M691" i="4"/>
  <c r="N691" i="4" s="1"/>
  <c r="M1023" i="4"/>
  <c r="N1023" i="4" s="1"/>
  <c r="M925" i="4"/>
  <c r="N925" i="4" s="1"/>
  <c r="M695" i="4"/>
  <c r="N695" i="4" s="1"/>
  <c r="M786" i="4"/>
  <c r="N786" i="4" s="1"/>
  <c r="M950" i="4"/>
  <c r="N950" i="4" s="1"/>
  <c r="M590" i="4"/>
  <c r="N590" i="4" s="1"/>
  <c r="M679" i="4"/>
  <c r="N679" i="4" s="1"/>
  <c r="M768" i="4"/>
  <c r="N768" i="4" s="1"/>
  <c r="M897" i="4"/>
  <c r="N897" i="4" s="1"/>
  <c r="M581" i="4"/>
  <c r="N581" i="4" s="1"/>
  <c r="M900" i="4"/>
  <c r="N900" i="4" s="1"/>
  <c r="M954" i="4"/>
  <c r="N954" i="4" s="1"/>
  <c r="M843" i="4"/>
  <c r="N843" i="4" s="1"/>
  <c r="M940" i="4"/>
  <c r="M866" i="4"/>
  <c r="N866" i="4" s="1"/>
  <c r="M983" i="4"/>
  <c r="N983" i="4" s="1"/>
  <c r="M703" i="4"/>
  <c r="N703" i="4" s="1"/>
  <c r="M864" i="4"/>
  <c r="N864" i="4" s="1"/>
  <c r="M1050" i="4"/>
  <c r="N1050" i="4" s="1"/>
  <c r="M754" i="4"/>
  <c r="N754" i="4" s="1"/>
  <c r="M656" i="4"/>
  <c r="N656" i="4" s="1"/>
  <c r="M1040" i="4"/>
  <c r="N1040" i="4" s="1"/>
  <c r="M760" i="4"/>
  <c r="N760" i="4" s="1"/>
  <c r="M1027" i="4"/>
  <c r="N1027" i="4" s="1"/>
  <c r="M710" i="4"/>
  <c r="N710" i="4" s="1"/>
  <c r="M921" i="4"/>
  <c r="N921" i="4" s="1"/>
  <c r="M833" i="4"/>
  <c r="M1003" i="4"/>
  <c r="N1003" i="4" s="1"/>
  <c r="M744" i="4"/>
  <c r="M814" i="4"/>
  <c r="N814" i="4" s="1"/>
  <c r="M578" i="4"/>
  <c r="N578" i="4" s="1"/>
  <c r="M626" i="4"/>
  <c r="N626" i="4" s="1"/>
  <c r="M1046" i="4"/>
  <c r="N1046" i="4" s="1"/>
  <c r="M572" i="4"/>
  <c r="N572" i="4" s="1"/>
  <c r="M852" i="4"/>
  <c r="N852" i="4" s="1"/>
  <c r="M1006" i="4"/>
  <c r="N1006" i="4" s="1"/>
  <c r="M559" i="4"/>
  <c r="N559" i="4" s="1"/>
  <c r="M1041" i="4"/>
  <c r="N1041" i="4" s="1"/>
  <c r="M871" i="4"/>
  <c r="N871" i="4" s="1"/>
  <c r="M576" i="4"/>
  <c r="N576" i="4" s="1"/>
  <c r="M658" i="4"/>
  <c r="N658" i="4" s="1"/>
  <c r="M1016" i="4"/>
  <c r="N1016" i="4" s="1"/>
  <c r="M772" i="4"/>
  <c r="N772" i="4" s="1"/>
  <c r="M803" i="4"/>
  <c r="N803" i="4" s="1"/>
  <c r="M558" i="4"/>
  <c r="N558" i="4" s="1"/>
  <c r="M599" i="4"/>
  <c r="N599" i="4" s="1"/>
  <c r="M819" i="4"/>
  <c r="N819" i="4" s="1"/>
  <c r="M849" i="4"/>
  <c r="N849" i="4" s="1"/>
  <c r="M623" i="4"/>
  <c r="N623" i="4" s="1"/>
  <c r="M708" i="4"/>
  <c r="N708" i="4" s="1"/>
  <c r="M996" i="4"/>
  <c r="N996" i="4" s="1"/>
  <c r="M995" i="4"/>
  <c r="N995" i="4" s="1"/>
  <c r="M604" i="4"/>
  <c r="N604" i="4" s="1"/>
  <c r="M556" i="4"/>
  <c r="N556" i="4" s="1"/>
  <c r="M818" i="4"/>
  <c r="N818" i="4" s="1"/>
  <c r="M922" i="4"/>
  <c r="N922" i="4" s="1"/>
  <c r="M634" i="4"/>
  <c r="N634" i="4" s="1"/>
  <c r="M748" i="4"/>
  <c r="N748" i="4" s="1"/>
  <c r="M730" i="4"/>
  <c r="N730" i="4" s="1"/>
  <c r="M870" i="4"/>
  <c r="M624" i="4"/>
  <c r="N624" i="4" s="1"/>
  <c r="M641" i="4"/>
  <c r="N641" i="4" s="1"/>
  <c r="M640" i="4"/>
  <c r="N640" i="4" s="1"/>
  <c r="M903" i="4"/>
  <c r="N903" i="4" s="1"/>
  <c r="M907" i="4"/>
  <c r="N907" i="4" s="1"/>
  <c r="M617" i="4"/>
  <c r="N617" i="4" s="1"/>
  <c r="M577" i="4"/>
  <c r="N577" i="4" s="1"/>
  <c r="M831" i="4"/>
  <c r="N831" i="4" s="1"/>
  <c r="N421" i="4"/>
  <c r="N148" i="4"/>
  <c r="N281" i="4"/>
  <c r="N320" i="4"/>
  <c r="N224" i="4"/>
  <c r="N450" i="4"/>
  <c r="N528" i="4"/>
  <c r="N66" i="4"/>
  <c r="N187" i="4"/>
  <c r="N229" i="4"/>
  <c r="N498" i="4"/>
  <c r="N292" i="4"/>
  <c r="N29" i="4"/>
  <c r="N319" i="4"/>
  <c r="N432" i="4"/>
  <c r="N170" i="4"/>
  <c r="N401" i="4"/>
  <c r="N317" i="4"/>
  <c r="N395" i="4"/>
  <c r="N236" i="4"/>
  <c r="N462" i="4"/>
  <c r="N291" i="4"/>
  <c r="N512" i="4"/>
  <c r="N111" i="4"/>
  <c r="N34" i="4"/>
  <c r="N199" i="4"/>
  <c r="N23" i="4"/>
  <c r="N256" i="4"/>
  <c r="N479" i="4"/>
  <c r="N483" i="4"/>
  <c r="N130" i="4"/>
  <c r="N251" i="4"/>
  <c r="N441" i="4"/>
  <c r="N72" i="4"/>
  <c r="N120" i="4"/>
  <c r="N61" i="4"/>
  <c r="N284" i="4"/>
  <c r="N366" i="4"/>
  <c r="N143" i="4"/>
  <c r="N294" i="4"/>
  <c r="N247" i="4"/>
  <c r="N35" i="4"/>
  <c r="N265" i="4"/>
  <c r="N505" i="4"/>
  <c r="N24" i="4"/>
  <c r="N37" i="4"/>
  <c r="N202" i="4"/>
  <c r="N386" i="4"/>
  <c r="N436" i="4"/>
  <c r="N185" i="4"/>
  <c r="N433" i="4"/>
  <c r="N55" i="4"/>
  <c r="N329" i="4"/>
  <c r="N485" i="4"/>
  <c r="N189" i="4"/>
  <c r="N475" i="4"/>
  <c r="N419" i="4"/>
  <c r="N337" i="4"/>
  <c r="N389" i="4"/>
  <c r="N114" i="4"/>
  <c r="N218" i="4"/>
  <c r="N93" i="4"/>
  <c r="N357" i="4"/>
  <c r="N445" i="4"/>
  <c r="N416" i="4"/>
  <c r="N67" i="4"/>
  <c r="N404" i="4"/>
  <c r="N499" i="4"/>
  <c r="N62" i="4"/>
  <c r="N222" i="4"/>
  <c r="N248" i="4"/>
  <c r="N504" i="4"/>
  <c r="N77" i="4"/>
  <c r="N239" i="4"/>
  <c r="N119" i="4"/>
  <c r="N360" i="4"/>
  <c r="N506" i="4"/>
  <c r="N315" i="4"/>
  <c r="N254" i="4"/>
  <c r="N196" i="4"/>
  <c r="N422" i="4"/>
  <c r="N96" i="4"/>
  <c r="N171" i="4"/>
  <c r="N169" i="4"/>
  <c r="N306" i="4"/>
  <c r="N322" i="4"/>
  <c r="N484" i="4"/>
  <c r="N296" i="4"/>
  <c r="N131" i="4"/>
  <c r="N370" i="4"/>
  <c r="N518" i="4"/>
  <c r="N402" i="4"/>
  <c r="N449" i="4"/>
  <c r="N470" i="4"/>
  <c r="N447" i="4"/>
  <c r="N255" i="4"/>
  <c r="N194" i="4"/>
  <c r="N299" i="4"/>
  <c r="N88" i="4"/>
  <c r="N53" i="4"/>
  <c r="N488" i="4"/>
  <c r="N358" i="4"/>
  <c r="N47" i="4"/>
  <c r="N326" i="4"/>
  <c r="N215" i="4"/>
  <c r="N27" i="4"/>
  <c r="N260" i="4"/>
  <c r="N489" i="4"/>
  <c r="N51" i="4"/>
  <c r="N74" i="4"/>
  <c r="N195" i="4"/>
  <c r="N233" i="4"/>
  <c r="N383" i="4"/>
  <c r="N530" i="4"/>
  <c r="N295" i="4"/>
  <c r="N381" i="4"/>
  <c r="N464" i="4"/>
  <c r="N75" i="4"/>
  <c r="N444" i="4"/>
  <c r="N85" i="4"/>
  <c r="N348" i="4"/>
  <c r="N420" i="4"/>
  <c r="N153" i="4"/>
  <c r="N373" i="4"/>
  <c r="N134" i="4"/>
  <c r="N59" i="4"/>
  <c r="N336" i="4"/>
  <c r="N491" i="4"/>
  <c r="N144" i="4"/>
  <c r="N259" i="4"/>
  <c r="N275" i="4"/>
  <c r="N448" i="4"/>
  <c r="N136" i="4"/>
  <c r="N156" i="4"/>
  <c r="N97" i="4"/>
  <c r="N359" i="4"/>
  <c r="N452" i="4"/>
  <c r="N327" i="4"/>
  <c r="N90" i="4"/>
  <c r="N211" i="4"/>
  <c r="N241" i="4"/>
  <c r="N399" i="4"/>
  <c r="N107" i="4"/>
  <c r="N325" i="4"/>
  <c r="N494" i="4"/>
  <c r="N108" i="4"/>
  <c r="N216" i="4"/>
  <c r="N44" i="4"/>
  <c r="N117" i="4"/>
  <c r="N424" i="4"/>
  <c r="N266" i="4"/>
  <c r="N478" i="4"/>
  <c r="N91" i="4"/>
  <c r="N279" i="4"/>
  <c r="N523" i="4"/>
  <c r="N460" i="4"/>
  <c r="N344" i="4"/>
  <c r="N390" i="4"/>
  <c r="N36" i="4"/>
  <c r="N129" i="4"/>
  <c r="N465" i="4"/>
  <c r="N278" i="4"/>
  <c r="N305" i="4"/>
  <c r="N500" i="4"/>
  <c r="N387" i="4"/>
  <c r="N526" i="4"/>
  <c r="N330" i="4"/>
  <c r="N25" i="4"/>
  <c r="N166" i="4"/>
  <c r="N417" i="4"/>
  <c r="N141" i="4"/>
  <c r="N102" i="4"/>
  <c r="N262" i="4"/>
  <c r="N426" i="4"/>
  <c r="N376" i="4"/>
  <c r="N288" i="4"/>
  <c r="N205" i="4"/>
  <c r="N487" i="4"/>
  <c r="N73" i="4"/>
  <c r="N316" i="4"/>
  <c r="N397" i="4"/>
  <c r="N252" i="4"/>
  <c r="N20" i="4"/>
  <c r="N486" i="4"/>
  <c r="N58" i="4"/>
  <c r="N179" i="4"/>
  <c r="N225" i="4"/>
  <c r="N367" i="4"/>
  <c r="N124" i="4"/>
  <c r="N104" i="4"/>
  <c r="N363" i="4"/>
  <c r="N303" i="4"/>
  <c r="N392" i="4"/>
  <c r="N232" i="4"/>
  <c r="N458" i="4"/>
  <c r="N174" i="4"/>
  <c r="N203" i="4"/>
  <c r="N384" i="4"/>
  <c r="N525" i="4"/>
  <c r="N118" i="4"/>
  <c r="N272" i="4"/>
  <c r="N208" i="4"/>
  <c r="N434" i="4"/>
  <c r="N105" i="4"/>
  <c r="N249" i="4"/>
  <c r="N40" i="4"/>
  <c r="N223" i="4"/>
  <c r="N122" i="4"/>
  <c r="N243" i="4"/>
  <c r="N257" i="4"/>
  <c r="N427" i="4"/>
  <c r="N116" i="4"/>
  <c r="N89" i="4"/>
  <c r="N355" i="4"/>
  <c r="N231" i="4"/>
  <c r="N31" i="4"/>
  <c r="N264" i="4"/>
  <c r="N497" i="4"/>
  <c r="N115" i="4"/>
  <c r="N371" i="4"/>
  <c r="N267" i="4"/>
  <c r="N276" i="4"/>
  <c r="N459" i="4"/>
  <c r="N474" i="4"/>
  <c r="N137" i="4"/>
  <c r="N149" i="4"/>
  <c r="N332" i="4"/>
  <c r="N328" i="4"/>
  <c r="N323" i="4"/>
  <c r="N374" i="4"/>
  <c r="N183" i="4"/>
  <c r="N60" i="4"/>
  <c r="N121" i="4"/>
  <c r="N425" i="4"/>
  <c r="N270" i="4"/>
  <c r="N142" i="4"/>
  <c r="N63" i="4"/>
  <c r="N347" i="4"/>
  <c r="N495" i="4"/>
  <c r="N132" i="4"/>
  <c r="N524" i="4"/>
  <c r="N365" i="4"/>
  <c r="N415" i="4"/>
  <c r="N263" i="4"/>
  <c r="N39" i="4"/>
  <c r="N283" i="4"/>
  <c r="N513" i="4"/>
  <c r="N181" i="4"/>
  <c r="N318" i="4"/>
  <c r="N80" i="4"/>
  <c r="N164" i="4"/>
  <c r="N165" i="4"/>
  <c r="N302" i="4"/>
  <c r="N394" i="4"/>
  <c r="N517" i="4"/>
  <c r="N95" i="4"/>
  <c r="N293" i="4"/>
  <c r="N527" i="4"/>
  <c r="N46" i="4"/>
  <c r="N172" i="4"/>
  <c r="N476" i="4"/>
  <c r="N352" i="4"/>
  <c r="N146" i="4"/>
  <c r="N213" i="4"/>
  <c r="N350" i="4"/>
  <c r="N511" i="4"/>
  <c r="M770" i="4"/>
  <c r="N770" i="4" s="1"/>
  <c r="M1007" i="4"/>
  <c r="N1007" i="4" s="1"/>
  <c r="M700" i="4"/>
  <c r="N700" i="4" s="1"/>
  <c r="M602" i="4"/>
  <c r="N602" i="4" s="1"/>
  <c r="M787" i="4"/>
  <c r="N787" i="4" s="1"/>
  <c r="M635" i="4"/>
  <c r="N635" i="4" s="1"/>
  <c r="M557" i="4"/>
  <c r="N557" i="4" s="1"/>
  <c r="M776" i="4"/>
  <c r="N776" i="4" s="1"/>
  <c r="M653" i="4"/>
  <c r="N653" i="4" s="1"/>
  <c r="M904" i="4"/>
  <c r="N904" i="4" s="1"/>
  <c r="M1029" i="4"/>
  <c r="N1029" i="4" s="1"/>
  <c r="M885" i="4"/>
  <c r="N885" i="4" s="1"/>
  <c r="M709" i="4"/>
  <c r="N709" i="4" s="1"/>
  <c r="M738" i="4"/>
  <c r="N738" i="4" s="1"/>
  <c r="M823" i="4"/>
  <c r="N823" i="4" s="1"/>
  <c r="M934" i="4"/>
  <c r="N934" i="4" s="1"/>
  <c r="M910" i="4"/>
  <c r="N910" i="4" s="1"/>
  <c r="M712" i="4"/>
  <c r="N712" i="4" s="1"/>
  <c r="M725" i="4"/>
  <c r="N725" i="4" s="1"/>
  <c r="M611" i="4"/>
  <c r="N611" i="4" s="1"/>
  <c r="M874" i="4"/>
  <c r="N874" i="4" s="1"/>
  <c r="M988" i="4"/>
  <c r="N988" i="4" s="1"/>
  <c r="M594" i="4"/>
  <c r="N594" i="4" s="1"/>
  <c r="M1052" i="4"/>
  <c r="N1052" i="4" s="1"/>
  <c r="M596" i="4"/>
  <c r="N596" i="4" s="1"/>
  <c r="M1035" i="4"/>
  <c r="N1035" i="4" s="1"/>
  <c r="M755" i="4"/>
  <c r="N755" i="4" s="1"/>
  <c r="M891" i="4"/>
  <c r="N891" i="4" s="1"/>
  <c r="M929" i="4"/>
  <c r="N929" i="4" s="1"/>
  <c r="M1033" i="4"/>
  <c r="N1033" i="4" s="1"/>
  <c r="M586" i="4"/>
  <c r="N586" i="4" s="1"/>
  <c r="M965" i="4"/>
  <c r="N965" i="4" s="1"/>
  <c r="M798" i="4"/>
  <c r="N798" i="4" s="1"/>
  <c r="M740" i="4"/>
  <c r="N740" i="4" s="1"/>
  <c r="M595" i="4"/>
  <c r="N595" i="4" s="1"/>
  <c r="M971" i="4"/>
  <c r="N971" i="4" s="1"/>
  <c r="M863" i="4"/>
  <c r="N863" i="4" s="1"/>
  <c r="M1038" i="4"/>
  <c r="N1038" i="4" s="1"/>
  <c r="M607" i="4"/>
  <c r="N607" i="4" s="1"/>
  <c r="M696" i="4"/>
  <c r="N696" i="4" s="1"/>
  <c r="M758" i="4"/>
  <c r="N758" i="4" s="1"/>
  <c r="M986" i="4"/>
  <c r="N986" i="4" s="1"/>
  <c r="M610" i="4"/>
  <c r="N610" i="4" s="1"/>
  <c r="M949" i="4"/>
  <c r="N949" i="4" s="1"/>
  <c r="M707" i="4"/>
  <c r="N707" i="4" s="1"/>
  <c r="M979" i="4"/>
  <c r="N979" i="4" s="1"/>
  <c r="M609" i="4"/>
  <c r="N609" i="4" s="1"/>
  <c r="M808" i="4"/>
  <c r="N808" i="4" s="1"/>
  <c r="M560" i="4"/>
  <c r="N560" i="4" s="1"/>
  <c r="M612" i="4"/>
  <c r="N612" i="4" s="1"/>
  <c r="M930" i="4"/>
  <c r="N930" i="4" s="1"/>
  <c r="M785" i="4"/>
  <c r="N785" i="4" s="1"/>
  <c r="M615" i="4"/>
  <c r="N615" i="4" s="1"/>
  <c r="M873" i="4"/>
  <c r="N873" i="4" s="1"/>
  <c r="M1065" i="4"/>
  <c r="N1065" i="4" s="1"/>
  <c r="M561" i="4"/>
  <c r="N561" i="4" s="1"/>
  <c r="M1054" i="4"/>
  <c r="N1054" i="4" s="1"/>
  <c r="M920" i="4"/>
  <c r="N920" i="4" s="1"/>
  <c r="M651" i="4"/>
  <c r="N651" i="4" s="1"/>
  <c r="M1044" i="4"/>
  <c r="N1044" i="4" s="1"/>
  <c r="M898" i="4"/>
  <c r="N898" i="4" s="1"/>
  <c r="M1060" i="4"/>
  <c r="N1060" i="4" s="1"/>
  <c r="M945" i="4"/>
  <c r="N945" i="4" s="1"/>
  <c r="M1021" i="4"/>
  <c r="N1021" i="4" s="1"/>
  <c r="M661" i="4"/>
  <c r="N661" i="4" s="1"/>
  <c r="M915" i="4"/>
  <c r="N915" i="4" s="1"/>
  <c r="M600" i="4"/>
  <c r="N600" i="4" s="1"/>
  <c r="M821" i="4"/>
  <c r="N821" i="4" s="1"/>
  <c r="M628" i="4"/>
  <c r="N628" i="4" s="1"/>
  <c r="M800" i="4"/>
  <c r="N800" i="4" s="1"/>
  <c r="M564" i="4"/>
  <c r="N564" i="4" s="1"/>
  <c r="M1056" i="4"/>
  <c r="N1056" i="4" s="1"/>
  <c r="M589" i="4"/>
  <c r="N589" i="4" s="1"/>
  <c r="M905" i="4"/>
  <c r="N905" i="4" s="1"/>
  <c r="M1025" i="4"/>
  <c r="N1025" i="4" s="1"/>
  <c r="M959" i="4"/>
  <c r="N959" i="4" s="1"/>
  <c r="M892" i="4"/>
  <c r="N892" i="4" s="1"/>
  <c r="M747" i="4"/>
  <c r="N747" i="4" s="1"/>
  <c r="M847" i="4"/>
  <c r="N847" i="4" s="1"/>
  <c r="M620" i="4"/>
  <c r="N620" i="4" s="1"/>
  <c r="M890" i="4"/>
  <c r="N890" i="4" s="1"/>
  <c r="M999" i="4"/>
  <c r="N999" i="4" s="1"/>
  <c r="M853" i="4"/>
  <c r="N853" i="4" s="1"/>
  <c r="M702" i="4"/>
  <c r="N702" i="4" s="1"/>
  <c r="M681" i="4"/>
  <c r="N681" i="4" s="1"/>
  <c r="M879" i="4"/>
  <c r="N879" i="4" s="1"/>
  <c r="M877" i="4"/>
  <c r="N877" i="4" s="1"/>
  <c r="M608" i="4"/>
  <c r="N608" i="4" s="1"/>
  <c r="M781" i="4"/>
  <c r="N781" i="4" s="1"/>
  <c r="M854" i="4"/>
  <c r="N854" i="4" s="1"/>
  <c r="M816" i="4"/>
  <c r="N816" i="4" s="1"/>
  <c r="M989" i="4"/>
  <c r="N989" i="4" s="1"/>
  <c r="M778" i="4"/>
  <c r="N778" i="4" s="1"/>
  <c r="M790" i="4"/>
  <c r="N790" i="4" s="1"/>
  <c r="M1026" i="4"/>
  <c r="N1026" i="4" s="1"/>
  <c r="M693" i="4"/>
  <c r="N693" i="4" s="1"/>
  <c r="M888" i="4"/>
  <c r="N888" i="4" s="1"/>
  <c r="M769" i="4"/>
  <c r="N769" i="4" s="1"/>
  <c r="M1059" i="4"/>
  <c r="N1059" i="4" s="1"/>
  <c r="M963" i="4"/>
  <c r="N963" i="4" s="1"/>
  <c r="M1049" i="4"/>
  <c r="N1049" i="4" s="1"/>
  <c r="M1020" i="4"/>
  <c r="N1020" i="4" s="1"/>
  <c r="M1008" i="4"/>
  <c r="N1008" i="4" s="1"/>
  <c r="M1005" i="4"/>
  <c r="N1005" i="4" s="1"/>
  <c r="M683" i="4"/>
  <c r="N683" i="4" s="1"/>
  <c r="M836" i="4"/>
  <c r="N836" i="4" s="1"/>
  <c r="M1047" i="4"/>
  <c r="N1047" i="4" s="1"/>
  <c r="M756" i="4"/>
  <c r="N756" i="4" s="1"/>
  <c r="M680" i="4"/>
  <c r="N680" i="4" s="1"/>
  <c r="M872" i="4"/>
  <c r="N872" i="4" s="1"/>
  <c r="M867" i="4"/>
  <c r="N867" i="4" s="1"/>
  <c r="M603" i="4"/>
  <c r="N603" i="4" s="1"/>
  <c r="M896" i="4"/>
  <c r="N896" i="4" s="1"/>
  <c r="M720" i="4"/>
  <c r="N720" i="4" s="1"/>
  <c r="M902" i="4"/>
  <c r="N902" i="4" s="1"/>
  <c r="M1053" i="4"/>
  <c r="N1053" i="4" s="1"/>
  <c r="M938" i="4"/>
  <c r="N938" i="4" s="1"/>
  <c r="M1062" i="4"/>
  <c r="N1062" i="4" s="1"/>
  <c r="M804" i="4"/>
  <c r="N804" i="4" s="1"/>
  <c r="M953" i="4"/>
  <c r="N953" i="4" s="1"/>
  <c r="M848" i="4"/>
  <c r="N848" i="4" s="1"/>
  <c r="M716" i="4"/>
  <c r="N716" i="4" s="1"/>
  <c r="M841" i="4"/>
  <c r="N841" i="4" s="1"/>
  <c r="M762" i="4"/>
  <c r="N762" i="4" s="1"/>
  <c r="M878" i="4"/>
  <c r="N878" i="4" s="1"/>
  <c r="M834" i="4"/>
  <c r="N834" i="4" s="1"/>
  <c r="M636" i="4"/>
  <c r="N636" i="4" s="1"/>
  <c r="M711" i="4"/>
  <c r="N711" i="4" s="1"/>
  <c r="M631" i="4"/>
  <c r="N631" i="4" s="1"/>
  <c r="M1034" i="4"/>
  <c r="N1034" i="4" s="1"/>
  <c r="M731" i="4"/>
  <c r="N731" i="4" s="1"/>
  <c r="M1024" i="4"/>
  <c r="N1024" i="4" s="1"/>
  <c r="M618" i="4"/>
  <c r="N618" i="4" s="1"/>
  <c r="M736" i="4"/>
  <c r="N736" i="4" s="1"/>
  <c r="M774" i="4"/>
  <c r="N774" i="4" s="1"/>
  <c r="M993" i="4"/>
  <c r="N993" i="4" s="1"/>
  <c r="M664" i="4"/>
  <c r="N664" i="4" s="1"/>
  <c r="M575" i="4"/>
  <c r="N575" i="4" s="1"/>
  <c r="M728" i="4"/>
  <c r="N728" i="4" s="1"/>
  <c r="M970" i="4"/>
  <c r="N970" i="4" s="1"/>
  <c r="M795" i="4"/>
  <c r="N795" i="4" s="1"/>
  <c r="M676" i="4"/>
  <c r="N676" i="4" s="1"/>
  <c r="M588" i="4"/>
  <c r="N588" i="4" s="1"/>
  <c r="M991" i="4"/>
  <c r="N991" i="4" s="1"/>
  <c r="M1064" i="4"/>
  <c r="N1064" i="4" s="1"/>
  <c r="M880" i="4"/>
  <c r="N880" i="4" s="1"/>
  <c r="M1002" i="4"/>
  <c r="N1002" i="4" s="1"/>
  <c r="M742" i="4"/>
  <c r="N742" i="4" s="1"/>
  <c r="M570" i="4"/>
  <c r="N570" i="4" s="1"/>
  <c r="M865" i="4"/>
  <c r="N865" i="4" s="1"/>
  <c r="M827" i="4"/>
  <c r="N827" i="4" s="1"/>
  <c r="M721" i="4"/>
  <c r="N721" i="4" s="1"/>
  <c r="M697" i="4"/>
  <c r="N697" i="4" s="1"/>
  <c r="M987" i="4"/>
  <c r="N987" i="4" s="1"/>
  <c r="M737" i="4"/>
  <c r="N737" i="4" s="1"/>
  <c r="M587" i="4"/>
  <c r="N587" i="4" s="1"/>
  <c r="M840" i="4"/>
  <c r="N840" i="4" s="1"/>
  <c r="M914" i="4"/>
  <c r="N914" i="4" s="1"/>
  <c r="M1022" i="4"/>
  <c r="N1022" i="4" s="1"/>
  <c r="M855" i="4"/>
  <c r="N855" i="4" s="1"/>
  <c r="M918" i="4"/>
  <c r="N918" i="4" s="1"/>
  <c r="M990" i="4"/>
  <c r="N990" i="4" s="1"/>
  <c r="M981" i="4"/>
  <c r="N981" i="4" s="1"/>
  <c r="M830" i="4"/>
  <c r="N830" i="4" s="1"/>
  <c r="M684" i="4"/>
  <c r="N684" i="4" s="1"/>
  <c r="M1015" i="4"/>
  <c r="N1015" i="4" s="1"/>
  <c r="M1001" i="4"/>
  <c r="N1001" i="4" s="1"/>
  <c r="M960" i="4"/>
  <c r="N960" i="4" s="1"/>
  <c r="M967" i="4"/>
  <c r="N967" i="4" s="1"/>
  <c r="M812" i="4"/>
  <c r="N812" i="4" s="1"/>
  <c r="M1019" i="4"/>
  <c r="N1019" i="4" s="1"/>
  <c r="M782" i="4"/>
  <c r="N782" i="4" s="1"/>
  <c r="M956" i="4"/>
  <c r="N956" i="4" s="1"/>
  <c r="M685" i="4"/>
  <c r="N685" i="4" s="1"/>
  <c r="M972" i="4"/>
  <c r="N972" i="4" s="1"/>
  <c r="M1011" i="4"/>
  <c r="N1011" i="4" s="1"/>
  <c r="M562" i="4"/>
  <c r="N562" i="4" s="1"/>
  <c r="M724" i="4"/>
  <c r="N724" i="4" s="1"/>
  <c r="M924" i="4"/>
  <c r="N924" i="4" s="1"/>
  <c r="M791" i="4"/>
  <c r="N791" i="4" s="1"/>
  <c r="M662" i="4"/>
  <c r="N662" i="4" s="1"/>
  <c r="M580" i="4"/>
  <c r="N580" i="4" s="1"/>
  <c r="M1012" i="4"/>
  <c r="N1012" i="4" s="1"/>
  <c r="M644" i="4"/>
  <c r="N644" i="4" s="1"/>
  <c r="M1048" i="4"/>
  <c r="N1048" i="4" s="1"/>
  <c r="M1014" i="4"/>
  <c r="N1014" i="4" s="1"/>
  <c r="M980" i="4"/>
  <c r="N980" i="4" s="1"/>
  <c r="M783" i="4"/>
  <c r="N783" i="4" s="1"/>
  <c r="M1037" i="4"/>
  <c r="N1037" i="4" s="1"/>
  <c r="M894" i="4"/>
  <c r="N894" i="4" s="1"/>
  <c r="M1032" i="4"/>
  <c r="N1032" i="4" s="1"/>
  <c r="M780" i="4"/>
  <c r="N780" i="4" s="1"/>
  <c r="M713" i="4"/>
  <c r="N713" i="4" s="1"/>
  <c r="M911" i="4"/>
  <c r="N911" i="4" s="1"/>
  <c r="M807" i="4"/>
  <c r="N807" i="4" s="1"/>
  <c r="M801" i="4"/>
  <c r="N801" i="4" s="1"/>
  <c r="M917" i="4"/>
  <c r="N917" i="4" s="1"/>
  <c r="M978" i="4"/>
  <c r="N978" i="4" s="1"/>
  <c r="M566" i="4"/>
  <c r="N566" i="4" s="1"/>
  <c r="M771" i="4"/>
  <c r="N771" i="4" s="1"/>
  <c r="M598" i="4"/>
  <c r="N598" i="4" s="1"/>
  <c r="M663" i="4"/>
  <c r="N663" i="4" s="1"/>
  <c r="M974" i="4"/>
  <c r="N974" i="4" s="1"/>
  <c r="M913" i="4"/>
  <c r="N913" i="4" s="1"/>
  <c r="M982" i="4"/>
  <c r="N982" i="4" s="1"/>
  <c r="M839" i="4"/>
  <c r="N839" i="4" s="1"/>
  <c r="M592" i="4"/>
  <c r="N592" i="4" s="1"/>
  <c r="M637" i="4"/>
  <c r="N637" i="4" s="1"/>
  <c r="M1030" i="4"/>
  <c r="N1030" i="4" s="1"/>
  <c r="M810" i="4"/>
  <c r="N810" i="4" s="1"/>
  <c r="M1063" i="4"/>
  <c r="N1063" i="4" s="1"/>
  <c r="M591" i="4"/>
  <c r="N591" i="4" s="1"/>
  <c r="M704" i="4"/>
  <c r="N704" i="4" s="1"/>
  <c r="M952" i="4"/>
  <c r="N952" i="4" s="1"/>
  <c r="M887" i="4"/>
  <c r="N887" i="4" s="1"/>
  <c r="M613" i="4"/>
  <c r="N613" i="4" s="1"/>
  <c r="M951" i="4"/>
  <c r="N951" i="4" s="1"/>
  <c r="M645" i="4"/>
  <c r="N645" i="4" s="1"/>
  <c r="M727" i="4"/>
  <c r="N727" i="4" s="1"/>
  <c r="M647" i="4"/>
  <c r="N647" i="4" s="1"/>
  <c r="M976" i="4"/>
  <c r="N976" i="4" s="1"/>
  <c r="M939" i="4"/>
  <c r="N939" i="4" s="1"/>
  <c r="M881" i="4"/>
  <c r="N881" i="4" s="1"/>
  <c r="M619" i="4"/>
  <c r="N619" i="4" s="1"/>
  <c r="M1057" i="4"/>
  <c r="N1057" i="4" s="1"/>
  <c r="M856" i="4"/>
  <c r="N856" i="4" s="1"/>
  <c r="M1028" i="4"/>
  <c r="N1028" i="4" s="1"/>
  <c r="M942" i="4"/>
  <c r="N942" i="4" s="1"/>
  <c r="M842" i="4"/>
  <c r="N842" i="4" s="1"/>
  <c r="M743" i="4"/>
  <c r="N743" i="4" s="1"/>
  <c r="M943" i="4"/>
  <c r="N943" i="4" s="1"/>
  <c r="M726" i="4"/>
  <c r="N726" i="4" s="1"/>
  <c r="M964" i="4"/>
  <c r="N964" i="4" s="1"/>
  <c r="M828" i="4"/>
  <c r="N828" i="4" s="1"/>
  <c r="M567" i="4"/>
  <c r="N567" i="4" s="1"/>
  <c r="M732" i="4"/>
  <c r="N732" i="4" s="1"/>
  <c r="M714" i="4"/>
  <c r="N714" i="4" s="1"/>
  <c r="M701" i="4"/>
  <c r="N701" i="4" s="1"/>
  <c r="M674" i="4"/>
  <c r="N674" i="4" s="1"/>
  <c r="M820" i="4"/>
  <c r="N820" i="4" s="1"/>
  <c r="M850" i="4"/>
  <c r="N850" i="4" s="1"/>
  <c r="M639" i="4"/>
  <c r="N639" i="4" s="1"/>
  <c r="M1051" i="4"/>
  <c r="N1051" i="4" s="1"/>
  <c r="M779" i="4"/>
  <c r="N779" i="4" s="1"/>
  <c r="M1045" i="4"/>
  <c r="N1045" i="4" s="1"/>
  <c r="M753" i="4"/>
  <c r="N753" i="4" s="1"/>
  <c r="M826" i="4"/>
  <c r="N826" i="4" s="1"/>
  <c r="M822" i="4"/>
  <c r="N822" i="4" s="1"/>
  <c r="M906" i="4"/>
  <c r="N906" i="4" s="1"/>
  <c r="M859" i="4"/>
  <c r="N859" i="4" s="1"/>
  <c r="M670" i="4"/>
  <c r="N670" i="4" s="1"/>
  <c r="M802" i="4"/>
  <c r="N802" i="4" s="1"/>
  <c r="M992" i="4"/>
  <c r="N992" i="4" s="1"/>
  <c r="M882" i="4"/>
  <c r="N882" i="4" s="1"/>
  <c r="M682" i="4"/>
  <c r="N682" i="4" s="1"/>
  <c r="M777" i="4"/>
  <c r="N777" i="4" s="1"/>
  <c r="M961" i="4"/>
  <c r="N961" i="4" s="1"/>
  <c r="M633" i="4"/>
  <c r="N633" i="4" s="1"/>
  <c r="M749" i="4"/>
  <c r="N749" i="4" s="1"/>
  <c r="M789" i="4"/>
  <c r="N789" i="4" s="1"/>
  <c r="M936" i="4"/>
  <c r="N936" i="4" s="1"/>
  <c r="M1055" i="4"/>
  <c r="N1055" i="4" s="1"/>
  <c r="M597" i="4"/>
  <c r="N597" i="4" s="1"/>
  <c r="M851" i="4"/>
  <c r="N851" i="4" s="1"/>
  <c r="M629" i="4"/>
  <c r="N629" i="4" s="1"/>
  <c r="M883" i="4"/>
  <c r="N883" i="4" s="1"/>
  <c r="M568" i="4"/>
  <c r="N568" i="4" s="1"/>
  <c r="M927" i="4"/>
  <c r="N927" i="4" s="1"/>
  <c r="M923" i="4"/>
  <c r="N923" i="4" s="1"/>
  <c r="M585" i="4"/>
  <c r="N585" i="4" s="1"/>
  <c r="M1009" i="4"/>
  <c r="N1009" i="4" s="1"/>
  <c r="M649" i="4"/>
  <c r="N649" i="4" s="1"/>
  <c r="M775" i="4"/>
  <c r="N775" i="4" s="1"/>
  <c r="M919" i="4"/>
  <c r="N919" i="4" s="1"/>
  <c r="M815" i="4"/>
  <c r="N815" i="4" s="1"/>
  <c r="M932" i="4"/>
  <c r="N932" i="4" s="1"/>
  <c r="M1031" i="4"/>
  <c r="N1031" i="4" s="1"/>
  <c r="C36" i="3"/>
  <c r="B197" i="3"/>
  <c r="B198" i="3" s="1"/>
  <c r="E197" i="3"/>
  <c r="E198" i="3" s="1"/>
  <c r="D58" i="3"/>
  <c r="C197" i="3"/>
  <c r="C198" i="3" s="1"/>
  <c r="E58" i="3"/>
  <c r="C58" i="3"/>
  <c r="B58" i="3"/>
  <c r="D197" i="3"/>
  <c r="D198" i="3" s="1"/>
  <c r="B36" i="3"/>
  <c r="D36" i="3"/>
  <c r="E36" i="3"/>
  <c r="N627" i="4"/>
  <c r="N82" i="4"/>
  <c r="N341" i="4"/>
  <c r="N244" i="4"/>
  <c r="N54" i="4"/>
  <c r="N805" i="4"/>
  <c r="N94" i="4"/>
  <c r="N473" i="4"/>
  <c r="N480" i="4"/>
  <c r="N393" i="4"/>
  <c r="N133" i="4"/>
  <c r="N522" i="4"/>
  <c r="N83" i="4"/>
  <c r="N308" i="4"/>
  <c r="N188" i="4"/>
  <c r="N833" i="4"/>
  <c r="N209" i="4"/>
  <c r="N235" i="4"/>
  <c r="N502" i="4"/>
  <c r="N369" i="4"/>
  <c r="N431" i="4"/>
  <c r="N65" i="4"/>
  <c r="N469" i="4"/>
  <c r="N42" i="4"/>
  <c r="N454" i="4"/>
  <c r="C92" i="5"/>
  <c r="D92" i="5" s="1"/>
  <c r="E92" i="5"/>
  <c r="F92" i="5" s="1"/>
  <c r="N650" i="4"/>
  <c r="N26" i="4"/>
  <c r="N375" i="4"/>
  <c r="N377" i="4"/>
  <c r="N579" i="4"/>
  <c r="N277" i="4"/>
  <c r="N268" i="4"/>
  <c r="N622" i="4"/>
  <c r="N56" i="4"/>
  <c r="N414" i="4"/>
  <c r="N926" i="4"/>
  <c r="N52" i="4"/>
  <c r="N457" i="4"/>
  <c r="N940" i="4"/>
  <c r="N382" i="4"/>
  <c r="N217" i="4"/>
  <c r="N313" i="4"/>
  <c r="N312" i="4"/>
  <c r="N135" i="4"/>
  <c r="N273" i="4"/>
  <c r="N869" i="4"/>
  <c r="N678" i="4"/>
  <c r="N184" i="4"/>
  <c r="N406" i="4"/>
  <c r="N699" i="4"/>
  <c r="N944" i="4"/>
  <c r="N113" i="4"/>
  <c r="N234" i="4"/>
  <c r="N340" i="4"/>
  <c r="N78" i="4"/>
  <c r="N413" i="4"/>
  <c r="N98" i="4"/>
  <c r="N477" i="4"/>
  <c r="N304" i="4"/>
  <c r="N412" i="4"/>
  <c r="N240" i="4"/>
  <c r="N455" i="4"/>
  <c r="N472" i="4"/>
  <c r="N343" i="4"/>
  <c r="N324" i="4"/>
  <c r="N520" i="4"/>
  <c r="N378" i="4"/>
  <c r="N167" i="4"/>
  <c r="N396" i="4"/>
  <c r="N895" i="4"/>
  <c r="N446" i="4"/>
  <c r="N228" i="4"/>
  <c r="N423" i="4"/>
  <c r="N368" i="4"/>
  <c r="N467" i="4"/>
  <c r="N508" i="4"/>
  <c r="N45" i="4"/>
  <c r="N408" i="4"/>
  <c r="N177" i="4"/>
  <c r="N335" i="4"/>
  <c r="N356" i="4"/>
  <c r="N159" i="4"/>
  <c r="N766" i="4"/>
  <c r="N503" i="4"/>
  <c r="N354" i="4"/>
  <c r="N253" i="4"/>
  <c r="N437" i="4"/>
  <c r="N139" i="4"/>
  <c r="N238" i="4"/>
  <c r="N28" i="4"/>
  <c r="N186" i="4"/>
  <c r="N282" i="4"/>
  <c r="N667" i="4"/>
  <c r="N50" i="4"/>
  <c r="N178" i="4"/>
  <c r="N140" i="4"/>
  <c r="N346" i="4"/>
  <c r="N825" i="4"/>
  <c r="N410" i="4"/>
  <c r="N221" i="4"/>
  <c r="N388" i="4"/>
  <c r="N407" i="4"/>
  <c r="N147" i="4"/>
  <c r="N870" i="4"/>
  <c r="N237" i="4"/>
  <c r="N68" i="4"/>
  <c r="N280" i="4"/>
  <c r="N339" i="4"/>
  <c r="N230" i="4"/>
  <c r="N372" i="4"/>
  <c r="N81" i="4"/>
  <c r="N515" i="4"/>
  <c r="N220" i="4"/>
  <c r="N210" i="4"/>
  <c r="N901" i="4"/>
  <c r="N884" i="4"/>
  <c r="N176" i="4"/>
  <c r="N507" i="4"/>
  <c r="N79" i="4"/>
  <c r="N657" i="4"/>
  <c r="N309" i="4"/>
  <c r="N180" i="4"/>
  <c r="N351" i="4"/>
  <c r="N157" i="4"/>
  <c r="N886" i="4"/>
  <c r="I92" i="5"/>
  <c r="N57" i="4"/>
  <c r="N955" i="4"/>
  <c r="N688" i="4"/>
  <c r="N331" i="4"/>
  <c r="N443" i="4"/>
  <c r="N573" i="4"/>
  <c r="N529" i="4"/>
  <c r="N744" i="4"/>
  <c r="N521" i="4"/>
  <c r="N261" i="4"/>
  <c r="N110" i="4"/>
  <c r="N69" i="4"/>
  <c r="N583" i="4"/>
  <c r="N191" i="4"/>
  <c r="N380" i="4"/>
  <c r="N687" i="4"/>
  <c r="N466" i="4"/>
  <c r="N797" i="4"/>
  <c r="N206" i="4"/>
  <c r="N931" i="4"/>
  <c r="N214" i="4"/>
  <c r="N92" i="4"/>
  <c r="N493" i="4"/>
  <c r="N286" i="4"/>
  <c r="N398" i="4"/>
  <c r="N765" i="4"/>
  <c r="N71" i="4"/>
  <c r="N269" i="4"/>
  <c r="N353" i="4"/>
  <c r="N145" i="4"/>
  <c r="J2" i="4"/>
  <c r="C72" i="3"/>
  <c r="B133" i="3"/>
  <c r="D133" i="3"/>
  <c r="C133" i="3"/>
  <c r="J539" i="4"/>
  <c r="C200" i="3"/>
  <c r="E133" i="3"/>
  <c r="D71" i="3"/>
  <c r="E72" i="3"/>
  <c r="C132" i="3"/>
  <c r="E71" i="3"/>
  <c r="E132" i="3"/>
  <c r="B200" i="3"/>
  <c r="D72" i="3"/>
  <c r="E200" i="3"/>
  <c r="C71" i="3"/>
  <c r="D200" i="3"/>
  <c r="D132" i="3"/>
  <c r="B71" i="3"/>
  <c r="B132" i="3"/>
  <c r="J4" i="4"/>
  <c r="B72" i="3"/>
  <c r="J540" i="4" l="1"/>
  <c r="J5" i="4"/>
  <c r="E78" i="3"/>
  <c r="E139" i="3"/>
  <c r="C78" i="3"/>
  <c r="C139" i="3"/>
  <c r="B139" i="3"/>
  <c r="D139" i="3"/>
  <c r="D78" i="3"/>
  <c r="B78" i="3"/>
  <c r="B135" i="3"/>
  <c r="B143" i="3" s="1"/>
  <c r="B177" i="3" s="1"/>
  <c r="C74" i="3"/>
  <c r="C84" i="3" s="1"/>
  <c r="C118" i="3" s="1"/>
  <c r="E81" i="3"/>
  <c r="E75" i="3"/>
  <c r="E73" i="3"/>
  <c r="E82" i="3"/>
  <c r="C135" i="3"/>
  <c r="C143" i="3" s="1"/>
  <c r="C177" i="3" s="1"/>
  <c r="B74" i="3"/>
  <c r="B84" i="3" s="1"/>
  <c r="B118" i="3" s="1"/>
  <c r="E141" i="3"/>
  <c r="E136" i="3"/>
  <c r="E134" i="3"/>
  <c r="D74" i="3"/>
  <c r="D84" i="3" s="1"/>
  <c r="D118" i="3" s="1"/>
  <c r="C81" i="3"/>
  <c r="C73" i="3"/>
  <c r="C75" i="3"/>
  <c r="D135" i="3"/>
  <c r="D143" i="3" s="1"/>
  <c r="D177" i="3" s="1"/>
  <c r="C136" i="3"/>
  <c r="C134" i="3"/>
  <c r="B134" i="3"/>
  <c r="B136" i="3"/>
  <c r="D141" i="3"/>
  <c r="D134" i="3"/>
  <c r="D136" i="3"/>
  <c r="E74" i="3"/>
  <c r="E84" i="3" s="1"/>
  <c r="E118" i="3" s="1"/>
  <c r="D75" i="3"/>
  <c r="D81" i="3"/>
  <c r="D73" i="3"/>
  <c r="D82" i="3"/>
  <c r="E135" i="3"/>
  <c r="E143" i="3" s="1"/>
  <c r="E177" i="3" s="1"/>
  <c r="B73" i="3"/>
  <c r="B81" i="3"/>
  <c r="B75" i="3"/>
  <c r="B37" i="3"/>
  <c r="B123" i="3" s="1"/>
  <c r="B124" i="3" s="1"/>
  <c r="E37" i="3"/>
  <c r="E123" i="3" s="1"/>
  <c r="E124" i="3" s="1"/>
  <c r="D61" i="3"/>
  <c r="D62" i="3" s="1"/>
  <c r="B14" i="4" s="1"/>
  <c r="C37" i="3"/>
  <c r="C123" i="3" s="1"/>
  <c r="C124" i="3" s="1"/>
  <c r="E61" i="3"/>
  <c r="E62" i="3" s="1"/>
  <c r="B549" i="4" s="1"/>
  <c r="B93" i="5"/>
  <c r="J92" i="5"/>
  <c r="K92" i="5" s="1"/>
  <c r="L92" i="5"/>
  <c r="M92" i="5" s="1"/>
  <c r="B61" i="3"/>
  <c r="B62" i="3" s="1"/>
  <c r="D37" i="3"/>
  <c r="D123" i="3" s="1"/>
  <c r="D124" i="3" s="1"/>
  <c r="C61" i="3"/>
  <c r="C62" i="3" s="1"/>
  <c r="E140" i="3"/>
  <c r="E79" i="3"/>
  <c r="D79" i="3"/>
  <c r="B79" i="3"/>
  <c r="C79" i="3"/>
  <c r="C140" i="3"/>
  <c r="D140" i="3"/>
  <c r="B140" i="3"/>
  <c r="C83" i="3" l="1"/>
  <c r="C85" i="3" s="1"/>
  <c r="D142" i="3"/>
  <c r="D144" i="3" s="1"/>
  <c r="E83" i="3"/>
  <c r="E85" i="3" s="1"/>
  <c r="C142" i="3"/>
  <c r="C144" i="3" s="1"/>
  <c r="E142" i="3"/>
  <c r="E144" i="3" s="1"/>
  <c r="C179" i="3"/>
  <c r="C178" i="3"/>
  <c r="B56" i="5" s="1"/>
  <c r="D83" i="3"/>
  <c r="D85" i="3" s="1"/>
  <c r="D120" i="3"/>
  <c r="D119" i="3"/>
  <c r="E120" i="3"/>
  <c r="E119" i="3"/>
  <c r="C119" i="3"/>
  <c r="C120" i="3"/>
  <c r="B69" i="5" s="1"/>
  <c r="J547" i="4"/>
  <c r="J548" i="4"/>
  <c r="B142" i="3"/>
  <c r="B144" i="3" s="1"/>
  <c r="B83" i="3"/>
  <c r="B85" i="3" s="1"/>
  <c r="B179" i="3"/>
  <c r="B178" i="3"/>
  <c r="B16" i="5" s="1"/>
  <c r="J13" i="4"/>
  <c r="J12" i="4"/>
  <c r="I93" i="5"/>
  <c r="B119" i="3"/>
  <c r="B120" i="3"/>
  <c r="B29" i="5" s="1"/>
  <c r="D179" i="3"/>
  <c r="D178" i="3"/>
  <c r="E179" i="3"/>
  <c r="E178" i="3"/>
  <c r="C93" i="5"/>
  <c r="D93" i="5" s="1"/>
  <c r="E93" i="5"/>
  <c r="F93" i="5" s="1"/>
  <c r="J40" i="4" l="1"/>
  <c r="K40" i="4" s="1"/>
  <c r="J230" i="4"/>
  <c r="K230" i="4" s="1"/>
  <c r="J213" i="4"/>
  <c r="K213" i="4" s="1"/>
  <c r="J460" i="4"/>
  <c r="K460" i="4" s="1"/>
  <c r="J436" i="4"/>
  <c r="K436" i="4" s="1"/>
  <c r="J357" i="4"/>
  <c r="K357" i="4" s="1"/>
  <c r="J79" i="4"/>
  <c r="K79" i="4" s="1"/>
  <c r="J260" i="4"/>
  <c r="K260" i="4" s="1"/>
  <c r="J484" i="4"/>
  <c r="K484" i="4" s="1"/>
  <c r="J49" i="4"/>
  <c r="K49" i="4" s="1"/>
  <c r="J372" i="4"/>
  <c r="K372" i="4" s="1"/>
  <c r="J309" i="4"/>
  <c r="K309" i="4" s="1"/>
  <c r="J86" i="4"/>
  <c r="K86" i="4" s="1"/>
  <c r="J444" i="4"/>
  <c r="K444" i="4" s="1"/>
  <c r="J141" i="4"/>
  <c r="K141" i="4" s="1"/>
  <c r="J325" i="4"/>
  <c r="K325" i="4" s="1"/>
  <c r="J404" i="4"/>
  <c r="K404" i="4" s="1"/>
  <c r="J365" i="4"/>
  <c r="K365" i="4" s="1"/>
  <c r="J152" i="4"/>
  <c r="K152" i="4" s="1"/>
  <c r="J412" i="4"/>
  <c r="K412" i="4" s="1"/>
  <c r="J167" i="4"/>
  <c r="K167" i="4" s="1"/>
  <c r="J181" i="4"/>
  <c r="K181" i="4" s="1"/>
  <c r="J166" i="4"/>
  <c r="K166" i="4" s="1"/>
  <c r="J116" i="4"/>
  <c r="K116" i="4" s="1"/>
  <c r="J191" i="4"/>
  <c r="K191" i="4" s="1"/>
  <c r="J175" i="4"/>
  <c r="K175" i="4" s="1"/>
  <c r="J160" i="4"/>
  <c r="K160" i="4" s="1"/>
  <c r="J413" i="4"/>
  <c r="K413" i="4" s="1"/>
  <c r="J349" i="4"/>
  <c r="K349" i="4" s="1"/>
  <c r="J245" i="4"/>
  <c r="K245" i="4" s="1"/>
  <c r="J214" i="4"/>
  <c r="K214" i="4" s="1"/>
  <c r="J268" i="4"/>
  <c r="K268" i="4" s="1"/>
  <c r="J56" i="4"/>
  <c r="K56" i="4" s="1"/>
  <c r="J197" i="4"/>
  <c r="K197" i="4" s="1"/>
  <c r="J212" i="4"/>
  <c r="K212" i="4" s="1"/>
  <c r="J25" i="4"/>
  <c r="K25" i="4" s="1"/>
  <c r="J70" i="4"/>
  <c r="K70" i="4" s="1"/>
  <c r="J303" i="4"/>
  <c r="K303" i="4" s="1"/>
  <c r="J278" i="4"/>
  <c r="K278" i="4" s="1"/>
  <c r="J168" i="4"/>
  <c r="K168" i="4" s="1"/>
  <c r="J93" i="4"/>
  <c r="K93" i="4" s="1"/>
  <c r="J151" i="4"/>
  <c r="K151" i="4" s="1"/>
  <c r="J190" i="4"/>
  <c r="K190" i="4" s="1"/>
  <c r="J124" i="4"/>
  <c r="K124" i="4" s="1"/>
  <c r="J236" i="4"/>
  <c r="K236" i="4" s="1"/>
  <c r="J301" i="4"/>
  <c r="K301" i="4" s="1"/>
  <c r="J85" i="4"/>
  <c r="K85" i="4" s="1"/>
  <c r="J132" i="4"/>
  <c r="K132" i="4" s="1"/>
  <c r="J269" i="4"/>
  <c r="K269" i="4" s="1"/>
  <c r="J126" i="4"/>
  <c r="K126" i="4" s="1"/>
  <c r="J134" i="4"/>
  <c r="K134" i="4" s="1"/>
  <c r="J341" i="4"/>
  <c r="K341" i="4" s="1"/>
  <c r="J80" i="4"/>
  <c r="K80" i="4" s="1"/>
  <c r="J333" i="4"/>
  <c r="K333" i="4" s="1"/>
  <c r="J118" i="4"/>
  <c r="K118" i="4" s="1"/>
  <c r="J253" i="4"/>
  <c r="K253" i="4" s="1"/>
  <c r="J62" i="4"/>
  <c r="K62" i="4" s="1"/>
  <c r="J237" i="4"/>
  <c r="K237" i="4" s="1"/>
  <c r="J64" i="4"/>
  <c r="K64" i="4" s="1"/>
  <c r="J206" i="4"/>
  <c r="K206" i="4" s="1"/>
  <c r="J94" i="4"/>
  <c r="K94" i="4" s="1"/>
  <c r="J452" i="4"/>
  <c r="K452" i="4" s="1"/>
  <c r="J174" i="4"/>
  <c r="K174" i="4" s="1"/>
  <c r="J293" i="4"/>
  <c r="K293" i="4" s="1"/>
  <c r="J261" i="4"/>
  <c r="K261" i="4" s="1"/>
  <c r="J317" i="4"/>
  <c r="K317" i="4" s="1"/>
  <c r="J277" i="4"/>
  <c r="K277" i="4" s="1"/>
  <c r="J111" i="4"/>
  <c r="K111" i="4" s="1"/>
  <c r="J110" i="4"/>
  <c r="K110" i="4" s="1"/>
  <c r="J287" i="4"/>
  <c r="K287" i="4" s="1"/>
  <c r="J388" i="4"/>
  <c r="K388" i="4" s="1"/>
  <c r="J295" i="4"/>
  <c r="K295" i="4" s="1"/>
  <c r="J244" i="4"/>
  <c r="K244" i="4" s="1"/>
  <c r="J421" i="4"/>
  <c r="K421" i="4" s="1"/>
  <c r="J24" i="4"/>
  <c r="K24" i="4" s="1"/>
  <c r="J102" i="4"/>
  <c r="K102" i="4" s="1"/>
  <c r="J87" i="4"/>
  <c r="K87" i="4" s="1"/>
  <c r="J31" i="4"/>
  <c r="K31" i="4" s="1"/>
  <c r="J468" i="4"/>
  <c r="K468" i="4" s="1"/>
  <c r="J189" i="4"/>
  <c r="K189" i="4" s="1"/>
  <c r="J39" i="4"/>
  <c r="K39" i="4" s="1"/>
  <c r="J95" i="4"/>
  <c r="K95" i="4" s="1"/>
  <c r="J55" i="4"/>
  <c r="K55" i="4" s="1"/>
  <c r="J348" i="4"/>
  <c r="K348" i="4" s="1"/>
  <c r="J340" i="4"/>
  <c r="K340" i="4" s="1"/>
  <c r="J492" i="4"/>
  <c r="K492" i="4" s="1"/>
  <c r="J316" i="4"/>
  <c r="K316" i="4" s="1"/>
  <c r="J310" i="4"/>
  <c r="K310" i="4" s="1"/>
  <c r="J41" i="4"/>
  <c r="K41" i="4" s="1"/>
  <c r="J125" i="4"/>
  <c r="K125" i="4" s="1"/>
  <c r="J221" i="4"/>
  <c r="K221" i="4" s="1"/>
  <c r="J461" i="4"/>
  <c r="K461" i="4" s="1"/>
  <c r="J199" i="4"/>
  <c r="K199" i="4" s="1"/>
  <c r="J117" i="4"/>
  <c r="K117" i="4" s="1"/>
  <c r="J406" i="4"/>
  <c r="K406" i="4" s="1"/>
  <c r="J429" i="4"/>
  <c r="K429" i="4" s="1"/>
  <c r="J158" i="4"/>
  <c r="K158" i="4" s="1"/>
  <c r="J101" i="4"/>
  <c r="K101" i="4" s="1"/>
  <c r="J63" i="4"/>
  <c r="K63" i="4" s="1"/>
  <c r="J380" i="4"/>
  <c r="K380" i="4" s="1"/>
  <c r="J414" i="4"/>
  <c r="K414" i="4" s="1"/>
  <c r="J286" i="4"/>
  <c r="K286" i="4" s="1"/>
  <c r="J32" i="4"/>
  <c r="K32" i="4" s="1"/>
  <c r="J109" i="4"/>
  <c r="K109" i="4" s="1"/>
  <c r="J420" i="4"/>
  <c r="K420" i="4" s="1"/>
  <c r="J453" i="4"/>
  <c r="K453" i="4" s="1"/>
  <c r="J220" i="4"/>
  <c r="K220" i="4" s="1"/>
  <c r="J72" i="4"/>
  <c r="K72" i="4" s="1"/>
  <c r="J48" i="4"/>
  <c r="K48" i="4" s="1"/>
  <c r="J476" i="4"/>
  <c r="K476" i="4" s="1"/>
  <c r="J207" i="4"/>
  <c r="K207" i="4" s="1"/>
  <c r="J430" i="4"/>
  <c r="K430" i="4" s="1"/>
  <c r="J78" i="4"/>
  <c r="K78" i="4" s="1"/>
  <c r="J405" i="4"/>
  <c r="K405" i="4" s="1"/>
  <c r="J205" i="4"/>
  <c r="K205" i="4" s="1"/>
  <c r="J229" i="4"/>
  <c r="K229" i="4" s="1"/>
  <c r="J294" i="4"/>
  <c r="K294" i="4" s="1"/>
  <c r="J428" i="4"/>
  <c r="K428" i="4" s="1"/>
  <c r="J198" i="4"/>
  <c r="K198" i="4" s="1"/>
  <c r="J33" i="4"/>
  <c r="K33" i="4" s="1"/>
  <c r="J364" i="4"/>
  <c r="K364" i="4" s="1"/>
  <c r="J176" i="4"/>
  <c r="K176" i="4" s="1"/>
  <c r="J279" i="4"/>
  <c r="K279" i="4" s="1"/>
  <c r="J252" i="4"/>
  <c r="K252" i="4" s="1"/>
  <c r="J182" i="4"/>
  <c r="K182" i="4" s="1"/>
  <c r="J222" i="4"/>
  <c r="K222" i="4" s="1"/>
  <c r="J356" i="4"/>
  <c r="K356" i="4" s="1"/>
  <c r="J332" i="4"/>
  <c r="K332" i="4" s="1"/>
  <c r="J23" i="4"/>
  <c r="K23" i="4" s="1"/>
  <c r="J318" i="4"/>
  <c r="K318" i="4" s="1"/>
  <c r="J422" i="4"/>
  <c r="K422" i="4" s="1"/>
  <c r="J326" i="4"/>
  <c r="K326" i="4" s="1"/>
  <c r="J54" i="4"/>
  <c r="K54" i="4" s="1"/>
  <c r="J142" i="4"/>
  <c r="K142" i="4" s="1"/>
  <c r="J150" i="4"/>
  <c r="K150" i="4" s="1"/>
  <c r="J238" i="4"/>
  <c r="K238" i="4" s="1"/>
  <c r="J437" i="4"/>
  <c r="K437" i="4" s="1"/>
  <c r="J103" i="4"/>
  <c r="K103" i="4" s="1"/>
  <c r="J47" i="4"/>
  <c r="K47" i="4" s="1"/>
  <c r="J159" i="4"/>
  <c r="K159" i="4" s="1"/>
  <c r="J445" i="4"/>
  <c r="K445" i="4" s="1"/>
  <c r="J228" i="4"/>
  <c r="K228" i="4" s="1"/>
  <c r="J324" i="4"/>
  <c r="K324" i="4" s="1"/>
  <c r="J71" i="4"/>
  <c r="K71" i="4" s="1"/>
  <c r="J140" i="4"/>
  <c r="K140" i="4" s="1"/>
  <c r="J183" i="4"/>
  <c r="K183" i="4" s="1"/>
  <c r="J334" i="4"/>
  <c r="K334" i="4" s="1"/>
  <c r="J308" i="4"/>
  <c r="K308" i="4" s="1"/>
  <c r="J285" i="4"/>
  <c r="K285" i="4" s="1"/>
  <c r="J302" i="4"/>
  <c r="K302" i="4" s="1"/>
  <c r="J133" i="4"/>
  <c r="K133" i="4" s="1"/>
  <c r="J396" i="4"/>
  <c r="K396" i="4" s="1"/>
  <c r="J93" i="5"/>
  <c r="K93" i="5" s="1"/>
  <c r="L93" i="5"/>
  <c r="M93" i="5" s="1"/>
  <c r="J69" i="5"/>
  <c r="G68" i="5"/>
  <c r="L67" i="5"/>
  <c r="I66" i="5"/>
  <c r="F65" i="5"/>
  <c r="H63" i="5"/>
  <c r="N69" i="5"/>
  <c r="N71" i="5" s="1"/>
  <c r="F69" i="5"/>
  <c r="K68" i="5"/>
  <c r="H67" i="5"/>
  <c r="J65" i="5"/>
  <c r="G64" i="5"/>
  <c r="F61" i="5"/>
  <c r="M69" i="5"/>
  <c r="J68" i="5"/>
  <c r="G67" i="5"/>
  <c r="I65" i="5"/>
  <c r="F64" i="5"/>
  <c r="L69" i="5"/>
  <c r="I68" i="5"/>
  <c r="F67" i="5"/>
  <c r="K66" i="5"/>
  <c r="H65" i="5"/>
  <c r="G62" i="5"/>
  <c r="K69" i="5"/>
  <c r="H68" i="5"/>
  <c r="J66" i="5"/>
  <c r="G65" i="5"/>
  <c r="F62" i="5"/>
  <c r="M68" i="5"/>
  <c r="J67" i="5"/>
  <c r="H66" i="5"/>
  <c r="I64" i="5"/>
  <c r="L68" i="5"/>
  <c r="I67" i="5"/>
  <c r="G66" i="5"/>
  <c r="H64" i="5"/>
  <c r="G63" i="5"/>
  <c r="K67" i="5"/>
  <c r="H69" i="5"/>
  <c r="G69" i="5"/>
  <c r="I69" i="5"/>
  <c r="F68" i="5"/>
  <c r="F66" i="5"/>
  <c r="F63" i="5"/>
  <c r="B43" i="5"/>
  <c r="F46" i="5" s="1"/>
  <c r="C222" i="3"/>
  <c r="E146" i="3"/>
  <c r="E162" i="3"/>
  <c r="C146" i="3"/>
  <c r="C162" i="3"/>
  <c r="N29" i="5"/>
  <c r="N31" i="5" s="1"/>
  <c r="F29" i="5"/>
  <c r="K28" i="5"/>
  <c r="H27" i="5"/>
  <c r="J25" i="5"/>
  <c r="G24" i="5"/>
  <c r="F21" i="5"/>
  <c r="M29" i="5"/>
  <c r="J28" i="5"/>
  <c r="G27" i="5"/>
  <c r="I25" i="5"/>
  <c r="F24" i="5"/>
  <c r="G28" i="5"/>
  <c r="J27" i="5"/>
  <c r="F25" i="5"/>
  <c r="L29" i="5"/>
  <c r="K29" i="5"/>
  <c r="J26" i="5"/>
  <c r="F26" i="5"/>
  <c r="H24" i="5"/>
  <c r="M28" i="5"/>
  <c r="L27" i="5"/>
  <c r="H23" i="5"/>
  <c r="L28" i="5"/>
  <c r="K27" i="5"/>
  <c r="G23" i="5"/>
  <c r="F28" i="5"/>
  <c r="J29" i="5"/>
  <c r="H29" i="5"/>
  <c r="K26" i="5"/>
  <c r="I26" i="5"/>
  <c r="H25" i="5"/>
  <c r="I24" i="5"/>
  <c r="F23" i="5"/>
  <c r="G29" i="5"/>
  <c r="I29" i="5"/>
  <c r="G22" i="5"/>
  <c r="F22" i="5"/>
  <c r="H28" i="5"/>
  <c r="H26" i="5"/>
  <c r="G25" i="5"/>
  <c r="I28" i="5"/>
  <c r="G26" i="5"/>
  <c r="F27" i="5"/>
  <c r="I27" i="5"/>
  <c r="B542" i="4"/>
  <c r="J632" i="4"/>
  <c r="K632" i="4" s="1"/>
  <c r="J832" i="4"/>
  <c r="K832" i="4" s="1"/>
  <c r="J980" i="4"/>
  <c r="K980" i="4" s="1"/>
  <c r="J702" i="4"/>
  <c r="K702" i="4" s="1"/>
  <c r="J592" i="4"/>
  <c r="K592" i="4" s="1"/>
  <c r="J1015" i="4"/>
  <c r="K1015" i="4" s="1"/>
  <c r="J956" i="4"/>
  <c r="K956" i="4" s="1"/>
  <c r="J906" i="4"/>
  <c r="K906" i="4" s="1"/>
  <c r="J615" i="4"/>
  <c r="K615" i="4" s="1"/>
  <c r="J977" i="4"/>
  <c r="K977" i="4" s="1"/>
  <c r="J590" i="4"/>
  <c r="K590" i="4" s="1"/>
  <c r="J677" i="4"/>
  <c r="K677" i="4" s="1"/>
  <c r="J1048" i="4"/>
  <c r="K1048" i="4" s="1"/>
  <c r="J950" i="4"/>
  <c r="K950" i="4" s="1"/>
  <c r="J869" i="4"/>
  <c r="K869" i="4" s="1"/>
  <c r="J813" i="4"/>
  <c r="K813" i="4" s="1"/>
  <c r="J663" i="4"/>
  <c r="K663" i="4" s="1"/>
  <c r="J957" i="4"/>
  <c r="K957" i="4" s="1"/>
  <c r="J985" i="4"/>
  <c r="K985" i="4" s="1"/>
  <c r="J598" i="4"/>
  <c r="K598" i="4" s="1"/>
  <c r="J766" i="4"/>
  <c r="K766" i="4" s="1"/>
  <c r="J659" i="4"/>
  <c r="K659" i="4" s="1"/>
  <c r="J621" i="4"/>
  <c r="K621" i="4" s="1"/>
  <c r="J797" i="4"/>
  <c r="K797" i="4" s="1"/>
  <c r="J728" i="4"/>
  <c r="K728" i="4" s="1"/>
  <c r="J964" i="4"/>
  <c r="K964" i="4" s="1"/>
  <c r="J827" i="4"/>
  <c r="K827" i="4" s="1"/>
  <c r="J680" i="4"/>
  <c r="K680" i="4" s="1"/>
  <c r="J809" i="4"/>
  <c r="K809" i="4" s="1"/>
  <c r="J870" i="4"/>
  <c r="K870" i="4" s="1"/>
  <c r="J904" i="4"/>
  <c r="K904" i="4" s="1"/>
  <c r="J583" i="4"/>
  <c r="K583" i="4" s="1"/>
  <c r="J880" i="4"/>
  <c r="K880" i="4" s="1"/>
  <c r="J1022" i="4"/>
  <c r="K1022" i="4" s="1"/>
  <c r="J634" i="4"/>
  <c r="K634" i="4" s="1"/>
  <c r="J629" i="4"/>
  <c r="K629" i="4" s="1"/>
  <c r="J814" i="4"/>
  <c r="K814" i="4" s="1"/>
  <c r="J1049" i="4"/>
  <c r="K1049" i="4" s="1"/>
  <c r="J683" i="4"/>
  <c r="K683" i="4" s="1"/>
  <c r="J670" i="4"/>
  <c r="K670" i="4" s="1"/>
  <c r="J765" i="4"/>
  <c r="K765" i="4" s="1"/>
  <c r="J575" i="4"/>
  <c r="K575" i="4" s="1"/>
  <c r="J722" i="4"/>
  <c r="K722" i="4" s="1"/>
  <c r="J916" i="4"/>
  <c r="K916" i="4" s="1"/>
  <c r="J903" i="4"/>
  <c r="K903" i="4" s="1"/>
  <c r="J568" i="4"/>
  <c r="K568" i="4" s="1"/>
  <c r="J1059" i="4"/>
  <c r="K1059" i="4" s="1"/>
  <c r="J935" i="4"/>
  <c r="K935" i="4" s="1"/>
  <c r="J921" i="4"/>
  <c r="K921" i="4" s="1"/>
  <c r="J819" i="4"/>
  <c r="K819" i="4" s="1"/>
  <c r="J1038" i="4"/>
  <c r="K1038" i="4" s="1"/>
  <c r="J815" i="4"/>
  <c r="K815" i="4" s="1"/>
  <c r="J1037" i="4"/>
  <c r="K1037" i="4" s="1"/>
  <c r="J674" i="4"/>
  <c r="K674" i="4" s="1"/>
  <c r="J931" i="4"/>
  <c r="K931" i="4" s="1"/>
  <c r="J911" i="4"/>
  <c r="K911" i="4" s="1"/>
  <c r="J862" i="4"/>
  <c r="K862" i="4" s="1"/>
  <c r="J1047" i="4"/>
  <c r="K1047" i="4" s="1"/>
  <c r="J898" i="4"/>
  <c r="K898" i="4" s="1"/>
  <c r="J1060" i="4"/>
  <c r="K1060" i="4" s="1"/>
  <c r="J577" i="4"/>
  <c r="K577" i="4" s="1"/>
  <c r="J845" i="4"/>
  <c r="K845" i="4" s="1"/>
  <c r="J571" i="4"/>
  <c r="K571" i="4" s="1"/>
  <c r="J786" i="4"/>
  <c r="K786" i="4" s="1"/>
  <c r="J984" i="4"/>
  <c r="K984" i="4" s="1"/>
  <c r="J563" i="4"/>
  <c r="K563" i="4" s="1"/>
  <c r="J810" i="4"/>
  <c r="K810" i="4" s="1"/>
  <c r="J584" i="4"/>
  <c r="K584" i="4" s="1"/>
  <c r="J768" i="4"/>
  <c r="K768" i="4" s="1"/>
  <c r="J626" i="4"/>
  <c r="K626" i="4" s="1"/>
  <c r="J861" i="4"/>
  <c r="K861" i="4" s="1"/>
  <c r="J717" i="4"/>
  <c r="K717" i="4" s="1"/>
  <c r="J699" i="4"/>
  <c r="K699" i="4" s="1"/>
  <c r="J653" i="4"/>
  <c r="K653" i="4" s="1"/>
  <c r="J1018" i="4"/>
  <c r="K1018" i="4" s="1"/>
  <c r="J1046" i="4"/>
  <c r="K1046" i="4" s="1"/>
  <c r="J857" i="4"/>
  <c r="K857" i="4" s="1"/>
  <c r="J933" i="4"/>
  <c r="K933" i="4" s="1"/>
  <c r="J745" i="4"/>
  <c r="K745" i="4" s="1"/>
  <c r="J987" i="4"/>
  <c r="K987" i="4" s="1"/>
  <c r="J655" i="4"/>
  <c r="K655" i="4" s="1"/>
  <c r="J1055" i="4"/>
  <c r="K1055" i="4" s="1"/>
  <c r="J995" i="4"/>
  <c r="K995" i="4" s="1"/>
  <c r="J988" i="4"/>
  <c r="K988" i="4" s="1"/>
  <c r="J865" i="4"/>
  <c r="K865" i="4" s="1"/>
  <c r="J973" i="4"/>
  <c r="K973" i="4" s="1"/>
  <c r="J696" i="4"/>
  <c r="K696" i="4" s="1"/>
  <c r="J758" i="4"/>
  <c r="K758" i="4" s="1"/>
  <c r="J823" i="4"/>
  <c r="K823" i="4" s="1"/>
  <c r="J825" i="4"/>
  <c r="K825" i="4" s="1"/>
  <c r="J689" i="4"/>
  <c r="K689" i="4" s="1"/>
  <c r="J603" i="4"/>
  <c r="K603" i="4" s="1"/>
  <c r="J918" i="4"/>
  <c r="K918" i="4" s="1"/>
  <c r="J1054" i="4"/>
  <c r="K1054" i="4" s="1"/>
  <c r="J639" i="4"/>
  <c r="K639" i="4" s="1"/>
  <c r="J782" i="4"/>
  <c r="K782" i="4" s="1"/>
  <c r="J1008" i="4"/>
  <c r="K1008" i="4" s="1"/>
  <c r="J884" i="4"/>
  <c r="K884" i="4" s="1"/>
  <c r="J749" i="4"/>
  <c r="K749" i="4" s="1"/>
  <c r="J595" i="4"/>
  <c r="K595" i="4" s="1"/>
  <c r="J981" i="4"/>
  <c r="K981" i="4" s="1"/>
  <c r="J726" i="4"/>
  <c r="K726" i="4" s="1"/>
  <c r="J966" i="4"/>
  <c r="K966" i="4" s="1"/>
  <c r="J939" i="4"/>
  <c r="K939" i="4" s="1"/>
  <c r="J633" i="4"/>
  <c r="K633" i="4" s="1"/>
  <c r="J707" i="4"/>
  <c r="K707" i="4" s="1"/>
  <c r="J1019" i="4"/>
  <c r="K1019" i="4" s="1"/>
  <c r="J959" i="4"/>
  <c r="K959" i="4" s="1"/>
  <c r="J712" i="4"/>
  <c r="K712" i="4" s="1"/>
  <c r="J847" i="4"/>
  <c r="K847" i="4" s="1"/>
  <c r="J927" i="4"/>
  <c r="K927" i="4" s="1"/>
  <c r="J896" i="4"/>
  <c r="K896" i="4" s="1"/>
  <c r="J975" i="4"/>
  <c r="K975" i="4" s="1"/>
  <c r="J741" i="4"/>
  <c r="K741" i="4" s="1"/>
  <c r="J618" i="4"/>
  <c r="K618" i="4" s="1"/>
  <c r="J742" i="4"/>
  <c r="K742" i="4" s="1"/>
  <c r="J787" i="4"/>
  <c r="K787" i="4" s="1"/>
  <c r="J890" i="4"/>
  <c r="K890" i="4" s="1"/>
  <c r="J617" i="4"/>
  <c r="K617" i="4" s="1"/>
  <c r="J608" i="4"/>
  <c r="K608" i="4" s="1"/>
  <c r="J631" i="4"/>
  <c r="K631" i="4" s="1"/>
  <c r="J876" i="4"/>
  <c r="K876" i="4" s="1"/>
  <c r="J606" i="4"/>
  <c r="K606" i="4" s="1"/>
  <c r="J833" i="4"/>
  <c r="K833" i="4" s="1"/>
  <c r="J678" i="4"/>
  <c r="K678" i="4" s="1"/>
  <c r="J924" i="4"/>
  <c r="K924" i="4" s="1"/>
  <c r="J983" i="4"/>
  <c r="K983" i="4" s="1"/>
  <c r="J769" i="4"/>
  <c r="K769" i="4" s="1"/>
  <c r="J1020" i="4"/>
  <c r="K1020" i="4" s="1"/>
  <c r="J852" i="4"/>
  <c r="K852" i="4" s="1"/>
  <c r="J989" i="4"/>
  <c r="K989" i="4" s="1"/>
  <c r="J792" i="4"/>
  <c r="K792" i="4" s="1"/>
  <c r="J872" i="4"/>
  <c r="K872" i="4" s="1"/>
  <c r="J986" i="4"/>
  <c r="K986" i="4" s="1"/>
  <c r="J593" i="4"/>
  <c r="K593" i="4" s="1"/>
  <c r="J925" i="4"/>
  <c r="K925" i="4" s="1"/>
  <c r="J1030" i="4"/>
  <c r="K1030" i="4" s="1"/>
  <c r="J720" i="4"/>
  <c r="K720" i="4" s="1"/>
  <c r="J756" i="4"/>
  <c r="K756" i="4" s="1"/>
  <c r="J816" i="4"/>
  <c r="K816" i="4" s="1"/>
  <c r="J1063" i="4"/>
  <c r="K1063" i="4" s="1"/>
  <c r="J875" i="4"/>
  <c r="K875" i="4" s="1"/>
  <c r="J824" i="4"/>
  <c r="K824" i="4" s="1"/>
  <c r="J759" i="4"/>
  <c r="K759" i="4" s="1"/>
  <c r="J859" i="4"/>
  <c r="K859" i="4" s="1"/>
  <c r="J1061" i="4"/>
  <c r="K1061" i="4" s="1"/>
  <c r="J919" i="4"/>
  <c r="K919" i="4" s="1"/>
  <c r="J915" i="4"/>
  <c r="K915" i="4" s="1"/>
  <c r="J1004" i="4"/>
  <c r="K1004" i="4" s="1"/>
  <c r="J660" i="4"/>
  <c r="K660" i="4" s="1"/>
  <c r="J1065" i="4"/>
  <c r="K1065" i="4" s="1"/>
  <c r="J882" i="4"/>
  <c r="K882" i="4" s="1"/>
  <c r="J967" i="4"/>
  <c r="K967" i="4" s="1"/>
  <c r="J736" i="4"/>
  <c r="K736" i="4" s="1"/>
  <c r="J893" i="4"/>
  <c r="K893" i="4" s="1"/>
  <c r="J1052" i="4"/>
  <c r="K1052" i="4" s="1"/>
  <c r="J681" i="4"/>
  <c r="K681" i="4" s="1"/>
  <c r="J961" i="4"/>
  <c r="K961" i="4" s="1"/>
  <c r="J610" i="4"/>
  <c r="K610" i="4" s="1"/>
  <c r="J1051" i="4"/>
  <c r="K1051" i="4" s="1"/>
  <c r="J942" i="4"/>
  <c r="K942" i="4" s="1"/>
  <c r="J657" i="4"/>
  <c r="K657" i="4" s="1"/>
  <c r="J850" i="4"/>
  <c r="K850" i="4" s="1"/>
  <c r="J1035" i="4"/>
  <c r="K1035" i="4" s="1"/>
  <c r="J953" i="4"/>
  <c r="K953" i="4" s="1"/>
  <c r="J1011" i="4"/>
  <c r="K1011" i="4" s="1"/>
  <c r="J1032" i="4"/>
  <c r="K1032" i="4" s="1"/>
  <c r="J901" i="4"/>
  <c r="K901" i="4" s="1"/>
  <c r="J784" i="4"/>
  <c r="K784" i="4" s="1"/>
  <c r="J909" i="4"/>
  <c r="K909" i="4" s="1"/>
  <c r="J764" i="4"/>
  <c r="K764" i="4" s="1"/>
  <c r="J624" i="4"/>
  <c r="K624" i="4" s="1"/>
  <c r="J757" i="4"/>
  <c r="K757" i="4" s="1"/>
  <c r="J945" i="4"/>
  <c r="K945" i="4" s="1"/>
  <c r="J874" i="4"/>
  <c r="K874" i="4" s="1"/>
  <c r="J1044" i="4"/>
  <c r="K1044" i="4" s="1"/>
  <c r="J743" i="4"/>
  <c r="K743" i="4" s="1"/>
  <c r="J842" i="4"/>
  <c r="K842" i="4" s="1"/>
  <c r="J721" i="4"/>
  <c r="K721" i="4" s="1"/>
  <c r="J1013" i="4"/>
  <c r="K1013" i="4" s="1"/>
  <c r="J990" i="4"/>
  <c r="K990" i="4" s="1"/>
  <c r="J954" i="4"/>
  <c r="K954" i="4" s="1"/>
  <c r="J668" i="4"/>
  <c r="K668" i="4" s="1"/>
  <c r="J727" i="4"/>
  <c r="K727" i="4" s="1"/>
  <c r="J658" i="4"/>
  <c r="K658" i="4" s="1"/>
  <c r="J805" i="4"/>
  <c r="K805" i="4" s="1"/>
  <c r="J878" i="4"/>
  <c r="K878" i="4" s="1"/>
  <c r="J1057" i="4"/>
  <c r="K1057" i="4" s="1"/>
  <c r="J667" i="4"/>
  <c r="K667" i="4" s="1"/>
  <c r="J978" i="4"/>
  <c r="K978" i="4" s="1"/>
  <c r="J800" i="4"/>
  <c r="K800" i="4" s="1"/>
  <c r="J889" i="4"/>
  <c r="K889" i="4" s="1"/>
  <c r="J752" i="4"/>
  <c r="K752" i="4" s="1"/>
  <c r="J946" i="4"/>
  <c r="K946" i="4" s="1"/>
  <c r="J679" i="4"/>
  <c r="K679" i="4" s="1"/>
  <c r="J879" i="4"/>
  <c r="K879" i="4" s="1"/>
  <c r="J561" i="4"/>
  <c r="K561" i="4" s="1"/>
  <c r="J1043" i="4"/>
  <c r="K1043" i="4" s="1"/>
  <c r="J1058" i="4"/>
  <c r="K1058" i="4" s="1"/>
  <c r="J789" i="4"/>
  <c r="K789" i="4" s="1"/>
  <c r="J1006" i="4"/>
  <c r="K1006" i="4" s="1"/>
  <c r="J723" i="4"/>
  <c r="K723" i="4" s="1"/>
  <c r="J930" i="4"/>
  <c r="K930" i="4" s="1"/>
  <c r="J635" i="4"/>
  <c r="K635" i="4" s="1"/>
  <c r="J969" i="4"/>
  <c r="K969" i="4" s="1"/>
  <c r="J929" i="4"/>
  <c r="K929" i="4" s="1"/>
  <c r="J856" i="4"/>
  <c r="K856" i="4" s="1"/>
  <c r="J948" i="4"/>
  <c r="K948" i="4" s="1"/>
  <c r="J1010" i="4"/>
  <c r="K1010" i="4" s="1"/>
  <c r="J992" i="4"/>
  <c r="K992" i="4" s="1"/>
  <c r="J725" i="4"/>
  <c r="K725" i="4" s="1"/>
  <c r="J703" i="4"/>
  <c r="K703" i="4" s="1"/>
  <c r="J958" i="4"/>
  <c r="K958" i="4" s="1"/>
  <c r="J798" i="4"/>
  <c r="K798" i="4" s="1"/>
  <c r="J1009" i="4"/>
  <c r="K1009" i="4" s="1"/>
  <c r="J672" i="4"/>
  <c r="K672" i="4" s="1"/>
  <c r="J894" i="4"/>
  <c r="K894" i="4" s="1"/>
  <c r="J999" i="4"/>
  <c r="K999" i="4" s="1"/>
  <c r="J686" i="4"/>
  <c r="K686" i="4" s="1"/>
  <c r="J928" i="4"/>
  <c r="K928" i="4" s="1"/>
  <c r="J1000" i="4"/>
  <c r="K1000" i="4" s="1"/>
  <c r="J867" i="4"/>
  <c r="K867" i="4" s="1"/>
  <c r="J695" i="4"/>
  <c r="K695" i="4" s="1"/>
  <c r="J746" i="4"/>
  <c r="K746" i="4" s="1"/>
  <c r="J1062" i="4"/>
  <c r="K1062" i="4" s="1"/>
  <c r="J839" i="4"/>
  <c r="K839" i="4" s="1"/>
  <c r="J974" i="4"/>
  <c r="K974" i="4" s="1"/>
  <c r="J616" i="4"/>
  <c r="K616" i="4" s="1"/>
  <c r="J761" i="4"/>
  <c r="K761" i="4" s="1"/>
  <c r="J873" i="4"/>
  <c r="K873" i="4" s="1"/>
  <c r="J576" i="4"/>
  <c r="K576" i="4" s="1"/>
  <c r="J1042" i="4"/>
  <c r="K1042" i="4" s="1"/>
  <c r="J993" i="4"/>
  <c r="K993" i="4" s="1"/>
  <c r="J771" i="4"/>
  <c r="K771" i="4" s="1"/>
  <c r="J770" i="4"/>
  <c r="K770" i="4" s="1"/>
  <c r="J807" i="4"/>
  <c r="K807" i="4" s="1"/>
  <c r="J907" i="4"/>
  <c r="K907" i="4" s="1"/>
  <c r="J843" i="4"/>
  <c r="K843" i="4" s="1"/>
  <c r="J600" i="4"/>
  <c r="K600" i="4" s="1"/>
  <c r="J834" i="4"/>
  <c r="K834" i="4" s="1"/>
  <c r="J1045" i="4"/>
  <c r="K1045" i="4" s="1"/>
  <c r="J579" i="4"/>
  <c r="K579" i="4" s="1"/>
  <c r="J910" i="4"/>
  <c r="K910" i="4" s="1"/>
  <c r="J687" i="4"/>
  <c r="K687" i="4" s="1"/>
  <c r="J1007" i="4"/>
  <c r="K1007" i="4" s="1"/>
  <c r="J602" i="4"/>
  <c r="K602" i="4" s="1"/>
  <c r="J994" i="4"/>
  <c r="K994" i="4" s="1"/>
  <c r="J801" i="4"/>
  <c r="K801" i="4" s="1"/>
  <c r="J788" i="4"/>
  <c r="K788" i="4" s="1"/>
  <c r="J1067" i="4"/>
  <c r="K1067" i="4" s="1"/>
  <c r="J863" i="4"/>
  <c r="K863" i="4" s="1"/>
  <c r="J970" i="4"/>
  <c r="K970" i="4" s="1"/>
  <c r="J963" i="4"/>
  <c r="K963" i="4" s="1"/>
  <c r="J1050" i="4"/>
  <c r="K1050" i="4" s="1"/>
  <c r="J730" i="4"/>
  <c r="K730" i="4" s="1"/>
  <c r="J1017" i="4"/>
  <c r="K1017" i="4" s="1"/>
  <c r="J941" i="4"/>
  <c r="K941" i="4" s="1"/>
  <c r="J578" i="4"/>
  <c r="K578" i="4" s="1"/>
  <c r="J868" i="4"/>
  <c r="K868" i="4" s="1"/>
  <c r="J1034" i="4"/>
  <c r="K1034" i="4" s="1"/>
  <c r="J991" i="4"/>
  <c r="K991" i="4" s="1"/>
  <c r="J818" i="4"/>
  <c r="K818" i="4" s="1"/>
  <c r="J796" i="4"/>
  <c r="K796" i="4" s="1"/>
  <c r="J853" i="4"/>
  <c r="K853" i="4" s="1"/>
  <c r="J914" i="4"/>
  <c r="K914" i="4" s="1"/>
  <c r="J855" i="4"/>
  <c r="K855" i="4" s="1"/>
  <c r="J739" i="4"/>
  <c r="K739" i="4" s="1"/>
  <c r="J713" i="4"/>
  <c r="K713" i="4" s="1"/>
  <c r="J934" i="4"/>
  <c r="K934" i="4" s="1"/>
  <c r="J932" i="4"/>
  <c r="K932" i="4" s="1"/>
  <c r="J877" i="4"/>
  <c r="K877" i="4" s="1"/>
  <c r="J656" i="4"/>
  <c r="K656" i="4" s="1"/>
  <c r="J1012" i="4"/>
  <c r="K1012" i="4" s="1"/>
  <c r="J937" i="4"/>
  <c r="K937" i="4" s="1"/>
  <c r="J560" i="4"/>
  <c r="K560" i="4" s="1"/>
  <c r="J1027" i="4"/>
  <c r="K1027" i="4" s="1"/>
  <c r="J817" i="4"/>
  <c r="K817" i="4" s="1"/>
  <c r="J773" i="4"/>
  <c r="K773" i="4" s="1"/>
  <c r="J920" i="4"/>
  <c r="K920" i="4" s="1"/>
  <c r="J682" i="4"/>
  <c r="K682" i="4" s="1"/>
  <c r="J923" i="4"/>
  <c r="K923" i="4" s="1"/>
  <c r="J1040" i="4"/>
  <c r="K1040" i="4" s="1"/>
  <c r="J785" i="4"/>
  <c r="K785" i="4" s="1"/>
  <c r="J698" i="4"/>
  <c r="K698" i="4" s="1"/>
  <c r="J821" i="4"/>
  <c r="K821" i="4" s="1"/>
  <c r="J710" i="4"/>
  <c r="K710" i="4" s="1"/>
  <c r="J943" i="4"/>
  <c r="K943" i="4" s="1"/>
  <c r="J763" i="4"/>
  <c r="K763" i="4" s="1"/>
  <c r="J594" i="4"/>
  <c r="K594" i="4" s="1"/>
  <c r="J926" i="4"/>
  <c r="K926" i="4" s="1"/>
  <c r="J835" i="4"/>
  <c r="K835" i="4" s="1"/>
  <c r="J650" i="4"/>
  <c r="K650" i="4" s="1"/>
  <c r="J908" i="4"/>
  <c r="K908" i="4" s="1"/>
  <c r="J858" i="4"/>
  <c r="K858" i="4" s="1"/>
  <c r="J826" i="4"/>
  <c r="K826" i="4" s="1"/>
  <c r="J902" i="4"/>
  <c r="K902" i="4" s="1"/>
  <c r="J673" i="4"/>
  <c r="K673" i="4" s="1"/>
  <c r="J599" i="4"/>
  <c r="K599" i="4" s="1"/>
  <c r="J885" i="4"/>
  <c r="K885" i="4" s="1"/>
  <c r="J780" i="4"/>
  <c r="K780" i="4" s="1"/>
  <c r="J900" i="4"/>
  <c r="K900" i="4" s="1"/>
  <c r="J806" i="4"/>
  <c r="K806" i="4" s="1"/>
  <c r="J1064" i="4"/>
  <c r="K1064" i="4" s="1"/>
  <c r="J1039" i="4"/>
  <c r="K1039" i="4" s="1"/>
  <c r="J971" i="4"/>
  <c r="K971" i="4" s="1"/>
  <c r="J791" i="4"/>
  <c r="K791" i="4" s="1"/>
  <c r="J883" i="4"/>
  <c r="K883" i="4" s="1"/>
  <c r="J753" i="4"/>
  <c r="K753" i="4" s="1"/>
  <c r="J772" i="4"/>
  <c r="K772" i="4" s="1"/>
  <c r="J982" i="4"/>
  <c r="K982" i="4" s="1"/>
  <c r="J611" i="4"/>
  <c r="K611" i="4" s="1"/>
  <c r="J938" i="4"/>
  <c r="K938" i="4" s="1"/>
  <c r="J840" i="4"/>
  <c r="K840" i="4" s="1"/>
  <c r="J609" i="4"/>
  <c r="K609" i="4" s="1"/>
  <c r="J627" i="4"/>
  <c r="K627" i="4" s="1"/>
  <c r="J737" i="4"/>
  <c r="K737" i="4" s="1"/>
  <c r="J714" i="4"/>
  <c r="K714" i="4" s="1"/>
  <c r="J955" i="4"/>
  <c r="K955" i="4" s="1"/>
  <c r="J838" i="4"/>
  <c r="K838" i="4" s="1"/>
  <c r="J799" i="4"/>
  <c r="K799" i="4" s="1"/>
  <c r="J729" i="4"/>
  <c r="K729" i="4" s="1"/>
  <c r="J778" i="4"/>
  <c r="K778" i="4" s="1"/>
  <c r="J849" i="4"/>
  <c r="K849" i="4" s="1"/>
  <c r="J646" i="4"/>
  <c r="K646" i="4" s="1"/>
  <c r="J671" i="4"/>
  <c r="K671" i="4" s="1"/>
  <c r="J844" i="4"/>
  <c r="K844" i="4" s="1"/>
  <c r="J1066" i="4"/>
  <c r="K1066" i="4" s="1"/>
  <c r="J913" i="4"/>
  <c r="K913" i="4" s="1"/>
  <c r="J641" i="4"/>
  <c r="K641" i="4" s="1"/>
  <c r="J891" i="4"/>
  <c r="K891" i="4" s="1"/>
  <c r="J1025" i="4"/>
  <c r="K1025" i="4" s="1"/>
  <c r="J811" i="4"/>
  <c r="K811" i="4" s="1"/>
  <c r="J651" i="4"/>
  <c r="K651" i="4" s="1"/>
  <c r="J1041" i="4"/>
  <c r="K1041" i="4" s="1"/>
  <c r="J645" i="4"/>
  <c r="K645" i="4" s="1"/>
  <c r="J841" i="4"/>
  <c r="K841" i="4" s="1"/>
  <c r="J691" i="4"/>
  <c r="K691" i="4" s="1"/>
  <c r="J1001" i="4"/>
  <c r="K1001" i="4" s="1"/>
  <c r="J706" i="4"/>
  <c r="K706" i="4" s="1"/>
  <c r="J649" i="4"/>
  <c r="K649" i="4" s="1"/>
  <c r="J776" i="4"/>
  <c r="K776" i="4" s="1"/>
  <c r="J997" i="4"/>
  <c r="K997" i="4" s="1"/>
  <c r="J704" i="4"/>
  <c r="K704" i="4" s="1"/>
  <c r="J648" i="4"/>
  <c r="K648" i="4" s="1"/>
  <c r="J781" i="4"/>
  <c r="K781" i="4" s="1"/>
  <c r="J697" i="4"/>
  <c r="K697" i="4" s="1"/>
  <c r="J767" i="4"/>
  <c r="K767" i="4" s="1"/>
  <c r="J972" i="4"/>
  <c r="K972" i="4" s="1"/>
  <c r="J922" i="4"/>
  <c r="K922" i="4" s="1"/>
  <c r="J642" i="4"/>
  <c r="K642" i="4" s="1"/>
  <c r="J688" i="4"/>
  <c r="K688" i="4" s="1"/>
  <c r="J1033" i="4"/>
  <c r="K1033" i="4" s="1"/>
  <c r="J755" i="4"/>
  <c r="K755" i="4" s="1"/>
  <c r="J952" i="4"/>
  <c r="K952" i="4" s="1"/>
  <c r="J623" i="4"/>
  <c r="K623" i="4" s="1"/>
  <c r="J640" i="4"/>
  <c r="K640" i="4" s="1"/>
  <c r="J871" i="4"/>
  <c r="K871" i="4" s="1"/>
  <c r="J830" i="4"/>
  <c r="K830" i="4" s="1"/>
  <c r="J917" i="4"/>
  <c r="K917" i="4" s="1"/>
  <c r="J996" i="4"/>
  <c r="K996" i="4" s="1"/>
  <c r="J661" i="4"/>
  <c r="K661" i="4" s="1"/>
  <c r="J1005" i="4"/>
  <c r="K1005" i="4" s="1"/>
  <c r="J675" i="4"/>
  <c r="K675" i="4" s="1"/>
  <c r="J888" i="4"/>
  <c r="K888" i="4" s="1"/>
  <c r="J1003" i="4"/>
  <c r="K1003" i="4" s="1"/>
  <c r="J846" i="4"/>
  <c r="K846" i="4" s="1"/>
  <c r="J912" i="4"/>
  <c r="K912" i="4" s="1"/>
  <c r="J944" i="4"/>
  <c r="K944" i="4" s="1"/>
  <c r="J1036" i="4"/>
  <c r="K1036" i="4" s="1"/>
  <c r="J744" i="4"/>
  <c r="K744" i="4" s="1"/>
  <c r="J960" i="4"/>
  <c r="K960" i="4" s="1"/>
  <c r="J738" i="4"/>
  <c r="K738" i="4" s="1"/>
  <c r="J562" i="4"/>
  <c r="K562" i="4" s="1"/>
  <c r="J734" i="4"/>
  <c r="K734" i="4" s="1"/>
  <c r="J654" i="4"/>
  <c r="K654" i="4" s="1"/>
  <c r="J666" i="4"/>
  <c r="K666" i="4" s="1"/>
  <c r="J851" i="4"/>
  <c r="K851" i="4" s="1"/>
  <c r="J976" i="4"/>
  <c r="K976" i="4" s="1"/>
  <c r="J570" i="4"/>
  <c r="K570" i="4" s="1"/>
  <c r="J965" i="4"/>
  <c r="K965" i="4" s="1"/>
  <c r="J638" i="4"/>
  <c r="K638" i="4" s="1"/>
  <c r="J735" i="4"/>
  <c r="K735" i="4" s="1"/>
  <c r="J1031" i="4"/>
  <c r="K1031" i="4" s="1"/>
  <c r="J968" i="4"/>
  <c r="K968" i="4" s="1"/>
  <c r="J1056" i="4"/>
  <c r="K1056" i="4" s="1"/>
  <c r="J662" i="4"/>
  <c r="K662" i="4" s="1"/>
  <c r="J775" i="4"/>
  <c r="K775" i="4" s="1"/>
  <c r="J718" i="4"/>
  <c r="K718" i="4" s="1"/>
  <c r="J751" i="4"/>
  <c r="K751" i="4" s="1"/>
  <c r="J559" i="4"/>
  <c r="K559" i="4" s="1"/>
  <c r="J587" i="4"/>
  <c r="K587" i="4" s="1"/>
  <c r="J705" i="4"/>
  <c r="K705" i="4" s="1"/>
  <c r="J747" i="4"/>
  <c r="K747" i="4" s="1"/>
  <c r="J881" i="4"/>
  <c r="K881" i="4" s="1"/>
  <c r="J664" i="4"/>
  <c r="K664" i="4" s="1"/>
  <c r="J647" i="4"/>
  <c r="K647" i="4" s="1"/>
  <c r="J1021" i="4"/>
  <c r="K1021" i="4" s="1"/>
  <c r="J1016" i="4"/>
  <c r="K1016" i="4" s="1"/>
  <c r="J733" i="4"/>
  <c r="K733" i="4" s="1"/>
  <c r="J625" i="4"/>
  <c r="K625" i="4" s="1"/>
  <c r="J601" i="4"/>
  <c r="K601" i="4" s="1"/>
  <c r="J803" i="4"/>
  <c r="K803" i="4" s="1"/>
  <c r="J951" i="4"/>
  <c r="K951" i="4" s="1"/>
  <c r="J905" i="4"/>
  <c r="K905" i="4" s="1"/>
  <c r="J940" i="4"/>
  <c r="K940" i="4" s="1"/>
  <c r="J808" i="4"/>
  <c r="K808" i="4" s="1"/>
  <c r="J619" i="4"/>
  <c r="K619" i="4" s="1"/>
  <c r="J1053" i="4"/>
  <c r="K1053" i="4" s="1"/>
  <c r="J795" i="4"/>
  <c r="K795" i="4" s="1"/>
  <c r="J731" i="4"/>
  <c r="K731" i="4" s="1"/>
  <c r="J760" i="4"/>
  <c r="K760" i="4" s="1"/>
  <c r="J754" i="4"/>
  <c r="K754" i="4" s="1"/>
  <c r="J719" i="4"/>
  <c r="K719" i="4" s="1"/>
  <c r="J887" i="4"/>
  <c r="K887" i="4" s="1"/>
  <c r="J947" i="4"/>
  <c r="K947" i="4" s="1"/>
  <c r="J979" i="4"/>
  <c r="K979" i="4" s="1"/>
  <c r="J829" i="4"/>
  <c r="K829" i="4" s="1"/>
  <c r="J1002" i="4"/>
  <c r="K1002" i="4" s="1"/>
  <c r="J630" i="4"/>
  <c r="K630" i="4" s="1"/>
  <c r="J1026" i="4"/>
  <c r="K1026" i="4" s="1"/>
  <c r="J831" i="4"/>
  <c r="K831" i="4" s="1"/>
  <c r="J591" i="4"/>
  <c r="K591" i="4" s="1"/>
  <c r="J864" i="4"/>
  <c r="K864" i="4" s="1"/>
  <c r="J665" i="4"/>
  <c r="K665" i="4" s="1"/>
  <c r="J585" i="4"/>
  <c r="K585" i="4" s="1"/>
  <c r="J614" i="4"/>
  <c r="K614" i="4" s="1"/>
  <c r="J643" i="4"/>
  <c r="K643" i="4" s="1"/>
  <c r="J711" i="4"/>
  <c r="K711" i="4" s="1"/>
  <c r="J822" i="4"/>
  <c r="K822" i="4" s="1"/>
  <c r="J750" i="4"/>
  <c r="K750" i="4" s="1"/>
  <c r="J962" i="4"/>
  <c r="K962" i="4" s="1"/>
  <c r="J1024" i="4"/>
  <c r="K1024" i="4" s="1"/>
  <c r="J1023" i="4"/>
  <c r="K1023" i="4" s="1"/>
  <c r="J669" i="4"/>
  <c r="K669" i="4" s="1"/>
  <c r="J569" i="4"/>
  <c r="K569" i="4" s="1"/>
  <c r="J837" i="4"/>
  <c r="K837" i="4" s="1"/>
  <c r="J777" i="4"/>
  <c r="K777" i="4" s="1"/>
  <c r="J715" i="4"/>
  <c r="K715" i="4" s="1"/>
  <c r="J637" i="4"/>
  <c r="K637" i="4" s="1"/>
  <c r="J899" i="4"/>
  <c r="K899" i="4" s="1"/>
  <c r="J774" i="4"/>
  <c r="K774" i="4" s="1"/>
  <c r="J897" i="4"/>
  <c r="K897" i="4" s="1"/>
  <c r="J779" i="4"/>
  <c r="K779" i="4" s="1"/>
  <c r="J676" i="4"/>
  <c r="K676" i="4" s="1"/>
  <c r="J793" i="4"/>
  <c r="K793" i="4" s="1"/>
  <c r="J936" i="4"/>
  <c r="K936" i="4" s="1"/>
  <c r="J694" i="4"/>
  <c r="K694" i="4" s="1"/>
  <c r="J802" i="4"/>
  <c r="K802" i="4" s="1"/>
  <c r="J895" i="4"/>
  <c r="K895" i="4" s="1"/>
  <c r="J998" i="4"/>
  <c r="K998" i="4" s="1"/>
  <c r="J567" i="4"/>
  <c r="K567" i="4" s="1"/>
  <c r="J848" i="4"/>
  <c r="K848" i="4" s="1"/>
  <c r="J886" i="4"/>
  <c r="K886" i="4" s="1"/>
  <c r="J607" i="4"/>
  <c r="K607" i="4" s="1"/>
  <c r="J652" i="4"/>
  <c r="K652" i="4" s="1"/>
  <c r="J860" i="4"/>
  <c r="K860" i="4" s="1"/>
  <c r="J804" i="4"/>
  <c r="K804" i="4" s="1"/>
  <c r="J790" i="4"/>
  <c r="K790" i="4" s="1"/>
  <c r="J1028" i="4"/>
  <c r="K1028" i="4" s="1"/>
  <c r="J1029" i="4"/>
  <c r="K1029" i="4" s="1"/>
  <c r="J748" i="4"/>
  <c r="K748" i="4" s="1"/>
  <c r="J762" i="4"/>
  <c r="K762" i="4" s="1"/>
  <c r="J1014" i="4"/>
  <c r="K1014" i="4" s="1"/>
  <c r="J866" i="4"/>
  <c r="K866" i="4" s="1"/>
  <c r="J854" i="4"/>
  <c r="K854" i="4" s="1"/>
  <c r="J892" i="4"/>
  <c r="K892" i="4" s="1"/>
  <c r="J622" i="4"/>
  <c r="K622" i="4" s="1"/>
  <c r="J949" i="4"/>
  <c r="K949" i="4" s="1"/>
  <c r="J794" i="4"/>
  <c r="K794" i="4" s="1"/>
  <c r="J586" i="4"/>
  <c r="K586" i="4" s="1"/>
  <c r="J690" i="4"/>
  <c r="K690" i="4" s="1"/>
  <c r="J783" i="4"/>
  <c r="K783" i="4" s="1"/>
  <c r="B103" i="3"/>
  <c r="B87" i="3"/>
  <c r="B7" i="4"/>
  <c r="J509" i="4"/>
  <c r="K509" i="4" s="1"/>
  <c r="J459" i="4"/>
  <c r="K459" i="4" s="1"/>
  <c r="J211" i="4"/>
  <c r="K211" i="4" s="1"/>
  <c r="J369" i="4"/>
  <c r="K369" i="4" s="1"/>
  <c r="J499" i="4"/>
  <c r="K499" i="4" s="1"/>
  <c r="J507" i="4"/>
  <c r="K507" i="4" s="1"/>
  <c r="J120" i="4"/>
  <c r="K120" i="4" s="1"/>
  <c r="J523" i="4"/>
  <c r="K523" i="4" s="1"/>
  <c r="J345" i="4"/>
  <c r="K345" i="4" s="1"/>
  <c r="J75" i="4"/>
  <c r="K75" i="4" s="1"/>
  <c r="J254" i="4"/>
  <c r="K254" i="4" s="1"/>
  <c r="J335" i="4"/>
  <c r="K335" i="4" s="1"/>
  <c r="J123" i="4"/>
  <c r="K123" i="4" s="1"/>
  <c r="J331" i="4"/>
  <c r="K331" i="4" s="1"/>
  <c r="J280" i="4"/>
  <c r="K280" i="4" s="1"/>
  <c r="J27" i="4"/>
  <c r="K27" i="4" s="1"/>
  <c r="J375" i="4"/>
  <c r="K375" i="4" s="1"/>
  <c r="J240" i="4"/>
  <c r="K240" i="4" s="1"/>
  <c r="J398" i="4"/>
  <c r="K398" i="4" s="1"/>
  <c r="J470" i="4"/>
  <c r="K470" i="4" s="1"/>
  <c r="J510" i="4"/>
  <c r="K510" i="4" s="1"/>
  <c r="J526" i="4"/>
  <c r="K526" i="4" s="1"/>
  <c r="J386" i="4"/>
  <c r="K386" i="4" s="1"/>
  <c r="J146" i="4"/>
  <c r="K146" i="4" s="1"/>
  <c r="J208" i="4"/>
  <c r="K208" i="4" s="1"/>
  <c r="J524" i="4"/>
  <c r="K524" i="4" s="1"/>
  <c r="J98" i="4"/>
  <c r="K98" i="4" s="1"/>
  <c r="J127" i="4"/>
  <c r="K127" i="4" s="1"/>
  <c r="J193" i="4"/>
  <c r="K193" i="4" s="1"/>
  <c r="J272" i="4"/>
  <c r="K272" i="4" s="1"/>
  <c r="J330" i="4"/>
  <c r="K330" i="4" s="1"/>
  <c r="J512" i="4"/>
  <c r="K512" i="4" s="1"/>
  <c r="J355" i="4"/>
  <c r="K355" i="4" s="1"/>
  <c r="J209" i="4"/>
  <c r="K209" i="4" s="1"/>
  <c r="J59" i="4"/>
  <c r="K59" i="4" s="1"/>
  <c r="J402" i="4"/>
  <c r="K402" i="4" s="1"/>
  <c r="J131" i="4"/>
  <c r="K131" i="4" s="1"/>
  <c r="J471" i="4"/>
  <c r="K471" i="4" s="1"/>
  <c r="J401" i="4"/>
  <c r="K401" i="4" s="1"/>
  <c r="J393" i="4"/>
  <c r="K393" i="4" s="1"/>
  <c r="J435" i="4"/>
  <c r="K435" i="4" s="1"/>
  <c r="J467" i="4"/>
  <c r="K467" i="4" s="1"/>
  <c r="J462" i="4"/>
  <c r="K462" i="4" s="1"/>
  <c r="J113" i="4"/>
  <c r="K113" i="4" s="1"/>
  <c r="J112" i="4"/>
  <c r="K112" i="4" s="1"/>
  <c r="J130" i="4"/>
  <c r="K130" i="4" s="1"/>
  <c r="J464" i="4"/>
  <c r="K464" i="4" s="1"/>
  <c r="J508" i="4"/>
  <c r="K508" i="4" s="1"/>
  <c r="J346" i="4"/>
  <c r="K346" i="4" s="1"/>
  <c r="J195" i="4"/>
  <c r="K195" i="4" s="1"/>
  <c r="J82" i="4"/>
  <c r="K82" i="4" s="1"/>
  <c r="J466" i="4"/>
  <c r="K466" i="4" s="1"/>
  <c r="J147" i="4"/>
  <c r="K147" i="4" s="1"/>
  <c r="J227" i="4"/>
  <c r="K227" i="4" s="1"/>
  <c r="J97" i="4"/>
  <c r="K97" i="4" s="1"/>
  <c r="J247" i="4"/>
  <c r="K247" i="4" s="1"/>
  <c r="J383" i="4"/>
  <c r="K383" i="4" s="1"/>
  <c r="J371" i="4"/>
  <c r="K371" i="4" s="1"/>
  <c r="J344" i="4"/>
  <c r="K344" i="4" s="1"/>
  <c r="J503" i="4"/>
  <c r="K503" i="4" s="1"/>
  <c r="J423" i="4"/>
  <c r="K423" i="4" s="1"/>
  <c r="J481" i="4"/>
  <c r="K481" i="4" s="1"/>
  <c r="J451" i="4"/>
  <c r="K451" i="4" s="1"/>
  <c r="J327" i="4"/>
  <c r="K327" i="4" s="1"/>
  <c r="J263" i="4"/>
  <c r="K263" i="4" s="1"/>
  <c r="J463" i="4"/>
  <c r="K463" i="4" s="1"/>
  <c r="J384" i="4"/>
  <c r="K384" i="4" s="1"/>
  <c r="J187" i="4"/>
  <c r="K187" i="4" s="1"/>
  <c r="J506" i="4"/>
  <c r="K506" i="4" s="1"/>
  <c r="J271" i="4"/>
  <c r="K271" i="4" s="1"/>
  <c r="J73" i="4"/>
  <c r="K73" i="4" s="1"/>
  <c r="J267" i="4"/>
  <c r="K267" i="4" s="1"/>
  <c r="J522" i="4"/>
  <c r="K522" i="4" s="1"/>
  <c r="J525" i="4"/>
  <c r="K525" i="4" s="1"/>
  <c r="J225" i="4"/>
  <c r="K225" i="4" s="1"/>
  <c r="J495" i="4"/>
  <c r="K495" i="4" s="1"/>
  <c r="J307" i="4"/>
  <c r="K307" i="4" s="1"/>
  <c r="J397" i="4"/>
  <c r="K397" i="4" s="1"/>
  <c r="J362" i="4"/>
  <c r="K362" i="4" s="1"/>
  <c r="J273" i="4"/>
  <c r="K273" i="4" s="1"/>
  <c r="J35" i="4"/>
  <c r="K35" i="4" s="1"/>
  <c r="J210" i="4"/>
  <c r="K210" i="4" s="1"/>
  <c r="J242" i="4"/>
  <c r="K242" i="4" s="1"/>
  <c r="J521" i="4"/>
  <c r="K521" i="4" s="1"/>
  <c r="J377" i="4"/>
  <c r="K377" i="4" s="1"/>
  <c r="J520" i="4"/>
  <c r="K520" i="4" s="1"/>
  <c r="J289" i="4"/>
  <c r="K289" i="4" s="1"/>
  <c r="J34" i="4"/>
  <c r="K34" i="4" s="1"/>
  <c r="J439" i="4"/>
  <c r="K439" i="4" s="1"/>
  <c r="J366" i="4"/>
  <c r="K366" i="4" s="1"/>
  <c r="J304" i="4"/>
  <c r="K304" i="4" s="1"/>
  <c r="J57" i="4"/>
  <c r="K57" i="4" s="1"/>
  <c r="J527" i="4"/>
  <c r="K527" i="4" s="1"/>
  <c r="J297" i="4"/>
  <c r="K297" i="4" s="1"/>
  <c r="J67" i="4"/>
  <c r="K67" i="4" s="1"/>
  <c r="J427" i="4"/>
  <c r="K427" i="4" s="1"/>
  <c r="J265" i="4"/>
  <c r="K265" i="4" s="1"/>
  <c r="J478" i="4"/>
  <c r="K478" i="4" s="1"/>
  <c r="J389" i="4"/>
  <c r="K389" i="4" s="1"/>
  <c r="J313" i="4"/>
  <c r="K313" i="4" s="1"/>
  <c r="J186" i="4"/>
  <c r="K186" i="4" s="1"/>
  <c r="J479" i="4"/>
  <c r="K479" i="4" s="1"/>
  <c r="J487" i="4"/>
  <c r="K487" i="4" s="1"/>
  <c r="J443" i="4"/>
  <c r="K443" i="4" s="1"/>
  <c r="J200" i="4"/>
  <c r="K200" i="4" s="1"/>
  <c r="J322" i="4"/>
  <c r="K322" i="4" s="1"/>
  <c r="J81" i="4"/>
  <c r="K81" i="4" s="1"/>
  <c r="J359" i="4"/>
  <c r="K359" i="4" s="1"/>
  <c r="J283" i="4"/>
  <c r="K283" i="4" s="1"/>
  <c r="J400" i="4"/>
  <c r="K400" i="4" s="1"/>
  <c r="J65" i="4"/>
  <c r="K65" i="4" s="1"/>
  <c r="J408" i="4"/>
  <c r="K408" i="4" s="1"/>
  <c r="J155" i="4"/>
  <c r="K155" i="4" s="1"/>
  <c r="J519" i="4"/>
  <c r="K519" i="4" s="1"/>
  <c r="J288" i="4"/>
  <c r="K288" i="4" s="1"/>
  <c r="J350" i="4"/>
  <c r="K350" i="4" s="1"/>
  <c r="J494" i="4"/>
  <c r="K494" i="4" s="1"/>
  <c r="J363" i="4"/>
  <c r="K363" i="4" s="1"/>
  <c r="J328" i="4"/>
  <c r="K328" i="4" s="1"/>
  <c r="J153" i="4"/>
  <c r="K153" i="4" s="1"/>
  <c r="J403" i="4"/>
  <c r="K403" i="4" s="1"/>
  <c r="J415" i="4"/>
  <c r="K415" i="4" s="1"/>
  <c r="J104" i="4"/>
  <c r="K104" i="4" s="1"/>
  <c r="J440" i="4"/>
  <c r="K440" i="4" s="1"/>
  <c r="J483" i="4"/>
  <c r="K483" i="4" s="1"/>
  <c r="J258" i="4"/>
  <c r="K258" i="4" s="1"/>
  <c r="J446" i="4"/>
  <c r="K446" i="4" s="1"/>
  <c r="J376" i="4"/>
  <c r="K376" i="4" s="1"/>
  <c r="J201" i="4"/>
  <c r="K201" i="4" s="1"/>
  <c r="J417" i="4"/>
  <c r="K417" i="4" s="1"/>
  <c r="J469" i="4"/>
  <c r="K469" i="4" s="1"/>
  <c r="J432" i="4"/>
  <c r="K432" i="4" s="1"/>
  <c r="J185" i="4"/>
  <c r="K185" i="4" s="1"/>
  <c r="J353" i="4"/>
  <c r="K353" i="4" s="1"/>
  <c r="J218" i="4"/>
  <c r="K218" i="4" s="1"/>
  <c r="J501" i="4"/>
  <c r="K501" i="4" s="1"/>
  <c r="J312" i="4"/>
  <c r="K312" i="4" s="1"/>
  <c r="J502" i="4"/>
  <c r="K502" i="4" s="1"/>
  <c r="J107" i="4"/>
  <c r="K107" i="4" s="1"/>
  <c r="J275" i="4"/>
  <c r="K275" i="4" s="1"/>
  <c r="J419" i="4"/>
  <c r="K419" i="4" s="1"/>
  <c r="J438" i="4"/>
  <c r="K438" i="4" s="1"/>
  <c r="J43" i="4"/>
  <c r="K43" i="4" s="1"/>
  <c r="J50" i="4"/>
  <c r="K50" i="4" s="1"/>
  <c r="J106" i="4"/>
  <c r="K106" i="4" s="1"/>
  <c r="J514" i="4"/>
  <c r="K514" i="4" s="1"/>
  <c r="J143" i="4"/>
  <c r="K143" i="4" s="1"/>
  <c r="J274" i="4"/>
  <c r="K274" i="4" s="1"/>
  <c r="J241" i="4"/>
  <c r="K241" i="4" s="1"/>
  <c r="J370" i="4"/>
  <c r="K370" i="4" s="1"/>
  <c r="J529" i="4"/>
  <c r="K529" i="4" s="1"/>
  <c r="J266" i="4"/>
  <c r="K266" i="4" s="1"/>
  <c r="J291" i="4"/>
  <c r="K291" i="4" s="1"/>
  <c r="J144" i="4"/>
  <c r="K144" i="4" s="1"/>
  <c r="J338" i="4"/>
  <c r="K338" i="4" s="1"/>
  <c r="J90" i="4"/>
  <c r="K90" i="4" s="1"/>
  <c r="J137" i="4"/>
  <c r="K137" i="4" s="1"/>
  <c r="J105" i="4"/>
  <c r="K105" i="4" s="1"/>
  <c r="J203" i="4"/>
  <c r="K203" i="4" s="1"/>
  <c r="J351" i="4"/>
  <c r="K351" i="4" s="1"/>
  <c r="J256" i="4"/>
  <c r="K256" i="4" s="1"/>
  <c r="J489" i="4"/>
  <c r="K489" i="4" s="1"/>
  <c r="J282" i="4"/>
  <c r="K282" i="4" s="1"/>
  <c r="J145" i="4"/>
  <c r="K145" i="4" s="1"/>
  <c r="J234" i="4"/>
  <c r="K234" i="4" s="1"/>
  <c r="J382" i="4"/>
  <c r="K382" i="4" s="1"/>
  <c r="J96" i="4"/>
  <c r="K96" i="4" s="1"/>
  <c r="J251" i="4"/>
  <c r="K251" i="4" s="1"/>
  <c r="J219" i="4"/>
  <c r="K219" i="4" s="1"/>
  <c r="J162" i="4"/>
  <c r="K162" i="4" s="1"/>
  <c r="J270" i="4"/>
  <c r="K270" i="4" s="1"/>
  <c r="J233" i="4"/>
  <c r="K233" i="4" s="1"/>
  <c r="J387" i="4"/>
  <c r="K387" i="4" s="1"/>
  <c r="J488" i="4"/>
  <c r="K488" i="4" s="1"/>
  <c r="J298" i="4"/>
  <c r="K298" i="4" s="1"/>
  <c r="J390" i="4"/>
  <c r="K390" i="4" s="1"/>
  <c r="J450" i="4"/>
  <c r="K450" i="4" s="1"/>
  <c r="J347" i="4"/>
  <c r="K347" i="4" s="1"/>
  <c r="J485" i="4"/>
  <c r="K485" i="4" s="1"/>
  <c r="J184" i="4"/>
  <c r="K184" i="4" s="1"/>
  <c r="J248" i="4"/>
  <c r="K248" i="4" s="1"/>
  <c r="J358" i="4"/>
  <c r="K358" i="4" s="1"/>
  <c r="J243" i="4"/>
  <c r="K243" i="4" s="1"/>
  <c r="J249" i="4"/>
  <c r="K249" i="4" s="1"/>
  <c r="J224" i="4"/>
  <c r="K224" i="4" s="1"/>
  <c r="J88" i="4"/>
  <c r="K88" i="4" s="1"/>
  <c r="J51" i="4"/>
  <c r="K51" i="4" s="1"/>
  <c r="J323" i="4"/>
  <c r="K323" i="4" s="1"/>
  <c r="J232" i="4"/>
  <c r="K232" i="4" s="1"/>
  <c r="J465" i="4"/>
  <c r="K465" i="4" s="1"/>
  <c r="J115" i="4"/>
  <c r="K115" i="4" s="1"/>
  <c r="J235" i="4"/>
  <c r="K235" i="4" s="1"/>
  <c r="J418" i="4"/>
  <c r="K418" i="4" s="1"/>
  <c r="J454" i="4"/>
  <c r="K454" i="4" s="1"/>
  <c r="J442" i="4"/>
  <c r="K442" i="4" s="1"/>
  <c r="J138" i="4"/>
  <c r="K138" i="4" s="1"/>
  <c r="J528" i="4"/>
  <c r="K528" i="4" s="1"/>
  <c r="J339" i="4"/>
  <c r="K339" i="4" s="1"/>
  <c r="J391" i="4"/>
  <c r="K391" i="4" s="1"/>
  <c r="J223" i="4"/>
  <c r="K223" i="4" s="1"/>
  <c r="J154" i="4"/>
  <c r="K154" i="4" s="1"/>
  <c r="J513" i="4"/>
  <c r="K513" i="4" s="1"/>
  <c r="J441" i="4"/>
  <c r="K441" i="4" s="1"/>
  <c r="J431" i="4"/>
  <c r="K431" i="4" s="1"/>
  <c r="J342" i="4"/>
  <c r="K342" i="4" s="1"/>
  <c r="J410" i="4"/>
  <c r="K410" i="4" s="1"/>
  <c r="J518" i="4"/>
  <c r="K518" i="4" s="1"/>
  <c r="J122" i="4"/>
  <c r="K122" i="4" s="1"/>
  <c r="J475" i="4"/>
  <c r="K475" i="4" s="1"/>
  <c r="J531" i="4"/>
  <c r="K531" i="4" s="1"/>
  <c r="J42" i="4"/>
  <c r="K42" i="4" s="1"/>
  <c r="J385" i="4"/>
  <c r="K385" i="4" s="1"/>
  <c r="J320" i="4"/>
  <c r="K320" i="4" s="1"/>
  <c r="J305" i="4"/>
  <c r="K305" i="4" s="1"/>
  <c r="J486" i="4"/>
  <c r="K486" i="4" s="1"/>
  <c r="J426" i="4"/>
  <c r="K426" i="4" s="1"/>
  <c r="J217" i="4"/>
  <c r="K217" i="4" s="1"/>
  <c r="J26" i="4"/>
  <c r="K26" i="4" s="1"/>
  <c r="J121" i="4"/>
  <c r="K121" i="4" s="1"/>
  <c r="J161" i="4"/>
  <c r="K161" i="4" s="1"/>
  <c r="J290" i="4"/>
  <c r="K290" i="4" s="1"/>
  <c r="J456" i="4"/>
  <c r="K456" i="4" s="1"/>
  <c r="J315" i="4"/>
  <c r="K315" i="4" s="1"/>
  <c r="J473" i="4"/>
  <c r="K473" i="4" s="1"/>
  <c r="J259" i="4"/>
  <c r="K259" i="4" s="1"/>
  <c r="J448" i="4"/>
  <c r="K448" i="4" s="1"/>
  <c r="J378" i="4"/>
  <c r="K378" i="4" s="1"/>
  <c r="J381" i="4"/>
  <c r="K381" i="4" s="1"/>
  <c r="J458" i="4"/>
  <c r="K458" i="4" s="1"/>
  <c r="J74" i="4"/>
  <c r="K74" i="4" s="1"/>
  <c r="J373" i="4"/>
  <c r="K373" i="4" s="1"/>
  <c r="J480" i="4"/>
  <c r="K480" i="4" s="1"/>
  <c r="J360" i="4"/>
  <c r="K360" i="4" s="1"/>
  <c r="J169" i="4"/>
  <c r="K169" i="4" s="1"/>
  <c r="J379" i="4"/>
  <c r="K379" i="4" s="1"/>
  <c r="J368" i="4"/>
  <c r="K368" i="4" s="1"/>
  <c r="J411" i="4"/>
  <c r="K411" i="4" s="1"/>
  <c r="J99" i="4"/>
  <c r="K99" i="4" s="1"/>
  <c r="J416" i="4"/>
  <c r="K416" i="4" s="1"/>
  <c r="J336" i="4"/>
  <c r="K336" i="4" s="1"/>
  <c r="J367" i="4"/>
  <c r="K367" i="4" s="1"/>
  <c r="J490" i="4"/>
  <c r="K490" i="4" s="1"/>
  <c r="J179" i="4"/>
  <c r="K179" i="4" s="1"/>
  <c r="J394" i="4"/>
  <c r="K394" i="4" s="1"/>
  <c r="J129" i="4"/>
  <c r="K129" i="4" s="1"/>
  <c r="J257" i="4"/>
  <c r="K257" i="4" s="1"/>
  <c r="J374" i="4"/>
  <c r="K374" i="4" s="1"/>
  <c r="J392" i="4"/>
  <c r="K392" i="4" s="1"/>
  <c r="J457" i="4"/>
  <c r="K457" i="4" s="1"/>
  <c r="J311" i="4"/>
  <c r="K311" i="4" s="1"/>
  <c r="J299" i="4"/>
  <c r="K299" i="4" s="1"/>
  <c r="J135" i="4"/>
  <c r="K135" i="4" s="1"/>
  <c r="J89" i="4"/>
  <c r="K89" i="4" s="1"/>
  <c r="J239" i="4"/>
  <c r="K239" i="4" s="1"/>
  <c r="J128" i="4"/>
  <c r="K128" i="4" s="1"/>
  <c r="J216" i="4"/>
  <c r="K216" i="4" s="1"/>
  <c r="J337" i="4"/>
  <c r="K337" i="4" s="1"/>
  <c r="J246" i="4"/>
  <c r="K246" i="4" s="1"/>
  <c r="J477" i="4"/>
  <c r="K477" i="4" s="1"/>
  <c r="J119" i="4"/>
  <c r="K119" i="4" s="1"/>
  <c r="J493" i="4"/>
  <c r="K493" i="4" s="1"/>
  <c r="J264" i="4"/>
  <c r="K264" i="4" s="1"/>
  <c r="J170" i="4"/>
  <c r="K170" i="4" s="1"/>
  <c r="J504" i="4"/>
  <c r="K504" i="4" s="1"/>
  <c r="J171" i="4"/>
  <c r="K171" i="4" s="1"/>
  <c r="J306" i="4"/>
  <c r="K306" i="4" s="1"/>
  <c r="J321" i="4"/>
  <c r="K321" i="4" s="1"/>
  <c r="J498" i="4"/>
  <c r="K498" i="4" s="1"/>
  <c r="J530" i="4"/>
  <c r="K530" i="4" s="1"/>
  <c r="J496" i="4"/>
  <c r="K496" i="4" s="1"/>
  <c r="J407" i="4"/>
  <c r="K407" i="4" s="1"/>
  <c r="J296" i="4"/>
  <c r="K296" i="4" s="1"/>
  <c r="J361" i="4"/>
  <c r="K361" i="4" s="1"/>
  <c r="J505" i="4"/>
  <c r="K505" i="4" s="1"/>
  <c r="J319" i="4"/>
  <c r="K319" i="4" s="1"/>
  <c r="J314" i="4"/>
  <c r="K314" i="4" s="1"/>
  <c r="J472" i="4"/>
  <c r="K472" i="4" s="1"/>
  <c r="J231" i="4"/>
  <c r="K231" i="4" s="1"/>
  <c r="J395" i="4"/>
  <c r="K395" i="4" s="1"/>
  <c r="J139" i="4"/>
  <c r="K139" i="4" s="1"/>
  <c r="J194" i="4"/>
  <c r="K194" i="4" s="1"/>
  <c r="J497" i="4"/>
  <c r="K497" i="4" s="1"/>
  <c r="J343" i="4"/>
  <c r="K343" i="4" s="1"/>
  <c r="J500" i="4"/>
  <c r="K500" i="4" s="1"/>
  <c r="J262" i="4"/>
  <c r="K262" i="4" s="1"/>
  <c r="J352" i="4"/>
  <c r="K352" i="4" s="1"/>
  <c r="J516" i="4"/>
  <c r="K516" i="4" s="1"/>
  <c r="J136" i="4"/>
  <c r="K136" i="4" s="1"/>
  <c r="J58" i="4"/>
  <c r="K58" i="4" s="1"/>
  <c r="J515" i="4"/>
  <c r="K515" i="4" s="1"/>
  <c r="J226" i="4"/>
  <c r="K226" i="4" s="1"/>
  <c r="J482" i="4"/>
  <c r="K482" i="4" s="1"/>
  <c r="J202" i="4"/>
  <c r="K202" i="4" s="1"/>
  <c r="J83" i="4"/>
  <c r="K83" i="4" s="1"/>
  <c r="J215" i="4"/>
  <c r="K215" i="4" s="1"/>
  <c r="J511" i="4"/>
  <c r="K511" i="4" s="1"/>
  <c r="J434" i="4"/>
  <c r="K434" i="4" s="1"/>
  <c r="J409" i="4"/>
  <c r="K409" i="4" s="1"/>
  <c r="J329" i="4"/>
  <c r="K329" i="4" s="1"/>
  <c r="J449" i="4"/>
  <c r="K449" i="4" s="1"/>
  <c r="J517" i="4"/>
  <c r="K517" i="4" s="1"/>
  <c r="J433" i="4"/>
  <c r="K433" i="4" s="1"/>
  <c r="J354" i="4"/>
  <c r="K354" i="4" s="1"/>
  <c r="J114" i="4"/>
  <c r="K114" i="4" s="1"/>
  <c r="J66" i="4"/>
  <c r="K66" i="4" s="1"/>
  <c r="J399" i="4"/>
  <c r="K399" i="4" s="1"/>
  <c r="J281" i="4"/>
  <c r="K281" i="4" s="1"/>
  <c r="J91" i="4"/>
  <c r="K91" i="4" s="1"/>
  <c r="J491" i="4"/>
  <c r="K491" i="4" s="1"/>
  <c r="J447" i="4"/>
  <c r="K447" i="4" s="1"/>
  <c r="J177" i="4"/>
  <c r="K177" i="4" s="1"/>
  <c r="J425" i="4"/>
  <c r="K425" i="4" s="1"/>
  <c r="J250" i="4"/>
  <c r="K250" i="4" s="1"/>
  <c r="J455" i="4"/>
  <c r="K455" i="4" s="1"/>
  <c r="J255" i="4"/>
  <c r="K255" i="4" s="1"/>
  <c r="J424" i="4"/>
  <c r="K424" i="4" s="1"/>
  <c r="J163" i="4"/>
  <c r="K163" i="4" s="1"/>
  <c r="J178" i="4"/>
  <c r="K178" i="4" s="1"/>
  <c r="J192" i="4"/>
  <c r="K192" i="4" s="1"/>
  <c r="J474" i="4"/>
  <c r="K474" i="4" s="1"/>
  <c r="J551" i="4"/>
  <c r="E87" i="3"/>
  <c r="E103" i="3"/>
  <c r="B3" i="5"/>
  <c r="F6" i="5" s="1"/>
  <c r="B222" i="3"/>
  <c r="B146" i="3"/>
  <c r="B162" i="3"/>
  <c r="D146" i="3"/>
  <c r="D162" i="3"/>
  <c r="B94" i="5"/>
  <c r="J16" i="4"/>
  <c r="D87" i="3"/>
  <c r="D103" i="3"/>
  <c r="C103" i="3"/>
  <c r="C87" i="3"/>
  <c r="M71" i="5" l="1"/>
  <c r="M31" i="5"/>
  <c r="L31" i="5"/>
  <c r="I71" i="5"/>
  <c r="G46" i="5"/>
  <c r="J31" i="5"/>
  <c r="F71" i="5"/>
  <c r="C94" i="5"/>
  <c r="D94" i="5" s="1"/>
  <c r="E94" i="5"/>
  <c r="F94" i="5" s="1"/>
  <c r="C100" i="3"/>
  <c r="C92" i="3"/>
  <c r="C88" i="3"/>
  <c r="C93" i="3"/>
  <c r="C89" i="3"/>
  <c r="D175" i="3"/>
  <c r="D167" i="3"/>
  <c r="D163" i="3"/>
  <c r="D168" i="3"/>
  <c r="D164" i="3"/>
  <c r="E108" i="3"/>
  <c r="E105" i="3"/>
  <c r="E104" i="3"/>
  <c r="E109" i="3"/>
  <c r="E116" i="3"/>
  <c r="K31" i="5"/>
  <c r="C159" i="3"/>
  <c r="C152" i="3"/>
  <c r="C148" i="3"/>
  <c r="C151" i="3"/>
  <c r="C147" i="3"/>
  <c r="K533" i="4"/>
  <c r="G31" i="5"/>
  <c r="E175" i="3"/>
  <c r="E167" i="3"/>
  <c r="E163" i="3"/>
  <c r="E168" i="3"/>
  <c r="E164" i="3"/>
  <c r="D109" i="3"/>
  <c r="D104" i="3"/>
  <c r="D116" i="3"/>
  <c r="D108" i="3"/>
  <c r="D105" i="3"/>
  <c r="B163" i="3"/>
  <c r="B175" i="3"/>
  <c r="B167" i="3"/>
  <c r="B164" i="3"/>
  <c r="B168" i="3"/>
  <c r="K1069" i="4"/>
  <c r="E152" i="3"/>
  <c r="E148" i="3"/>
  <c r="E159" i="3"/>
  <c r="E151" i="3"/>
  <c r="E147" i="3"/>
  <c r="G71" i="5"/>
  <c r="C109" i="3"/>
  <c r="C105" i="3"/>
  <c r="C116" i="3"/>
  <c r="C108" i="3"/>
  <c r="C104" i="3"/>
  <c r="D152" i="3"/>
  <c r="D148" i="3"/>
  <c r="D151" i="3"/>
  <c r="D159" i="3"/>
  <c r="D147" i="3"/>
  <c r="E88" i="3"/>
  <c r="E100" i="3"/>
  <c r="E93" i="3"/>
  <c r="E92" i="3"/>
  <c r="E89" i="3"/>
  <c r="B159" i="3"/>
  <c r="B148" i="3"/>
  <c r="B147" i="3"/>
  <c r="B152" i="3"/>
  <c r="B151" i="3"/>
  <c r="B100" i="3"/>
  <c r="B92" i="3"/>
  <c r="B88" i="3"/>
  <c r="B89" i="3"/>
  <c r="B93" i="3"/>
  <c r="M53" i="5"/>
  <c r="J52" i="5"/>
  <c r="G51" i="5"/>
  <c r="I49" i="5"/>
  <c r="F48" i="5"/>
  <c r="L53" i="5"/>
  <c r="I52" i="5"/>
  <c r="F51" i="5"/>
  <c r="K50" i="5"/>
  <c r="H49" i="5"/>
  <c r="K53" i="5"/>
  <c r="H52" i="5"/>
  <c r="J50" i="5"/>
  <c r="G49" i="5"/>
  <c r="J53" i="5"/>
  <c r="G52" i="5"/>
  <c r="L51" i="5"/>
  <c r="F53" i="5"/>
  <c r="I48" i="5"/>
  <c r="H48" i="5"/>
  <c r="I53" i="5"/>
  <c r="F47" i="5"/>
  <c r="G53" i="5"/>
  <c r="H53" i="5"/>
  <c r="I50" i="5"/>
  <c r="J49" i="5"/>
  <c r="K51" i="5"/>
  <c r="H50" i="5"/>
  <c r="F49" i="5"/>
  <c r="G48" i="5"/>
  <c r="G50" i="5"/>
  <c r="F45" i="5"/>
  <c r="F50" i="5"/>
  <c r="I51" i="5"/>
  <c r="L52" i="5"/>
  <c r="M52" i="5"/>
  <c r="F52" i="5"/>
  <c r="N53" i="5"/>
  <c r="N55" i="5" s="1"/>
  <c r="K52" i="5"/>
  <c r="H47" i="5"/>
  <c r="H51" i="5"/>
  <c r="J51" i="5"/>
  <c r="G47" i="5"/>
  <c r="K71" i="5"/>
  <c r="H71" i="5"/>
  <c r="D92" i="3"/>
  <c r="D100" i="3"/>
  <c r="D89" i="3"/>
  <c r="D88" i="3"/>
  <c r="D93" i="3"/>
  <c r="M13" i="5"/>
  <c r="H12" i="5"/>
  <c r="K11" i="5"/>
  <c r="F10" i="5"/>
  <c r="I9" i="5"/>
  <c r="G7" i="5"/>
  <c r="L13" i="5"/>
  <c r="G12" i="5"/>
  <c r="J11" i="5"/>
  <c r="H9" i="5"/>
  <c r="F7" i="5"/>
  <c r="H13" i="5"/>
  <c r="I12" i="5"/>
  <c r="H11" i="5"/>
  <c r="K10" i="5"/>
  <c r="K13" i="5"/>
  <c r="K12" i="5"/>
  <c r="G11" i="5"/>
  <c r="I10" i="5"/>
  <c r="J9" i="5"/>
  <c r="I13" i="5"/>
  <c r="F12" i="5"/>
  <c r="G10" i="5"/>
  <c r="F9" i="5"/>
  <c r="I8" i="5"/>
  <c r="G13" i="5"/>
  <c r="H8" i="5"/>
  <c r="F13" i="5"/>
  <c r="I11" i="5"/>
  <c r="F11" i="5"/>
  <c r="L12" i="5"/>
  <c r="G9" i="5"/>
  <c r="F8" i="5"/>
  <c r="J12" i="5"/>
  <c r="H10" i="5"/>
  <c r="L11" i="5"/>
  <c r="G8" i="5"/>
  <c r="N13" i="5"/>
  <c r="N15" i="5" s="1"/>
  <c r="J13" i="5"/>
  <c r="J10" i="5"/>
  <c r="M12" i="5"/>
  <c r="F5" i="5"/>
  <c r="H7" i="5"/>
  <c r="B109" i="3"/>
  <c r="B105" i="3"/>
  <c r="B108" i="3"/>
  <c r="B116" i="3"/>
  <c r="B104" i="3"/>
  <c r="I31" i="5"/>
  <c r="G6" i="5"/>
  <c r="H31" i="5"/>
  <c r="F31" i="5"/>
  <c r="C163" i="3"/>
  <c r="C168" i="3"/>
  <c r="C175" i="3"/>
  <c r="C167" i="3"/>
  <c r="C164" i="3"/>
  <c r="J71" i="5"/>
  <c r="L71" i="5"/>
  <c r="I94" i="5"/>
  <c r="M15" i="5" l="1"/>
  <c r="I15" i="5"/>
  <c r="G55" i="5"/>
  <c r="L55" i="5"/>
  <c r="J15" i="5"/>
  <c r="L15" i="5"/>
  <c r="G15" i="5"/>
  <c r="E150" i="3"/>
  <c r="E149" i="3"/>
  <c r="C154" i="3"/>
  <c r="C153" i="3"/>
  <c r="C94" i="3"/>
  <c r="C95" i="3"/>
  <c r="O31" i="5"/>
  <c r="F32" i="5"/>
  <c r="B214" i="3" s="1"/>
  <c r="I55" i="5"/>
  <c r="B153" i="3"/>
  <c r="B154" i="3"/>
  <c r="D154" i="3"/>
  <c r="D153" i="3"/>
  <c r="C149" i="3"/>
  <c r="C150" i="3"/>
  <c r="E110" i="3"/>
  <c r="E111" i="3"/>
  <c r="C90" i="3"/>
  <c r="C98" i="3" s="1"/>
  <c r="C91" i="3"/>
  <c r="B165" i="3"/>
  <c r="B173" i="3" s="1"/>
  <c r="B166" i="3"/>
  <c r="H15" i="5"/>
  <c r="K55" i="5"/>
  <c r="B150" i="3"/>
  <c r="B149" i="3"/>
  <c r="E95" i="3"/>
  <c r="E94" i="3"/>
  <c r="E154" i="3"/>
  <c r="E153" i="3"/>
  <c r="E169" i="3"/>
  <c r="E170" i="3"/>
  <c r="B111" i="3"/>
  <c r="B110" i="3"/>
  <c r="F15" i="5"/>
  <c r="H55" i="5"/>
  <c r="F55" i="5"/>
  <c r="B90" i="3"/>
  <c r="B98" i="3" s="1"/>
  <c r="B91" i="3"/>
  <c r="C107" i="3"/>
  <c r="C106" i="3"/>
  <c r="C114" i="3" s="1"/>
  <c r="D111" i="3"/>
  <c r="D110" i="3"/>
  <c r="D165" i="3"/>
  <c r="D173" i="3" s="1"/>
  <c r="D166" i="3"/>
  <c r="D169" i="3"/>
  <c r="D170" i="3"/>
  <c r="B95" i="5"/>
  <c r="C111" i="3"/>
  <c r="C110" i="3"/>
  <c r="E91" i="3"/>
  <c r="E90" i="3"/>
  <c r="E98" i="3" s="1"/>
  <c r="D106" i="3"/>
  <c r="D114" i="3" s="1"/>
  <c r="D107" i="3"/>
  <c r="O71" i="5"/>
  <c r="F72" i="5"/>
  <c r="C214" i="3" s="1"/>
  <c r="D95" i="3"/>
  <c r="D94" i="3"/>
  <c r="E165" i="3"/>
  <c r="E173" i="3" s="1"/>
  <c r="E166" i="3"/>
  <c r="B94" i="3"/>
  <c r="B95" i="3"/>
  <c r="K15" i="5"/>
  <c r="D150" i="3"/>
  <c r="D149" i="3"/>
  <c r="E107" i="3"/>
  <c r="E106" i="3"/>
  <c r="E114" i="3" s="1"/>
  <c r="B107" i="3"/>
  <c r="B106" i="3"/>
  <c r="B114" i="3" s="1"/>
  <c r="J55" i="5"/>
  <c r="C169" i="3"/>
  <c r="C170" i="3"/>
  <c r="D91" i="3"/>
  <c r="D90" i="3"/>
  <c r="D98" i="3" s="1"/>
  <c r="J94" i="5"/>
  <c r="K94" i="5" s="1"/>
  <c r="L94" i="5"/>
  <c r="M94" i="5" s="1"/>
  <c r="C166" i="3"/>
  <c r="C165" i="3"/>
  <c r="C173" i="3" s="1"/>
  <c r="M55" i="5"/>
  <c r="B170" i="3"/>
  <c r="B169" i="3"/>
  <c r="C172" i="3" l="1"/>
  <c r="B172" i="3"/>
  <c r="D172" i="3"/>
  <c r="E156" i="3"/>
  <c r="B113" i="3"/>
  <c r="C97" i="3"/>
  <c r="E172" i="3"/>
  <c r="B97" i="3"/>
  <c r="E171" i="3"/>
  <c r="E174" i="3"/>
  <c r="E176" i="3" s="1"/>
  <c r="M552" i="4" s="1"/>
  <c r="B96" i="3"/>
  <c r="B99" i="3"/>
  <c r="B101" i="3" s="1"/>
  <c r="D171" i="3"/>
  <c r="D174" i="3"/>
  <c r="D176" i="3" s="1"/>
  <c r="M17" i="4" s="1"/>
  <c r="E158" i="3"/>
  <c r="E155" i="3"/>
  <c r="D158" i="3"/>
  <c r="D155" i="3"/>
  <c r="C96" i="3"/>
  <c r="C99" i="3"/>
  <c r="C101" i="3" s="1"/>
  <c r="E112" i="3"/>
  <c r="L77" i="5"/>
  <c r="H77" i="5"/>
  <c r="G77" i="5"/>
  <c r="F77" i="5"/>
  <c r="F56" i="5"/>
  <c r="C213" i="3" s="1"/>
  <c r="M77" i="5"/>
  <c r="E77" i="5"/>
  <c r="K77" i="5"/>
  <c r="O55" i="5"/>
  <c r="J77" i="5"/>
  <c r="I77" i="5"/>
  <c r="D156" i="3"/>
  <c r="C158" i="3"/>
  <c r="C155" i="3"/>
  <c r="E96" i="3"/>
  <c r="E99" i="3"/>
  <c r="E101" i="3" s="1"/>
  <c r="L551" i="4" s="1"/>
  <c r="B156" i="3"/>
  <c r="C156" i="3"/>
  <c r="C171" i="3"/>
  <c r="C174" i="3"/>
  <c r="C176" i="3" s="1"/>
  <c r="I95" i="5"/>
  <c r="D96" i="3"/>
  <c r="D99" i="3"/>
  <c r="D101" i="3" s="1"/>
  <c r="L16" i="4" s="1"/>
  <c r="C112" i="3"/>
  <c r="D112" i="3"/>
  <c r="H37" i="5"/>
  <c r="G37" i="5"/>
  <c r="J37" i="5"/>
  <c r="F37" i="5"/>
  <c r="E37" i="5"/>
  <c r="F16" i="5"/>
  <c r="B213" i="3" s="1"/>
  <c r="L37" i="5"/>
  <c r="K37" i="5"/>
  <c r="O15" i="5"/>
  <c r="M37" i="5"/>
  <c r="I37" i="5"/>
  <c r="E97" i="3"/>
  <c r="B158" i="3"/>
  <c r="B155" i="3"/>
  <c r="C95" i="5"/>
  <c r="D95" i="5" s="1"/>
  <c r="E95" i="5"/>
  <c r="F95" i="5" s="1"/>
  <c r="B171" i="3"/>
  <c r="B174" i="3"/>
  <c r="B176" i="3" s="1"/>
  <c r="D97" i="3"/>
  <c r="C113" i="3"/>
  <c r="D113" i="3"/>
  <c r="B112" i="3"/>
  <c r="E113" i="3"/>
  <c r="E115" i="3" s="1"/>
  <c r="E117" i="3" s="1"/>
  <c r="M551" i="4" s="1"/>
  <c r="C157" i="3" l="1"/>
  <c r="C160" i="3" s="1"/>
  <c r="C217" i="3" s="1"/>
  <c r="E157" i="3"/>
  <c r="E160" i="3" s="1"/>
  <c r="L552" i="4" s="1"/>
  <c r="B157" i="3"/>
  <c r="B160" i="3" s="1"/>
  <c r="B217" i="3" s="1"/>
  <c r="D157" i="3"/>
  <c r="D160" i="3" s="1"/>
  <c r="L17" i="4" s="1"/>
  <c r="B115" i="3"/>
  <c r="B117" i="3" s="1"/>
  <c r="B215" i="3" s="1"/>
  <c r="B221" i="3" s="1"/>
  <c r="D115" i="3"/>
  <c r="D117" i="3" s="1"/>
  <c r="M16" i="4" s="1"/>
  <c r="C115" i="3"/>
  <c r="C117" i="3" s="1"/>
  <c r="C215" i="3" s="1"/>
  <c r="C221" i="3" s="1"/>
  <c r="U13" i="5"/>
  <c r="U14" i="5" s="1"/>
  <c r="U15" i="5" s="1"/>
  <c r="U16" i="5" s="1"/>
  <c r="U17" i="5" s="1"/>
  <c r="B96" i="5"/>
  <c r="N77" i="5"/>
  <c r="E78" i="5"/>
  <c r="J95" i="5"/>
  <c r="K95" i="5" s="1"/>
  <c r="L95" i="5"/>
  <c r="M95" i="5" s="1"/>
  <c r="E38" i="5"/>
  <c r="N37" i="5"/>
  <c r="R13" i="5"/>
  <c r="R14" i="5" s="1"/>
  <c r="R15" i="5" s="1"/>
  <c r="Q1010" i="4" l="1"/>
  <c r="P913" i="4"/>
  <c r="Q844" i="4"/>
  <c r="Q973" i="4"/>
  <c r="Q816" i="4"/>
  <c r="Q722" i="4"/>
  <c r="Q626" i="4"/>
  <c r="P557" i="4"/>
  <c r="Q943" i="4"/>
  <c r="P1004" i="4"/>
  <c r="Q656" i="4"/>
  <c r="Q748" i="4"/>
  <c r="Q1005" i="4"/>
  <c r="Q751" i="4"/>
  <c r="P912" i="4"/>
  <c r="Q847" i="4"/>
  <c r="P1036" i="4"/>
  <c r="P784" i="4"/>
  <c r="P945" i="4"/>
  <c r="Q1007" i="4"/>
  <c r="O847" i="4"/>
  <c r="Q877" i="4"/>
  <c r="Q944" i="4"/>
  <c r="O717" i="4"/>
  <c r="P588" i="4"/>
  <c r="P620" i="4"/>
  <c r="O689" i="4"/>
  <c r="O560" i="4"/>
  <c r="O652" i="4"/>
  <c r="Q685" i="4"/>
  <c r="P1041" i="4"/>
  <c r="O781" i="4"/>
  <c r="O817" i="4"/>
  <c r="O941" i="4"/>
  <c r="O1038" i="4"/>
  <c r="O591" i="4"/>
  <c r="O687" i="4"/>
  <c r="O944" i="4"/>
  <c r="P558" i="4"/>
  <c r="P717" i="4"/>
  <c r="Q717" i="4"/>
  <c r="Q913" i="4"/>
  <c r="P624" i="4"/>
  <c r="P1040" i="4"/>
  <c r="Q658" i="4"/>
  <c r="Q786" i="4"/>
  <c r="P719" i="4"/>
  <c r="P656" i="4"/>
  <c r="P816" i="4"/>
  <c r="Q593" i="4"/>
  <c r="P975" i="4"/>
  <c r="Q912" i="4"/>
  <c r="P845" i="4"/>
  <c r="P625" i="4"/>
  <c r="Q1038" i="4"/>
  <c r="Q780" i="4"/>
  <c r="Q815" i="4"/>
  <c r="P752" i="4"/>
  <c r="Q881" i="4"/>
  <c r="O909" i="4"/>
  <c r="Q622" i="4"/>
  <c r="O815" i="4"/>
  <c r="O816" i="4"/>
  <c r="O684" i="4"/>
  <c r="O945" i="4"/>
  <c r="P783" i="4"/>
  <c r="Q620" i="4"/>
  <c r="O977" i="4"/>
  <c r="Q782" i="4"/>
  <c r="O656" i="4"/>
  <c r="O558" i="4"/>
  <c r="O1007" i="4"/>
  <c r="O556" i="4"/>
  <c r="O878" i="4"/>
  <c r="O940" i="4"/>
  <c r="O623" i="4"/>
  <c r="P657" i="4"/>
  <c r="O972" i="4"/>
  <c r="Q850" i="4"/>
  <c r="P652" i="4"/>
  <c r="Q652" i="4"/>
  <c r="P589" i="4"/>
  <c r="P844" i="4"/>
  <c r="Q814" i="4"/>
  <c r="P942" i="4"/>
  <c r="P716" i="4"/>
  <c r="Q654" i="4"/>
  <c r="Q845" i="4"/>
  <c r="P686" i="4"/>
  <c r="Q946" i="4"/>
  <c r="P817" i="4"/>
  <c r="P559" i="4"/>
  <c r="Q974" i="4"/>
  <c r="Q784" i="4"/>
  <c r="P689" i="4"/>
  <c r="Q686" i="4"/>
  <c r="Q621" i="4"/>
  <c r="P780" i="4"/>
  <c r="P814" i="4"/>
  <c r="O879" i="4"/>
  <c r="O593" i="4"/>
  <c r="P785" i="4"/>
  <c r="O844" i="4"/>
  <c r="P944" i="4"/>
  <c r="P592" i="4"/>
  <c r="P753" i="4"/>
  <c r="Q785" i="4"/>
  <c r="O880" i="4"/>
  <c r="O814" i="4"/>
  <c r="O943" i="4"/>
  <c r="O655" i="4"/>
  <c r="O1008" i="4"/>
  <c r="Q591" i="4"/>
  <c r="O910" i="4"/>
  <c r="P977" i="4"/>
  <c r="Q589" i="4"/>
  <c r="P590" i="4"/>
  <c r="P881" i="4"/>
  <c r="P908" i="4"/>
  <c r="P1006" i="4"/>
  <c r="Q557" i="4"/>
  <c r="Q978" i="4"/>
  <c r="Q876" i="4"/>
  <c r="P556" i="4"/>
  <c r="Q848" i="4"/>
  <c r="Q556" i="4"/>
  <c r="Q879" i="4"/>
  <c r="Q721" i="4"/>
  <c r="Q1006" i="4"/>
  <c r="P593" i="4"/>
  <c r="R593" i="4" s="1"/>
  <c r="Q975" i="4"/>
  <c r="R975" i="4" s="1"/>
  <c r="Q689" i="4"/>
  <c r="Q941" i="4"/>
  <c r="Q908" i="4"/>
  <c r="P655" i="4"/>
  <c r="Q688" i="4"/>
  <c r="O1009" i="4"/>
  <c r="Q812" i="4"/>
  <c r="O1040" i="4"/>
  <c r="O976" i="4"/>
  <c r="O974" i="4"/>
  <c r="O750" i="4"/>
  <c r="Q592" i="4"/>
  <c r="O911" i="4"/>
  <c r="P687" i="4"/>
  <c r="O848" i="4"/>
  <c r="O653" i="4"/>
  <c r="O780" i="4"/>
  <c r="O624" i="4"/>
  <c r="O688" i="4"/>
  <c r="O1037" i="4"/>
  <c r="O812" i="4"/>
  <c r="Q914" i="4"/>
  <c r="Q558" i="4"/>
  <c r="P720" i="4"/>
  <c r="Q590" i="4"/>
  <c r="P1005" i="4"/>
  <c r="R1005" i="4" s="1"/>
  <c r="P749" i="4"/>
  <c r="P848" i="4"/>
  <c r="Q882" i="4"/>
  <c r="Q1040" i="4"/>
  <c r="Q690" i="4"/>
  <c r="P943" i="4"/>
  <c r="P974" i="4"/>
  <c r="P1009" i="4"/>
  <c r="Q684" i="4"/>
  <c r="Q716" i="4"/>
  <c r="Q813" i="4"/>
  <c r="P941" i="4"/>
  <c r="Q942" i="4"/>
  <c r="P684" i="4"/>
  <c r="P1007" i="4"/>
  <c r="R1007" i="4" s="1"/>
  <c r="O975" i="4"/>
  <c r="O881" i="4"/>
  <c r="O876" i="4"/>
  <c r="Q972" i="4"/>
  <c r="O621" i="4"/>
  <c r="O784" i="4"/>
  <c r="P812" i="4"/>
  <c r="Q588" i="4"/>
  <c r="O721" i="4"/>
  <c r="O1039" i="4"/>
  <c r="O590" i="4"/>
  <c r="O654" i="4"/>
  <c r="Q940" i="4"/>
  <c r="P622" i="4"/>
  <c r="O846" i="4"/>
  <c r="O657" i="4"/>
  <c r="O782" i="4"/>
  <c r="O622" i="4"/>
  <c r="Q1008" i="4"/>
  <c r="Q720" i="4"/>
  <c r="Q880" i="4"/>
  <c r="Q655" i="4"/>
  <c r="Q1004" i="4"/>
  <c r="Q718" i="4"/>
  <c r="P1038" i="4"/>
  <c r="P561" i="4"/>
  <c r="P560" i="4"/>
  <c r="P751" i="4"/>
  <c r="Q625" i="4"/>
  <c r="P847" i="4"/>
  <c r="P879" i="4"/>
  <c r="P815" i="4"/>
  <c r="P718" i="4"/>
  <c r="Q976" i="4"/>
  <c r="Q752" i="4"/>
  <c r="Q653" i="4"/>
  <c r="P813" i="4"/>
  <c r="P750" i="4"/>
  <c r="P910" i="4"/>
  <c r="Q687" i="4"/>
  <c r="O1005" i="4"/>
  <c r="O718" i="4"/>
  <c r="O561" i="4"/>
  <c r="O625" i="4"/>
  <c r="P972" i="4"/>
  <c r="O559" i="4"/>
  <c r="O719" i="4"/>
  <c r="O748" i="4"/>
  <c r="O749" i="4"/>
  <c r="O720" i="4"/>
  <c r="O751" i="4"/>
  <c r="O752" i="4"/>
  <c r="Q783" i="4"/>
  <c r="O783" i="4"/>
  <c r="O588" i="4"/>
  <c r="O685" i="4"/>
  <c r="P849" i="4"/>
  <c r="Q562" i="4"/>
  <c r="Q977" i="4"/>
  <c r="Q749" i="4"/>
  <c r="P909" i="4"/>
  <c r="Q560" i="4"/>
  <c r="Q909" i="4"/>
  <c r="P911" i="4"/>
  <c r="Q849" i="4"/>
  <c r="P878" i="4"/>
  <c r="Q559" i="4"/>
  <c r="Q818" i="4"/>
  <c r="Q594" i="4"/>
  <c r="Q624" i="4"/>
  <c r="P654" i="4"/>
  <c r="Q750" i="4"/>
  <c r="P653" i="4"/>
  <c r="Q1039" i="4"/>
  <c r="Q1036" i="4"/>
  <c r="Q1042" i="4"/>
  <c r="P623" i="4"/>
  <c r="P591" i="4"/>
  <c r="Q1037" i="4"/>
  <c r="Q753" i="4"/>
  <c r="P1037" i="4"/>
  <c r="O1004" i="4"/>
  <c r="O1006" i="4"/>
  <c r="O813" i="4"/>
  <c r="O942" i="4"/>
  <c r="O686" i="4"/>
  <c r="O908" i="4"/>
  <c r="O849" i="4"/>
  <c r="Q754" i="4"/>
  <c r="Q1041" i="4"/>
  <c r="O557" i="4"/>
  <c r="O877" i="4"/>
  <c r="O1041" i="4"/>
  <c r="O620" i="4"/>
  <c r="P688" i="4"/>
  <c r="O785" i="4"/>
  <c r="Q719" i="4"/>
  <c r="P1008" i="4"/>
  <c r="P973" i="4"/>
  <c r="R973" i="4" s="1"/>
  <c r="P880" i="4"/>
  <c r="P876" i="4"/>
  <c r="Q561" i="4"/>
  <c r="Q781" i="4"/>
  <c r="P846" i="4"/>
  <c r="Q846" i="4"/>
  <c r="Q1009" i="4"/>
  <c r="P721" i="4"/>
  <c r="Q817" i="4"/>
  <c r="P781" i="4"/>
  <c r="Q911" i="4"/>
  <c r="P1039" i="4"/>
  <c r="Q945" i="4"/>
  <c r="P621" i="4"/>
  <c r="Q878" i="4"/>
  <c r="P976" i="4"/>
  <c r="P748" i="4"/>
  <c r="P685" i="4"/>
  <c r="O589" i="4"/>
  <c r="O973" i="4"/>
  <c r="O716" i="4"/>
  <c r="O1036" i="4"/>
  <c r="O912" i="4"/>
  <c r="O913" i="4"/>
  <c r="O845" i="4"/>
  <c r="Q657" i="4"/>
  <c r="Q910" i="4"/>
  <c r="P877" i="4"/>
  <c r="P782" i="4"/>
  <c r="Q623" i="4"/>
  <c r="P940" i="4"/>
  <c r="O592" i="4"/>
  <c r="O753" i="4"/>
  <c r="U18" i="5"/>
  <c r="P861" i="4" s="1"/>
  <c r="P626" i="4"/>
  <c r="Q851" i="4"/>
  <c r="Q979" i="4"/>
  <c r="Q595" i="4"/>
  <c r="P882" i="4"/>
  <c r="P850" i="4"/>
  <c r="P594" i="4"/>
  <c r="P819" i="4"/>
  <c r="P786" i="4"/>
  <c r="P1042" i="4"/>
  <c r="Q1011" i="4"/>
  <c r="Q1043" i="4"/>
  <c r="P1010" i="4"/>
  <c r="P946" i="4"/>
  <c r="P690" i="4"/>
  <c r="Q947" i="4"/>
  <c r="Q915" i="4"/>
  <c r="P818" i="4"/>
  <c r="Q691" i="4"/>
  <c r="P562" i="4"/>
  <c r="P658" i="4"/>
  <c r="Q819" i="4"/>
  <c r="Q659" i="4"/>
  <c r="Q563" i="4"/>
  <c r="Q787" i="4"/>
  <c r="P722" i="4"/>
  <c r="P914" i="4"/>
  <c r="Q723" i="4"/>
  <c r="P978" i="4"/>
  <c r="O882" i="4"/>
  <c r="O914" i="4"/>
  <c r="O632" i="4"/>
  <c r="P754" i="4"/>
  <c r="O978" i="4"/>
  <c r="O690" i="4"/>
  <c r="O594" i="4"/>
  <c r="Q627" i="4"/>
  <c r="O626" i="4"/>
  <c r="O946" i="4"/>
  <c r="Q755" i="4"/>
  <c r="O722" i="4"/>
  <c r="O658" i="4"/>
  <c r="O562" i="4"/>
  <c r="O786" i="4"/>
  <c r="O1010" i="4"/>
  <c r="O818" i="4"/>
  <c r="O1042" i="4"/>
  <c r="O850" i="4"/>
  <c r="Q883" i="4"/>
  <c r="O754" i="4"/>
  <c r="C225" i="3"/>
  <c r="R16" i="5"/>
  <c r="Q148" i="4" s="1"/>
  <c r="B225" i="3"/>
  <c r="R589" i="4"/>
  <c r="C96" i="5"/>
  <c r="D96" i="5" s="1"/>
  <c r="E96" i="5"/>
  <c r="F96" i="5" s="1"/>
  <c r="I96" i="5"/>
  <c r="R844" i="4" l="1"/>
  <c r="R783" i="4"/>
  <c r="R784" i="4"/>
  <c r="S784" i="4" s="1"/>
  <c r="U784" i="4" s="1"/>
  <c r="V784" i="4" s="1"/>
  <c r="R913" i="4"/>
  <c r="R1010" i="4"/>
  <c r="R1036" i="4"/>
  <c r="R946" i="4"/>
  <c r="R914" i="4"/>
  <c r="R815" i="4"/>
  <c r="R1040" i="4"/>
  <c r="S1040" i="4" s="1"/>
  <c r="U1040" i="4" s="1"/>
  <c r="V1040" i="4" s="1"/>
  <c r="R748" i="4"/>
  <c r="S748" i="4" s="1"/>
  <c r="T748" i="4" s="1"/>
  <c r="R620" i="4"/>
  <c r="S620" i="4" s="1"/>
  <c r="U620" i="4" s="1"/>
  <c r="V620" i="4" s="1"/>
  <c r="R978" i="4"/>
  <c r="S978" i="4" s="1"/>
  <c r="R817" i="4"/>
  <c r="S817" i="4" s="1"/>
  <c r="T817" i="4" s="1"/>
  <c r="R753" i="4"/>
  <c r="S753" i="4" s="1"/>
  <c r="T753" i="4" s="1"/>
  <c r="R716" i="4"/>
  <c r="S716" i="4" s="1"/>
  <c r="U716" i="4" s="1"/>
  <c r="V716" i="4" s="1"/>
  <c r="R559" i="4"/>
  <c r="S559" i="4" s="1"/>
  <c r="T559" i="4" s="1"/>
  <c r="R814" i="4"/>
  <c r="S814" i="4" s="1"/>
  <c r="U814" i="4" s="1"/>
  <c r="V814" i="4" s="1"/>
  <c r="R911" i="4"/>
  <c r="S911" i="4" s="1"/>
  <c r="U911" i="4" s="1"/>
  <c r="V911" i="4" s="1"/>
  <c r="R588" i="4"/>
  <c r="S588" i="4" s="1"/>
  <c r="T588" i="4" s="1"/>
  <c r="R943" i="4"/>
  <c r="S943" i="4" s="1"/>
  <c r="U943" i="4" s="1"/>
  <c r="V943" i="4" s="1"/>
  <c r="R621" i="4"/>
  <c r="S621" i="4" s="1"/>
  <c r="U621" i="4" s="1"/>
  <c r="V621" i="4" s="1"/>
  <c r="R591" i="4"/>
  <c r="S591" i="4" s="1"/>
  <c r="T591" i="4" s="1"/>
  <c r="R976" i="4"/>
  <c r="S976" i="4" s="1"/>
  <c r="U976" i="4" s="1"/>
  <c r="V976" i="4" s="1"/>
  <c r="R592" i="4"/>
  <c r="S592" i="4" s="1"/>
  <c r="U592" i="4" s="1"/>
  <c r="V592" i="4" s="1"/>
  <c r="R881" i="4"/>
  <c r="S881" i="4" s="1"/>
  <c r="T881" i="4" s="1"/>
  <c r="R656" i="4"/>
  <c r="S656" i="4" s="1"/>
  <c r="T656" i="4" s="1"/>
  <c r="R945" i="4"/>
  <c r="S945" i="4" s="1"/>
  <c r="U945" i="4" s="1"/>
  <c r="V945" i="4" s="1"/>
  <c r="R624" i="4"/>
  <c r="S624" i="4" s="1"/>
  <c r="U624" i="4" s="1"/>
  <c r="V624" i="4" s="1"/>
  <c r="R876" i="4"/>
  <c r="S876" i="4" s="1"/>
  <c r="R977" i="4"/>
  <c r="S977" i="4" s="1"/>
  <c r="U977" i="4" s="1"/>
  <c r="V977" i="4" s="1"/>
  <c r="R910" i="4"/>
  <c r="S910" i="4" s="1"/>
  <c r="U910" i="4" s="1"/>
  <c r="V910" i="4" s="1"/>
  <c r="R849" i="4"/>
  <c r="S849" i="4" s="1"/>
  <c r="U849" i="4" s="1"/>
  <c r="V849" i="4" s="1"/>
  <c r="R556" i="4"/>
  <c r="S556" i="4" s="1"/>
  <c r="U556" i="4" s="1"/>
  <c r="V556" i="4" s="1"/>
  <c r="R750" i="4"/>
  <c r="S750" i="4" s="1"/>
  <c r="U750" i="4" s="1"/>
  <c r="V750" i="4" s="1"/>
  <c r="R812" i="4"/>
  <c r="S812" i="4" s="1"/>
  <c r="U812" i="4" s="1"/>
  <c r="V812" i="4" s="1"/>
  <c r="R690" i="4"/>
  <c r="S690" i="4" s="1"/>
  <c r="R786" i="4"/>
  <c r="S786" i="4" s="1"/>
  <c r="R941" i="4"/>
  <c r="S941" i="4" s="1"/>
  <c r="U941" i="4" s="1"/>
  <c r="V941" i="4" s="1"/>
  <c r="S593" i="4"/>
  <c r="U593" i="4" s="1"/>
  <c r="V593" i="4" s="1"/>
  <c r="R942" i="4"/>
  <c r="S942" i="4" s="1"/>
  <c r="U942" i="4" s="1"/>
  <c r="V942" i="4" s="1"/>
  <c r="R909" i="4"/>
  <c r="S909" i="4" s="1"/>
  <c r="U909" i="4" s="1"/>
  <c r="V909" i="4" s="1"/>
  <c r="O755" i="4"/>
  <c r="S783" i="4"/>
  <c r="U783" i="4" s="1"/>
  <c r="V783" i="4" s="1"/>
  <c r="R940" i="4"/>
  <c r="S940" i="4" s="1"/>
  <c r="T940" i="4" s="1"/>
  <c r="O1012" i="4"/>
  <c r="O926" i="4"/>
  <c r="R846" i="4"/>
  <c r="S846" i="4" s="1"/>
  <c r="U846" i="4" s="1"/>
  <c r="V846" i="4" s="1"/>
  <c r="O797" i="4"/>
  <c r="S1005" i="4"/>
  <c r="U1005" i="4" s="1"/>
  <c r="V1005" i="4" s="1"/>
  <c r="R590" i="4"/>
  <c r="S590" i="4" s="1"/>
  <c r="U590" i="4" s="1"/>
  <c r="V590" i="4" s="1"/>
  <c r="R974" i="4"/>
  <c r="S974" i="4" s="1"/>
  <c r="T974" i="4" s="1"/>
  <c r="R782" i="4"/>
  <c r="S782" i="4" s="1"/>
  <c r="T782" i="4" s="1"/>
  <c r="R816" i="4"/>
  <c r="S816" i="4" s="1"/>
  <c r="T816" i="4" s="1"/>
  <c r="R848" i="4"/>
  <c r="S848" i="4" s="1"/>
  <c r="U848" i="4" s="1"/>
  <c r="V848" i="4" s="1"/>
  <c r="R754" i="4"/>
  <c r="S754" i="4" s="1"/>
  <c r="R1009" i="4"/>
  <c r="S1009" i="4" s="1"/>
  <c r="T1009" i="4" s="1"/>
  <c r="S975" i="4"/>
  <c r="U975" i="4" s="1"/>
  <c r="V975" i="4" s="1"/>
  <c r="R658" i="4"/>
  <c r="S658" i="4" s="1"/>
  <c r="R622" i="4"/>
  <c r="S622" i="4" s="1"/>
  <c r="R657" i="4"/>
  <c r="S657" i="4" s="1"/>
  <c r="U657" i="4" s="1"/>
  <c r="V657" i="4" s="1"/>
  <c r="O928" i="4"/>
  <c r="R847" i="4"/>
  <c r="S847" i="4" s="1"/>
  <c r="T847" i="4" s="1"/>
  <c r="O737" i="4"/>
  <c r="O802" i="4"/>
  <c r="Q856" i="4"/>
  <c r="R879" i="4"/>
  <c r="S879" i="4" s="1"/>
  <c r="T879" i="4" s="1"/>
  <c r="R1038" i="4"/>
  <c r="S1038" i="4" s="1"/>
  <c r="U1038" i="4" s="1"/>
  <c r="V1038" i="4" s="1"/>
  <c r="R878" i="4"/>
  <c r="S878" i="4" s="1"/>
  <c r="T878" i="4" s="1"/>
  <c r="R785" i="4"/>
  <c r="S785" i="4" s="1"/>
  <c r="U785" i="4" s="1"/>
  <c r="V785" i="4" s="1"/>
  <c r="O572" i="4"/>
  <c r="R749" i="4"/>
  <c r="S749" i="4" s="1"/>
  <c r="U749" i="4" s="1"/>
  <c r="V749" i="4" s="1"/>
  <c r="R751" i="4"/>
  <c r="S751" i="4" s="1"/>
  <c r="S589" i="4"/>
  <c r="T589" i="4" s="1"/>
  <c r="R562" i="4"/>
  <c r="S562" i="4" s="1"/>
  <c r="S815" i="4"/>
  <c r="U815" i="4" s="1"/>
  <c r="V815" i="4" s="1"/>
  <c r="R722" i="4"/>
  <c r="S722" i="4" s="1"/>
  <c r="T722" i="4" s="1"/>
  <c r="R877" i="4"/>
  <c r="S877" i="4" s="1"/>
  <c r="R1039" i="4"/>
  <c r="S1039" i="4" s="1"/>
  <c r="R684" i="4"/>
  <c r="S684" i="4" s="1"/>
  <c r="U684" i="4" s="1"/>
  <c r="V684" i="4" s="1"/>
  <c r="R561" i="4"/>
  <c r="S561" i="4" s="1"/>
  <c r="U561" i="4" s="1"/>
  <c r="V561" i="4" s="1"/>
  <c r="R685" i="4"/>
  <c r="S685" i="4" s="1"/>
  <c r="T685" i="4" s="1"/>
  <c r="R623" i="4"/>
  <c r="S623" i="4" s="1"/>
  <c r="U623" i="4" s="1"/>
  <c r="V623" i="4" s="1"/>
  <c r="O600" i="4"/>
  <c r="O628" i="4"/>
  <c r="O995" i="4"/>
  <c r="P891" i="4"/>
  <c r="S844" i="4"/>
  <c r="U844" i="4" s="1"/>
  <c r="V844" i="4" s="1"/>
  <c r="R880" i="4"/>
  <c r="S880" i="4" s="1"/>
  <c r="T880" i="4" s="1"/>
  <c r="O863" i="4"/>
  <c r="O931" i="4"/>
  <c r="O578" i="4"/>
  <c r="O670" i="4"/>
  <c r="O1015" i="4"/>
  <c r="O825" i="4"/>
  <c r="P627" i="4"/>
  <c r="R627" i="4" s="1"/>
  <c r="O898" i="4"/>
  <c r="O830" i="4"/>
  <c r="O1020" i="4"/>
  <c r="O760" i="4"/>
  <c r="O955" i="4"/>
  <c r="O725" i="4"/>
  <c r="O703" i="4"/>
  <c r="O638" i="4"/>
  <c r="O605" i="4"/>
  <c r="O896" i="4"/>
  <c r="O1018" i="4"/>
  <c r="Q863" i="4"/>
  <c r="P1023" i="4"/>
  <c r="O567" i="4"/>
  <c r="O642" i="4"/>
  <c r="P764" i="4"/>
  <c r="O576" i="4"/>
  <c r="O891" i="4"/>
  <c r="O631" i="4"/>
  <c r="O918" i="4"/>
  <c r="O694" i="4"/>
  <c r="O832" i="4"/>
  <c r="O1025" i="4"/>
  <c r="O930" i="4"/>
  <c r="O925" i="4"/>
  <c r="O894" i="4"/>
  <c r="O761" i="4"/>
  <c r="P925" i="4"/>
  <c r="O756" i="4"/>
  <c r="O1027" i="4"/>
  <c r="O661" i="4"/>
  <c r="P886" i="4"/>
  <c r="P765" i="4"/>
  <c r="O920" i="4"/>
  <c r="P992" i="4"/>
  <c r="O729" i="4"/>
  <c r="Q1014" i="4"/>
  <c r="O637" i="4"/>
  <c r="O985" i="4"/>
  <c r="O696" i="4"/>
  <c r="Q1015" i="4"/>
  <c r="O963" i="4"/>
  <c r="P895" i="4"/>
  <c r="Q572" i="4"/>
  <c r="P576" i="4"/>
  <c r="O960" i="4"/>
  <c r="O766" i="4"/>
  <c r="O865" i="4"/>
  <c r="O992" i="4"/>
  <c r="O895" i="4"/>
  <c r="O886" i="4"/>
  <c r="O929" i="4"/>
  <c r="Q930" i="4"/>
  <c r="O952" i="4"/>
  <c r="O820" i="4"/>
  <c r="O698" i="4"/>
  <c r="Q884" i="4"/>
  <c r="O988" i="4"/>
  <c r="Q661" i="4"/>
  <c r="P568" i="4"/>
  <c r="O979" i="4"/>
  <c r="Q1023" i="4"/>
  <c r="O697" i="4"/>
  <c r="O1046" i="4"/>
  <c r="O1053" i="4"/>
  <c r="O673" i="4"/>
  <c r="P1014" i="4"/>
  <c r="O788" i="4"/>
  <c r="O1045" i="4"/>
  <c r="O731" i="4"/>
  <c r="O833" i="4"/>
  <c r="O1014" i="4"/>
  <c r="O568" i="4"/>
  <c r="O765" i="4"/>
  <c r="O852" i="4"/>
  <c r="O597" i="4"/>
  <c r="O856" i="4"/>
  <c r="O821" i="4"/>
  <c r="P884" i="4"/>
  <c r="O570" i="4"/>
  <c r="Q925" i="4"/>
  <c r="O800" i="4"/>
  <c r="P898" i="4"/>
  <c r="Q797" i="4"/>
  <c r="O981" i="4"/>
  <c r="Q898" i="4"/>
  <c r="O921" i="4"/>
  <c r="O994" i="4"/>
  <c r="O639" i="4"/>
  <c r="O574" i="4"/>
  <c r="O759" i="4"/>
  <c r="O884" i="4"/>
  <c r="O634" i="4"/>
  <c r="Q765" i="4"/>
  <c r="O990" i="4"/>
  <c r="O889" i="4"/>
  <c r="O1058" i="4"/>
  <c r="Q1045" i="4"/>
  <c r="Q1022" i="4"/>
  <c r="O629" i="4"/>
  <c r="O764" i="4"/>
  <c r="O758" i="4"/>
  <c r="O950" i="4"/>
  <c r="Q729" i="4"/>
  <c r="P674" i="4"/>
  <c r="O1051" i="4"/>
  <c r="O795" i="4"/>
  <c r="O883" i="4"/>
  <c r="O667" i="4"/>
  <c r="O1019" i="4"/>
  <c r="O1022" i="4"/>
  <c r="O1023" i="4"/>
  <c r="O735" i="4"/>
  <c r="P1027" i="4"/>
  <c r="O790" i="4"/>
  <c r="O919" i="4"/>
  <c r="O699" i="4"/>
  <c r="O789" i="4"/>
  <c r="O627" i="4"/>
  <c r="O579" i="4"/>
  <c r="O953" i="4"/>
  <c r="O1024" i="4"/>
  <c r="Q852" i="4"/>
  <c r="O768" i="4"/>
  <c r="O733" i="4"/>
  <c r="O993" i="4"/>
  <c r="O1043" i="4"/>
  <c r="P955" i="4"/>
  <c r="Q789" i="4"/>
  <c r="O635" i="4"/>
  <c r="O916" i="4"/>
  <c r="O724" i="4"/>
  <c r="O672" i="4"/>
  <c r="O609" i="4"/>
  <c r="P926" i="4"/>
  <c r="O857" i="4"/>
  <c r="O854" i="4"/>
  <c r="O763" i="4"/>
  <c r="P883" i="4"/>
  <c r="R883" i="4" s="1"/>
  <c r="Q696" i="4"/>
  <c r="Q669" i="4"/>
  <c r="O859" i="4"/>
  <c r="O767" i="4"/>
  <c r="O571" i="4"/>
  <c r="O826" i="4"/>
  <c r="O959" i="4"/>
  <c r="Q704" i="4"/>
  <c r="Q894" i="4"/>
  <c r="O893" i="4"/>
  <c r="O602" i="4"/>
  <c r="Q760" i="4"/>
  <c r="P579" i="4"/>
  <c r="O607" i="4"/>
  <c r="O700" i="4"/>
  <c r="Q1046" i="4"/>
  <c r="P986" i="4"/>
  <c r="O564" i="4"/>
  <c r="O855" i="4"/>
  <c r="Q1027" i="4"/>
  <c r="O801" i="4"/>
  <c r="P572" i="4"/>
  <c r="O858" i="4"/>
  <c r="O947" i="4"/>
  <c r="O1044" i="4"/>
  <c r="P1051" i="4"/>
  <c r="O923" i="4"/>
  <c r="O575" i="4"/>
  <c r="Q1020" i="4"/>
  <c r="O924" i="4"/>
  <c r="O1048" i="4"/>
  <c r="O887" i="4"/>
  <c r="O671" i="4"/>
  <c r="Q600" i="4"/>
  <c r="O803" i="4"/>
  <c r="Q1012" i="4"/>
  <c r="Q834" i="4"/>
  <c r="P956" i="4"/>
  <c r="P1046" i="4"/>
  <c r="Q896" i="4"/>
  <c r="R594" i="4"/>
  <c r="S594" i="4" s="1"/>
  <c r="R972" i="4"/>
  <c r="S972" i="4" s="1"/>
  <c r="T972" i="4" s="1"/>
  <c r="R1006" i="4"/>
  <c r="S1006" i="4" s="1"/>
  <c r="T1006" i="4" s="1"/>
  <c r="R686" i="4"/>
  <c r="S686" i="4" s="1"/>
  <c r="T686" i="4" s="1"/>
  <c r="R652" i="4"/>
  <c r="S652" i="4" s="1"/>
  <c r="U652" i="4" s="1"/>
  <c r="V652" i="4" s="1"/>
  <c r="S1007" i="4"/>
  <c r="U1007" i="4" s="1"/>
  <c r="V1007" i="4" s="1"/>
  <c r="R717" i="4"/>
  <c r="S717" i="4" s="1"/>
  <c r="U717" i="4" s="1"/>
  <c r="V717" i="4" s="1"/>
  <c r="Q891" i="4"/>
  <c r="O739" i="4"/>
  <c r="Q931" i="4"/>
  <c r="O723" i="4"/>
  <c r="Q1054" i="4"/>
  <c r="P857" i="4"/>
  <c r="Q919" i="4"/>
  <c r="O573" i="4"/>
  <c r="O922" i="4"/>
  <c r="O640" i="4"/>
  <c r="O604" i="4"/>
  <c r="O991" i="4"/>
  <c r="O984" i="4"/>
  <c r="P852" i="4"/>
  <c r="P894" i="4"/>
  <c r="O885" i="4"/>
  <c r="O824" i="4"/>
  <c r="O674" i="4"/>
  <c r="O989" i="4"/>
  <c r="O660" i="4"/>
  <c r="Q833" i="4"/>
  <c r="P661" i="4"/>
  <c r="O829" i="4"/>
  <c r="O897" i="4"/>
  <c r="O862" i="4"/>
  <c r="O835" i="4"/>
  <c r="P797" i="4"/>
  <c r="P825" i="4"/>
  <c r="P863" i="4"/>
  <c r="Q1051" i="4"/>
  <c r="O1011" i="4"/>
  <c r="O641" i="4"/>
  <c r="P667" i="4"/>
  <c r="P1012" i="4"/>
  <c r="O822" i="4"/>
  <c r="P600" i="4"/>
  <c r="O823" i="4"/>
  <c r="O601" i="4"/>
  <c r="Q982" i="4"/>
  <c r="P835" i="4"/>
  <c r="Q854" i="4"/>
  <c r="Q822" i="4"/>
  <c r="O915" i="4"/>
  <c r="P1019" i="4"/>
  <c r="O599" i="4"/>
  <c r="O728" i="4"/>
  <c r="O1054" i="4"/>
  <c r="O792" i="4"/>
  <c r="P1045" i="4"/>
  <c r="O834" i="4"/>
  <c r="O796" i="4"/>
  <c r="O917" i="4"/>
  <c r="Q597" i="4"/>
  <c r="Q992" i="4"/>
  <c r="O665" i="4"/>
  <c r="O662" i="4"/>
  <c r="O734" i="4"/>
  <c r="O736" i="4"/>
  <c r="O1052" i="4"/>
  <c r="O1016" i="4"/>
  <c r="O1047" i="4"/>
  <c r="O864" i="4"/>
  <c r="O726" i="4"/>
  <c r="O1055" i="4"/>
  <c r="P1015" i="4"/>
  <c r="O888" i="4"/>
  <c r="P697" i="4"/>
  <c r="P759" i="4"/>
  <c r="P1011" i="4"/>
  <c r="R1011" i="4" s="1"/>
  <c r="P739" i="4"/>
  <c r="Q929" i="4"/>
  <c r="P597" i="4"/>
  <c r="O762" i="4"/>
  <c r="O892" i="4"/>
  <c r="O569" i="4"/>
  <c r="O693" i="4"/>
  <c r="O771" i="4"/>
  <c r="O705" i="4"/>
  <c r="P755" i="4"/>
  <c r="R755" i="4" s="1"/>
  <c r="Q628" i="4"/>
  <c r="P930" i="4"/>
  <c r="O958" i="4"/>
  <c r="Q955" i="4"/>
  <c r="O890" i="4"/>
  <c r="O732" i="4"/>
  <c r="O643" i="4"/>
  <c r="O692" i="4"/>
  <c r="P766" i="4"/>
  <c r="O986" i="4"/>
  <c r="O1026" i="4"/>
  <c r="O770" i="4"/>
  <c r="O954" i="4"/>
  <c r="Q699" i="4"/>
  <c r="O851" i="4"/>
  <c r="O606" i="4"/>
  <c r="Q1024" i="4"/>
  <c r="P833" i="4"/>
  <c r="Q575" i="4"/>
  <c r="P601" i="4"/>
  <c r="P961" i="4"/>
  <c r="Q954" i="4"/>
  <c r="P862" i="4"/>
  <c r="P798" i="4"/>
  <c r="Q764" i="4"/>
  <c r="P768" i="4"/>
  <c r="O798" i="4"/>
  <c r="O695" i="4"/>
  <c r="Q579" i="4"/>
  <c r="O1017" i="4"/>
  <c r="O769" i="4"/>
  <c r="O794" i="4"/>
  <c r="O987" i="4"/>
  <c r="Q886" i="4"/>
  <c r="O791" i="4"/>
  <c r="O819" i="4"/>
  <c r="O1050" i="4"/>
  <c r="P856" i="4"/>
  <c r="Q1019" i="4"/>
  <c r="O1021" i="4"/>
  <c r="O951" i="4"/>
  <c r="O611" i="4"/>
  <c r="O636" i="4"/>
  <c r="O867" i="4"/>
  <c r="P760" i="4"/>
  <c r="O982" i="4"/>
  <c r="O793" i="4"/>
  <c r="O666" i="4"/>
  <c r="O983" i="4"/>
  <c r="O860" i="4"/>
  <c r="P960" i="4"/>
  <c r="O831" i="4"/>
  <c r="O899" i="4"/>
  <c r="Q737" i="4"/>
  <c r="P573" i="4"/>
  <c r="P821" i="4"/>
  <c r="O659" i="4"/>
  <c r="O787" i="4"/>
  <c r="O1057" i="4"/>
  <c r="O663" i="4"/>
  <c r="O853" i="4"/>
  <c r="O957" i="4"/>
  <c r="P1057" i="4"/>
  <c r="Q922" i="4"/>
  <c r="P826" i="4"/>
  <c r="P610" i="4"/>
  <c r="Q1055" i="4"/>
  <c r="P890" i="4"/>
  <c r="P988" i="4"/>
  <c r="P867" i="4"/>
  <c r="Q674" i="4"/>
  <c r="Q732" i="4"/>
  <c r="Q707" i="4"/>
  <c r="O727" i="4"/>
  <c r="Q953" i="4"/>
  <c r="O668" i="4"/>
  <c r="O757" i="4"/>
  <c r="P1022" i="4"/>
  <c r="O633" i="4"/>
  <c r="O956" i="4"/>
  <c r="P1020" i="4"/>
  <c r="O828" i="4"/>
  <c r="O861" i="4"/>
  <c r="P1024" i="4"/>
  <c r="P789" i="4"/>
  <c r="O948" i="4"/>
  <c r="O675" i="4"/>
  <c r="O707" i="4"/>
  <c r="O961" i="4"/>
  <c r="P931" i="4"/>
  <c r="Q825" i="4"/>
  <c r="O603" i="4"/>
  <c r="Q926" i="4"/>
  <c r="O704" i="4"/>
  <c r="O706" i="4"/>
  <c r="O630" i="4"/>
  <c r="Q895" i="4"/>
  <c r="O595" i="4"/>
  <c r="P892" i="4"/>
  <c r="Q959" i="4"/>
  <c r="P991" i="4"/>
  <c r="Q889" i="4"/>
  <c r="P566" i="4"/>
  <c r="Q769" i="4"/>
  <c r="P802" i="4"/>
  <c r="R908" i="4"/>
  <c r="S908" i="4" s="1"/>
  <c r="R689" i="4"/>
  <c r="S689" i="4" s="1"/>
  <c r="U689" i="4" s="1"/>
  <c r="V689" i="4" s="1"/>
  <c r="O691" i="4"/>
  <c r="O1056" i="4"/>
  <c r="O563" i="4"/>
  <c r="Q951" i="4"/>
  <c r="Q759" i="4"/>
  <c r="Q957" i="4"/>
  <c r="P990" i="4"/>
  <c r="P758" i="4"/>
  <c r="P723" i="4"/>
  <c r="R723" i="4" s="1"/>
  <c r="P563" i="4"/>
  <c r="R563" i="4" s="1"/>
  <c r="Q601" i="4"/>
  <c r="P827" i="4"/>
  <c r="P962" i="4"/>
  <c r="P980" i="4"/>
  <c r="Q668" i="4"/>
  <c r="P1049" i="4"/>
  <c r="P916" i="4"/>
  <c r="Q830" i="4"/>
  <c r="P609" i="4"/>
  <c r="Q981" i="4"/>
  <c r="Q862" i="4"/>
  <c r="Q705" i="4"/>
  <c r="Q835" i="4"/>
  <c r="P820" i="4"/>
  <c r="Q990" i="4"/>
  <c r="P569" i="4"/>
  <c r="P577" i="4"/>
  <c r="P859" i="4"/>
  <c r="Q832" i="4"/>
  <c r="P963" i="4"/>
  <c r="Q767" i="4"/>
  <c r="Q695" i="4"/>
  <c r="P947" i="4"/>
  <c r="R947" i="4" s="1"/>
  <c r="Q866" i="4"/>
  <c r="P984" i="4"/>
  <c r="P1058" i="4"/>
  <c r="P701" i="4"/>
  <c r="Q984" i="4"/>
  <c r="Q602" i="4"/>
  <c r="Q672" i="4"/>
  <c r="P567" i="4"/>
  <c r="P982" i="4"/>
  <c r="Q730" i="4"/>
  <c r="P795" i="4"/>
  <c r="P575" i="4"/>
  <c r="P1018" i="4"/>
  <c r="Q642" i="4"/>
  <c r="Q631" i="4"/>
  <c r="Q599" i="4"/>
  <c r="P957" i="4"/>
  <c r="P922" i="4"/>
  <c r="P885" i="4"/>
  <c r="Q803" i="4"/>
  <c r="P571" i="4"/>
  <c r="P831" i="4"/>
  <c r="Q636" i="4"/>
  <c r="R560" i="4"/>
  <c r="S560" i="4" s="1"/>
  <c r="U560" i="4" s="1"/>
  <c r="V560" i="4" s="1"/>
  <c r="R719" i="4"/>
  <c r="S719" i="4" s="1"/>
  <c r="U719" i="4" s="1"/>
  <c r="V719" i="4" s="1"/>
  <c r="R558" i="4"/>
  <c r="S558" i="4" s="1"/>
  <c r="R1041" i="4"/>
  <c r="S1041" i="4" s="1"/>
  <c r="R912" i="4"/>
  <c r="S912" i="4" s="1"/>
  <c r="U912" i="4" s="1"/>
  <c r="V912" i="4" s="1"/>
  <c r="Q763" i="4"/>
  <c r="P762" i="4"/>
  <c r="P574" i="4"/>
  <c r="P1021" i="4"/>
  <c r="P629" i="4"/>
  <c r="P698" i="4"/>
  <c r="Q638" i="4"/>
  <c r="P824" i="4"/>
  <c r="P736" i="4"/>
  <c r="P638" i="4"/>
  <c r="Q794" i="4"/>
  <c r="Q890" i="4"/>
  <c r="P983" i="4"/>
  <c r="Q726" i="4"/>
  <c r="Q887" i="4"/>
  <c r="Q1058" i="4"/>
  <c r="P851" i="4"/>
  <c r="R851" i="4" s="1"/>
  <c r="P1043" i="4"/>
  <c r="R1043" i="4" s="1"/>
  <c r="P578" i="4"/>
  <c r="P1059" i="4"/>
  <c r="Q758" i="4"/>
  <c r="Q607" i="4"/>
  <c r="P822" i="4"/>
  <c r="Q673" i="4"/>
  <c r="Q736" i="4"/>
  <c r="P951" i="4"/>
  <c r="Q604" i="4"/>
  <c r="Q987" i="4"/>
  <c r="P691" i="4"/>
  <c r="R691" i="4" s="1"/>
  <c r="R718" i="4"/>
  <c r="S718" i="4" s="1"/>
  <c r="U718" i="4" s="1"/>
  <c r="V718" i="4" s="1"/>
  <c r="P673" i="4"/>
  <c r="P889" i="4"/>
  <c r="Q961" i="4"/>
  <c r="P920" i="4"/>
  <c r="Q630" i="4"/>
  <c r="Q948" i="4"/>
  <c r="Q824" i="4"/>
  <c r="P928" i="4"/>
  <c r="Q733" i="4"/>
  <c r="P915" i="4"/>
  <c r="R915" i="4" s="1"/>
  <c r="P695" i="4"/>
  <c r="P993" i="4"/>
  <c r="P663" i="4"/>
  <c r="P1054" i="4"/>
  <c r="Q635" i="4"/>
  <c r="Q700" i="4"/>
  <c r="Q609" i="4"/>
  <c r="P793" i="4"/>
  <c r="P607" i="4"/>
  <c r="P800" i="4"/>
  <c r="P734" i="4"/>
  <c r="P787" i="4"/>
  <c r="R787" i="4" s="1"/>
  <c r="Q899" i="4"/>
  <c r="Q1052" i="4"/>
  <c r="Q724" i="4"/>
  <c r="P763" i="4"/>
  <c r="P994" i="4"/>
  <c r="P887" i="4"/>
  <c r="Q662" i="4"/>
  <c r="P696" i="4"/>
  <c r="Q793" i="4"/>
  <c r="Q1059" i="4"/>
  <c r="P636" i="4"/>
  <c r="P1055" i="4"/>
  <c r="P659" i="4"/>
  <c r="R659" i="4" s="1"/>
  <c r="P637" i="4"/>
  <c r="P823" i="4"/>
  <c r="P704" i="4"/>
  <c r="Q641" i="4"/>
  <c r="Q855" i="4"/>
  <c r="Q917" i="4"/>
  <c r="Q859" i="4"/>
  <c r="Q800" i="4"/>
  <c r="Q671" i="4"/>
  <c r="P703" i="4"/>
  <c r="Q1013" i="4"/>
  <c r="Q791" i="4"/>
  <c r="Q918" i="4"/>
  <c r="P599" i="4"/>
  <c r="P799" i="4"/>
  <c r="Q795" i="4"/>
  <c r="Q1021" i="4"/>
  <c r="Q693" i="4"/>
  <c r="P724" i="4"/>
  <c r="P1052" i="4"/>
  <c r="Q1025" i="4"/>
  <c r="P595" i="4"/>
  <c r="R595" i="4" s="1"/>
  <c r="P979" i="4"/>
  <c r="R979" i="4" s="1"/>
  <c r="P828" i="4"/>
  <c r="Q790" i="4"/>
  <c r="Q893" i="4"/>
  <c r="R626" i="4"/>
  <c r="S626" i="4" s="1"/>
  <c r="Q503" i="4"/>
  <c r="Q500" i="4"/>
  <c r="R653" i="4"/>
  <c r="S653" i="4" s="1"/>
  <c r="R944" i="4"/>
  <c r="S944" i="4" s="1"/>
  <c r="T944" i="4" s="1"/>
  <c r="R780" i="4"/>
  <c r="S780" i="4" s="1"/>
  <c r="U780" i="4" s="1"/>
  <c r="V780" i="4" s="1"/>
  <c r="Q54" i="4"/>
  <c r="R850" i="4"/>
  <c r="S850" i="4" s="1"/>
  <c r="R1008" i="4"/>
  <c r="S1008" i="4" s="1"/>
  <c r="O149" i="4"/>
  <c r="P180" i="4"/>
  <c r="O372" i="4"/>
  <c r="O118" i="4"/>
  <c r="R654" i="4"/>
  <c r="S654" i="4" s="1"/>
  <c r="P502" i="4"/>
  <c r="O436" i="4"/>
  <c r="O53" i="4"/>
  <c r="Q20" i="4"/>
  <c r="Q309" i="4"/>
  <c r="Q22" i="4"/>
  <c r="R781" i="4"/>
  <c r="S781" i="4" s="1"/>
  <c r="P406" i="4"/>
  <c r="P309" i="4"/>
  <c r="O405" i="4"/>
  <c r="Q247" i="4"/>
  <c r="Q404" i="4"/>
  <c r="R813" i="4"/>
  <c r="S813" i="4" s="1"/>
  <c r="U813" i="4" s="1"/>
  <c r="V813" i="4" s="1"/>
  <c r="R721" i="4"/>
  <c r="S721" i="4" s="1"/>
  <c r="R557" i="4"/>
  <c r="S557" i="4" s="1"/>
  <c r="T557" i="4" s="1"/>
  <c r="O340" i="4"/>
  <c r="Q372" i="4"/>
  <c r="O437" i="4"/>
  <c r="O116" i="4"/>
  <c r="Q341" i="4"/>
  <c r="P181" i="4"/>
  <c r="P53" i="4"/>
  <c r="O502" i="4"/>
  <c r="Q343" i="4"/>
  <c r="P245" i="4"/>
  <c r="Q246" i="4"/>
  <c r="Q180" i="4"/>
  <c r="O276" i="4"/>
  <c r="P372" i="4"/>
  <c r="O246" i="4"/>
  <c r="Q501" i="4"/>
  <c r="Q150" i="4"/>
  <c r="O277" i="4"/>
  <c r="Q502" i="4"/>
  <c r="Q340" i="4"/>
  <c r="O84" i="4"/>
  <c r="O310" i="4"/>
  <c r="Q86" i="4"/>
  <c r="P501" i="4"/>
  <c r="Q470" i="4"/>
  <c r="P405" i="4"/>
  <c r="P725" i="4"/>
  <c r="P987" i="4"/>
  <c r="O278" i="4"/>
  <c r="O117" i="4"/>
  <c r="Q23" i="4"/>
  <c r="Q183" i="4"/>
  <c r="O180" i="4"/>
  <c r="Q214" i="4"/>
  <c r="O213" i="4"/>
  <c r="Q53" i="4"/>
  <c r="Q438" i="4"/>
  <c r="O214" i="4"/>
  <c r="O150" i="4"/>
  <c r="Q406" i="4"/>
  <c r="Q375" i="4"/>
  <c r="Q407" i="4"/>
  <c r="P276" i="4"/>
  <c r="Q21" i="4"/>
  <c r="P212" i="4"/>
  <c r="Q119" i="4"/>
  <c r="Q277" i="4"/>
  <c r="Q311" i="4"/>
  <c r="P116" i="4"/>
  <c r="P149" i="4"/>
  <c r="P342" i="4"/>
  <c r="S913" i="4"/>
  <c r="U913" i="4" s="1"/>
  <c r="V913" i="4" s="1"/>
  <c r="O468" i="4"/>
  <c r="Q244" i="4"/>
  <c r="P182" i="4"/>
  <c r="Q116" i="4"/>
  <c r="Q212" i="4"/>
  <c r="O309" i="4"/>
  <c r="O406" i="4"/>
  <c r="P54" i="4"/>
  <c r="O374" i="4"/>
  <c r="Q437" i="4"/>
  <c r="Q52" i="4"/>
  <c r="O21" i="4"/>
  <c r="O181" i="4"/>
  <c r="P437" i="4"/>
  <c r="O22" i="4"/>
  <c r="P20" i="4"/>
  <c r="Q468" i="4"/>
  <c r="Q87" i="4"/>
  <c r="Q85" i="4"/>
  <c r="Q84" i="4"/>
  <c r="P118" i="4"/>
  <c r="P404" i="4"/>
  <c r="P438" i="4"/>
  <c r="Q471" i="4"/>
  <c r="Q181" i="4"/>
  <c r="Q117" i="4"/>
  <c r="P150" i="4"/>
  <c r="Q405" i="4"/>
  <c r="P470" i="4"/>
  <c r="Q118" i="4"/>
  <c r="Q436" i="4"/>
  <c r="Q310" i="4"/>
  <c r="Q245" i="4"/>
  <c r="P84" i="4"/>
  <c r="P500" i="4"/>
  <c r="P436" i="4"/>
  <c r="Q279" i="4"/>
  <c r="O244" i="4"/>
  <c r="O245" i="4"/>
  <c r="O373" i="4"/>
  <c r="P52" i="4"/>
  <c r="O86" i="4"/>
  <c r="Q308" i="4"/>
  <c r="P469" i="4"/>
  <c r="P277" i="4"/>
  <c r="O342" i="4"/>
  <c r="Q55" i="4"/>
  <c r="P374" i="4"/>
  <c r="P373" i="4"/>
  <c r="Q439" i="4"/>
  <c r="P468" i="4"/>
  <c r="P310" i="4"/>
  <c r="P21" i="4"/>
  <c r="P278" i="4"/>
  <c r="Q213" i="4"/>
  <c r="O52" i="4"/>
  <c r="O85" i="4"/>
  <c r="P244" i="4"/>
  <c r="O404" i="4"/>
  <c r="P85" i="4"/>
  <c r="P246" i="4"/>
  <c r="Q149" i="4"/>
  <c r="P213" i="4"/>
  <c r="O469" i="4"/>
  <c r="O308" i="4"/>
  <c r="O182" i="4"/>
  <c r="O470" i="4"/>
  <c r="O20" i="4"/>
  <c r="O500" i="4"/>
  <c r="O148" i="4"/>
  <c r="Q215" i="4"/>
  <c r="P117" i="4"/>
  <c r="Q151" i="4"/>
  <c r="Q374" i="4"/>
  <c r="O341" i="4"/>
  <c r="O54" i="4"/>
  <c r="P308" i="4"/>
  <c r="P214" i="4"/>
  <c r="O212" i="4"/>
  <c r="P340" i="4"/>
  <c r="O501" i="4"/>
  <c r="P341" i="4"/>
  <c r="Q469" i="4"/>
  <c r="O438" i="4"/>
  <c r="P86" i="4"/>
  <c r="P148" i="4"/>
  <c r="R148" i="4" s="1"/>
  <c r="S148" i="4" s="1"/>
  <c r="T148" i="4" s="1"/>
  <c r="Q182" i="4"/>
  <c r="Q373" i="4"/>
  <c r="P22" i="4"/>
  <c r="Q342" i="4"/>
  <c r="Q276" i="4"/>
  <c r="Q278" i="4"/>
  <c r="R882" i="4"/>
  <c r="S882" i="4" s="1"/>
  <c r="O566" i="4"/>
  <c r="O608" i="4"/>
  <c r="O927" i="4"/>
  <c r="O799" i="4"/>
  <c r="O949" i="4"/>
  <c r="O702" i="4"/>
  <c r="P737" i="4"/>
  <c r="Q667" i="4"/>
  <c r="P699" i="4"/>
  <c r="P953" i="4"/>
  <c r="Q603" i="4"/>
  <c r="Q853" i="4"/>
  <c r="P788" i="4"/>
  <c r="Q675" i="4"/>
  <c r="P923" i="4"/>
  <c r="P669" i="4"/>
  <c r="P598" i="4"/>
  <c r="Q916" i="4"/>
  <c r="P643" i="4"/>
  <c r="Q826" i="4"/>
  <c r="Q739" i="4"/>
  <c r="Q569" i="4"/>
  <c r="P981" i="4"/>
  <c r="P924" i="4"/>
  <c r="Q697" i="4"/>
  <c r="P853" i="4"/>
  <c r="P919" i="4"/>
  <c r="P1044" i="4"/>
  <c r="P1013" i="4"/>
  <c r="Q640" i="4"/>
  <c r="Q608" i="4"/>
  <c r="Q605" i="4"/>
  <c r="Q632" i="4"/>
  <c r="Q566" i="4"/>
  <c r="P995" i="4"/>
  <c r="Q820" i="4"/>
  <c r="P726" i="4"/>
  <c r="P896" i="4"/>
  <c r="P738" i="4"/>
  <c r="Q768" i="4"/>
  <c r="P757" i="4"/>
  <c r="P604" i="4"/>
  <c r="Q799" i="4"/>
  <c r="P633" i="4"/>
  <c r="Q633" i="4"/>
  <c r="P706" i="4"/>
  <c r="Q738" i="4"/>
  <c r="Q1016" i="4"/>
  <c r="P1026" i="4"/>
  <c r="P639" i="4"/>
  <c r="Q578" i="4"/>
  <c r="P792" i="4"/>
  <c r="Q1018" i="4"/>
  <c r="P608" i="4"/>
  <c r="P605" i="4"/>
  <c r="Q727" i="4"/>
  <c r="P796" i="4"/>
  <c r="P662" i="4"/>
  <c r="Q831" i="4"/>
  <c r="Q701" i="4"/>
  <c r="P866" i="4"/>
  <c r="P790" i="4"/>
  <c r="P606" i="4"/>
  <c r="P731" i="4"/>
  <c r="P664" i="4"/>
  <c r="R655" i="4"/>
  <c r="S655" i="4" s="1"/>
  <c r="U655" i="4" s="1"/>
  <c r="V655" i="4" s="1"/>
  <c r="O866" i="4"/>
  <c r="O664" i="4"/>
  <c r="O1013" i="4"/>
  <c r="O1059" i="4"/>
  <c r="O610" i="4"/>
  <c r="O730" i="4"/>
  <c r="Q960" i="4"/>
  <c r="O827" i="4"/>
  <c r="O565" i="4"/>
  <c r="Q766" i="4"/>
  <c r="O598" i="4"/>
  <c r="P929" i="4"/>
  <c r="P899" i="4"/>
  <c r="Q663" i="4"/>
  <c r="Q857" i="4"/>
  <c r="P918" i="4"/>
  <c r="Q670" i="4"/>
  <c r="Q1049" i="4"/>
  <c r="P730" i="4"/>
  <c r="P921" i="4"/>
  <c r="P1048" i="4"/>
  <c r="Q892" i="4"/>
  <c r="Q598" i="4"/>
  <c r="P756" i="4"/>
  <c r="Q761" i="4"/>
  <c r="Q610" i="4"/>
  <c r="Q949" i="4"/>
  <c r="Q888" i="4"/>
  <c r="P635" i="4"/>
  <c r="P767" i="4"/>
  <c r="P761" i="4"/>
  <c r="P631" i="4"/>
  <c r="Q885" i="4"/>
  <c r="Q796" i="4"/>
  <c r="P660" i="4"/>
  <c r="P985" i="4"/>
  <c r="P671" i="4"/>
  <c r="P769" i="4"/>
  <c r="P642" i="4"/>
  <c r="Q629" i="4"/>
  <c r="Q920" i="4"/>
  <c r="Q986" i="4"/>
  <c r="Q988" i="4"/>
  <c r="P727" i="4"/>
  <c r="Q692" i="4"/>
  <c r="P564" i="4"/>
  <c r="P707" i="4"/>
  <c r="P791" i="4"/>
  <c r="Q735" i="4"/>
  <c r="Q864" i="4"/>
  <c r="P692" i="4"/>
  <c r="Q927" i="4"/>
  <c r="Q858" i="4"/>
  <c r="P893" i="4"/>
  <c r="Q798" i="4"/>
  <c r="Q734" i="4"/>
  <c r="Q694" i="4"/>
  <c r="P603" i="4"/>
  <c r="Q1057" i="4"/>
  <c r="Q980" i="4"/>
  <c r="Q827" i="4"/>
  <c r="Q1047" i="4"/>
  <c r="Q962" i="4"/>
  <c r="Q963" i="4"/>
  <c r="Q596" i="4"/>
  <c r="P829" i="4"/>
  <c r="Q637" i="4"/>
  <c r="P596" i="4"/>
  <c r="Q792" i="4"/>
  <c r="R625" i="4"/>
  <c r="S625" i="4" s="1"/>
  <c r="U625" i="4" s="1"/>
  <c r="V625" i="4" s="1"/>
  <c r="O962" i="4"/>
  <c r="O596" i="4"/>
  <c r="O669" i="4"/>
  <c r="O577" i="4"/>
  <c r="O738" i="4"/>
  <c r="O1049" i="4"/>
  <c r="Q576" i="4"/>
  <c r="Q573" i="4"/>
  <c r="P628" i="4"/>
  <c r="O701" i="4"/>
  <c r="O980" i="4"/>
  <c r="Q821" i="4"/>
  <c r="Q568" i="4"/>
  <c r="Q828" i="4"/>
  <c r="P634" i="4"/>
  <c r="Q989" i="4"/>
  <c r="P602" i="4"/>
  <c r="P729" i="4"/>
  <c r="Q897" i="4"/>
  <c r="P948" i="4"/>
  <c r="P855" i="4"/>
  <c r="P1053" i="4"/>
  <c r="Q1053" i="4"/>
  <c r="Q956" i="4"/>
  <c r="Q923" i="4"/>
  <c r="P700" i="4"/>
  <c r="Q762" i="4"/>
  <c r="P565" i="4"/>
  <c r="Q801" i="4"/>
  <c r="P858" i="4"/>
  <c r="Q703" i="4"/>
  <c r="Q802" i="4"/>
  <c r="Q1050" i="4"/>
  <c r="Q639" i="4"/>
  <c r="P771" i="4"/>
  <c r="Q1048" i="4"/>
  <c r="P794" i="4"/>
  <c r="P959" i="4"/>
  <c r="Q985" i="4"/>
  <c r="Q756" i="4"/>
  <c r="P950" i="4"/>
  <c r="Q1044" i="4"/>
  <c r="P864" i="4"/>
  <c r="Q565" i="4"/>
  <c r="Q952" i="4"/>
  <c r="Q995" i="4"/>
  <c r="P954" i="4"/>
  <c r="P952" i="4"/>
  <c r="P888" i="4"/>
  <c r="Q983" i="4"/>
  <c r="Q1056" i="4"/>
  <c r="Q728" i="4"/>
  <c r="Q731" i="4"/>
  <c r="Q660" i="4"/>
  <c r="Q788" i="4"/>
  <c r="P668" i="4"/>
  <c r="Q564" i="4"/>
  <c r="P1016" i="4"/>
  <c r="P705" i="4"/>
  <c r="Q725" i="4"/>
  <c r="P702" i="4"/>
  <c r="Q606" i="4"/>
  <c r="P666" i="4"/>
  <c r="Q702" i="4"/>
  <c r="Q770" i="4"/>
  <c r="P1025" i="4"/>
  <c r="P1047" i="4"/>
  <c r="P917" i="4"/>
  <c r="S973" i="4"/>
  <c r="T973" i="4" s="1"/>
  <c r="R1037" i="4"/>
  <c r="S1037" i="4" s="1"/>
  <c r="R845" i="4"/>
  <c r="S845" i="4" s="1"/>
  <c r="U845" i="4" s="1"/>
  <c r="V845" i="4" s="1"/>
  <c r="P830" i="4"/>
  <c r="Q921" i="4"/>
  <c r="P670" i="4"/>
  <c r="P897" i="4"/>
  <c r="P1050" i="4"/>
  <c r="P834" i="4"/>
  <c r="Q706" i="4"/>
  <c r="P854" i="4"/>
  <c r="Q991" i="4"/>
  <c r="P672" i="4"/>
  <c r="Q698" i="4"/>
  <c r="P694" i="4"/>
  <c r="R818" i="4"/>
  <c r="S818" i="4" s="1"/>
  <c r="P735" i="4"/>
  <c r="P630" i="4"/>
  <c r="P801" i="4"/>
  <c r="Q950" i="4"/>
  <c r="Q994" i="4"/>
  <c r="P860" i="4"/>
  <c r="P1056" i="4"/>
  <c r="Q571" i="4"/>
  <c r="P989" i="4"/>
  <c r="P632" i="4"/>
  <c r="P732" i="4"/>
  <c r="P832" i="4"/>
  <c r="P733" i="4"/>
  <c r="Q860" i="4"/>
  <c r="Q577" i="4"/>
  <c r="Q958" i="4"/>
  <c r="Q570" i="4"/>
  <c r="P728" i="4"/>
  <c r="Q757" i="4"/>
  <c r="Q867" i="4"/>
  <c r="P693" i="4"/>
  <c r="Q823" i="4"/>
  <c r="Q771" i="4"/>
  <c r="Q643" i="4"/>
  <c r="P665" i="4"/>
  <c r="P865" i="4"/>
  <c r="Q928" i="4"/>
  <c r="P611" i="4"/>
  <c r="Q924" i="4"/>
  <c r="P570" i="4"/>
  <c r="Q665" i="4"/>
  <c r="Q829" i="4"/>
  <c r="S1036" i="4"/>
  <c r="U1036" i="4" s="1"/>
  <c r="V1036" i="4" s="1"/>
  <c r="P1017" i="4"/>
  <c r="P949" i="4"/>
  <c r="R1042" i="4"/>
  <c r="S1042" i="4" s="1"/>
  <c r="U1042" i="4" s="1"/>
  <c r="V1042" i="4" s="1"/>
  <c r="Q634" i="4"/>
  <c r="P927" i="4"/>
  <c r="Q865" i="4"/>
  <c r="Q861" i="4"/>
  <c r="R861" i="4" s="1"/>
  <c r="Q1026" i="4"/>
  <c r="Q664" i="4"/>
  <c r="P640" i="4"/>
  <c r="Q666" i="4"/>
  <c r="Q1017" i="4"/>
  <c r="R688" i="4"/>
  <c r="S688" i="4" s="1"/>
  <c r="R720" i="4"/>
  <c r="S720" i="4" s="1"/>
  <c r="U720" i="4" s="1"/>
  <c r="V720" i="4" s="1"/>
  <c r="Q574" i="4"/>
  <c r="Q567" i="4"/>
  <c r="P675" i="4"/>
  <c r="P770" i="4"/>
  <c r="Q993" i="4"/>
  <c r="P641" i="4"/>
  <c r="P958" i="4"/>
  <c r="P803" i="4"/>
  <c r="Q611" i="4"/>
  <c r="R752" i="4"/>
  <c r="S752" i="4" s="1"/>
  <c r="U752" i="4" s="1"/>
  <c r="V752" i="4" s="1"/>
  <c r="R1004" i="4"/>
  <c r="S1004" i="4" s="1"/>
  <c r="T1004" i="4" s="1"/>
  <c r="R687" i="4"/>
  <c r="S687" i="4" s="1"/>
  <c r="R819" i="4"/>
  <c r="B239" i="3"/>
  <c r="B32" i="1" s="1"/>
  <c r="B31" i="1"/>
  <c r="S914" i="4"/>
  <c r="U19" i="5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U84" i="5" s="1"/>
  <c r="U85" i="5" s="1"/>
  <c r="U86" i="5" s="1"/>
  <c r="U87" i="5" s="1"/>
  <c r="U88" i="5" s="1"/>
  <c r="U89" i="5" s="1"/>
  <c r="U90" i="5" s="1"/>
  <c r="U91" i="5" s="1"/>
  <c r="U92" i="5" s="1"/>
  <c r="U93" i="5" s="1"/>
  <c r="U94" i="5" s="1"/>
  <c r="U95" i="5" s="1"/>
  <c r="U96" i="5" s="1"/>
  <c r="U97" i="5" s="1"/>
  <c r="U98" i="5" s="1"/>
  <c r="U99" i="5" s="1"/>
  <c r="U100" i="5" s="1"/>
  <c r="U101" i="5" s="1"/>
  <c r="U102" i="5" s="1"/>
  <c r="U103" i="5" s="1"/>
  <c r="U104" i="5" s="1"/>
  <c r="U105" i="5" s="1"/>
  <c r="U106" i="5" s="1"/>
  <c r="U107" i="5" s="1"/>
  <c r="U108" i="5" s="1"/>
  <c r="U109" i="5" s="1"/>
  <c r="U110" i="5" s="1"/>
  <c r="U111" i="5" s="1"/>
  <c r="U112" i="5" s="1"/>
  <c r="S946" i="4"/>
  <c r="C239" i="3"/>
  <c r="C32" i="1" s="1"/>
  <c r="C31" i="1"/>
  <c r="R17" i="5"/>
  <c r="P375" i="4" s="1"/>
  <c r="Q312" i="4"/>
  <c r="J96" i="5"/>
  <c r="K96" i="5" s="1"/>
  <c r="L96" i="5"/>
  <c r="M96" i="5" s="1"/>
  <c r="S1010" i="4"/>
  <c r="R760" i="4" l="1"/>
  <c r="U591" i="4"/>
  <c r="V591" i="4" s="1"/>
  <c r="T976" i="4"/>
  <c r="U748" i="4"/>
  <c r="V748" i="4" s="1"/>
  <c r="T977" i="4"/>
  <c r="T556" i="4"/>
  <c r="R789" i="4"/>
  <c r="T1040" i="4"/>
  <c r="U974" i="4"/>
  <c r="V974" i="4" s="1"/>
  <c r="R501" i="4"/>
  <c r="S501" i="4" s="1"/>
  <c r="T501" i="4" s="1"/>
  <c r="U817" i="4"/>
  <c r="V817" i="4" s="1"/>
  <c r="T621" i="4"/>
  <c r="R213" i="4"/>
  <c r="S213" i="4" s="1"/>
  <c r="U213" i="4" s="1"/>
  <c r="V213" i="4" s="1"/>
  <c r="R705" i="4"/>
  <c r="S705" i="4" s="1"/>
  <c r="U705" i="4" s="1"/>
  <c r="V705" i="4" s="1"/>
  <c r="T945" i="4"/>
  <c r="T941" i="4"/>
  <c r="U588" i="4"/>
  <c r="V588" i="4" s="1"/>
  <c r="U940" i="4"/>
  <c r="V940" i="4" s="1"/>
  <c r="S851" i="4"/>
  <c r="T851" i="4" s="1"/>
  <c r="T849" i="4"/>
  <c r="R736" i="4"/>
  <c r="S736" i="4" s="1"/>
  <c r="U736" i="4" s="1"/>
  <c r="V736" i="4" s="1"/>
  <c r="R759" i="4"/>
  <c r="S759" i="4" s="1"/>
  <c r="T759" i="4" s="1"/>
  <c r="T910" i="4"/>
  <c r="R704" i="4"/>
  <c r="S704" i="4" s="1"/>
  <c r="T704" i="4" s="1"/>
  <c r="U881" i="4"/>
  <c r="V881" i="4" s="1"/>
  <c r="T620" i="4"/>
  <c r="R987" i="4"/>
  <c r="S987" i="4" s="1"/>
  <c r="U987" i="4" s="1"/>
  <c r="V987" i="4" s="1"/>
  <c r="U753" i="4"/>
  <c r="V753" i="4" s="1"/>
  <c r="R670" i="4"/>
  <c r="S670" i="4" s="1"/>
  <c r="U670" i="4" s="1"/>
  <c r="V670" i="4" s="1"/>
  <c r="T750" i="4"/>
  <c r="T909" i="4"/>
  <c r="T593" i="4"/>
  <c r="U944" i="4"/>
  <c r="V944" i="4" s="1"/>
  <c r="T912" i="4"/>
  <c r="T1038" i="4"/>
  <c r="S861" i="4"/>
  <c r="U861" i="4" s="1"/>
  <c r="V861" i="4" s="1"/>
  <c r="R739" i="4"/>
  <c r="S739" i="4" s="1"/>
  <c r="U739" i="4" s="1"/>
  <c r="V739" i="4" s="1"/>
  <c r="S755" i="4"/>
  <c r="U755" i="4" s="1"/>
  <c r="V755" i="4" s="1"/>
  <c r="R831" i="4"/>
  <c r="S831" i="4" s="1"/>
  <c r="U831" i="4" s="1"/>
  <c r="V831" i="4" s="1"/>
  <c r="T652" i="4"/>
  <c r="U656" i="4"/>
  <c r="V656" i="4" s="1"/>
  <c r="T689" i="4"/>
  <c r="R994" i="4"/>
  <c r="S994" i="4" s="1"/>
  <c r="T994" i="4" s="1"/>
  <c r="R729" i="4"/>
  <c r="S729" i="4" s="1"/>
  <c r="U729" i="4" s="1"/>
  <c r="V729" i="4" s="1"/>
  <c r="R963" i="4"/>
  <c r="S963" i="4" s="1"/>
  <c r="R953" i="4"/>
  <c r="S953" i="4" s="1"/>
  <c r="U953" i="4" s="1"/>
  <c r="V953" i="4" s="1"/>
  <c r="R867" i="4"/>
  <c r="S867" i="4" s="1"/>
  <c r="U867" i="4" s="1"/>
  <c r="V867" i="4" s="1"/>
  <c r="R602" i="4"/>
  <c r="S602" i="4" s="1"/>
  <c r="T602" i="4" s="1"/>
  <c r="R642" i="4"/>
  <c r="S642" i="4" s="1"/>
  <c r="T642" i="4" s="1"/>
  <c r="R857" i="4"/>
  <c r="S857" i="4" s="1"/>
  <c r="U857" i="4" s="1"/>
  <c r="V857" i="4" s="1"/>
  <c r="R668" i="4"/>
  <c r="S668" i="4" s="1"/>
  <c r="U668" i="4" s="1"/>
  <c r="V668" i="4" s="1"/>
  <c r="R767" i="4"/>
  <c r="S767" i="4" s="1"/>
  <c r="U767" i="4" s="1"/>
  <c r="V767" i="4" s="1"/>
  <c r="R892" i="4"/>
  <c r="S892" i="4" s="1"/>
  <c r="T892" i="4" s="1"/>
  <c r="T814" i="4"/>
  <c r="T784" i="4"/>
  <c r="R954" i="4"/>
  <c r="S954" i="4" s="1"/>
  <c r="R737" i="4"/>
  <c r="S737" i="4" s="1"/>
  <c r="U737" i="4" s="1"/>
  <c r="V737" i="4" s="1"/>
  <c r="R834" i="4"/>
  <c r="S834" i="4" s="1"/>
  <c r="T834" i="4" s="1"/>
  <c r="R959" i="4"/>
  <c r="S959" i="4" s="1"/>
  <c r="T959" i="4" s="1"/>
  <c r="R828" i="4"/>
  <c r="S828" i="4" s="1"/>
  <c r="U828" i="4" s="1"/>
  <c r="V828" i="4" s="1"/>
  <c r="U1009" i="4"/>
  <c r="V1009" i="4" s="1"/>
  <c r="T1005" i="4"/>
  <c r="T783" i="4"/>
  <c r="T942" i="4"/>
  <c r="T592" i="4"/>
  <c r="U847" i="4"/>
  <c r="V847" i="4" s="1"/>
  <c r="R856" i="4"/>
  <c r="S856" i="4" s="1"/>
  <c r="R986" i="4"/>
  <c r="S986" i="4" s="1"/>
  <c r="U986" i="4" s="1"/>
  <c r="V986" i="4" s="1"/>
  <c r="T846" i="4"/>
  <c r="T684" i="4"/>
  <c r="S789" i="4"/>
  <c r="U789" i="4" s="1"/>
  <c r="V789" i="4" s="1"/>
  <c r="R1019" i="4"/>
  <c r="S1019" i="4" s="1"/>
  <c r="U1019" i="4" s="1"/>
  <c r="V1019" i="4" s="1"/>
  <c r="R20" i="4"/>
  <c r="S20" i="4" s="1"/>
  <c r="U20" i="4" s="1"/>
  <c r="V20" i="4" s="1"/>
  <c r="R180" i="4"/>
  <c r="S180" i="4" s="1"/>
  <c r="T180" i="4" s="1"/>
  <c r="R733" i="4"/>
  <c r="S733" i="4" s="1"/>
  <c r="T733" i="4" s="1"/>
  <c r="R797" i="4"/>
  <c r="S797" i="4" s="1"/>
  <c r="U797" i="4" s="1"/>
  <c r="V797" i="4" s="1"/>
  <c r="R610" i="4"/>
  <c r="S610" i="4" s="1"/>
  <c r="U610" i="4" s="1"/>
  <c r="V610" i="4" s="1"/>
  <c r="O151" i="4"/>
  <c r="O311" i="4"/>
  <c r="R763" i="4"/>
  <c r="S763" i="4" s="1"/>
  <c r="R579" i="4"/>
  <c r="S579" i="4" s="1"/>
  <c r="U579" i="4" s="1"/>
  <c r="V579" i="4" s="1"/>
  <c r="S627" i="4"/>
  <c r="T627" i="4" s="1"/>
  <c r="P119" i="4"/>
  <c r="R119" i="4" s="1"/>
  <c r="R1020" i="4"/>
  <c r="S1020" i="4" s="1"/>
  <c r="T1020" i="4" s="1"/>
  <c r="R955" i="4"/>
  <c r="S955" i="4" s="1"/>
  <c r="U955" i="4" s="1"/>
  <c r="V955" i="4" s="1"/>
  <c r="R886" i="4"/>
  <c r="S886" i="4" s="1"/>
  <c r="R764" i="4"/>
  <c r="S764" i="4" s="1"/>
  <c r="U764" i="4" s="1"/>
  <c r="V764" i="4" s="1"/>
  <c r="O343" i="4"/>
  <c r="P87" i="4"/>
  <c r="R87" i="4" s="1"/>
  <c r="Q280" i="4"/>
  <c r="O87" i="4"/>
  <c r="Q408" i="4"/>
  <c r="P151" i="4"/>
  <c r="R151" i="4" s="1"/>
  <c r="Q152" i="4"/>
  <c r="P247" i="4"/>
  <c r="R247" i="4" s="1"/>
  <c r="U878" i="4"/>
  <c r="V878" i="4" s="1"/>
  <c r="O503" i="4"/>
  <c r="P343" i="4"/>
  <c r="R343" i="4" s="1"/>
  <c r="Q440" i="4"/>
  <c r="O375" i="4"/>
  <c r="Q88" i="4"/>
  <c r="U880" i="4"/>
  <c r="V880" i="4" s="1"/>
  <c r="O407" i="4"/>
  <c r="P503" i="4"/>
  <c r="R503" i="4" s="1"/>
  <c r="O471" i="4"/>
  <c r="P279" i="4"/>
  <c r="R279" i="4" s="1"/>
  <c r="Q216" i="4"/>
  <c r="Q344" i="4"/>
  <c r="T975" i="4"/>
  <c r="O439" i="4"/>
  <c r="O215" i="4"/>
  <c r="Q56" i="4"/>
  <c r="P439" i="4"/>
  <c r="R439" i="4" s="1"/>
  <c r="P183" i="4"/>
  <c r="R183" i="4" s="1"/>
  <c r="P471" i="4"/>
  <c r="R471" i="4" s="1"/>
  <c r="T590" i="4"/>
  <c r="O23" i="4"/>
  <c r="O183" i="4"/>
  <c r="Q120" i="4"/>
  <c r="P23" i="4"/>
  <c r="R23" i="4" s="1"/>
  <c r="O247" i="4"/>
  <c r="Q184" i="4"/>
  <c r="O279" i="4"/>
  <c r="Q24" i="4"/>
  <c r="Q376" i="4"/>
  <c r="Q504" i="4"/>
  <c r="R1057" i="4"/>
  <c r="S1057" i="4" s="1"/>
  <c r="Q472" i="4"/>
  <c r="P311" i="4"/>
  <c r="R311" i="4" s="1"/>
  <c r="O119" i="4"/>
  <c r="P407" i="4"/>
  <c r="R407" i="4" s="1"/>
  <c r="O55" i="4"/>
  <c r="Q248" i="4"/>
  <c r="P55" i="4"/>
  <c r="R55" i="4" s="1"/>
  <c r="P215" i="4"/>
  <c r="R215" i="4" s="1"/>
  <c r="S1043" i="4"/>
  <c r="U1043" i="4" s="1"/>
  <c r="V1043" i="4" s="1"/>
  <c r="U782" i="4"/>
  <c r="V782" i="4" s="1"/>
  <c r="R980" i="4"/>
  <c r="S980" i="4" s="1"/>
  <c r="R571" i="4"/>
  <c r="S571" i="4" s="1"/>
  <c r="U571" i="4" s="1"/>
  <c r="V571" i="4" s="1"/>
  <c r="R1018" i="4"/>
  <c r="S1018" i="4" s="1"/>
  <c r="U1018" i="4" s="1"/>
  <c r="V1018" i="4" s="1"/>
  <c r="R1051" i="4"/>
  <c r="S1051" i="4" s="1"/>
  <c r="R771" i="4"/>
  <c r="S771" i="4" s="1"/>
  <c r="T771" i="4" s="1"/>
  <c r="R603" i="4"/>
  <c r="S603" i="4" s="1"/>
  <c r="U603" i="4" s="1"/>
  <c r="V603" i="4" s="1"/>
  <c r="R1054" i="4"/>
  <c r="S1054" i="4" s="1"/>
  <c r="R891" i="4"/>
  <c r="S891" i="4" s="1"/>
  <c r="U891" i="4" s="1"/>
  <c r="V891" i="4" s="1"/>
  <c r="O123" i="4"/>
  <c r="R406" i="4"/>
  <c r="S406" i="4" s="1"/>
  <c r="U406" i="4" s="1"/>
  <c r="V406" i="4" s="1"/>
  <c r="R983" i="4"/>
  <c r="S983" i="4" s="1"/>
  <c r="U983" i="4" s="1"/>
  <c r="V983" i="4" s="1"/>
  <c r="R629" i="4"/>
  <c r="S629" i="4" s="1"/>
  <c r="U629" i="4" s="1"/>
  <c r="V629" i="4" s="1"/>
  <c r="R696" i="4"/>
  <c r="S696" i="4" s="1"/>
  <c r="U696" i="4" s="1"/>
  <c r="V696" i="4" s="1"/>
  <c r="S563" i="4"/>
  <c r="T563" i="4" s="1"/>
  <c r="S883" i="4"/>
  <c r="U883" i="4" s="1"/>
  <c r="V883" i="4" s="1"/>
  <c r="T719" i="4"/>
  <c r="T624" i="4"/>
  <c r="R707" i="4"/>
  <c r="S707" i="4" s="1"/>
  <c r="U707" i="4" s="1"/>
  <c r="V707" i="4" s="1"/>
  <c r="R960" i="4"/>
  <c r="S960" i="4" s="1"/>
  <c r="U960" i="4" s="1"/>
  <c r="V960" i="4" s="1"/>
  <c r="R697" i="4"/>
  <c r="S697" i="4" s="1"/>
  <c r="U816" i="4"/>
  <c r="V816" i="4" s="1"/>
  <c r="S915" i="4"/>
  <c r="U915" i="4" s="1"/>
  <c r="V915" i="4" s="1"/>
  <c r="R769" i="4"/>
  <c r="S769" i="4" s="1"/>
  <c r="R894" i="4"/>
  <c r="S894" i="4" s="1"/>
  <c r="U894" i="4" s="1"/>
  <c r="V894" i="4" s="1"/>
  <c r="R572" i="4"/>
  <c r="S572" i="4" s="1"/>
  <c r="U572" i="4" s="1"/>
  <c r="V572" i="4" s="1"/>
  <c r="R925" i="4"/>
  <c r="S925" i="4" s="1"/>
  <c r="U925" i="4" s="1"/>
  <c r="V925" i="4" s="1"/>
  <c r="T749" i="4"/>
  <c r="T657" i="4"/>
  <c r="R212" i="4"/>
  <c r="S212" i="4" s="1"/>
  <c r="U212" i="4" s="1"/>
  <c r="V212" i="4" s="1"/>
  <c r="S760" i="4"/>
  <c r="U760" i="4" s="1"/>
  <c r="V760" i="4" s="1"/>
  <c r="U972" i="4"/>
  <c r="V972" i="4" s="1"/>
  <c r="R863" i="4"/>
  <c r="S863" i="4" s="1"/>
  <c r="S787" i="4"/>
  <c r="T787" i="4" s="1"/>
  <c r="R643" i="4"/>
  <c r="S643" i="4" s="1"/>
  <c r="U643" i="4" s="1"/>
  <c r="V643" i="4" s="1"/>
  <c r="R568" i="4"/>
  <c r="S568" i="4" s="1"/>
  <c r="U568" i="4" s="1"/>
  <c r="V568" i="4" s="1"/>
  <c r="R244" i="4"/>
  <c r="S244" i="4" s="1"/>
  <c r="U244" i="4" s="1"/>
  <c r="V244" i="4" s="1"/>
  <c r="R609" i="4"/>
  <c r="S609" i="4" s="1"/>
  <c r="T609" i="4" s="1"/>
  <c r="R822" i="4"/>
  <c r="S822" i="4" s="1"/>
  <c r="R575" i="4"/>
  <c r="S575" i="4" s="1"/>
  <c r="U575" i="4" s="1"/>
  <c r="V575" i="4" s="1"/>
  <c r="T622" i="4"/>
  <c r="U622" i="4"/>
  <c r="V622" i="4" s="1"/>
  <c r="R800" i="4"/>
  <c r="S800" i="4" s="1"/>
  <c r="R695" i="4"/>
  <c r="S695" i="4" s="1"/>
  <c r="T695" i="4" s="1"/>
  <c r="R1049" i="4"/>
  <c r="S1049" i="4" s="1"/>
  <c r="R765" i="4"/>
  <c r="S765" i="4" s="1"/>
  <c r="R952" i="4"/>
  <c r="S952" i="4" s="1"/>
  <c r="T952" i="4" s="1"/>
  <c r="R182" i="4"/>
  <c r="S182" i="4" s="1"/>
  <c r="U182" i="4" s="1"/>
  <c r="V182" i="4" s="1"/>
  <c r="R961" i="4"/>
  <c r="S961" i="4" s="1"/>
  <c r="R825" i="4"/>
  <c r="S825" i="4" s="1"/>
  <c r="T825" i="4" s="1"/>
  <c r="R820" i="4"/>
  <c r="S820" i="4" s="1"/>
  <c r="R468" i="4"/>
  <c r="S468" i="4" s="1"/>
  <c r="U468" i="4" s="1"/>
  <c r="V468" i="4" s="1"/>
  <c r="R917" i="4"/>
  <c r="S917" i="4" s="1"/>
  <c r="T917" i="4" s="1"/>
  <c r="U1006" i="4"/>
  <c r="V1006" i="4" s="1"/>
  <c r="S819" i="4"/>
  <c r="U819" i="4" s="1"/>
  <c r="V819" i="4" s="1"/>
  <c r="R762" i="4"/>
  <c r="S762" i="4" s="1"/>
  <c r="U762" i="4" s="1"/>
  <c r="V762" i="4" s="1"/>
  <c r="R919" i="4"/>
  <c r="S919" i="4" s="1"/>
  <c r="U919" i="4" s="1"/>
  <c r="V919" i="4" s="1"/>
  <c r="R84" i="4"/>
  <c r="S84" i="4" s="1"/>
  <c r="T84" i="4" s="1"/>
  <c r="R672" i="4"/>
  <c r="S672" i="4" s="1"/>
  <c r="T672" i="4" s="1"/>
  <c r="U589" i="4"/>
  <c r="V589" i="4" s="1"/>
  <c r="R991" i="4"/>
  <c r="S991" i="4" s="1"/>
  <c r="U991" i="4" s="1"/>
  <c r="V991" i="4" s="1"/>
  <c r="R798" i="4"/>
  <c r="S798" i="4" s="1"/>
  <c r="U798" i="4" s="1"/>
  <c r="V798" i="4" s="1"/>
  <c r="R600" i="4"/>
  <c r="S600" i="4" s="1"/>
  <c r="U600" i="4" s="1"/>
  <c r="V600" i="4" s="1"/>
  <c r="R631" i="4"/>
  <c r="S631" i="4" s="1"/>
  <c r="R993" i="4"/>
  <c r="S993" i="4" s="1"/>
  <c r="U993" i="4" s="1"/>
  <c r="V993" i="4" s="1"/>
  <c r="T812" i="4"/>
  <c r="T785" i="4"/>
  <c r="T1007" i="4"/>
  <c r="R956" i="4"/>
  <c r="S956" i="4" s="1"/>
  <c r="U956" i="4" s="1"/>
  <c r="V956" i="4" s="1"/>
  <c r="R573" i="4"/>
  <c r="S573" i="4" s="1"/>
  <c r="U573" i="4" s="1"/>
  <c r="V573" i="4" s="1"/>
  <c r="R758" i="4"/>
  <c r="S758" i="4" s="1"/>
  <c r="U758" i="4" s="1"/>
  <c r="V758" i="4" s="1"/>
  <c r="R671" i="4"/>
  <c r="S671" i="4" s="1"/>
  <c r="T671" i="4" s="1"/>
  <c r="R890" i="4"/>
  <c r="S890" i="4" s="1"/>
  <c r="T890" i="4" s="1"/>
  <c r="R982" i="4"/>
  <c r="S982" i="4" s="1"/>
  <c r="U982" i="4" s="1"/>
  <c r="V982" i="4" s="1"/>
  <c r="R1015" i="4"/>
  <c r="S1015" i="4" s="1"/>
  <c r="U1015" i="4" s="1"/>
  <c r="V1015" i="4" s="1"/>
  <c r="R898" i="4"/>
  <c r="S898" i="4" s="1"/>
  <c r="U898" i="4" s="1"/>
  <c r="V898" i="4" s="1"/>
  <c r="R929" i="4"/>
  <c r="S929" i="4" s="1"/>
  <c r="U929" i="4" s="1"/>
  <c r="V929" i="4" s="1"/>
  <c r="R790" i="4"/>
  <c r="S790" i="4" s="1"/>
  <c r="U790" i="4" s="1"/>
  <c r="V790" i="4" s="1"/>
  <c r="R608" i="4"/>
  <c r="S608" i="4" s="1"/>
  <c r="R599" i="4"/>
  <c r="S599" i="4" s="1"/>
  <c r="U599" i="4" s="1"/>
  <c r="V599" i="4" s="1"/>
  <c r="R990" i="4"/>
  <c r="S990" i="4" s="1"/>
  <c r="T990" i="4" s="1"/>
  <c r="S723" i="4"/>
  <c r="U723" i="4" s="1"/>
  <c r="V723" i="4" s="1"/>
  <c r="R674" i="4"/>
  <c r="S674" i="4" s="1"/>
  <c r="T674" i="4" s="1"/>
  <c r="R1024" i="4"/>
  <c r="S1024" i="4" s="1"/>
  <c r="U1024" i="4" s="1"/>
  <c r="V1024" i="4" s="1"/>
  <c r="R985" i="4"/>
  <c r="S985" i="4" s="1"/>
  <c r="U985" i="4" s="1"/>
  <c r="V985" i="4" s="1"/>
  <c r="R276" i="4"/>
  <c r="S276" i="4" s="1"/>
  <c r="U276" i="4" s="1"/>
  <c r="V276" i="4" s="1"/>
  <c r="R889" i="4"/>
  <c r="S889" i="4" s="1"/>
  <c r="U889" i="4" s="1"/>
  <c r="V889" i="4" s="1"/>
  <c r="R835" i="4"/>
  <c r="S835" i="4" s="1"/>
  <c r="U835" i="4" s="1"/>
  <c r="V835" i="4" s="1"/>
  <c r="T717" i="4"/>
  <c r="R675" i="4"/>
  <c r="S675" i="4" s="1"/>
  <c r="T675" i="4" s="1"/>
  <c r="R706" i="4"/>
  <c r="S706" i="4" s="1"/>
  <c r="R794" i="4"/>
  <c r="S794" i="4" s="1"/>
  <c r="U794" i="4" s="1"/>
  <c r="V794" i="4" s="1"/>
  <c r="R927" i="4"/>
  <c r="S927" i="4" s="1"/>
  <c r="U927" i="4" s="1"/>
  <c r="V927" i="4" s="1"/>
  <c r="R921" i="4"/>
  <c r="S921" i="4" s="1"/>
  <c r="R853" i="4"/>
  <c r="S853" i="4" s="1"/>
  <c r="U853" i="4" s="1"/>
  <c r="V853" i="4" s="1"/>
  <c r="T623" i="4"/>
  <c r="R640" i="4"/>
  <c r="S640" i="4" s="1"/>
  <c r="T640" i="4" s="1"/>
  <c r="R567" i="4"/>
  <c r="S567" i="4" s="1"/>
  <c r="U567" i="4" s="1"/>
  <c r="V567" i="4" s="1"/>
  <c r="R278" i="4"/>
  <c r="S278" i="4" s="1"/>
  <c r="R502" i="4"/>
  <c r="S502" i="4" s="1"/>
  <c r="T502" i="4" s="1"/>
  <c r="R1045" i="4"/>
  <c r="S1045" i="4" s="1"/>
  <c r="U1045" i="4" s="1"/>
  <c r="V1045" i="4" s="1"/>
  <c r="R896" i="4"/>
  <c r="S896" i="4" s="1"/>
  <c r="T896" i="4" s="1"/>
  <c r="R1046" i="4"/>
  <c r="S1046" i="4" s="1"/>
  <c r="U1046" i="4" s="1"/>
  <c r="V1046" i="4" s="1"/>
  <c r="R852" i="4"/>
  <c r="S852" i="4" s="1"/>
  <c r="U852" i="4" s="1"/>
  <c r="V852" i="4" s="1"/>
  <c r="R1022" i="4"/>
  <c r="S1022" i="4" s="1"/>
  <c r="R661" i="4"/>
  <c r="S661" i="4" s="1"/>
  <c r="U661" i="4" s="1"/>
  <c r="V661" i="4" s="1"/>
  <c r="R992" i="4"/>
  <c r="S992" i="4" s="1"/>
  <c r="U992" i="4" s="1"/>
  <c r="V992" i="4" s="1"/>
  <c r="T848" i="4"/>
  <c r="R725" i="4"/>
  <c r="S725" i="4" s="1"/>
  <c r="U725" i="4" s="1"/>
  <c r="V725" i="4" s="1"/>
  <c r="R821" i="4"/>
  <c r="S821" i="4" s="1"/>
  <c r="U821" i="4" s="1"/>
  <c r="V821" i="4" s="1"/>
  <c r="R766" i="4"/>
  <c r="S766" i="4" s="1"/>
  <c r="U766" i="4" s="1"/>
  <c r="V766" i="4" s="1"/>
  <c r="R85" i="4"/>
  <c r="S85" i="4" s="1"/>
  <c r="U85" i="4" s="1"/>
  <c r="V85" i="4" s="1"/>
  <c r="S691" i="4"/>
  <c r="U691" i="4" s="1"/>
  <c r="V691" i="4" s="1"/>
  <c r="T815" i="4"/>
  <c r="R693" i="4"/>
  <c r="S693" i="4" s="1"/>
  <c r="T693" i="4" s="1"/>
  <c r="R662" i="4"/>
  <c r="S662" i="4" s="1"/>
  <c r="T662" i="4" s="1"/>
  <c r="R604" i="4"/>
  <c r="S604" i="4" s="1"/>
  <c r="R916" i="4"/>
  <c r="S916" i="4" s="1"/>
  <c r="R597" i="4"/>
  <c r="S597" i="4" s="1"/>
  <c r="U597" i="4" s="1"/>
  <c r="V597" i="4" s="1"/>
  <c r="R1027" i="4"/>
  <c r="S1027" i="4" s="1"/>
  <c r="U1027" i="4" s="1"/>
  <c r="V1027" i="4" s="1"/>
  <c r="T560" i="4"/>
  <c r="R888" i="4"/>
  <c r="S888" i="4" s="1"/>
  <c r="T888" i="4" s="1"/>
  <c r="R628" i="4"/>
  <c r="S628" i="4" s="1"/>
  <c r="U628" i="4" s="1"/>
  <c r="V628" i="4" s="1"/>
  <c r="R922" i="4"/>
  <c r="S922" i="4" s="1"/>
  <c r="R948" i="4"/>
  <c r="S948" i="4" s="1"/>
  <c r="U948" i="4" s="1"/>
  <c r="V948" i="4" s="1"/>
  <c r="R893" i="4"/>
  <c r="S893" i="4" s="1"/>
  <c r="R566" i="4"/>
  <c r="S566" i="4" s="1"/>
  <c r="R341" i="4"/>
  <c r="S341" i="4" s="1"/>
  <c r="U341" i="4" s="1"/>
  <c r="V341" i="4" s="1"/>
  <c r="T913" i="4"/>
  <c r="R636" i="4"/>
  <c r="S636" i="4" s="1"/>
  <c r="R824" i="4"/>
  <c r="S824" i="4" s="1"/>
  <c r="T824" i="4" s="1"/>
  <c r="T716" i="4"/>
  <c r="U879" i="4"/>
  <c r="V879" i="4" s="1"/>
  <c r="S659" i="4"/>
  <c r="U659" i="4" s="1"/>
  <c r="V659" i="4" s="1"/>
  <c r="R830" i="4"/>
  <c r="S830" i="4" s="1"/>
  <c r="U830" i="4" s="1"/>
  <c r="V830" i="4" s="1"/>
  <c r="R732" i="4"/>
  <c r="S732" i="4" s="1"/>
  <c r="R854" i="4"/>
  <c r="S854" i="4" s="1"/>
  <c r="U854" i="4" s="1"/>
  <c r="V854" i="4" s="1"/>
  <c r="R768" i="4"/>
  <c r="S768" i="4" s="1"/>
  <c r="U768" i="4" s="1"/>
  <c r="V768" i="4" s="1"/>
  <c r="R667" i="4"/>
  <c r="S667" i="4" s="1"/>
  <c r="R703" i="4"/>
  <c r="S703" i="4" s="1"/>
  <c r="U703" i="4" s="1"/>
  <c r="V703" i="4" s="1"/>
  <c r="S947" i="4"/>
  <c r="U947" i="4" s="1"/>
  <c r="V947" i="4" s="1"/>
  <c r="U973" i="4"/>
  <c r="V973" i="4" s="1"/>
  <c r="R826" i="4"/>
  <c r="S826" i="4" s="1"/>
  <c r="T826" i="4" s="1"/>
  <c r="R793" i="4"/>
  <c r="S793" i="4" s="1"/>
  <c r="U793" i="4" s="1"/>
  <c r="V793" i="4" s="1"/>
  <c r="R895" i="4"/>
  <c r="S895" i="4" s="1"/>
  <c r="U895" i="4" s="1"/>
  <c r="V895" i="4" s="1"/>
  <c r="T845" i="4"/>
  <c r="R404" i="4"/>
  <c r="S404" i="4" s="1"/>
  <c r="R885" i="4"/>
  <c r="S885" i="4" s="1"/>
  <c r="U885" i="4" s="1"/>
  <c r="V885" i="4" s="1"/>
  <c r="R1058" i="4"/>
  <c r="S1058" i="4" s="1"/>
  <c r="T1058" i="4" s="1"/>
  <c r="R981" i="4"/>
  <c r="S981" i="4" s="1"/>
  <c r="U981" i="4" s="1"/>
  <c r="V981" i="4" s="1"/>
  <c r="R951" i="4"/>
  <c r="S951" i="4" s="1"/>
  <c r="T951" i="4" s="1"/>
  <c r="R802" i="4"/>
  <c r="S802" i="4" s="1"/>
  <c r="T802" i="4" s="1"/>
  <c r="R1055" i="4"/>
  <c r="S1055" i="4" s="1"/>
  <c r="T1055" i="4" s="1"/>
  <c r="R601" i="4"/>
  <c r="S601" i="4" s="1"/>
  <c r="U601" i="4" s="1"/>
  <c r="V601" i="4" s="1"/>
  <c r="R930" i="4"/>
  <c r="S930" i="4" s="1"/>
  <c r="U930" i="4" s="1"/>
  <c r="V930" i="4" s="1"/>
  <c r="R1014" i="4"/>
  <c r="S1014" i="4" s="1"/>
  <c r="U1014" i="4" s="1"/>
  <c r="V1014" i="4" s="1"/>
  <c r="R1023" i="4"/>
  <c r="S1023" i="4" s="1"/>
  <c r="U1023" i="4" s="1"/>
  <c r="V1023" i="4" s="1"/>
  <c r="R54" i="4"/>
  <c r="S54" i="4" s="1"/>
  <c r="T54" i="4" s="1"/>
  <c r="R724" i="4"/>
  <c r="S724" i="4" s="1"/>
  <c r="T724" i="4" s="1"/>
  <c r="R116" i="4"/>
  <c r="S116" i="4" s="1"/>
  <c r="U116" i="4" s="1"/>
  <c r="V116" i="4" s="1"/>
  <c r="R470" i="4"/>
  <c r="S470" i="4" s="1"/>
  <c r="U470" i="4" s="1"/>
  <c r="V470" i="4" s="1"/>
  <c r="R372" i="4"/>
  <c r="S372" i="4" s="1"/>
  <c r="T372" i="4" s="1"/>
  <c r="T558" i="4"/>
  <c r="U558" i="4"/>
  <c r="V558" i="4" s="1"/>
  <c r="T751" i="4"/>
  <c r="U751" i="4"/>
  <c r="V751" i="4" s="1"/>
  <c r="R375" i="4"/>
  <c r="R342" i="4"/>
  <c r="S342" i="4" s="1"/>
  <c r="U342" i="4" s="1"/>
  <c r="V342" i="4" s="1"/>
  <c r="R500" i="4"/>
  <c r="S500" i="4" s="1"/>
  <c r="R150" i="4"/>
  <c r="S150" i="4" s="1"/>
  <c r="U150" i="4" s="1"/>
  <c r="V150" i="4" s="1"/>
  <c r="R214" i="4"/>
  <c r="S214" i="4" s="1"/>
  <c r="U214" i="4" s="1"/>
  <c r="V214" i="4" s="1"/>
  <c r="R22" i="4"/>
  <c r="S22" i="4" s="1"/>
  <c r="U22" i="4" s="1"/>
  <c r="V22" i="4" s="1"/>
  <c r="R700" i="4"/>
  <c r="S700" i="4" s="1"/>
  <c r="T700" i="4" s="1"/>
  <c r="R607" i="4"/>
  <c r="S607" i="4" s="1"/>
  <c r="U607" i="4" s="1"/>
  <c r="V607" i="4" s="1"/>
  <c r="R638" i="4"/>
  <c r="S638" i="4" s="1"/>
  <c r="U638" i="4" s="1"/>
  <c r="V638" i="4" s="1"/>
  <c r="R862" i="4"/>
  <c r="S862" i="4" s="1"/>
  <c r="U862" i="4" s="1"/>
  <c r="V862" i="4" s="1"/>
  <c r="R931" i="4"/>
  <c r="S931" i="4" s="1"/>
  <c r="U931" i="4" s="1"/>
  <c r="V931" i="4" s="1"/>
  <c r="R1016" i="4"/>
  <c r="S1016" i="4" s="1"/>
  <c r="T1016" i="4" s="1"/>
  <c r="R669" i="4"/>
  <c r="S669" i="4" s="1"/>
  <c r="R117" i="4"/>
  <c r="S117" i="4" s="1"/>
  <c r="U117" i="4" s="1"/>
  <c r="V117" i="4" s="1"/>
  <c r="R245" i="4"/>
  <c r="S245" i="4" s="1"/>
  <c r="T911" i="4"/>
  <c r="R664" i="4"/>
  <c r="S664" i="4" s="1"/>
  <c r="U664" i="4" s="1"/>
  <c r="V664" i="4" s="1"/>
  <c r="R576" i="4"/>
  <c r="S576" i="4" s="1"/>
  <c r="R827" i="4"/>
  <c r="S827" i="4" s="1"/>
  <c r="R692" i="4"/>
  <c r="S692" i="4" s="1"/>
  <c r="U692" i="4" s="1"/>
  <c r="V692" i="4" s="1"/>
  <c r="R635" i="4"/>
  <c r="S635" i="4" s="1"/>
  <c r="U635" i="4" s="1"/>
  <c r="V635" i="4" s="1"/>
  <c r="R899" i="4"/>
  <c r="S899" i="4" s="1"/>
  <c r="U899" i="4" s="1"/>
  <c r="V899" i="4" s="1"/>
  <c r="R795" i="4"/>
  <c r="S795" i="4" s="1"/>
  <c r="U795" i="4" s="1"/>
  <c r="V795" i="4" s="1"/>
  <c r="R726" i="4"/>
  <c r="S726" i="4" s="1"/>
  <c r="U726" i="4" s="1"/>
  <c r="V726" i="4" s="1"/>
  <c r="R1013" i="4"/>
  <c r="S1013" i="4" s="1"/>
  <c r="T1013" i="4" s="1"/>
  <c r="S979" i="4"/>
  <c r="U979" i="4" s="1"/>
  <c r="V979" i="4" s="1"/>
  <c r="R859" i="4"/>
  <c r="S859" i="4" s="1"/>
  <c r="U859" i="4" s="1"/>
  <c r="V859" i="4" s="1"/>
  <c r="R641" i="4"/>
  <c r="S641" i="4" s="1"/>
  <c r="U641" i="4" s="1"/>
  <c r="V641" i="4" s="1"/>
  <c r="R698" i="4"/>
  <c r="S698" i="4" s="1"/>
  <c r="U698" i="4" s="1"/>
  <c r="V698" i="4" s="1"/>
  <c r="R699" i="4"/>
  <c r="S699" i="4" s="1"/>
  <c r="U699" i="4" s="1"/>
  <c r="V699" i="4" s="1"/>
  <c r="S1011" i="4"/>
  <c r="U1011" i="4" s="1"/>
  <c r="V1011" i="4" s="1"/>
  <c r="R833" i="4"/>
  <c r="S833" i="4" s="1"/>
  <c r="U833" i="4" s="1"/>
  <c r="V833" i="4" s="1"/>
  <c r="R1012" i="4"/>
  <c r="S1012" i="4" s="1"/>
  <c r="U1012" i="4" s="1"/>
  <c r="V1012" i="4" s="1"/>
  <c r="R926" i="4"/>
  <c r="S926" i="4" s="1"/>
  <c r="U926" i="4" s="1"/>
  <c r="V926" i="4" s="1"/>
  <c r="R884" i="4"/>
  <c r="S884" i="4" s="1"/>
  <c r="U884" i="4" s="1"/>
  <c r="V884" i="4" s="1"/>
  <c r="T1041" i="4"/>
  <c r="U1041" i="4"/>
  <c r="V1041" i="4" s="1"/>
  <c r="U559" i="4"/>
  <c r="V559" i="4" s="1"/>
  <c r="R928" i="4"/>
  <c r="S928" i="4" s="1"/>
  <c r="U928" i="4" s="1"/>
  <c r="V928" i="4" s="1"/>
  <c r="U686" i="4"/>
  <c r="V686" i="4" s="1"/>
  <c r="T943" i="4"/>
  <c r="O348" i="4"/>
  <c r="R731" i="4"/>
  <c r="S731" i="4" s="1"/>
  <c r="T731" i="4" s="1"/>
  <c r="R855" i="4"/>
  <c r="S855" i="4" s="1"/>
  <c r="T855" i="4" s="1"/>
  <c r="R988" i="4"/>
  <c r="S988" i="4" s="1"/>
  <c r="U988" i="4" s="1"/>
  <c r="V988" i="4" s="1"/>
  <c r="R309" i="4"/>
  <c r="S309" i="4" s="1"/>
  <c r="T309" i="4" s="1"/>
  <c r="U685" i="4"/>
  <c r="V685" i="4" s="1"/>
  <c r="R803" i="4"/>
  <c r="S803" i="4" s="1"/>
  <c r="T803" i="4" s="1"/>
  <c r="O30" i="4"/>
  <c r="T718" i="4"/>
  <c r="U1039" i="4"/>
  <c r="V1039" i="4" s="1"/>
  <c r="T1039" i="4"/>
  <c r="R701" i="4"/>
  <c r="S701" i="4" s="1"/>
  <c r="R246" i="4"/>
  <c r="S246" i="4" s="1"/>
  <c r="U246" i="4" s="1"/>
  <c r="V246" i="4" s="1"/>
  <c r="T844" i="4"/>
  <c r="S595" i="4"/>
  <c r="U595" i="4" s="1"/>
  <c r="V595" i="4" s="1"/>
  <c r="R634" i="4"/>
  <c r="S634" i="4" s="1"/>
  <c r="U634" i="4" s="1"/>
  <c r="V634" i="4" s="1"/>
  <c r="R924" i="4"/>
  <c r="S924" i="4" s="1"/>
  <c r="T924" i="4" s="1"/>
  <c r="O455" i="4"/>
  <c r="O650" i="4"/>
  <c r="R832" i="4"/>
  <c r="S832" i="4" s="1"/>
  <c r="U832" i="4" s="1"/>
  <c r="V832" i="4" s="1"/>
  <c r="R962" i="4"/>
  <c r="S962" i="4" s="1"/>
  <c r="U962" i="4" s="1"/>
  <c r="V962" i="4" s="1"/>
  <c r="O26" i="4"/>
  <c r="O157" i="4"/>
  <c r="O159" i="4"/>
  <c r="O326" i="4"/>
  <c r="Q282" i="4"/>
  <c r="O253" i="4"/>
  <c r="P378" i="4"/>
  <c r="O261" i="4"/>
  <c r="P414" i="4"/>
  <c r="O249" i="4"/>
  <c r="O263" i="4"/>
  <c r="P411" i="4"/>
  <c r="O414" i="4"/>
  <c r="O217" i="4"/>
  <c r="O505" i="4"/>
  <c r="P253" i="4"/>
  <c r="O59" i="4"/>
  <c r="O197" i="4"/>
  <c r="P248" i="4"/>
  <c r="Q740" i="4"/>
  <c r="O938" i="4"/>
  <c r="P1066" i="4"/>
  <c r="R673" i="4"/>
  <c r="S673" i="4" s="1"/>
  <c r="U673" i="4" s="1"/>
  <c r="V673" i="4" s="1"/>
  <c r="Q938" i="4"/>
  <c r="O221" i="4"/>
  <c r="P508" i="4"/>
  <c r="O90" i="4"/>
  <c r="P408" i="4"/>
  <c r="P188" i="4"/>
  <c r="P713" i="4"/>
  <c r="O228" i="4"/>
  <c r="O103" i="4"/>
  <c r="P282" i="4"/>
  <c r="O839" i="4"/>
  <c r="Q253" i="4"/>
  <c r="O314" i="4"/>
  <c r="O285" i="4"/>
  <c r="O294" i="4"/>
  <c r="O188" i="4"/>
  <c r="O135" i="4"/>
  <c r="P157" i="4"/>
  <c r="P380" i="4"/>
  <c r="O964" i="4"/>
  <c r="O254" i="4"/>
  <c r="P286" i="4"/>
  <c r="Q838" i="4"/>
  <c r="O772" i="4"/>
  <c r="O409" i="4"/>
  <c r="Q228" i="4"/>
  <c r="O452" i="4"/>
  <c r="O286" i="4"/>
  <c r="O508" i="4"/>
  <c r="P313" i="4"/>
  <c r="P869" i="4"/>
  <c r="O1034" i="4"/>
  <c r="O778" i="4"/>
  <c r="O189" i="4"/>
  <c r="U148" i="4"/>
  <c r="V148" i="4" s="1"/>
  <c r="O280" i="4"/>
  <c r="Q410" i="4"/>
  <c r="P71" i="4"/>
  <c r="O125" i="4"/>
  <c r="O62" i="4"/>
  <c r="O510" i="4"/>
  <c r="O487" i="4"/>
  <c r="Q167" i="4"/>
  <c r="P69" i="4"/>
  <c r="Q72" i="4"/>
  <c r="Q283" i="4"/>
  <c r="Q350" i="4"/>
  <c r="O777" i="4"/>
  <c r="Q682" i="4"/>
  <c r="O446" i="4"/>
  <c r="O57" i="4"/>
  <c r="O282" i="4"/>
  <c r="O94" i="4"/>
  <c r="O248" i="4"/>
  <c r="Q414" i="4"/>
  <c r="Q191" i="4"/>
  <c r="Q423" i="4"/>
  <c r="O37" i="4"/>
  <c r="O504" i="4"/>
  <c r="O316" i="4"/>
  <c r="O122" i="4"/>
  <c r="O486" i="4"/>
  <c r="Q511" i="4"/>
  <c r="O583" i="4"/>
  <c r="O806" i="4"/>
  <c r="O1033" i="4"/>
  <c r="O1062" i="4"/>
  <c r="Q1028" i="4"/>
  <c r="R958" i="4"/>
  <c r="S958" i="4" s="1"/>
  <c r="T958" i="4" s="1"/>
  <c r="R149" i="4"/>
  <c r="S149" i="4" s="1"/>
  <c r="O415" i="4"/>
  <c r="O198" i="4"/>
  <c r="O154" i="4"/>
  <c r="O58" i="4"/>
  <c r="Q135" i="4"/>
  <c r="O24" i="4"/>
  <c r="Q123" i="4"/>
  <c r="P344" i="4"/>
  <c r="O904" i="4"/>
  <c r="P583" i="4"/>
  <c r="O804" i="4"/>
  <c r="O746" i="4"/>
  <c r="Q968" i="4"/>
  <c r="O443" i="4"/>
  <c r="O412" i="4"/>
  <c r="O36" i="4"/>
  <c r="Q286" i="4"/>
  <c r="P346" i="4"/>
  <c r="P351" i="4"/>
  <c r="O164" i="4"/>
  <c r="O383" i="4"/>
  <c r="Q254" i="4"/>
  <c r="Q229" i="4"/>
  <c r="O842" i="4"/>
  <c r="O907" i="4"/>
  <c r="O587" i="4"/>
  <c r="Q746" i="4"/>
  <c r="P1032" i="4"/>
  <c r="O967" i="4"/>
  <c r="Q902" i="4"/>
  <c r="O251" i="4"/>
  <c r="O440" i="4"/>
  <c r="P221" i="4"/>
  <c r="P377" i="4"/>
  <c r="Q1002" i="4"/>
  <c r="O1064" i="4"/>
  <c r="O647" i="4"/>
  <c r="P965" i="4"/>
  <c r="T908" i="4"/>
  <c r="U908" i="4"/>
  <c r="V908" i="4" s="1"/>
  <c r="P475" i="4"/>
  <c r="Q345" i="4"/>
  <c r="O319" i="4"/>
  <c r="Q388" i="4"/>
  <c r="O166" i="4"/>
  <c r="O126" i="4"/>
  <c r="P135" i="4"/>
  <c r="P261" i="4"/>
  <c r="P56" i="4"/>
  <c r="P120" i="4"/>
  <c r="P421" i="4"/>
  <c r="P283" i="4"/>
  <c r="P350" i="4"/>
  <c r="T752" i="4"/>
  <c r="R1052" i="4"/>
  <c r="S1052" i="4" s="1"/>
  <c r="T1052" i="4" s="1"/>
  <c r="O312" i="4"/>
  <c r="O191" i="4"/>
  <c r="O507" i="4"/>
  <c r="P412" i="4"/>
  <c r="O327" i="4"/>
  <c r="O199" i="4"/>
  <c r="O218" i="4"/>
  <c r="P410" i="4"/>
  <c r="O284" i="4"/>
  <c r="O389" i="4"/>
  <c r="O447" i="4"/>
  <c r="P280" i="4"/>
  <c r="O63" i="4"/>
  <c r="Q377" i="4"/>
  <c r="O187" i="4"/>
  <c r="O152" i="4"/>
  <c r="P507" i="4"/>
  <c r="Q26" i="4"/>
  <c r="Q25" i="4"/>
  <c r="Q165" i="4"/>
  <c r="T1036" i="4"/>
  <c r="Q508" i="4"/>
  <c r="O229" i="4"/>
  <c r="O39" i="4"/>
  <c r="P191" i="4"/>
  <c r="P455" i="4"/>
  <c r="Q413" i="4"/>
  <c r="O27" i="4"/>
  <c r="O379" i="4"/>
  <c r="P37" i="4"/>
  <c r="P152" i="4"/>
  <c r="Q155" i="4"/>
  <c r="Q506" i="4"/>
  <c r="R887" i="4"/>
  <c r="S887" i="4" s="1"/>
  <c r="U887" i="4" s="1"/>
  <c r="V887" i="4" s="1"/>
  <c r="R957" i="4"/>
  <c r="S957" i="4" s="1"/>
  <c r="T957" i="4" s="1"/>
  <c r="O56" i="4"/>
  <c r="O380" i="4"/>
  <c r="O28" i="4"/>
  <c r="O388" i="4"/>
  <c r="Q92" i="4"/>
  <c r="O479" i="4"/>
  <c r="Q159" i="4"/>
  <c r="O185" i="4"/>
  <c r="O345" i="4"/>
  <c r="Q443" i="4"/>
  <c r="O127" i="4"/>
  <c r="O287" i="4"/>
  <c r="O153" i="4"/>
  <c r="O252" i="4"/>
  <c r="P68" i="4"/>
  <c r="O506" i="4"/>
  <c r="Q520" i="4"/>
  <c r="O519" i="4"/>
  <c r="P413" i="4"/>
  <c r="Q484" i="4"/>
  <c r="Q132" i="4"/>
  <c r="Q218" i="4"/>
  <c r="Q63" i="4"/>
  <c r="P379" i="4"/>
  <c r="Q192" i="4"/>
  <c r="Q32" i="4"/>
  <c r="P326" i="4"/>
  <c r="Q474" i="4"/>
  <c r="Q219" i="4"/>
  <c r="O869" i="4"/>
  <c r="P904" i="4"/>
  <c r="O935" i="4"/>
  <c r="P901" i="4"/>
  <c r="O871" i="4"/>
  <c r="Q804" i="4"/>
  <c r="R984" i="4"/>
  <c r="S984" i="4" s="1"/>
  <c r="T984" i="4" s="1"/>
  <c r="Q485" i="4"/>
  <c r="P381" i="4"/>
  <c r="P249" i="4"/>
  <c r="P345" i="4"/>
  <c r="Q263" i="4"/>
  <c r="P95" i="4"/>
  <c r="P251" i="4"/>
  <c r="P31" i="4"/>
  <c r="P59" i="4"/>
  <c r="P58" i="4"/>
  <c r="O421" i="4"/>
  <c r="O517" i="4"/>
  <c r="Q314" i="4"/>
  <c r="Q91" i="4"/>
  <c r="P122" i="4"/>
  <c r="P155" i="4"/>
  <c r="P454" i="4"/>
  <c r="P357" i="4"/>
  <c r="Q516" i="4"/>
  <c r="Q281" i="4"/>
  <c r="O454" i="4"/>
  <c r="O71" i="4"/>
  <c r="O313" i="4"/>
  <c r="O351" i="4"/>
  <c r="O92" i="4"/>
  <c r="P423" i="4"/>
  <c r="O231" i="4"/>
  <c r="O391" i="4"/>
  <c r="P159" i="4"/>
  <c r="O165" i="4"/>
  <c r="O283" i="4"/>
  <c r="O120" i="4"/>
  <c r="O250" i="4"/>
  <c r="O474" i="4"/>
  <c r="O357" i="4"/>
  <c r="Q324" i="4"/>
  <c r="P443" i="4"/>
  <c r="Q412" i="4"/>
  <c r="O376" i="4"/>
  <c r="Q221" i="4"/>
  <c r="O420" i="4"/>
  <c r="Q94" i="4"/>
  <c r="P90" i="4"/>
  <c r="Q101" i="4"/>
  <c r="Q518" i="4"/>
  <c r="Q190" i="4"/>
  <c r="P27" i="4"/>
  <c r="P158" i="4"/>
  <c r="P376" i="4"/>
  <c r="Q185" i="4"/>
  <c r="P390" i="4"/>
  <c r="P156" i="4"/>
  <c r="O902" i="4"/>
  <c r="O645" i="4"/>
  <c r="O648" i="4"/>
  <c r="P580" i="4"/>
  <c r="Q971" i="4"/>
  <c r="Q644" i="4"/>
  <c r="O377" i="4"/>
  <c r="O186" i="4"/>
  <c r="O356" i="4"/>
  <c r="O408" i="4"/>
  <c r="O423" i="4"/>
  <c r="O133" i="4"/>
  <c r="O324" i="4"/>
  <c r="Q454" i="4"/>
  <c r="O100" i="4"/>
  <c r="Q217" i="4"/>
  <c r="O442" i="4"/>
  <c r="P388" i="4"/>
  <c r="O134" i="4"/>
  <c r="P382" i="4"/>
  <c r="P473" i="4"/>
  <c r="O344" i="4"/>
  <c r="O156" i="4"/>
  <c r="O478" i="4"/>
  <c r="O196" i="4"/>
  <c r="Q480" i="4"/>
  <c r="P446" i="4"/>
  <c r="Q220" i="4"/>
  <c r="Q356" i="4"/>
  <c r="O91" i="4"/>
  <c r="P94" i="4"/>
  <c r="O390" i="4"/>
  <c r="O511" i="4"/>
  <c r="O101" i="4"/>
  <c r="O31" i="4"/>
  <c r="O325" i="4"/>
  <c r="O222" i="4"/>
  <c r="O132" i="4"/>
  <c r="O441" i="4"/>
  <c r="Q507" i="4"/>
  <c r="O318" i="4"/>
  <c r="O25" i="4"/>
  <c r="Q379" i="4"/>
  <c r="Q27" i="4"/>
  <c r="Q124" i="4"/>
  <c r="P474" i="4"/>
  <c r="P132" i="4"/>
  <c r="Q127" i="4"/>
  <c r="P24" i="4"/>
  <c r="P504" i="4"/>
  <c r="Q421" i="4"/>
  <c r="P70" i="4"/>
  <c r="Q320" i="4"/>
  <c r="P88" i="4"/>
  <c r="Q448" i="4"/>
  <c r="Q122" i="4"/>
  <c r="P124" i="4"/>
  <c r="Q31" i="4"/>
  <c r="Q136" i="4"/>
  <c r="P383" i="4"/>
  <c r="P199" i="4"/>
  <c r="O580" i="4"/>
  <c r="Q743" i="4"/>
  <c r="Q618" i="4"/>
  <c r="O997" i="4"/>
  <c r="O584" i="4"/>
  <c r="O1067" i="4"/>
  <c r="O903" i="4"/>
  <c r="O968" i="4"/>
  <c r="Q805" i="4"/>
  <c r="P843" i="4"/>
  <c r="P934" i="4"/>
  <c r="Q868" i="4"/>
  <c r="Q934" i="4"/>
  <c r="R950" i="4"/>
  <c r="S950" i="4" s="1"/>
  <c r="U950" i="4" s="1"/>
  <c r="V950" i="4" s="1"/>
  <c r="R405" i="4"/>
  <c r="S405" i="4" s="1"/>
  <c r="T405" i="4" s="1"/>
  <c r="R663" i="4"/>
  <c r="S663" i="4" s="1"/>
  <c r="T663" i="4" s="1"/>
  <c r="R630" i="4"/>
  <c r="S630" i="4" s="1"/>
  <c r="U630" i="4" s="1"/>
  <c r="V630" i="4" s="1"/>
  <c r="R989" i="4"/>
  <c r="S989" i="4" s="1"/>
  <c r="U989" i="4" s="1"/>
  <c r="V989" i="4" s="1"/>
  <c r="R1026" i="4"/>
  <c r="S1026" i="4" s="1"/>
  <c r="U1026" i="4" s="1"/>
  <c r="V1026" i="4" s="1"/>
  <c r="R757" i="4"/>
  <c r="S757" i="4" s="1"/>
  <c r="U757" i="4" s="1"/>
  <c r="V757" i="4" s="1"/>
  <c r="R632" i="4"/>
  <c r="S632" i="4" s="1"/>
  <c r="T632" i="4" s="1"/>
  <c r="R308" i="4"/>
  <c r="S308" i="4" s="1"/>
  <c r="U308" i="4" s="1"/>
  <c r="V308" i="4" s="1"/>
  <c r="R21" i="4"/>
  <c r="S21" i="4" s="1"/>
  <c r="T21" i="4" s="1"/>
  <c r="R340" i="4"/>
  <c r="S340" i="4" s="1"/>
  <c r="T340" i="4" s="1"/>
  <c r="R574" i="4"/>
  <c r="S574" i="4" s="1"/>
  <c r="U574" i="4" s="1"/>
  <c r="V574" i="4" s="1"/>
  <c r="R569" i="4"/>
  <c r="S569" i="4" s="1"/>
  <c r="U569" i="4" s="1"/>
  <c r="V569" i="4" s="1"/>
  <c r="Q71" i="4"/>
  <c r="Q380" i="4"/>
  <c r="O70" i="4"/>
  <c r="P228" i="4"/>
  <c r="Q313" i="4"/>
  <c r="Q473" i="4"/>
  <c r="P230" i="4"/>
  <c r="O295" i="4"/>
  <c r="P477" i="4"/>
  <c r="P26" i="4"/>
  <c r="O102" i="4"/>
  <c r="O315" i="4"/>
  <c r="O411" i="4"/>
  <c r="Q57" i="4"/>
  <c r="O358" i="4"/>
  <c r="O281" i="4"/>
  <c r="O350" i="4"/>
  <c r="O89" i="4"/>
  <c r="O121" i="4"/>
  <c r="O484" i="4"/>
  <c r="O475" i="4"/>
  <c r="Q249" i="4"/>
  <c r="Q359" i="4"/>
  <c r="Q37" i="4"/>
  <c r="Q156" i="4"/>
  <c r="P25" i="4"/>
  <c r="P317" i="4"/>
  <c r="P347" i="4"/>
  <c r="Q317" i="4"/>
  <c r="P198" i="4"/>
  <c r="Q260" i="4"/>
  <c r="Q349" i="4"/>
  <c r="Q158" i="4"/>
  <c r="Q153" i="4"/>
  <c r="P154" i="4"/>
  <c r="Q383" i="4"/>
  <c r="P127" i="4"/>
  <c r="P62" i="4"/>
  <c r="Q256" i="4"/>
  <c r="Q250" i="4"/>
  <c r="Q90" i="4"/>
  <c r="P747" i="4"/>
  <c r="O807" i="4"/>
  <c r="P679" i="4"/>
  <c r="P811" i="4"/>
  <c r="P714" i="4"/>
  <c r="P804" i="4"/>
  <c r="P676" i="4"/>
  <c r="Q154" i="4"/>
  <c r="Q445" i="4"/>
  <c r="Q318" i="4"/>
  <c r="P509" i="4"/>
  <c r="Q61" i="4"/>
  <c r="Q509" i="4"/>
  <c r="P263" i="4"/>
  <c r="Q442" i="4"/>
  <c r="P292" i="4"/>
  <c r="Q60" i="4"/>
  <c r="P153" i="4"/>
  <c r="Q358" i="4"/>
  <c r="Q59" i="4"/>
  <c r="Q411" i="4"/>
  <c r="P409" i="4"/>
  <c r="P231" i="4"/>
  <c r="P441" i="4"/>
  <c r="Q199" i="4"/>
  <c r="O870" i="4"/>
  <c r="O996" i="4"/>
  <c r="P744" i="4"/>
  <c r="Q901" i="4"/>
  <c r="O837" i="4"/>
  <c r="O741" i="4"/>
  <c r="O683" i="4"/>
  <c r="O677" i="4"/>
  <c r="Q904" i="4"/>
  <c r="Q936" i="4"/>
  <c r="Q837" i="4"/>
  <c r="P1065" i="4"/>
  <c r="Q645" i="4"/>
  <c r="P932" i="4"/>
  <c r="O472" i="4"/>
  <c r="O167" i="4"/>
  <c r="O413" i="4"/>
  <c r="O378" i="4"/>
  <c r="O220" i="4"/>
  <c r="O473" i="4"/>
  <c r="Q446" i="4"/>
  <c r="O317" i="4"/>
  <c r="O223" i="4"/>
  <c r="O359" i="4"/>
  <c r="Q157" i="4"/>
  <c r="Q378" i="4"/>
  <c r="O29" i="4"/>
  <c r="P220" i="4"/>
  <c r="O292" i="4"/>
  <c r="O453" i="4"/>
  <c r="O216" i="4"/>
  <c r="O518" i="4"/>
  <c r="Q346" i="4"/>
  <c r="O38" i="4"/>
  <c r="O95" i="4"/>
  <c r="Q351" i="4"/>
  <c r="Q186" i="4"/>
  <c r="Q382" i="4"/>
  <c r="P133" i="4"/>
  <c r="P217" i="4"/>
  <c r="Q69" i="4"/>
  <c r="O60" i="4"/>
  <c r="P324" i="4"/>
  <c r="O444" i="4"/>
  <c r="P57" i="4"/>
  <c r="O509" i="4"/>
  <c r="P359" i="4"/>
  <c r="Q40" i="4"/>
  <c r="P166" i="4"/>
  <c r="P440" i="4"/>
  <c r="P190" i="4"/>
  <c r="P222" i="4"/>
  <c r="Q255" i="4"/>
  <c r="P216" i="4"/>
  <c r="Q409" i="4"/>
  <c r="P103" i="4"/>
  <c r="P315" i="4"/>
  <c r="P442" i="4"/>
  <c r="Q316" i="4"/>
  <c r="Q475" i="4"/>
  <c r="Q420" i="4"/>
  <c r="P121" i="4"/>
  <c r="Q441" i="4"/>
  <c r="Q89" i="4"/>
  <c r="O901" i="4"/>
  <c r="O773" i="4"/>
  <c r="O614" i="4"/>
  <c r="O998" i="4"/>
  <c r="O1035" i="4"/>
  <c r="O906" i="4"/>
  <c r="O872" i="4"/>
  <c r="O1029" i="4"/>
  <c r="Q713" i="4"/>
  <c r="P906" i="4"/>
  <c r="Q777" i="4"/>
  <c r="P742" i="4"/>
  <c r="P649" i="4"/>
  <c r="O230" i="4"/>
  <c r="O410" i="4"/>
  <c r="O382" i="4"/>
  <c r="O69" i="4"/>
  <c r="O346" i="4"/>
  <c r="O184" i="4"/>
  <c r="O68" i="4"/>
  <c r="O477" i="4"/>
  <c r="P312" i="4"/>
  <c r="R312" i="4" s="1"/>
  <c r="O422" i="4"/>
  <c r="O61" i="4"/>
  <c r="O260" i="4"/>
  <c r="O219" i="4"/>
  <c r="O381" i="4"/>
  <c r="P356" i="4"/>
  <c r="P184" i="4"/>
  <c r="O347" i="4"/>
  <c r="O476" i="4"/>
  <c r="P186" i="4"/>
  <c r="O88" i="4"/>
  <c r="O155" i="4"/>
  <c r="O293" i="4"/>
  <c r="P472" i="4"/>
  <c r="O190" i="4"/>
  <c r="Q261" i="4"/>
  <c r="Q68" i="4"/>
  <c r="Q455" i="4"/>
  <c r="O93" i="4"/>
  <c r="Q188" i="4"/>
  <c r="Q389" i="4"/>
  <c r="P254" i="4"/>
  <c r="Q505" i="4"/>
  <c r="P516" i="4"/>
  <c r="Q347" i="4"/>
  <c r="P185" i="4"/>
  <c r="P61" i="4"/>
  <c r="P447" i="4"/>
  <c r="Q121" i="4"/>
  <c r="P519" i="4"/>
  <c r="P327" i="4"/>
  <c r="P89" i="4"/>
  <c r="P281" i="4"/>
  <c r="P325" i="4"/>
  <c r="P91" i="4"/>
  <c r="Q315" i="4"/>
  <c r="Q187" i="4"/>
  <c r="Q200" i="4"/>
  <c r="P187" i="4"/>
  <c r="O836" i="4"/>
  <c r="P743" i="4"/>
  <c r="O875" i="4"/>
  <c r="O651" i="4"/>
  <c r="P836" i="4"/>
  <c r="O900" i="4"/>
  <c r="O612" i="4"/>
  <c r="P870" i="4"/>
  <c r="O843" i="4"/>
  <c r="Q582" i="4"/>
  <c r="P1061" i="4"/>
  <c r="Q874" i="4"/>
  <c r="Q1061" i="4"/>
  <c r="O617" i="4"/>
  <c r="O1063" i="4"/>
  <c r="Q873" i="4"/>
  <c r="O646" i="4"/>
  <c r="O709" i="4"/>
  <c r="O1065" i="4"/>
  <c r="Q778" i="4"/>
  <c r="Q617" i="4"/>
  <c r="Q580" i="4"/>
  <c r="O1000" i="4"/>
  <c r="O810" i="4"/>
  <c r="O1001" i="4"/>
  <c r="Q903" i="4"/>
  <c r="Q711" i="4"/>
  <c r="Q648" i="4"/>
  <c r="P682" i="4"/>
  <c r="Q965" i="4"/>
  <c r="P612" i="4"/>
  <c r="P933" i="4"/>
  <c r="R639" i="4"/>
  <c r="S639" i="4" s="1"/>
  <c r="U639" i="4" s="1"/>
  <c r="V639" i="4" s="1"/>
  <c r="R734" i="4"/>
  <c r="S734" i="4" s="1"/>
  <c r="U734" i="4" s="1"/>
  <c r="V734" i="4" s="1"/>
  <c r="R578" i="4"/>
  <c r="S578" i="4" s="1"/>
  <c r="T578" i="4" s="1"/>
  <c r="R799" i="4"/>
  <c r="S799" i="4" s="1"/>
  <c r="U799" i="4" s="1"/>
  <c r="V799" i="4" s="1"/>
  <c r="R1021" i="4"/>
  <c r="S1021" i="4" s="1"/>
  <c r="T1021" i="4" s="1"/>
  <c r="R1059" i="4"/>
  <c r="S1059" i="4" s="1"/>
  <c r="P902" i="4"/>
  <c r="R181" i="4"/>
  <c r="S181" i="4" s="1"/>
  <c r="T181" i="4" s="1"/>
  <c r="R918" i="4"/>
  <c r="S918" i="4" s="1"/>
  <c r="T918" i="4" s="1"/>
  <c r="U1004" i="4"/>
  <c r="V1004" i="4" s="1"/>
  <c r="T625" i="4"/>
  <c r="R1050" i="4"/>
  <c r="S1050" i="4" s="1"/>
  <c r="T1050" i="4" s="1"/>
  <c r="R637" i="4"/>
  <c r="S637" i="4" s="1"/>
  <c r="T637" i="4" s="1"/>
  <c r="R730" i="4"/>
  <c r="S730" i="4" s="1"/>
  <c r="U730" i="4" s="1"/>
  <c r="V730" i="4" s="1"/>
  <c r="R770" i="4"/>
  <c r="S770" i="4" s="1"/>
  <c r="U770" i="4" s="1"/>
  <c r="V770" i="4" s="1"/>
  <c r="T813" i="4"/>
  <c r="O581" i="4"/>
  <c r="Q581" i="4"/>
  <c r="Q967" i="4"/>
  <c r="Q1066" i="4"/>
  <c r="P967" i="4"/>
  <c r="Q966" i="4"/>
  <c r="P840" i="4"/>
  <c r="P936" i="4"/>
  <c r="R577" i="4"/>
  <c r="S577" i="4" s="1"/>
  <c r="R728" i="4"/>
  <c r="S728" i="4" s="1"/>
  <c r="T728" i="4" s="1"/>
  <c r="R829" i="4"/>
  <c r="S829" i="4" s="1"/>
  <c r="T829" i="4" s="1"/>
  <c r="R796" i="4"/>
  <c r="S796" i="4" s="1"/>
  <c r="U796" i="4" s="1"/>
  <c r="V796" i="4" s="1"/>
  <c r="R866" i="4"/>
  <c r="S866" i="4" s="1"/>
  <c r="U866" i="4" s="1"/>
  <c r="V866" i="4" s="1"/>
  <c r="R438" i="4"/>
  <c r="S438" i="4" s="1"/>
  <c r="U438" i="4" s="1"/>
  <c r="V438" i="4" s="1"/>
  <c r="O713" i="4"/>
  <c r="O618" i="4"/>
  <c r="O742" i="4"/>
  <c r="O999" i="4"/>
  <c r="O966" i="4"/>
  <c r="O680" i="4"/>
  <c r="O840" i="4"/>
  <c r="O1028" i="4"/>
  <c r="O616" i="4"/>
  <c r="O585" i="4"/>
  <c r="O970" i="4"/>
  <c r="P1030" i="4"/>
  <c r="Q741" i="4"/>
  <c r="P619" i="4"/>
  <c r="Q772" i="4"/>
  <c r="Q1033" i="4"/>
  <c r="Q775" i="4"/>
  <c r="Q999" i="4"/>
  <c r="P1064" i="4"/>
  <c r="R570" i="4"/>
  <c r="S570" i="4" s="1"/>
  <c r="U570" i="4" s="1"/>
  <c r="V570" i="4" s="1"/>
  <c r="R823" i="4"/>
  <c r="S823" i="4" s="1"/>
  <c r="U823" i="4" s="1"/>
  <c r="V823" i="4" s="1"/>
  <c r="R1047" i="4"/>
  <c r="S1047" i="4" s="1"/>
  <c r="U1047" i="4" s="1"/>
  <c r="V1047" i="4" s="1"/>
  <c r="R596" i="4"/>
  <c r="S596" i="4" s="1"/>
  <c r="U596" i="4" s="1"/>
  <c r="V596" i="4" s="1"/>
  <c r="R920" i="4"/>
  <c r="S920" i="4" s="1"/>
  <c r="U920" i="4" s="1"/>
  <c r="V920" i="4" s="1"/>
  <c r="R761" i="4"/>
  <c r="S761" i="4" s="1"/>
  <c r="U761" i="4" s="1"/>
  <c r="V761" i="4" s="1"/>
  <c r="R437" i="4"/>
  <c r="S437" i="4" s="1"/>
  <c r="U437" i="4" s="1"/>
  <c r="V437" i="4" s="1"/>
  <c r="T561" i="4"/>
  <c r="O805" i="4"/>
  <c r="O1030" i="4"/>
  <c r="O678" i="4"/>
  <c r="O619" i="4"/>
  <c r="O740" i="4"/>
  <c r="O1032" i="4"/>
  <c r="O712" i="4"/>
  <c r="O779" i="4"/>
  <c r="Q869" i="4"/>
  <c r="O615" i="4"/>
  <c r="O745" i="4"/>
  <c r="O811" i="4"/>
  <c r="O714" i="4"/>
  <c r="O710" i="4"/>
  <c r="O679" i="4"/>
  <c r="P617" i="4"/>
  <c r="P678" i="4"/>
  <c r="O937" i="4"/>
  <c r="O775" i="4"/>
  <c r="Q1031" i="4"/>
  <c r="Q1032" i="4"/>
  <c r="P741" i="4"/>
  <c r="P1067" i="4"/>
  <c r="P740" i="4"/>
  <c r="Q614" i="4"/>
  <c r="Q937" i="4"/>
  <c r="Q1003" i="4"/>
  <c r="P745" i="4"/>
  <c r="Q1034" i="4"/>
  <c r="Q1035" i="4"/>
  <c r="P964" i="4"/>
  <c r="R1056" i="4"/>
  <c r="S1056" i="4" s="1"/>
  <c r="U1056" i="4" s="1"/>
  <c r="V1056" i="4" s="1"/>
  <c r="R694" i="4"/>
  <c r="S694" i="4" s="1"/>
  <c r="U694" i="4" s="1"/>
  <c r="V694" i="4" s="1"/>
  <c r="R897" i="4"/>
  <c r="S897" i="4" s="1"/>
  <c r="U897" i="4" s="1"/>
  <c r="V897" i="4" s="1"/>
  <c r="R864" i="4"/>
  <c r="S864" i="4" s="1"/>
  <c r="U864" i="4" s="1"/>
  <c r="V864" i="4" s="1"/>
  <c r="R86" i="4"/>
  <c r="S86" i="4" s="1"/>
  <c r="U86" i="4" s="1"/>
  <c r="V86" i="4" s="1"/>
  <c r="O774" i="4"/>
  <c r="O747" i="4"/>
  <c r="O873" i="4"/>
  <c r="Q842" i="4"/>
  <c r="O965" i="4"/>
  <c r="O936" i="4"/>
  <c r="P778" i="4"/>
  <c r="O868" i="4"/>
  <c r="O905" i="4"/>
  <c r="Q747" i="4"/>
  <c r="P938" i="4"/>
  <c r="O681" i="4"/>
  <c r="P996" i="4"/>
  <c r="O711" i="4"/>
  <c r="P805" i="4"/>
  <c r="O776" i="4"/>
  <c r="O939" i="4"/>
  <c r="O644" i="4"/>
  <c r="P774" i="4"/>
  <c r="P582" i="4"/>
  <c r="P772" i="4"/>
  <c r="Q843" i="4"/>
  <c r="Q807" i="4"/>
  <c r="Q710" i="4"/>
  <c r="Q619" i="4"/>
  <c r="P586" i="4"/>
  <c r="Q810" i="4"/>
  <c r="P644" i="4"/>
  <c r="Q970" i="4"/>
  <c r="P777" i="4"/>
  <c r="Q612" i="4"/>
  <c r="R666" i="4"/>
  <c r="S666" i="4" s="1"/>
  <c r="T666" i="4" s="1"/>
  <c r="R1025" i="4"/>
  <c r="S1025" i="4" s="1"/>
  <c r="T1025" i="4" s="1"/>
  <c r="R791" i="4"/>
  <c r="S791" i="4" s="1"/>
  <c r="T791" i="4" s="1"/>
  <c r="R277" i="4"/>
  <c r="S277" i="4" s="1"/>
  <c r="T277" i="4" s="1"/>
  <c r="U722" i="4"/>
  <c r="V722" i="4" s="1"/>
  <c r="R735" i="4"/>
  <c r="S735" i="4" s="1"/>
  <c r="U735" i="4" s="1"/>
  <c r="V735" i="4" s="1"/>
  <c r="O744" i="4"/>
  <c r="O743" i="4"/>
  <c r="O1002" i="4"/>
  <c r="O582" i="4"/>
  <c r="O809" i="4"/>
  <c r="O1066" i="4"/>
  <c r="Q744" i="4"/>
  <c r="O1060" i="4"/>
  <c r="O613" i="4"/>
  <c r="P873" i="4"/>
  <c r="Q583" i="4"/>
  <c r="O649" i="4"/>
  <c r="P842" i="4"/>
  <c r="Q678" i="4"/>
  <c r="Q774" i="4"/>
  <c r="O933" i="4"/>
  <c r="Q1063" i="4"/>
  <c r="O586" i="4"/>
  <c r="O1061" i="4"/>
  <c r="P1028" i="4"/>
  <c r="P998" i="4"/>
  <c r="Q1001" i="4"/>
  <c r="P1034" i="4"/>
  <c r="P806" i="4"/>
  <c r="P773" i="4"/>
  <c r="Q773" i="4"/>
  <c r="P1033" i="4"/>
  <c r="P677" i="4"/>
  <c r="P997" i="4"/>
  <c r="Q997" i="4"/>
  <c r="P645" i="4"/>
  <c r="U654" i="4"/>
  <c r="V654" i="4" s="1"/>
  <c r="T654" i="4"/>
  <c r="Q384" i="4"/>
  <c r="P453" i="4"/>
  <c r="Q251" i="4"/>
  <c r="Q62" i="4"/>
  <c r="P60" i="4"/>
  <c r="P102" i="4"/>
  <c r="P218" i="4"/>
  <c r="Q478" i="4"/>
  <c r="Q294" i="4"/>
  <c r="P319" i="4"/>
  <c r="P505" i="4"/>
  <c r="P219" i="4"/>
  <c r="Q870" i="4"/>
  <c r="Q836" i="4"/>
  <c r="O808" i="4"/>
  <c r="O874" i="4"/>
  <c r="O715" i="4"/>
  <c r="O971" i="4"/>
  <c r="O1003" i="4"/>
  <c r="P581" i="4"/>
  <c r="P681" i="4"/>
  <c r="Q809" i="4"/>
  <c r="P903" i="4"/>
  <c r="Q616" i="4"/>
  <c r="Q841" i="4"/>
  <c r="P711" i="4"/>
  <c r="P1000" i="4"/>
  <c r="Q679" i="4"/>
  <c r="Q905" i="4"/>
  <c r="P1029" i="4"/>
  <c r="Q875" i="4"/>
  <c r="P708" i="4"/>
  <c r="P613" i="4"/>
  <c r="Q964" i="4"/>
  <c r="Q745" i="4"/>
  <c r="P838" i="4"/>
  <c r="Q1029" i="4"/>
  <c r="P837" i="4"/>
  <c r="P680" i="4"/>
  <c r="Q933" i="4"/>
  <c r="P348" i="4"/>
  <c r="P196" i="4"/>
  <c r="P314" i="4"/>
  <c r="Q295" i="4"/>
  <c r="P100" i="4"/>
  <c r="P123" i="4"/>
  <c r="Q512" i="4"/>
  <c r="Q292" i="4"/>
  <c r="Q232" i="4"/>
  <c r="P250" i="4"/>
  <c r="Q58" i="4"/>
  <c r="P506" i="4"/>
  <c r="O838" i="4"/>
  <c r="O932" i="4"/>
  <c r="Q1030" i="4"/>
  <c r="P1002" i="4"/>
  <c r="P618" i="4"/>
  <c r="P1063" i="4"/>
  <c r="P650" i="4"/>
  <c r="O841" i="4"/>
  <c r="Q650" i="4"/>
  <c r="O676" i="4"/>
  <c r="O969" i="4"/>
  <c r="Q996" i="4"/>
  <c r="O1031" i="4"/>
  <c r="O708" i="4"/>
  <c r="O682" i="4"/>
  <c r="O934" i="4"/>
  <c r="Q676" i="4"/>
  <c r="P809" i="4"/>
  <c r="P907" i="4"/>
  <c r="P900" i="4"/>
  <c r="Q681" i="4"/>
  <c r="Q806" i="4"/>
  <c r="P616" i="4"/>
  <c r="Q646" i="4"/>
  <c r="Q1062" i="4"/>
  <c r="P868" i="4"/>
  <c r="P810" i="4"/>
  <c r="P651" i="4"/>
  <c r="P874" i="4"/>
  <c r="Q872" i="4"/>
  <c r="Q587" i="4"/>
  <c r="Q683" i="4"/>
  <c r="Q907" i="4"/>
  <c r="P683" i="4"/>
  <c r="Q677" i="4"/>
  <c r="Q647" i="4"/>
  <c r="P999" i="4"/>
  <c r="R374" i="4"/>
  <c r="S374" i="4" s="1"/>
  <c r="U374" i="4" s="1"/>
  <c r="V374" i="4" s="1"/>
  <c r="Q651" i="4"/>
  <c r="Q840" i="4"/>
  <c r="P1031" i="4"/>
  <c r="Q998" i="4"/>
  <c r="Q613" i="4"/>
  <c r="P937" i="4"/>
  <c r="P966" i="4"/>
  <c r="Q742" i="4"/>
  <c r="Q1060" i="4"/>
  <c r="P712" i="4"/>
  <c r="P775" i="4"/>
  <c r="Q1065" i="4"/>
  <c r="Q709" i="4"/>
  <c r="P715" i="4"/>
  <c r="Q900" i="4"/>
  <c r="P746" i="4"/>
  <c r="P709" i="4"/>
  <c r="P646" i="4"/>
  <c r="P939" i="4"/>
  <c r="Q615" i="4"/>
  <c r="R611" i="4"/>
  <c r="S611" i="4" s="1"/>
  <c r="T611" i="4" s="1"/>
  <c r="R310" i="4"/>
  <c r="S310" i="4" s="1"/>
  <c r="T310" i="4" s="1"/>
  <c r="U876" i="4"/>
  <c r="V876" i="4" s="1"/>
  <c r="T876" i="4"/>
  <c r="U653" i="4"/>
  <c r="V653" i="4" s="1"/>
  <c r="T653" i="4"/>
  <c r="R858" i="4"/>
  <c r="S858" i="4" s="1"/>
  <c r="U858" i="4" s="1"/>
  <c r="V858" i="4" s="1"/>
  <c r="R727" i="4"/>
  <c r="S727" i="4" s="1"/>
  <c r="T727" i="4" s="1"/>
  <c r="R605" i="4"/>
  <c r="S605" i="4" s="1"/>
  <c r="U605" i="4" s="1"/>
  <c r="V605" i="4" s="1"/>
  <c r="U557" i="4"/>
  <c r="V557" i="4" s="1"/>
  <c r="P1003" i="4"/>
  <c r="P839" i="4"/>
  <c r="Q708" i="4"/>
  <c r="P807" i="4"/>
  <c r="P1060" i="4"/>
  <c r="Q939" i="4"/>
  <c r="P584" i="4"/>
  <c r="P614" i="4"/>
  <c r="Q1000" i="4"/>
  <c r="Q932" i="4"/>
  <c r="P647" i="4"/>
  <c r="Q680" i="4"/>
  <c r="T780" i="4"/>
  <c r="R373" i="4"/>
  <c r="S373" i="4" s="1"/>
  <c r="U373" i="4" s="1"/>
  <c r="V373" i="4" s="1"/>
  <c r="R52" i="4"/>
  <c r="S52" i="4" s="1"/>
  <c r="T655" i="4"/>
  <c r="R1053" i="4"/>
  <c r="S1053" i="4" s="1"/>
  <c r="U1053" i="4" s="1"/>
  <c r="V1053" i="4" s="1"/>
  <c r="R53" i="4"/>
  <c r="S53" i="4" s="1"/>
  <c r="U53" i="4" s="1"/>
  <c r="V53" i="4" s="1"/>
  <c r="U1008" i="4"/>
  <c r="V1008" i="4" s="1"/>
  <c r="T1008" i="4"/>
  <c r="R865" i="4"/>
  <c r="S865" i="4" s="1"/>
  <c r="R702" i="4"/>
  <c r="S702" i="4" s="1"/>
  <c r="U702" i="4" s="1"/>
  <c r="V702" i="4" s="1"/>
  <c r="R801" i="4"/>
  <c r="S801" i="4" s="1"/>
  <c r="U801" i="4" s="1"/>
  <c r="V801" i="4" s="1"/>
  <c r="R660" i="4"/>
  <c r="S660" i="4" s="1"/>
  <c r="U660" i="4" s="1"/>
  <c r="V660" i="4" s="1"/>
  <c r="R949" i="4"/>
  <c r="S949" i="4" s="1"/>
  <c r="R606" i="4"/>
  <c r="S606" i="4" s="1"/>
  <c r="U606" i="4" s="1"/>
  <c r="V606" i="4" s="1"/>
  <c r="R923" i="4"/>
  <c r="S923" i="4" s="1"/>
  <c r="U923" i="4" s="1"/>
  <c r="V923" i="4" s="1"/>
  <c r="U721" i="4"/>
  <c r="V721" i="4" s="1"/>
  <c r="T721" i="4"/>
  <c r="Q476" i="4"/>
  <c r="P294" i="4"/>
  <c r="Q517" i="4"/>
  <c r="P476" i="4"/>
  <c r="Q287" i="4"/>
  <c r="P197" i="4"/>
  <c r="Q424" i="4"/>
  <c r="P487" i="4"/>
  <c r="P252" i="4"/>
  <c r="Q293" i="4"/>
  <c r="P517" i="4"/>
  <c r="P293" i="4"/>
  <c r="P510" i="4"/>
  <c r="Q391" i="4"/>
  <c r="P444" i="4"/>
  <c r="Q223" i="4"/>
  <c r="P358" i="4"/>
  <c r="Q422" i="4"/>
  <c r="Q487" i="4"/>
  <c r="P349" i="4"/>
  <c r="Q166" i="4"/>
  <c r="P229" i="4"/>
  <c r="P518" i="4"/>
  <c r="Q160" i="4"/>
  <c r="Q224" i="4"/>
  <c r="P479" i="4"/>
  <c r="Q325" i="4"/>
  <c r="Q479" i="4"/>
  <c r="P415" i="4"/>
  <c r="Q93" i="4"/>
  <c r="Q36" i="4"/>
  <c r="Q390" i="4"/>
  <c r="Q197" i="4"/>
  <c r="Q262" i="4"/>
  <c r="Q447" i="4"/>
  <c r="P485" i="4"/>
  <c r="P255" i="4"/>
  <c r="Q102" i="4"/>
  <c r="Q381" i="4"/>
  <c r="Q296" i="4"/>
  <c r="P39" i="4"/>
  <c r="P30" i="4"/>
  <c r="Q360" i="4"/>
  <c r="Q452" i="4"/>
  <c r="Q519" i="4"/>
  <c r="Q134" i="4"/>
  <c r="P478" i="4"/>
  <c r="Q444" i="4"/>
  <c r="P38" i="4"/>
  <c r="P295" i="4"/>
  <c r="P445" i="4"/>
  <c r="P63" i="4"/>
  <c r="Q128" i="4"/>
  <c r="Q284" i="4"/>
  <c r="Q327" i="4"/>
  <c r="Q264" i="4"/>
  <c r="Q168" i="4"/>
  <c r="Q486" i="4"/>
  <c r="P420" i="4"/>
  <c r="Q252" i="4"/>
  <c r="P164" i="4"/>
  <c r="Q348" i="4"/>
  <c r="P125" i="4"/>
  <c r="Q100" i="4"/>
  <c r="Q453" i="4"/>
  <c r="P223" i="4"/>
  <c r="P318" i="4"/>
  <c r="Q96" i="4"/>
  <c r="Q70" i="4"/>
  <c r="Q164" i="4"/>
  <c r="Q352" i="4"/>
  <c r="Q39" i="4"/>
  <c r="Q104" i="4"/>
  <c r="P165" i="4"/>
  <c r="P389" i="4"/>
  <c r="P101" i="4"/>
  <c r="P285" i="4"/>
  <c r="Q488" i="4"/>
  <c r="Q510" i="4"/>
  <c r="Q95" i="4"/>
  <c r="P260" i="4"/>
  <c r="O255" i="4"/>
  <c r="O349" i="4"/>
  <c r="O516" i="4"/>
  <c r="P28" i="4"/>
  <c r="O485" i="4"/>
  <c r="P29" i="4"/>
  <c r="P36" i="4"/>
  <c r="Q456" i="4"/>
  <c r="Q416" i="4"/>
  <c r="P452" i="4"/>
  <c r="Q285" i="4"/>
  <c r="Q357" i="4"/>
  <c r="P484" i="4"/>
  <c r="Q328" i="4"/>
  <c r="Q125" i="4"/>
  <c r="P126" i="4"/>
  <c r="P189" i="4"/>
  <c r="P511" i="4"/>
  <c r="Q288" i="4"/>
  <c r="Q189" i="4"/>
  <c r="P486" i="4"/>
  <c r="Q415" i="4"/>
  <c r="P287" i="4"/>
  <c r="P391" i="4"/>
  <c r="Q319" i="4"/>
  <c r="Q326" i="4"/>
  <c r="Q196" i="4"/>
  <c r="Q103" i="4"/>
  <c r="P316" i="4"/>
  <c r="Q198" i="4"/>
  <c r="P422" i="4"/>
  <c r="P262" i="4"/>
  <c r="Q38" i="4"/>
  <c r="Q222" i="4"/>
  <c r="P134" i="4"/>
  <c r="P93" i="4"/>
  <c r="Q126" i="4"/>
  <c r="Q30" i="4"/>
  <c r="P284" i="4"/>
  <c r="Q231" i="4"/>
  <c r="O124" i="4"/>
  <c r="P167" i="4"/>
  <c r="Q28" i="4"/>
  <c r="O262" i="4"/>
  <c r="P92" i="4"/>
  <c r="O158" i="4"/>
  <c r="Q133" i="4"/>
  <c r="Q477" i="4"/>
  <c r="Q230" i="4"/>
  <c r="O445" i="4"/>
  <c r="U687" i="4"/>
  <c r="V687" i="4" s="1"/>
  <c r="T687" i="4"/>
  <c r="Q29" i="4"/>
  <c r="T720" i="4"/>
  <c r="Q392" i="4"/>
  <c r="Q64" i="4"/>
  <c r="R738" i="4"/>
  <c r="S738" i="4" s="1"/>
  <c r="T738" i="4" s="1"/>
  <c r="T781" i="4"/>
  <c r="U781" i="4"/>
  <c r="V781" i="4" s="1"/>
  <c r="Q808" i="4"/>
  <c r="P1035" i="4"/>
  <c r="P776" i="4"/>
  <c r="P587" i="4"/>
  <c r="U877" i="4"/>
  <c r="V877" i="4" s="1"/>
  <c r="T877" i="4"/>
  <c r="T688" i="4"/>
  <c r="U688" i="4"/>
  <c r="V688" i="4" s="1"/>
  <c r="R860" i="4"/>
  <c r="S860" i="4" s="1"/>
  <c r="R565" i="4"/>
  <c r="S565" i="4" s="1"/>
  <c r="U565" i="4" s="1"/>
  <c r="V565" i="4" s="1"/>
  <c r="R436" i="4"/>
  <c r="S436" i="4" s="1"/>
  <c r="T436" i="4" s="1"/>
  <c r="Q649" i="4"/>
  <c r="Q779" i="4"/>
  <c r="Q871" i="4"/>
  <c r="P648" i="4"/>
  <c r="Q715" i="4"/>
  <c r="Q585" i="4"/>
  <c r="R788" i="4"/>
  <c r="S788" i="4" s="1"/>
  <c r="Q811" i="4"/>
  <c r="P1001" i="4"/>
  <c r="P905" i="4"/>
  <c r="Q839" i="4"/>
  <c r="P969" i="4"/>
  <c r="P872" i="4"/>
  <c r="Q586" i="4"/>
  <c r="P841" i="4"/>
  <c r="Q712" i="4"/>
  <c r="P779" i="4"/>
  <c r="Q1064" i="4"/>
  <c r="P935" i="4"/>
  <c r="Q906" i="4"/>
  <c r="P871" i="4"/>
  <c r="P808" i="4"/>
  <c r="R756" i="4"/>
  <c r="S756" i="4" s="1"/>
  <c r="T756" i="4" s="1"/>
  <c r="R792" i="4"/>
  <c r="S792" i="4" s="1"/>
  <c r="U792" i="4" s="1"/>
  <c r="V792" i="4" s="1"/>
  <c r="R633" i="4"/>
  <c r="S633" i="4" s="1"/>
  <c r="U633" i="4" s="1"/>
  <c r="V633" i="4" s="1"/>
  <c r="R1044" i="4"/>
  <c r="S1044" i="4" s="1"/>
  <c r="U1044" i="4" s="1"/>
  <c r="V1044" i="4" s="1"/>
  <c r="R118" i="4"/>
  <c r="S118" i="4" s="1"/>
  <c r="T118" i="4" s="1"/>
  <c r="R995" i="4"/>
  <c r="S995" i="4" s="1"/>
  <c r="U995" i="4" s="1"/>
  <c r="V995" i="4" s="1"/>
  <c r="P875" i="4"/>
  <c r="P970" i="4"/>
  <c r="P710" i="4"/>
  <c r="P971" i="4"/>
  <c r="Q1067" i="4"/>
  <c r="P585" i="4"/>
  <c r="Q969" i="4"/>
  <c r="Q776" i="4"/>
  <c r="Q935" i="4"/>
  <c r="R1017" i="4"/>
  <c r="S1017" i="4" s="1"/>
  <c r="R564" i="4"/>
  <c r="S564" i="4" s="1"/>
  <c r="U564" i="4" s="1"/>
  <c r="V564" i="4" s="1"/>
  <c r="R469" i="4"/>
  <c r="S469" i="4" s="1"/>
  <c r="Q714" i="4"/>
  <c r="P1062" i="4"/>
  <c r="P615" i="4"/>
  <c r="P968" i="4"/>
  <c r="Q584" i="4"/>
  <c r="R665" i="4"/>
  <c r="S665" i="4" s="1"/>
  <c r="T665" i="4" s="1"/>
  <c r="U1037" i="4"/>
  <c r="V1037" i="4" s="1"/>
  <c r="T1037" i="4"/>
  <c r="R1048" i="4"/>
  <c r="S1048" i="4" s="1"/>
  <c r="U1048" i="4" s="1"/>
  <c r="V1048" i="4" s="1"/>
  <c r="R598" i="4"/>
  <c r="S598" i="4" s="1"/>
  <c r="U598" i="4" s="1"/>
  <c r="V598" i="4" s="1"/>
  <c r="T1042" i="4"/>
  <c r="U754" i="4"/>
  <c r="V754" i="4" s="1"/>
  <c r="T754" i="4"/>
  <c r="U882" i="4"/>
  <c r="V882" i="4" s="1"/>
  <c r="T882" i="4"/>
  <c r="U946" i="4"/>
  <c r="V946" i="4" s="1"/>
  <c r="T946" i="4"/>
  <c r="U594" i="4"/>
  <c r="V594" i="4" s="1"/>
  <c r="T594" i="4"/>
  <c r="U690" i="4"/>
  <c r="V690" i="4" s="1"/>
  <c r="T690" i="4"/>
  <c r="R18" i="5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R84" i="5" s="1"/>
  <c r="R85" i="5" s="1"/>
  <c r="R86" i="5" s="1"/>
  <c r="R87" i="5" s="1"/>
  <c r="R88" i="5" s="1"/>
  <c r="R89" i="5" s="1"/>
  <c r="R90" i="5" s="1"/>
  <c r="R91" i="5" s="1"/>
  <c r="R92" i="5" s="1"/>
  <c r="R93" i="5" s="1"/>
  <c r="R94" i="5" s="1"/>
  <c r="R95" i="5" s="1"/>
  <c r="R96" i="5" s="1"/>
  <c r="R97" i="5" s="1"/>
  <c r="R98" i="5" s="1"/>
  <c r="R99" i="5" s="1"/>
  <c r="R100" i="5" s="1"/>
  <c r="R101" i="5" s="1"/>
  <c r="R102" i="5" s="1"/>
  <c r="R103" i="5" s="1"/>
  <c r="R104" i="5" s="1"/>
  <c r="R105" i="5" s="1"/>
  <c r="R106" i="5" s="1"/>
  <c r="R107" i="5" s="1"/>
  <c r="R108" i="5" s="1"/>
  <c r="R109" i="5" s="1"/>
  <c r="R110" i="5" s="1"/>
  <c r="R111" i="5" s="1"/>
  <c r="R112" i="5" s="1"/>
  <c r="P34" i="4"/>
  <c r="U978" i="4"/>
  <c r="V978" i="4" s="1"/>
  <c r="T978" i="4"/>
  <c r="U818" i="4"/>
  <c r="V818" i="4" s="1"/>
  <c r="T818" i="4"/>
  <c r="U658" i="4"/>
  <c r="V658" i="4" s="1"/>
  <c r="T658" i="4"/>
  <c r="U1010" i="4"/>
  <c r="V1010" i="4" s="1"/>
  <c r="T1010" i="4"/>
  <c r="U786" i="4"/>
  <c r="V786" i="4" s="1"/>
  <c r="T786" i="4"/>
  <c r="U562" i="4"/>
  <c r="V562" i="4" s="1"/>
  <c r="T562" i="4"/>
  <c r="U626" i="4"/>
  <c r="V626" i="4" s="1"/>
  <c r="T626" i="4"/>
  <c r="U914" i="4"/>
  <c r="V914" i="4" s="1"/>
  <c r="T914" i="4"/>
  <c r="U850" i="4"/>
  <c r="V850" i="4" s="1"/>
  <c r="T850" i="4"/>
  <c r="S215" i="4" l="1"/>
  <c r="U215" i="4" s="1"/>
  <c r="V215" i="4" s="1"/>
  <c r="T597" i="4"/>
  <c r="U803" i="4"/>
  <c r="V803" i="4" s="1"/>
  <c r="R838" i="4"/>
  <c r="S838" i="4" s="1"/>
  <c r="U838" i="4" s="1"/>
  <c r="V838" i="4" s="1"/>
  <c r="U896" i="4"/>
  <c r="V896" i="4" s="1"/>
  <c r="T699" i="4"/>
  <c r="T821" i="4"/>
  <c r="T852" i="4"/>
  <c r="U851" i="4"/>
  <c r="V851" i="4" s="1"/>
  <c r="T705" i="4"/>
  <c r="T797" i="4"/>
  <c r="T925" i="4"/>
  <c r="T898" i="4"/>
  <c r="T1019" i="4"/>
  <c r="T696" i="4"/>
  <c r="U917" i="4"/>
  <c r="V917" i="4" s="1"/>
  <c r="T991" i="4"/>
  <c r="T794" i="4"/>
  <c r="T150" i="4"/>
  <c r="U984" i="4"/>
  <c r="V984" i="4" s="1"/>
  <c r="R220" i="4"/>
  <c r="S220" i="4" s="1"/>
  <c r="T220" i="4" s="1"/>
  <c r="U1016" i="4"/>
  <c r="V1016" i="4" s="1"/>
  <c r="R811" i="4"/>
  <c r="S811" i="4" s="1"/>
  <c r="T811" i="4" s="1"/>
  <c r="R484" i="4"/>
  <c r="S484" i="4" s="1"/>
  <c r="T484" i="4" s="1"/>
  <c r="T737" i="4"/>
  <c r="U952" i="4"/>
  <c r="V952" i="4" s="1"/>
  <c r="T1046" i="4"/>
  <c r="R152" i="4"/>
  <c r="S152" i="4" s="1"/>
  <c r="T152" i="4" s="1"/>
  <c r="T643" i="4"/>
  <c r="T955" i="4"/>
  <c r="U826" i="4"/>
  <c r="V826" i="4" s="1"/>
  <c r="T729" i="4"/>
  <c r="T723" i="4"/>
  <c r="S247" i="4"/>
  <c r="U247" i="4" s="1"/>
  <c r="V247" i="4" s="1"/>
  <c r="U951" i="4"/>
  <c r="V951" i="4" s="1"/>
  <c r="T789" i="4"/>
  <c r="U759" i="4"/>
  <c r="V759" i="4" s="1"/>
  <c r="U958" i="4"/>
  <c r="V958" i="4" s="1"/>
  <c r="T830" i="4"/>
  <c r="T567" i="4"/>
  <c r="T982" i="4"/>
  <c r="S311" i="4"/>
  <c r="U311" i="4" s="1"/>
  <c r="V311" i="4" s="1"/>
  <c r="R58" i="4"/>
  <c r="S58" i="4" s="1"/>
  <c r="U58" i="4" s="1"/>
  <c r="V58" i="4" s="1"/>
  <c r="T819" i="4"/>
  <c r="T575" i="4"/>
  <c r="T857" i="4"/>
  <c r="T985" i="4"/>
  <c r="T668" i="4"/>
  <c r="U994" i="4"/>
  <c r="V994" i="4" s="1"/>
  <c r="R249" i="4"/>
  <c r="S249" i="4" s="1"/>
  <c r="U249" i="4" s="1"/>
  <c r="V249" i="4" s="1"/>
  <c r="T638" i="4"/>
  <c r="T571" i="4"/>
  <c r="R350" i="4"/>
  <c r="S350" i="4" s="1"/>
  <c r="T116" i="4"/>
  <c r="R1066" i="4"/>
  <c r="S1066" i="4" s="1"/>
  <c r="T1066" i="4" s="1"/>
  <c r="R255" i="4"/>
  <c r="S255" i="4" s="1"/>
  <c r="U255" i="4" s="1"/>
  <c r="V255" i="4" s="1"/>
  <c r="U501" i="4"/>
  <c r="V501" i="4" s="1"/>
  <c r="T861" i="4"/>
  <c r="U700" i="4"/>
  <c r="V700" i="4" s="1"/>
  <c r="R971" i="4"/>
  <c r="S971" i="4" s="1"/>
  <c r="U971" i="4" s="1"/>
  <c r="V971" i="4" s="1"/>
  <c r="T790" i="4"/>
  <c r="T795" i="4"/>
  <c r="U963" i="4"/>
  <c r="V963" i="4" s="1"/>
  <c r="T963" i="4"/>
  <c r="U863" i="4"/>
  <c r="V863" i="4" s="1"/>
  <c r="T863" i="4"/>
  <c r="U1051" i="4"/>
  <c r="V1051" i="4" s="1"/>
  <c r="T1051" i="4"/>
  <c r="T926" i="4"/>
  <c r="U787" i="4"/>
  <c r="V787" i="4" s="1"/>
  <c r="T692" i="4"/>
  <c r="S23" i="4"/>
  <c r="T23" i="4" s="1"/>
  <c r="R88" i="4"/>
  <c r="S88" i="4" s="1"/>
  <c r="T88" i="4" s="1"/>
  <c r="R376" i="4"/>
  <c r="S376" i="4" s="1"/>
  <c r="U376" i="4" s="1"/>
  <c r="V376" i="4" s="1"/>
  <c r="T929" i="4"/>
  <c r="R248" i="4"/>
  <c r="S248" i="4" s="1"/>
  <c r="U248" i="4" s="1"/>
  <c r="V248" i="4" s="1"/>
  <c r="U602" i="4"/>
  <c r="V602" i="4" s="1"/>
  <c r="R583" i="4"/>
  <c r="S583" i="4" s="1"/>
  <c r="T583" i="4" s="1"/>
  <c r="T755" i="4"/>
  <c r="T927" i="4"/>
  <c r="U954" i="4"/>
  <c r="V954" i="4" s="1"/>
  <c r="T954" i="4"/>
  <c r="U632" i="4"/>
  <c r="V632" i="4" s="1"/>
  <c r="R380" i="4"/>
  <c r="S380" i="4" s="1"/>
  <c r="U380" i="4" s="1"/>
  <c r="V380" i="4" s="1"/>
  <c r="T579" i="4"/>
  <c r="U84" i="4"/>
  <c r="V84" i="4" s="1"/>
  <c r="T758" i="4"/>
  <c r="T889" i="4"/>
  <c r="R167" i="4"/>
  <c r="S167" i="4" s="1"/>
  <c r="T167" i="4" s="1"/>
  <c r="R318" i="4"/>
  <c r="S318" i="4" s="1"/>
  <c r="U318" i="4" s="1"/>
  <c r="V318" i="4" s="1"/>
  <c r="U834" i="4"/>
  <c r="V834" i="4" s="1"/>
  <c r="R216" i="4"/>
  <c r="S216" i="4" s="1"/>
  <c r="U216" i="4" s="1"/>
  <c r="V216" i="4" s="1"/>
  <c r="U609" i="4"/>
  <c r="V609" i="4" s="1"/>
  <c r="U856" i="4"/>
  <c r="V856" i="4" s="1"/>
  <c r="T856" i="4"/>
  <c r="T596" i="4"/>
  <c r="U627" i="4"/>
  <c r="V627" i="4" s="1"/>
  <c r="U662" i="4"/>
  <c r="V662" i="4" s="1"/>
  <c r="T1023" i="4"/>
  <c r="U1058" i="4"/>
  <c r="V1058" i="4" s="1"/>
  <c r="R518" i="4"/>
  <c r="S518" i="4" s="1"/>
  <c r="T518" i="4" s="1"/>
  <c r="U924" i="4"/>
  <c r="V924" i="4" s="1"/>
  <c r="R504" i="4"/>
  <c r="S504" i="4" s="1"/>
  <c r="U504" i="4" s="1"/>
  <c r="V504" i="4" s="1"/>
  <c r="T950" i="4"/>
  <c r="S183" i="4"/>
  <c r="U183" i="4" s="1"/>
  <c r="V183" i="4" s="1"/>
  <c r="S151" i="4"/>
  <c r="U151" i="4" s="1"/>
  <c r="V151" i="4" s="1"/>
  <c r="S439" i="4"/>
  <c r="U439" i="4" s="1"/>
  <c r="V439" i="4" s="1"/>
  <c r="R155" i="4"/>
  <c r="S155" i="4" s="1"/>
  <c r="U563" i="4"/>
  <c r="V563" i="4" s="1"/>
  <c r="T610" i="4"/>
  <c r="R70" i="4"/>
  <c r="S70" i="4" s="1"/>
  <c r="U70" i="4" s="1"/>
  <c r="V70" i="4" s="1"/>
  <c r="U791" i="4"/>
  <c r="V791" i="4" s="1"/>
  <c r="R389" i="4"/>
  <c r="S389" i="4" s="1"/>
  <c r="R777" i="4"/>
  <c r="S777" i="4" s="1"/>
  <c r="U777" i="4" s="1"/>
  <c r="V777" i="4" s="1"/>
  <c r="S503" i="4"/>
  <c r="T503" i="4" s="1"/>
  <c r="R447" i="4"/>
  <c r="S447" i="4" s="1"/>
  <c r="T447" i="4" s="1"/>
  <c r="R679" i="4"/>
  <c r="S679" i="4" s="1"/>
  <c r="U679" i="4" s="1"/>
  <c r="V679" i="4" s="1"/>
  <c r="R358" i="4"/>
  <c r="S358" i="4" s="1"/>
  <c r="U358" i="4" s="1"/>
  <c r="V358" i="4" s="1"/>
  <c r="R251" i="4"/>
  <c r="S251" i="4" s="1"/>
  <c r="T251" i="4" s="1"/>
  <c r="T739" i="4"/>
  <c r="T726" i="4"/>
  <c r="U763" i="4"/>
  <c r="V763" i="4" s="1"/>
  <c r="T763" i="4"/>
  <c r="R477" i="4"/>
  <c r="S477" i="4" s="1"/>
  <c r="U477" i="4" s="1"/>
  <c r="V477" i="4" s="1"/>
  <c r="T600" i="4"/>
  <c r="R56" i="4"/>
  <c r="S56" i="4" s="1"/>
  <c r="U56" i="4" s="1"/>
  <c r="V56" i="4" s="1"/>
  <c r="R472" i="4"/>
  <c r="S472" i="4" s="1"/>
  <c r="T472" i="4" s="1"/>
  <c r="U802" i="4"/>
  <c r="V802" i="4" s="1"/>
  <c r="T568" i="4"/>
  <c r="T1043" i="4"/>
  <c r="T915" i="4"/>
  <c r="T919" i="4"/>
  <c r="S343" i="4"/>
  <c r="U343" i="4" s="1"/>
  <c r="V343" i="4" s="1"/>
  <c r="R69" i="4"/>
  <c r="S69" i="4" s="1"/>
  <c r="T69" i="4" s="1"/>
  <c r="U566" i="4"/>
  <c r="V566" i="4" s="1"/>
  <c r="T566" i="4"/>
  <c r="T601" i="4"/>
  <c r="T757" i="4"/>
  <c r="R89" i="4"/>
  <c r="S89" i="4" s="1"/>
  <c r="T89" i="4" s="1"/>
  <c r="R968" i="4"/>
  <c r="S968" i="4" s="1"/>
  <c r="T968" i="4" s="1"/>
  <c r="R280" i="4"/>
  <c r="S280" i="4" s="1"/>
  <c r="U280" i="4" s="1"/>
  <c r="V280" i="4" s="1"/>
  <c r="R359" i="4"/>
  <c r="S359" i="4" s="1"/>
  <c r="U359" i="4" s="1"/>
  <c r="V359" i="4" s="1"/>
  <c r="R743" i="4"/>
  <c r="S743" i="4" s="1"/>
  <c r="R904" i="4"/>
  <c r="S904" i="4" s="1"/>
  <c r="U904" i="4" s="1"/>
  <c r="V904" i="4" s="1"/>
  <c r="R68" i="4"/>
  <c r="S68" i="4" s="1"/>
  <c r="T68" i="4" s="1"/>
  <c r="R159" i="4"/>
  <c r="S159" i="4" s="1"/>
  <c r="T159" i="4" s="1"/>
  <c r="R455" i="4"/>
  <c r="S455" i="4" s="1"/>
  <c r="U455" i="4" s="1"/>
  <c r="V455" i="4" s="1"/>
  <c r="R26" i="4"/>
  <c r="S26" i="4" s="1"/>
  <c r="U26" i="4" s="1"/>
  <c r="V26" i="4" s="1"/>
  <c r="R221" i="4"/>
  <c r="S221" i="4" s="1"/>
  <c r="U221" i="4" s="1"/>
  <c r="V221" i="4" s="1"/>
  <c r="U820" i="4"/>
  <c r="V820" i="4" s="1"/>
  <c r="T820" i="4"/>
  <c r="R57" i="4"/>
  <c r="S57" i="4" s="1"/>
  <c r="T57" i="4" s="1"/>
  <c r="R615" i="4"/>
  <c r="S615" i="4" s="1"/>
  <c r="U615" i="4" s="1"/>
  <c r="V615" i="4" s="1"/>
  <c r="T1053" i="4"/>
  <c r="R420" i="4"/>
  <c r="S420" i="4" s="1"/>
  <c r="U420" i="4" s="1"/>
  <c r="V420" i="4" s="1"/>
  <c r="U892" i="4"/>
  <c r="V892" i="4" s="1"/>
  <c r="R843" i="4"/>
  <c r="S843" i="4" s="1"/>
  <c r="U843" i="4" s="1"/>
  <c r="V843" i="4" s="1"/>
  <c r="T630" i="4"/>
  <c r="T858" i="4"/>
  <c r="R260" i="4"/>
  <c r="S260" i="4" s="1"/>
  <c r="T260" i="4" s="1"/>
  <c r="R346" i="4"/>
  <c r="S346" i="4" s="1"/>
  <c r="R379" i="4"/>
  <c r="S379" i="4" s="1"/>
  <c r="T574" i="4"/>
  <c r="U1055" i="4"/>
  <c r="V1055" i="4" s="1"/>
  <c r="U642" i="4"/>
  <c r="V642" i="4" s="1"/>
  <c r="R516" i="4"/>
  <c r="S516" i="4" s="1"/>
  <c r="S471" i="4"/>
  <c r="U471" i="4" s="1"/>
  <c r="V471" i="4" s="1"/>
  <c r="T437" i="4"/>
  <c r="U731" i="4"/>
  <c r="V731" i="4" s="1"/>
  <c r="R184" i="4"/>
  <c r="S184" i="4" s="1"/>
  <c r="T184" i="4" s="1"/>
  <c r="S119" i="4"/>
  <c r="U119" i="4" s="1"/>
  <c r="V119" i="4" s="1"/>
  <c r="R191" i="4"/>
  <c r="S191" i="4" s="1"/>
  <c r="U191" i="4" s="1"/>
  <c r="V191" i="4" s="1"/>
  <c r="R378" i="4"/>
  <c r="S378" i="4" s="1"/>
  <c r="R198" i="4"/>
  <c r="S198" i="4" s="1"/>
  <c r="T198" i="4" s="1"/>
  <c r="R648" i="4"/>
  <c r="S648" i="4" s="1"/>
  <c r="U648" i="4" s="1"/>
  <c r="V648" i="4" s="1"/>
  <c r="U695" i="4"/>
  <c r="V695" i="4" s="1"/>
  <c r="R63" i="4"/>
  <c r="S63" i="4" s="1"/>
  <c r="U63" i="4" s="1"/>
  <c r="V63" i="4" s="1"/>
  <c r="S87" i="4"/>
  <c r="U87" i="4" s="1"/>
  <c r="V87" i="4" s="1"/>
  <c r="U310" i="4"/>
  <c r="V310" i="4" s="1"/>
  <c r="R902" i="4"/>
  <c r="S902" i="4" s="1"/>
  <c r="T902" i="4" s="1"/>
  <c r="R446" i="4"/>
  <c r="S446" i="4" s="1"/>
  <c r="R254" i="4"/>
  <c r="S254" i="4" s="1"/>
  <c r="U254" i="4" s="1"/>
  <c r="V254" i="4" s="1"/>
  <c r="R474" i="4"/>
  <c r="S474" i="4" s="1"/>
  <c r="U474" i="4" s="1"/>
  <c r="V474" i="4" s="1"/>
  <c r="R715" i="4"/>
  <c r="S715" i="4" s="1"/>
  <c r="U715" i="4" s="1"/>
  <c r="V715" i="4" s="1"/>
  <c r="R440" i="4"/>
  <c r="S440" i="4" s="1"/>
  <c r="U440" i="4" s="1"/>
  <c r="V440" i="4" s="1"/>
  <c r="O450" i="4"/>
  <c r="R127" i="4"/>
  <c r="S127" i="4" s="1"/>
  <c r="U127" i="4" s="1"/>
  <c r="V127" i="4" s="1"/>
  <c r="R324" i="4"/>
  <c r="S324" i="4" s="1"/>
  <c r="T324" i="4" s="1"/>
  <c r="R1034" i="4"/>
  <c r="S1034" i="4" s="1"/>
  <c r="T1034" i="4" s="1"/>
  <c r="S279" i="4"/>
  <c r="T279" i="4" s="1"/>
  <c r="S375" i="4"/>
  <c r="U375" i="4" s="1"/>
  <c r="V375" i="4" s="1"/>
  <c r="Q98" i="4"/>
  <c r="O163" i="4"/>
  <c r="O482" i="4"/>
  <c r="O82" i="4"/>
  <c r="Q482" i="4"/>
  <c r="Q75" i="4"/>
  <c r="R932" i="4"/>
  <c r="S932" i="4" s="1"/>
  <c r="U932" i="4" s="1"/>
  <c r="V932" i="4" s="1"/>
  <c r="R24" i="4"/>
  <c r="S24" i="4" s="1"/>
  <c r="T24" i="4" s="1"/>
  <c r="O106" i="4"/>
  <c r="Q195" i="4"/>
  <c r="T987" i="4"/>
  <c r="Q362" i="4"/>
  <c r="U829" i="4"/>
  <c r="V829" i="4" s="1"/>
  <c r="R1002" i="4"/>
  <c r="S1002" i="4" s="1"/>
  <c r="T1002" i="4" s="1"/>
  <c r="S55" i="4"/>
  <c r="U55" i="4" s="1"/>
  <c r="V55" i="4" s="1"/>
  <c r="U704" i="4"/>
  <c r="V704" i="4" s="1"/>
  <c r="R351" i="4"/>
  <c r="S351" i="4" s="1"/>
  <c r="T351" i="4" s="1"/>
  <c r="O170" i="4"/>
  <c r="O226" i="4"/>
  <c r="P322" i="4"/>
  <c r="T953" i="4"/>
  <c r="T707" i="4"/>
  <c r="T835" i="4"/>
  <c r="R344" i="4"/>
  <c r="S344" i="4" s="1"/>
  <c r="U344" i="4" s="1"/>
  <c r="V344" i="4" s="1"/>
  <c r="R414" i="4"/>
  <c r="S414" i="4" s="1"/>
  <c r="Q138" i="4"/>
  <c r="T992" i="4"/>
  <c r="R231" i="4"/>
  <c r="S231" i="4" s="1"/>
  <c r="U231" i="4" s="1"/>
  <c r="V231" i="4" s="1"/>
  <c r="R408" i="4"/>
  <c r="S408" i="4" s="1"/>
  <c r="U408" i="4" s="1"/>
  <c r="V408" i="4" s="1"/>
  <c r="Q99" i="4"/>
  <c r="Q426" i="4"/>
  <c r="R217" i="4"/>
  <c r="S217" i="4" s="1"/>
  <c r="U217" i="4" s="1"/>
  <c r="V217" i="4" s="1"/>
  <c r="O235" i="4"/>
  <c r="O266" i="4"/>
  <c r="Q419" i="4"/>
  <c r="Q234" i="4"/>
  <c r="Q331" i="4"/>
  <c r="P426" i="4"/>
  <c r="Q227" i="4"/>
  <c r="O42" i="4"/>
  <c r="P98" i="4"/>
  <c r="O66" i="4"/>
  <c r="O227" i="4"/>
  <c r="O290" i="4"/>
  <c r="O523" i="4"/>
  <c r="P515" i="4"/>
  <c r="O426" i="4"/>
  <c r="Q131" i="4"/>
  <c r="Q162" i="4"/>
  <c r="P35" i="4"/>
  <c r="Q258" i="4"/>
  <c r="P99" i="4"/>
  <c r="P363" i="4"/>
  <c r="P74" i="4"/>
  <c r="Q67" i="4"/>
  <c r="Q163" i="4"/>
  <c r="P354" i="4"/>
  <c r="P194" i="4"/>
  <c r="Q483" i="4"/>
  <c r="U738" i="4"/>
  <c r="V738" i="4" s="1"/>
  <c r="O76" i="4"/>
  <c r="O43" i="4"/>
  <c r="Q459" i="4"/>
  <c r="P514" i="4"/>
  <c r="Q450" i="4"/>
  <c r="O162" i="4"/>
  <c r="Q139" i="4"/>
  <c r="P522" i="4"/>
  <c r="Q299" i="4"/>
  <c r="Q66" i="4"/>
  <c r="O522" i="4"/>
  <c r="O366" i="4"/>
  <c r="O300" i="4"/>
  <c r="P139" i="4"/>
  <c r="Q491" i="4"/>
  <c r="P130" i="4"/>
  <c r="P162" i="4"/>
  <c r="Q266" i="4"/>
  <c r="O515" i="4"/>
  <c r="O99" i="4"/>
  <c r="P203" i="4"/>
  <c r="Q267" i="4"/>
  <c r="O98" i="4"/>
  <c r="O395" i="4"/>
  <c r="O355" i="4"/>
  <c r="Q202" i="4"/>
  <c r="O490" i="4"/>
  <c r="Q515" i="4"/>
  <c r="Q354" i="4"/>
  <c r="Q35" i="4"/>
  <c r="Q226" i="4"/>
  <c r="O34" i="4"/>
  <c r="O427" i="4"/>
  <c r="Q42" i="4"/>
  <c r="O258" i="4"/>
  <c r="P202" i="4"/>
  <c r="Q106" i="4"/>
  <c r="Q171" i="4"/>
  <c r="P450" i="4"/>
  <c r="Q290" i="4"/>
  <c r="O354" i="4"/>
  <c r="O205" i="4"/>
  <c r="O418" i="4"/>
  <c r="O514" i="4"/>
  <c r="O451" i="4"/>
  <c r="Q522" i="4"/>
  <c r="O194" i="4"/>
  <c r="P394" i="4"/>
  <c r="P418" i="4"/>
  <c r="Q330" i="4"/>
  <c r="Q427" i="4"/>
  <c r="P226" i="4"/>
  <c r="Q387" i="4"/>
  <c r="Q194" i="4"/>
  <c r="Q386" i="4"/>
  <c r="Q259" i="4"/>
  <c r="Q43" i="4"/>
  <c r="P234" i="4"/>
  <c r="Q394" i="4"/>
  <c r="O330" i="4"/>
  <c r="P66" i="4"/>
  <c r="Q451" i="4"/>
  <c r="O202" i="4"/>
  <c r="P330" i="4"/>
  <c r="P490" i="4"/>
  <c r="Q74" i="4"/>
  <c r="O386" i="4"/>
  <c r="O458" i="4"/>
  <c r="O74" i="4"/>
  <c r="O394" i="4"/>
  <c r="P459" i="4"/>
  <c r="Q34" i="4"/>
  <c r="R34" i="4" s="1"/>
  <c r="P227" i="4"/>
  <c r="Q130" i="4"/>
  <c r="P258" i="4"/>
  <c r="P290" i="4"/>
  <c r="O419" i="4"/>
  <c r="Q355" i="4"/>
  <c r="Q490" i="4"/>
  <c r="O131" i="4"/>
  <c r="O298" i="4"/>
  <c r="O267" i="4"/>
  <c r="P387" i="4"/>
  <c r="P482" i="4"/>
  <c r="Q395" i="4"/>
  <c r="P42" i="4"/>
  <c r="P170" i="4"/>
  <c r="O331" i="4"/>
  <c r="P331" i="4"/>
  <c r="R331" i="4" s="1"/>
  <c r="P419" i="4"/>
  <c r="Q323" i="4"/>
  <c r="Q523" i="4"/>
  <c r="T631" i="4"/>
  <c r="U631" i="4"/>
  <c r="V631" i="4" s="1"/>
  <c r="R486" i="4"/>
  <c r="S486" i="4" s="1"/>
  <c r="U486" i="4" s="1"/>
  <c r="V486" i="4" s="1"/>
  <c r="R94" i="4"/>
  <c r="S94" i="4" s="1"/>
  <c r="T94" i="4" s="1"/>
  <c r="O481" i="4"/>
  <c r="T604" i="4"/>
  <c r="U604" i="4"/>
  <c r="V604" i="4" s="1"/>
  <c r="U1054" i="4"/>
  <c r="V1054" i="4" s="1"/>
  <c r="T1054" i="4"/>
  <c r="P200" i="4"/>
  <c r="R200" i="4" s="1"/>
  <c r="P72" i="4"/>
  <c r="R72" i="4" s="1"/>
  <c r="P169" i="4"/>
  <c r="R120" i="4"/>
  <c r="S120" i="4" s="1"/>
  <c r="U120" i="4" s="1"/>
  <c r="V120" i="4" s="1"/>
  <c r="P41" i="4"/>
  <c r="R999" i="4"/>
  <c r="S999" i="4" s="1"/>
  <c r="U999" i="4" s="1"/>
  <c r="V999" i="4" s="1"/>
  <c r="O40" i="4"/>
  <c r="P64" i="4"/>
  <c r="R64" i="4" s="1"/>
  <c r="Q393" i="4"/>
  <c r="P137" i="4"/>
  <c r="Q329" i="4"/>
  <c r="O424" i="4"/>
  <c r="P520" i="4"/>
  <c r="R520" i="4" s="1"/>
  <c r="O425" i="4"/>
  <c r="O289" i="4"/>
  <c r="O96" i="4"/>
  <c r="O329" i="4"/>
  <c r="P392" i="4"/>
  <c r="R392" i="4" s="1"/>
  <c r="R156" i="4"/>
  <c r="S156" i="4" s="1"/>
  <c r="T156" i="4" s="1"/>
  <c r="O32" i="4"/>
  <c r="P33" i="4"/>
  <c r="P353" i="4"/>
  <c r="P192" i="4"/>
  <c r="R192" i="4" s="1"/>
  <c r="T822" i="4"/>
  <c r="U822" i="4"/>
  <c r="V822" i="4" s="1"/>
  <c r="Q298" i="4"/>
  <c r="P266" i="4"/>
  <c r="P362" i="4"/>
  <c r="Q291" i="4"/>
  <c r="P106" i="4"/>
  <c r="P458" i="4"/>
  <c r="P40" i="4"/>
  <c r="R40" i="4" s="1"/>
  <c r="P105" i="4"/>
  <c r="P288" i="4"/>
  <c r="R288" i="4" s="1"/>
  <c r="Q449" i="4"/>
  <c r="Q361" i="4"/>
  <c r="P328" i="4"/>
  <c r="R328" i="4" s="1"/>
  <c r="Q297" i="4"/>
  <c r="P393" i="4"/>
  <c r="Q513" i="4"/>
  <c r="P297" i="4"/>
  <c r="P256" i="4"/>
  <c r="R256" i="4" s="1"/>
  <c r="P96" i="4"/>
  <c r="R96" i="4" s="1"/>
  <c r="O65" i="4"/>
  <c r="O352" i="4"/>
  <c r="S407" i="4"/>
  <c r="U407" i="4" s="1"/>
  <c r="V407" i="4" s="1"/>
  <c r="P416" i="4"/>
  <c r="R416" i="4" s="1"/>
  <c r="Q481" i="4"/>
  <c r="Q289" i="4"/>
  <c r="P232" i="4"/>
  <c r="R232" i="4" s="1"/>
  <c r="O385" i="4"/>
  <c r="O161" i="4"/>
  <c r="P104" i="4"/>
  <c r="R104" i="4" s="1"/>
  <c r="Q161" i="4"/>
  <c r="Q417" i="4"/>
  <c r="P193" i="4"/>
  <c r="O456" i="4"/>
  <c r="O513" i="4"/>
  <c r="O128" i="4"/>
  <c r="P480" i="4"/>
  <c r="R480" i="4" s="1"/>
  <c r="O265" i="4"/>
  <c r="O41" i="4"/>
  <c r="P321" i="4"/>
  <c r="Q385" i="4"/>
  <c r="O488" i="4"/>
  <c r="Q457" i="4"/>
  <c r="O520" i="4"/>
  <c r="O321" i="4"/>
  <c r="O257" i="4"/>
  <c r="O234" i="4"/>
  <c r="O138" i="4"/>
  <c r="O322" i="4"/>
  <c r="Q235" i="4"/>
  <c r="O130" i="4"/>
  <c r="O195" i="4"/>
  <c r="O362" i="4"/>
  <c r="O259" i="4"/>
  <c r="O459" i="4"/>
  <c r="Q203" i="4"/>
  <c r="Q418" i="4"/>
  <c r="P138" i="4"/>
  <c r="P298" i="4"/>
  <c r="Q363" i="4"/>
  <c r="Q170" i="4"/>
  <c r="Q458" i="4"/>
  <c r="Q107" i="4"/>
  <c r="Q322" i="4"/>
  <c r="Q514" i="4"/>
  <c r="P386" i="4"/>
  <c r="P513" i="4"/>
  <c r="Q489" i="4"/>
  <c r="O232" i="4"/>
  <c r="Q201" i="4"/>
  <c r="P161" i="4"/>
  <c r="P425" i="4"/>
  <c r="P449" i="4"/>
  <c r="P329" i="4"/>
  <c r="Q425" i="4"/>
  <c r="O416" i="4"/>
  <c r="O296" i="4"/>
  <c r="P32" i="4"/>
  <c r="R32" i="4" s="1"/>
  <c r="Q353" i="4"/>
  <c r="O457" i="4"/>
  <c r="P264" i="4"/>
  <c r="R264" i="4" s="1"/>
  <c r="P457" i="4"/>
  <c r="O256" i="4"/>
  <c r="O360" i="4"/>
  <c r="P128" i="4"/>
  <c r="R128" i="4" s="1"/>
  <c r="P481" i="4"/>
  <c r="P289" i="4"/>
  <c r="O33" i="4"/>
  <c r="O137" i="4"/>
  <c r="P352" i="4"/>
  <c r="R352" i="4" s="1"/>
  <c r="O417" i="4"/>
  <c r="P512" i="4"/>
  <c r="R512" i="4" s="1"/>
  <c r="P296" i="4"/>
  <c r="R296" i="4" s="1"/>
  <c r="S296" i="4" s="1"/>
  <c r="U296" i="4" s="1"/>
  <c r="V296" i="4" s="1"/>
  <c r="O328" i="4"/>
  <c r="Q169" i="4"/>
  <c r="P448" i="4"/>
  <c r="R448" i="4" s="1"/>
  <c r="Q105" i="4"/>
  <c r="Q257" i="4"/>
  <c r="O225" i="4"/>
  <c r="O264" i="4"/>
  <c r="Q521" i="4"/>
  <c r="O73" i="4"/>
  <c r="P361" i="4"/>
  <c r="O201" i="4"/>
  <c r="P385" i="4"/>
  <c r="O200" i="4"/>
  <c r="O233" i="4"/>
  <c r="P265" i="4"/>
  <c r="Q225" i="4"/>
  <c r="O384" i="4"/>
  <c r="Q73" i="4"/>
  <c r="Q137" i="4"/>
  <c r="P456" i="4"/>
  <c r="R456" i="4" s="1"/>
  <c r="P424" i="4"/>
  <c r="R424" i="4" s="1"/>
  <c r="O320" i="4"/>
  <c r="Q321" i="4"/>
  <c r="P97" i="4"/>
  <c r="Q129" i="4"/>
  <c r="O192" i="4"/>
  <c r="P233" i="4"/>
  <c r="P384" i="4"/>
  <c r="R384" i="4" s="1"/>
  <c r="O449" i="4"/>
  <c r="O480" i="4"/>
  <c r="O392" i="4"/>
  <c r="O64" i="4"/>
  <c r="O521" i="4"/>
  <c r="U855" i="4"/>
  <c r="V855" i="4" s="1"/>
  <c r="P488" i="4"/>
  <c r="R488" i="4" s="1"/>
  <c r="P73" i="4"/>
  <c r="P360" i="4"/>
  <c r="R360" i="4" s="1"/>
  <c r="P257" i="4"/>
  <c r="P168" i="4"/>
  <c r="R168" i="4" s="1"/>
  <c r="P129" i="4"/>
  <c r="P136" i="4"/>
  <c r="R136" i="4" s="1"/>
  <c r="Q41" i="4"/>
  <c r="Q193" i="4"/>
  <c r="O105" i="4"/>
  <c r="O136" i="4"/>
  <c r="Q233" i="4"/>
  <c r="P320" i="4"/>
  <c r="R320" i="4" s="1"/>
  <c r="O160" i="4"/>
  <c r="O448" i="4"/>
  <c r="O489" i="4"/>
  <c r="O224" i="4"/>
  <c r="O361" i="4"/>
  <c r="O168" i="4"/>
  <c r="O512" i="4"/>
  <c r="Q65" i="4"/>
  <c r="O97" i="4"/>
  <c r="P224" i="4"/>
  <c r="R224" i="4" s="1"/>
  <c r="P489" i="4"/>
  <c r="P201" i="4"/>
  <c r="P417" i="4"/>
  <c r="Q265" i="4"/>
  <c r="Q97" i="4"/>
  <c r="U890" i="4"/>
  <c r="V890" i="4" s="1"/>
  <c r="P225" i="4"/>
  <c r="O104" i="4"/>
  <c r="P65" i="4"/>
  <c r="O169" i="4"/>
  <c r="O393" i="4"/>
  <c r="O297" i="4"/>
  <c r="O72" i="4"/>
  <c r="P521" i="4"/>
  <c r="O129" i="4"/>
  <c r="O193" i="4"/>
  <c r="O288" i="4"/>
  <c r="P160" i="4"/>
  <c r="R160" i="4" s="1"/>
  <c r="Q33" i="4"/>
  <c r="O353" i="4"/>
  <c r="U1049" i="4"/>
  <c r="V1049" i="4" s="1"/>
  <c r="T1049" i="4"/>
  <c r="U697" i="4"/>
  <c r="V697" i="4" s="1"/>
  <c r="T697" i="4"/>
  <c r="T736" i="4"/>
  <c r="T948" i="4"/>
  <c r="T629" i="4"/>
  <c r="U665" i="4"/>
  <c r="V665" i="4" s="1"/>
  <c r="O483" i="4"/>
  <c r="O299" i="4"/>
  <c r="O75" i="4"/>
  <c r="O35" i="4"/>
  <c r="O291" i="4"/>
  <c r="O203" i="4"/>
  <c r="P195" i="4"/>
  <c r="Q300" i="4"/>
  <c r="T1014" i="4"/>
  <c r="O363" i="4"/>
  <c r="P235" i="4"/>
  <c r="O67" i="4"/>
  <c r="O107" i="4"/>
  <c r="P75" i="4"/>
  <c r="P259" i="4"/>
  <c r="U771" i="4"/>
  <c r="V771" i="4" s="1"/>
  <c r="P355" i="4"/>
  <c r="T53" i="4"/>
  <c r="T634" i="4"/>
  <c r="T599" i="4"/>
  <c r="T603" i="4"/>
  <c r="T673" i="4"/>
  <c r="O139" i="4"/>
  <c r="O171" i="4"/>
  <c r="O334" i="4"/>
  <c r="O323" i="4"/>
  <c r="O491" i="4"/>
  <c r="O387" i="4"/>
  <c r="P427" i="4"/>
  <c r="R295" i="4"/>
  <c r="S295" i="4" s="1"/>
  <c r="T295" i="4" s="1"/>
  <c r="R1060" i="4"/>
  <c r="S1060" i="4" s="1"/>
  <c r="T1060" i="4" s="1"/>
  <c r="U893" i="4"/>
  <c r="V893" i="4" s="1"/>
  <c r="T893" i="4"/>
  <c r="U961" i="4"/>
  <c r="V961" i="4" s="1"/>
  <c r="T961" i="4"/>
  <c r="U180" i="4"/>
  <c r="V180" i="4" s="1"/>
  <c r="U674" i="4"/>
  <c r="V674" i="4" s="1"/>
  <c r="T831" i="4"/>
  <c r="T760" i="4"/>
  <c r="R126" i="4"/>
  <c r="S126" i="4" s="1"/>
  <c r="U126" i="4" s="1"/>
  <c r="V126" i="4" s="1"/>
  <c r="T883" i="4"/>
  <c r="T930" i="4"/>
  <c r="T885" i="4"/>
  <c r="P43" i="4"/>
  <c r="T798" i="4"/>
  <c r="R709" i="4"/>
  <c r="S709" i="4" s="1"/>
  <c r="U709" i="4" s="1"/>
  <c r="V709" i="4" s="1"/>
  <c r="T800" i="4"/>
  <c r="U800" i="4"/>
  <c r="V800" i="4" s="1"/>
  <c r="U769" i="4"/>
  <c r="V769" i="4" s="1"/>
  <c r="T769" i="4"/>
  <c r="R680" i="4"/>
  <c r="S680" i="4" s="1"/>
  <c r="U680" i="4" s="1"/>
  <c r="V680" i="4" s="1"/>
  <c r="R580" i="4"/>
  <c r="S580" i="4" s="1"/>
  <c r="U580" i="4" s="1"/>
  <c r="V580" i="4" s="1"/>
  <c r="T1024" i="4"/>
  <c r="R875" i="4"/>
  <c r="S875" i="4" s="1"/>
  <c r="U875" i="4" s="1"/>
  <c r="V875" i="4" s="1"/>
  <c r="R62" i="4"/>
  <c r="S62" i="4" s="1"/>
  <c r="U62" i="4" s="1"/>
  <c r="V62" i="4" s="1"/>
  <c r="R772" i="4"/>
  <c r="S772" i="4" s="1"/>
  <c r="U772" i="4" s="1"/>
  <c r="V772" i="4" s="1"/>
  <c r="R453" i="4"/>
  <c r="S453" i="4" s="1"/>
  <c r="U453" i="4" s="1"/>
  <c r="V453" i="4" s="1"/>
  <c r="R478" i="4"/>
  <c r="S478" i="4" s="1"/>
  <c r="U478" i="4" s="1"/>
  <c r="V478" i="4" s="1"/>
  <c r="R742" i="4"/>
  <c r="S742" i="4" s="1"/>
  <c r="R582" i="4"/>
  <c r="S582" i="4" s="1"/>
  <c r="U582" i="4" s="1"/>
  <c r="V582" i="4" s="1"/>
  <c r="R936" i="4"/>
  <c r="S936" i="4" s="1"/>
  <c r="U936" i="4" s="1"/>
  <c r="V936" i="4" s="1"/>
  <c r="R423" i="4"/>
  <c r="S423" i="4" s="1"/>
  <c r="U423" i="4" s="1"/>
  <c r="V423" i="4" s="1"/>
  <c r="R25" i="4"/>
  <c r="S25" i="4" s="1"/>
  <c r="R158" i="4"/>
  <c r="S158" i="4" s="1"/>
  <c r="R313" i="4"/>
  <c r="S313" i="4" s="1"/>
  <c r="T313" i="4" s="1"/>
  <c r="U765" i="4"/>
  <c r="V765" i="4" s="1"/>
  <c r="T765" i="4"/>
  <c r="U608" i="4"/>
  <c r="V608" i="4" s="1"/>
  <c r="T608" i="4"/>
  <c r="U727" i="4"/>
  <c r="V727" i="4" s="1"/>
  <c r="U990" i="4"/>
  <c r="V990" i="4" s="1"/>
  <c r="U671" i="4"/>
  <c r="V671" i="4" s="1"/>
  <c r="U825" i="4"/>
  <c r="V825" i="4" s="1"/>
  <c r="T1011" i="4"/>
  <c r="T993" i="4"/>
  <c r="T979" i="4"/>
  <c r="T438" i="4"/>
  <c r="T572" i="4"/>
  <c r="T867" i="4"/>
  <c r="T823" i="4"/>
  <c r="R253" i="4"/>
  <c r="S253" i="4" s="1"/>
  <c r="T253" i="4" s="1"/>
  <c r="T768" i="4"/>
  <c r="T928" i="4"/>
  <c r="R348" i="4"/>
  <c r="S348" i="4" s="1"/>
  <c r="T348" i="4" s="1"/>
  <c r="T983" i="4"/>
  <c r="R966" i="4"/>
  <c r="S966" i="4" s="1"/>
  <c r="U966" i="4" s="1"/>
  <c r="V966" i="4" s="1"/>
  <c r="R938" i="4"/>
  <c r="S938" i="4" s="1"/>
  <c r="U54" i="4"/>
  <c r="V54" i="4" s="1"/>
  <c r="T947" i="4"/>
  <c r="T20" i="4"/>
  <c r="T920" i="4"/>
  <c r="T1015" i="4"/>
  <c r="T659" i="4"/>
  <c r="T960" i="4"/>
  <c r="R740" i="4"/>
  <c r="S740" i="4" s="1"/>
  <c r="T740" i="4" s="1"/>
  <c r="T956" i="4"/>
  <c r="U640" i="4"/>
  <c r="V640" i="4" s="1"/>
  <c r="R218" i="4"/>
  <c r="S218" i="4" s="1"/>
  <c r="T218" i="4" s="1"/>
  <c r="R282" i="4"/>
  <c r="S282" i="4" s="1"/>
  <c r="U282" i="4" s="1"/>
  <c r="V282" i="4" s="1"/>
  <c r="R316" i="4"/>
  <c r="S316" i="4" s="1"/>
  <c r="U316" i="4" s="1"/>
  <c r="V316" i="4" s="1"/>
  <c r="R327" i="4"/>
  <c r="S327" i="4" s="1"/>
  <c r="U327" i="4" s="1"/>
  <c r="V327" i="4" s="1"/>
  <c r="T595" i="4"/>
  <c r="R681" i="4"/>
  <c r="S681" i="4" s="1"/>
  <c r="R103" i="4"/>
  <c r="S103" i="4" s="1"/>
  <c r="T103" i="4" s="1"/>
  <c r="R411" i="4"/>
  <c r="S411" i="4" s="1"/>
  <c r="R509" i="4"/>
  <c r="S509" i="4" s="1"/>
  <c r="R868" i="4"/>
  <c r="S868" i="4" s="1"/>
  <c r="U868" i="4" s="1"/>
  <c r="V868" i="4" s="1"/>
  <c r="R1033" i="4"/>
  <c r="S1033" i="4" s="1"/>
  <c r="T1033" i="4" s="1"/>
  <c r="R970" i="4"/>
  <c r="S970" i="4" s="1"/>
  <c r="T970" i="4" s="1"/>
  <c r="U706" i="4"/>
  <c r="V706" i="4" s="1"/>
  <c r="T706" i="4"/>
  <c r="T636" i="4"/>
  <c r="U636" i="4"/>
  <c r="V636" i="4" s="1"/>
  <c r="U922" i="4"/>
  <c r="V922" i="4" s="1"/>
  <c r="T922" i="4"/>
  <c r="T1012" i="4"/>
  <c r="U675" i="4"/>
  <c r="V675" i="4" s="1"/>
  <c r="T793" i="4"/>
  <c r="T859" i="4"/>
  <c r="T703" i="4"/>
  <c r="U277" i="4"/>
  <c r="V277" i="4" s="1"/>
  <c r="U959" i="4"/>
  <c r="V959" i="4" s="1"/>
  <c r="T899" i="4"/>
  <c r="T864" i="4"/>
  <c r="T607" i="4"/>
  <c r="T213" i="4"/>
  <c r="R996" i="4"/>
  <c r="S996" i="4" s="1"/>
  <c r="T996" i="4" s="1"/>
  <c r="U502" i="4"/>
  <c r="V502" i="4" s="1"/>
  <c r="R644" i="4"/>
  <c r="S644" i="4" s="1"/>
  <c r="T85" i="4"/>
  <c r="T117" i="4"/>
  <c r="U918" i="4"/>
  <c r="V918" i="4" s="1"/>
  <c r="T570" i="4"/>
  <c r="T981" i="4"/>
  <c r="T635" i="4"/>
  <c r="R1031" i="4"/>
  <c r="S1031" i="4" s="1"/>
  <c r="T1031" i="4" s="1"/>
  <c r="T891" i="4"/>
  <c r="U1052" i="4"/>
  <c r="V1052" i="4" s="1"/>
  <c r="T767" i="4"/>
  <c r="T995" i="4"/>
  <c r="T725" i="4"/>
  <c r="U672" i="4"/>
  <c r="V672" i="4" s="1"/>
  <c r="R314" i="4"/>
  <c r="S314" i="4" s="1"/>
  <c r="U693" i="4"/>
  <c r="V693" i="4" s="1"/>
  <c r="T833" i="4"/>
  <c r="T565" i="4"/>
  <c r="T916" i="4"/>
  <c r="U916" i="4"/>
  <c r="V916" i="4" s="1"/>
  <c r="T732" i="4"/>
  <c r="U732" i="4"/>
  <c r="V732" i="4" s="1"/>
  <c r="U278" i="4"/>
  <c r="V278" i="4" s="1"/>
  <c r="T278" i="4"/>
  <c r="U1022" i="4"/>
  <c r="V1022" i="4" s="1"/>
  <c r="T1022" i="4"/>
  <c r="T921" i="4"/>
  <c r="U921" i="4"/>
  <c r="V921" i="4" s="1"/>
  <c r="U756" i="4"/>
  <c r="V756" i="4" s="1"/>
  <c r="O79" i="4"/>
  <c r="O401" i="4"/>
  <c r="P147" i="4"/>
  <c r="Q176" i="4"/>
  <c r="P369" i="4"/>
  <c r="Q493" i="4"/>
  <c r="O208" i="4"/>
  <c r="Q530" i="4"/>
  <c r="U888" i="4"/>
  <c r="V888" i="4" s="1"/>
  <c r="T862" i="4"/>
  <c r="R869" i="4"/>
  <c r="S869" i="4" s="1"/>
  <c r="U869" i="4" s="1"/>
  <c r="V869" i="4" s="1"/>
  <c r="R410" i="4"/>
  <c r="S410" i="4" s="1"/>
  <c r="U410" i="4" s="1"/>
  <c r="V410" i="4" s="1"/>
  <c r="O140" i="4"/>
  <c r="O369" i="4"/>
  <c r="O528" i="4"/>
  <c r="O531" i="4"/>
  <c r="Q269" i="4"/>
  <c r="P467" i="4"/>
  <c r="Q495" i="4"/>
  <c r="T212" i="4"/>
  <c r="R683" i="4"/>
  <c r="S683" i="4" s="1"/>
  <c r="R965" i="4"/>
  <c r="S965" i="4" s="1"/>
  <c r="U965" i="4" s="1"/>
  <c r="V965" i="4" s="1"/>
  <c r="O81" i="4"/>
  <c r="O110" i="4"/>
  <c r="P529" i="4"/>
  <c r="O403" i="4"/>
  <c r="P493" i="4"/>
  <c r="O173" i="4"/>
  <c r="O240" i="4"/>
  <c r="O109" i="4"/>
  <c r="O114" i="4"/>
  <c r="Q273" i="4"/>
  <c r="P301" i="4"/>
  <c r="R229" i="4"/>
  <c r="S229" i="4" s="1"/>
  <c r="T229" i="4" s="1"/>
  <c r="P110" i="4"/>
  <c r="O242" i="4"/>
  <c r="O332" i="4"/>
  <c r="O527" i="4"/>
  <c r="T406" i="4"/>
  <c r="R317" i="4"/>
  <c r="S317" i="4" s="1"/>
  <c r="T317" i="4" s="1"/>
  <c r="R27" i="4"/>
  <c r="S27" i="4" s="1"/>
  <c r="T27" i="4" s="1"/>
  <c r="Q462" i="4"/>
  <c r="T564" i="4"/>
  <c r="O176" i="4"/>
  <c r="O271" i="4"/>
  <c r="Q206" i="4"/>
  <c r="P82" i="4"/>
  <c r="P210" i="4"/>
  <c r="P172" i="4"/>
  <c r="T895" i="4"/>
  <c r="T801" i="4"/>
  <c r="R967" i="4"/>
  <c r="S967" i="4" s="1"/>
  <c r="U967" i="4" s="1"/>
  <c r="V967" i="4" s="1"/>
  <c r="U405" i="4"/>
  <c r="V405" i="4" s="1"/>
  <c r="Q238" i="4"/>
  <c r="O398" i="4"/>
  <c r="O368" i="4"/>
  <c r="O499" i="4"/>
  <c r="O270" i="4"/>
  <c r="Q398" i="4"/>
  <c r="O460" i="4"/>
  <c r="P464" i="4"/>
  <c r="P365" i="4"/>
  <c r="P142" i="4"/>
  <c r="R1001" i="4"/>
  <c r="S1001" i="4" s="1"/>
  <c r="U1001" i="4" s="1"/>
  <c r="V1001" i="4" s="1"/>
  <c r="U1025" i="4"/>
  <c r="V1025" i="4" s="1"/>
  <c r="T628" i="4"/>
  <c r="R873" i="4"/>
  <c r="S873" i="4" s="1"/>
  <c r="T873" i="4" s="1"/>
  <c r="R676" i="4"/>
  <c r="S676" i="4" s="1"/>
  <c r="U676" i="4" s="1"/>
  <c r="V676" i="4" s="1"/>
  <c r="R473" i="4"/>
  <c r="S473" i="4" s="1"/>
  <c r="U473" i="4" s="1"/>
  <c r="V473" i="4" s="1"/>
  <c r="R382" i="4"/>
  <c r="S382" i="4" s="1"/>
  <c r="T382" i="4" s="1"/>
  <c r="R443" i="4"/>
  <c r="S443" i="4" s="1"/>
  <c r="U443" i="4" s="1"/>
  <c r="V443" i="4" s="1"/>
  <c r="R95" i="4"/>
  <c r="S95" i="4" s="1"/>
  <c r="U95" i="4" s="1"/>
  <c r="V95" i="4" s="1"/>
  <c r="R804" i="4"/>
  <c r="S804" i="4" s="1"/>
  <c r="T804" i="4" s="1"/>
  <c r="R508" i="4"/>
  <c r="S508" i="4" s="1"/>
  <c r="U508" i="4" s="1"/>
  <c r="V508" i="4" s="1"/>
  <c r="R283" i="4"/>
  <c r="S283" i="4" s="1"/>
  <c r="T283" i="4" s="1"/>
  <c r="T698" i="4"/>
  <c r="T853" i="4"/>
  <c r="T887" i="4"/>
  <c r="T832" i="4"/>
  <c r="T691" i="4"/>
  <c r="R745" i="4"/>
  <c r="S745" i="4" s="1"/>
  <c r="U745" i="4" s="1"/>
  <c r="V745" i="4" s="1"/>
  <c r="R1000" i="4"/>
  <c r="S1000" i="4" s="1"/>
  <c r="T1000" i="4" s="1"/>
  <c r="R710" i="4"/>
  <c r="S710" i="4" s="1"/>
  <c r="U710" i="4" s="1"/>
  <c r="V710" i="4" s="1"/>
  <c r="T661" i="4"/>
  <c r="Q109" i="4"/>
  <c r="P108" i="4"/>
  <c r="T1056" i="4"/>
  <c r="R28" i="4"/>
  <c r="S28" i="4" s="1"/>
  <c r="T28" i="4" s="1"/>
  <c r="R612" i="4"/>
  <c r="S612" i="4" s="1"/>
  <c r="U1020" i="4"/>
  <c r="V1020" i="4" s="1"/>
  <c r="T854" i="4"/>
  <c r="R284" i="4"/>
  <c r="S284" i="4" s="1"/>
  <c r="U284" i="4" s="1"/>
  <c r="V284" i="4" s="1"/>
  <c r="U724" i="4"/>
  <c r="V724" i="4" s="1"/>
  <c r="T1018" i="4"/>
  <c r="R102" i="4"/>
  <c r="S102" i="4" s="1"/>
  <c r="T102" i="4" s="1"/>
  <c r="R71" i="4"/>
  <c r="S71" i="4" s="1"/>
  <c r="U71" i="4" s="1"/>
  <c r="V71" i="4" s="1"/>
  <c r="R839" i="4"/>
  <c r="S839" i="4" s="1"/>
  <c r="U839" i="4" s="1"/>
  <c r="V839" i="4" s="1"/>
  <c r="R442" i="4"/>
  <c r="S442" i="4" s="1"/>
  <c r="T442" i="4" s="1"/>
  <c r="R154" i="4"/>
  <c r="S154" i="4" s="1"/>
  <c r="U154" i="4" s="1"/>
  <c r="V154" i="4" s="1"/>
  <c r="T404" i="4"/>
  <c r="U404" i="4"/>
  <c r="V404" i="4" s="1"/>
  <c r="U667" i="4"/>
  <c r="V667" i="4" s="1"/>
  <c r="T667" i="4"/>
  <c r="U666" i="4"/>
  <c r="V666" i="4" s="1"/>
  <c r="U663" i="4"/>
  <c r="V663" i="4" s="1"/>
  <c r="T828" i="4"/>
  <c r="T894" i="4"/>
  <c r="U957" i="4"/>
  <c r="V957" i="4" s="1"/>
  <c r="R1062" i="4"/>
  <c r="S1062" i="4" s="1"/>
  <c r="U1062" i="4" s="1"/>
  <c r="V1062" i="4" s="1"/>
  <c r="T573" i="4"/>
  <c r="T670" i="4"/>
  <c r="T470" i="4"/>
  <c r="T606" i="4"/>
  <c r="T214" i="4"/>
  <c r="R773" i="4"/>
  <c r="S773" i="4" s="1"/>
  <c r="T773" i="4" s="1"/>
  <c r="T1027" i="4"/>
  <c r="T986" i="4"/>
  <c r="T374" i="4"/>
  <c r="T1045" i="4"/>
  <c r="T762" i="4"/>
  <c r="R510" i="4"/>
  <c r="S510" i="4" s="1"/>
  <c r="R187" i="4"/>
  <c r="S187" i="4" s="1"/>
  <c r="U187" i="4" s="1"/>
  <c r="V187" i="4" s="1"/>
  <c r="R677" i="4"/>
  <c r="S677" i="4" s="1"/>
  <c r="T677" i="4" s="1"/>
  <c r="R903" i="4"/>
  <c r="S903" i="4" s="1"/>
  <c r="U903" i="4" s="1"/>
  <c r="V903" i="4" s="1"/>
  <c r="R618" i="4"/>
  <c r="S618" i="4" s="1"/>
  <c r="U618" i="4" s="1"/>
  <c r="V618" i="4" s="1"/>
  <c r="R164" i="4"/>
  <c r="S164" i="4" s="1"/>
  <c r="T164" i="4" s="1"/>
  <c r="T734" i="4"/>
  <c r="O237" i="4"/>
  <c r="P206" i="4"/>
  <c r="Q466" i="4"/>
  <c r="O495" i="4"/>
  <c r="Q178" i="4"/>
  <c r="P145" i="4"/>
  <c r="Q332" i="4"/>
  <c r="P242" i="4"/>
  <c r="P526" i="4"/>
  <c r="O177" i="4"/>
  <c r="O50" i="4"/>
  <c r="O145" i="4"/>
  <c r="O45" i="4"/>
  <c r="O211" i="4"/>
  <c r="Q113" i="4"/>
  <c r="O179" i="4"/>
  <c r="Q237" i="4"/>
  <c r="O49" i="4"/>
  <c r="O463" i="4"/>
  <c r="Q396" i="4"/>
  <c r="Q50" i="4"/>
  <c r="Q78" i="4"/>
  <c r="P79" i="4"/>
  <c r="P273" i="4"/>
  <c r="P466" i="4"/>
  <c r="O461" i="4"/>
  <c r="P335" i="4"/>
  <c r="P268" i="4"/>
  <c r="O172" i="4"/>
  <c r="O497" i="4"/>
  <c r="P339" i="4"/>
  <c r="Q241" i="4"/>
  <c r="P402" i="4"/>
  <c r="Q108" i="4"/>
  <c r="Q77" i="4"/>
  <c r="P51" i="4"/>
  <c r="Q302" i="4"/>
  <c r="T660" i="4"/>
  <c r="R964" i="4"/>
  <c r="S964" i="4" s="1"/>
  <c r="T964" i="4" s="1"/>
  <c r="R581" i="4"/>
  <c r="S581" i="4" s="1"/>
  <c r="T581" i="4" s="1"/>
  <c r="R519" i="4"/>
  <c r="S519" i="4" s="1"/>
  <c r="U519" i="4" s="1"/>
  <c r="V519" i="4" s="1"/>
  <c r="R505" i="4"/>
  <c r="S505" i="4" s="1"/>
  <c r="U505" i="4" s="1"/>
  <c r="V505" i="4" s="1"/>
  <c r="R315" i="4"/>
  <c r="S315" i="4" s="1"/>
  <c r="U315" i="4" s="1"/>
  <c r="V315" i="4" s="1"/>
  <c r="R186" i="4"/>
  <c r="S186" i="4" s="1"/>
  <c r="U186" i="4" s="1"/>
  <c r="V186" i="4" s="1"/>
  <c r="R409" i="4"/>
  <c r="S409" i="4" s="1"/>
  <c r="T409" i="4" s="1"/>
  <c r="R153" i="4"/>
  <c r="S153" i="4" s="1"/>
  <c r="T153" i="4" s="1"/>
  <c r="R413" i="4"/>
  <c r="S413" i="4" s="1"/>
  <c r="U413" i="4" s="1"/>
  <c r="V413" i="4" s="1"/>
  <c r="O466" i="4"/>
  <c r="O178" i="4"/>
  <c r="O272" i="4"/>
  <c r="O44" i="4"/>
  <c r="P81" i="4"/>
  <c r="P240" i="4"/>
  <c r="O48" i="4"/>
  <c r="O241" i="4"/>
  <c r="P174" i="4"/>
  <c r="Q460" i="4"/>
  <c r="T341" i="4"/>
  <c r="T633" i="4"/>
  <c r="O147" i="4"/>
  <c r="O206" i="4"/>
  <c r="O269" i="4"/>
  <c r="O238" i="4"/>
  <c r="O429" i="4"/>
  <c r="Q240" i="4"/>
  <c r="O274" i="4"/>
  <c r="O108" i="4"/>
  <c r="Q304" i="4"/>
  <c r="P176" i="4"/>
  <c r="O47" i="4"/>
  <c r="P50" i="4"/>
  <c r="Q529" i="4"/>
  <c r="P238" i="4"/>
  <c r="O397" i="4"/>
  <c r="O498" i="4"/>
  <c r="Q268" i="4"/>
  <c r="O432" i="4"/>
  <c r="Q339" i="4"/>
  <c r="O496" i="4"/>
  <c r="O367" i="4"/>
  <c r="Q369" i="4"/>
  <c r="O301" i="4"/>
  <c r="O175" i="4"/>
  <c r="O371" i="4"/>
  <c r="O141" i="4"/>
  <c r="P495" i="4"/>
  <c r="Q399" i="4"/>
  <c r="Q207" i="4"/>
  <c r="Q492" i="4"/>
  <c r="P306" i="4"/>
  <c r="Q338" i="4"/>
  <c r="P337" i="4"/>
  <c r="R422" i="4"/>
  <c r="S422" i="4" s="1"/>
  <c r="U422" i="4" s="1"/>
  <c r="V422" i="4" s="1"/>
  <c r="O396" i="4"/>
  <c r="O113" i="4"/>
  <c r="Q81" i="4"/>
  <c r="O529" i="4"/>
  <c r="O209" i="4"/>
  <c r="O210" i="4"/>
  <c r="O339" i="4"/>
  <c r="O268" i="4"/>
  <c r="O174" i="4"/>
  <c r="O402" i="4"/>
  <c r="Q147" i="4"/>
  <c r="P209" i="4"/>
  <c r="O236" i="4"/>
  <c r="O435" i="4"/>
  <c r="Q177" i="4"/>
  <c r="O492" i="4"/>
  <c r="O80" i="4"/>
  <c r="O303" i="4"/>
  <c r="O143" i="4"/>
  <c r="Q79" i="4"/>
  <c r="O524" i="4"/>
  <c r="O430" i="4"/>
  <c r="O337" i="4"/>
  <c r="Q528" i="4"/>
  <c r="P494" i="4"/>
  <c r="P77" i="4"/>
  <c r="Q371" i="4"/>
  <c r="Q204" i="4"/>
  <c r="Q526" i="4"/>
  <c r="Q211" i="4"/>
  <c r="Q428" i="4"/>
  <c r="U733" i="4"/>
  <c r="V733" i="4" s="1"/>
  <c r="R651" i="4"/>
  <c r="S651" i="4" s="1"/>
  <c r="U651" i="4" s="1"/>
  <c r="V651" i="4" s="1"/>
  <c r="R900" i="4"/>
  <c r="S900" i="4" s="1"/>
  <c r="T900" i="4" s="1"/>
  <c r="R809" i="4"/>
  <c r="S809" i="4" s="1"/>
  <c r="U809" i="4" s="1"/>
  <c r="V809" i="4" s="1"/>
  <c r="P45" i="4"/>
  <c r="O146" i="4"/>
  <c r="O428" i="4"/>
  <c r="O239" i="4"/>
  <c r="O525" i="4"/>
  <c r="O115" i="4"/>
  <c r="Q112" i="4"/>
  <c r="P304" i="4"/>
  <c r="T796" i="4"/>
  <c r="T730" i="4"/>
  <c r="O493" i="4"/>
  <c r="O431" i="4"/>
  <c r="O78" i="4"/>
  <c r="O530" i="4"/>
  <c r="O77" i="4"/>
  <c r="O243" i="4"/>
  <c r="O338" i="4"/>
  <c r="O336" i="4"/>
  <c r="O526" i="4"/>
  <c r="O433" i="4"/>
  <c r="Q467" i="4"/>
  <c r="P396" i="4"/>
  <c r="Q45" i="4"/>
  <c r="O204" i="4"/>
  <c r="Q110" i="4"/>
  <c r="P140" i="4"/>
  <c r="O305" i="4"/>
  <c r="O465" i="4"/>
  <c r="O207" i="4"/>
  <c r="O400" i="4"/>
  <c r="O144" i="4"/>
  <c r="P492" i="4"/>
  <c r="Q179" i="4"/>
  <c r="Q370" i="4"/>
  <c r="P531" i="4"/>
  <c r="Q433" i="4"/>
  <c r="Q499" i="4"/>
  <c r="R646" i="4"/>
  <c r="S646" i="4" s="1"/>
  <c r="O335" i="4"/>
  <c r="P78" i="4"/>
  <c r="P177" i="4"/>
  <c r="O307" i="4"/>
  <c r="O83" i="4"/>
  <c r="O304" i="4"/>
  <c r="O467" i="4"/>
  <c r="O273" i="4"/>
  <c r="Q335" i="4"/>
  <c r="O464" i="4"/>
  <c r="O494" i="4"/>
  <c r="O462" i="4"/>
  <c r="O112" i="4"/>
  <c r="O142" i="4"/>
  <c r="P398" i="4"/>
  <c r="P368" i="4"/>
  <c r="Q83" i="4"/>
  <c r="O111" i="4"/>
  <c r="O333" i="4"/>
  <c r="P431" i="4"/>
  <c r="Q210" i="4"/>
  <c r="O364" i="4"/>
  <c r="Q140" i="4"/>
  <c r="O399" i="4"/>
  <c r="Q82" i="4"/>
  <c r="Q145" i="4"/>
  <c r="Q431" i="4"/>
  <c r="Q366" i="4"/>
  <c r="Q531" i="4"/>
  <c r="Q367" i="4"/>
  <c r="P179" i="4"/>
  <c r="P400" i="4"/>
  <c r="P146" i="4"/>
  <c r="P111" i="4"/>
  <c r="Q142" i="4"/>
  <c r="P143" i="4"/>
  <c r="P524" i="4"/>
  <c r="P303" i="4"/>
  <c r="R1064" i="4"/>
  <c r="S1064" i="4" s="1"/>
  <c r="U1064" i="4" s="1"/>
  <c r="V1064" i="4" s="1"/>
  <c r="R196" i="4"/>
  <c r="S196" i="4" s="1"/>
  <c r="R415" i="4"/>
  <c r="S415" i="4" s="1"/>
  <c r="U701" i="4"/>
  <c r="V701" i="4" s="1"/>
  <c r="T701" i="4"/>
  <c r="U827" i="4"/>
  <c r="V827" i="4" s="1"/>
  <c r="T827" i="4"/>
  <c r="R262" i="4"/>
  <c r="S262" i="4" s="1"/>
  <c r="R836" i="4"/>
  <c r="S836" i="4" s="1"/>
  <c r="U836" i="4" s="1"/>
  <c r="V836" i="4" s="1"/>
  <c r="R1067" i="4"/>
  <c r="S1067" i="4" s="1"/>
  <c r="U1067" i="4" s="1"/>
  <c r="V1067" i="4" s="1"/>
  <c r="R905" i="4"/>
  <c r="S905" i="4" s="1"/>
  <c r="U905" i="4" s="1"/>
  <c r="V905" i="4" s="1"/>
  <c r="U1050" i="4"/>
  <c r="V1050" i="4" s="1"/>
  <c r="R805" i="4"/>
  <c r="S805" i="4" s="1"/>
  <c r="U805" i="4" s="1"/>
  <c r="V805" i="4" s="1"/>
  <c r="S312" i="4"/>
  <c r="T312" i="4" s="1"/>
  <c r="T22" i="4"/>
  <c r="R223" i="4"/>
  <c r="S223" i="4" s="1"/>
  <c r="U223" i="4" s="1"/>
  <c r="V223" i="4" s="1"/>
  <c r="R390" i="4"/>
  <c r="S390" i="4" s="1"/>
  <c r="R645" i="4"/>
  <c r="S645" i="4" s="1"/>
  <c r="T645" i="4" s="1"/>
  <c r="T764" i="4"/>
  <c r="U886" i="4"/>
  <c r="V886" i="4" s="1"/>
  <c r="T886" i="4"/>
  <c r="T598" i="4"/>
  <c r="R100" i="4"/>
  <c r="S100" i="4" s="1"/>
  <c r="U100" i="4" s="1"/>
  <c r="V100" i="4" s="1"/>
  <c r="R135" i="4"/>
  <c r="S135" i="4" s="1"/>
  <c r="T135" i="4" s="1"/>
  <c r="U824" i="4"/>
  <c r="V824" i="4" s="1"/>
  <c r="U372" i="4"/>
  <c r="V372" i="4" s="1"/>
  <c r="U728" i="4"/>
  <c r="V728" i="4" s="1"/>
  <c r="R1063" i="4"/>
  <c r="S1063" i="4" s="1"/>
  <c r="T1063" i="4" s="1"/>
  <c r="R326" i="4"/>
  <c r="S326" i="4" s="1"/>
  <c r="T326" i="4" s="1"/>
  <c r="R101" i="4"/>
  <c r="S101" i="4" s="1"/>
  <c r="T101" i="4" s="1"/>
  <c r="R250" i="4"/>
  <c r="S250" i="4" s="1"/>
  <c r="T250" i="4" s="1"/>
  <c r="R1030" i="4"/>
  <c r="S1030" i="4" s="1"/>
  <c r="U1030" i="4" s="1"/>
  <c r="V1030" i="4" s="1"/>
  <c r="R711" i="4"/>
  <c r="S711" i="4" s="1"/>
  <c r="T711" i="4" s="1"/>
  <c r="R870" i="4"/>
  <c r="S870" i="4" s="1"/>
  <c r="U870" i="4" s="1"/>
  <c r="V870" i="4" s="1"/>
  <c r="R60" i="4"/>
  <c r="S60" i="4" s="1"/>
  <c r="U60" i="4" s="1"/>
  <c r="V60" i="4" s="1"/>
  <c r="R356" i="4"/>
  <c r="S356" i="4" s="1"/>
  <c r="U356" i="4" s="1"/>
  <c r="V356" i="4" s="1"/>
  <c r="R381" i="4"/>
  <c r="S381" i="4" s="1"/>
  <c r="U381" i="4" s="1"/>
  <c r="V381" i="4" s="1"/>
  <c r="R37" i="4"/>
  <c r="S37" i="4" s="1"/>
  <c r="U37" i="4" s="1"/>
  <c r="V37" i="4" s="1"/>
  <c r="R1032" i="4"/>
  <c r="S1032" i="4" s="1"/>
  <c r="R808" i="4"/>
  <c r="S808" i="4" s="1"/>
  <c r="U808" i="4" s="1"/>
  <c r="V808" i="4" s="1"/>
  <c r="R614" i="4"/>
  <c r="S614" i="4" s="1"/>
  <c r="U614" i="4" s="1"/>
  <c r="V614" i="4" s="1"/>
  <c r="R678" i="4"/>
  <c r="S678" i="4" s="1"/>
  <c r="U678" i="4" s="1"/>
  <c r="V678" i="4" s="1"/>
  <c r="P371" i="4"/>
  <c r="O275" i="4"/>
  <c r="P178" i="4"/>
  <c r="P83" i="4"/>
  <c r="O46" i="4"/>
  <c r="Q368" i="4"/>
  <c r="O434" i="4"/>
  <c r="P113" i="4"/>
  <c r="O365" i="4"/>
  <c r="O51" i="4"/>
  <c r="O302" i="4"/>
  <c r="Q209" i="4"/>
  <c r="P269" i="4"/>
  <c r="P237" i="4"/>
  <c r="O306" i="4"/>
  <c r="O370" i="4"/>
  <c r="Q334" i="4"/>
  <c r="P367" i="4"/>
  <c r="Q301" i="4"/>
  <c r="P47" i="4"/>
  <c r="Q402" i="4"/>
  <c r="Q274" i="4"/>
  <c r="P239" i="4"/>
  <c r="Q336" i="4"/>
  <c r="Q434" i="4"/>
  <c r="P336" i="4"/>
  <c r="R30" i="4"/>
  <c r="S30" i="4" s="1"/>
  <c r="T30" i="4" s="1"/>
  <c r="R36" i="4"/>
  <c r="S36" i="4" s="1"/>
  <c r="R778" i="4"/>
  <c r="S778" i="4" s="1"/>
  <c r="U778" i="4" s="1"/>
  <c r="V778" i="4" s="1"/>
  <c r="R479" i="4"/>
  <c r="S479" i="4" s="1"/>
  <c r="T479" i="4" s="1"/>
  <c r="U500" i="4"/>
  <c r="V500" i="4" s="1"/>
  <c r="T500" i="4"/>
  <c r="R906" i="4"/>
  <c r="S906" i="4" s="1"/>
  <c r="U906" i="4" s="1"/>
  <c r="V906" i="4" s="1"/>
  <c r="T884" i="4"/>
  <c r="T1057" i="4"/>
  <c r="U1057" i="4"/>
  <c r="V1057" i="4" s="1"/>
  <c r="T276" i="4"/>
  <c r="P115" i="4"/>
  <c r="P205" i="4"/>
  <c r="Q205" i="4"/>
  <c r="Q175" i="4"/>
  <c r="Q465" i="4"/>
  <c r="R713" i="4"/>
  <c r="S713" i="4" s="1"/>
  <c r="U713" i="4" s="1"/>
  <c r="V713" i="4" s="1"/>
  <c r="R441" i="4"/>
  <c r="S441" i="4" s="1"/>
  <c r="R292" i="4"/>
  <c r="S292" i="4" s="1"/>
  <c r="U292" i="4" s="1"/>
  <c r="V292" i="4" s="1"/>
  <c r="R747" i="4"/>
  <c r="S747" i="4" s="1"/>
  <c r="T747" i="4" s="1"/>
  <c r="R347" i="4"/>
  <c r="S347" i="4" s="1"/>
  <c r="U347" i="4" s="1"/>
  <c r="V347" i="4" s="1"/>
  <c r="R230" i="4"/>
  <c r="S230" i="4" s="1"/>
  <c r="T230" i="4" s="1"/>
  <c r="R934" i="4"/>
  <c r="S934" i="4" s="1"/>
  <c r="U934" i="4" s="1"/>
  <c r="V934" i="4" s="1"/>
  <c r="R122" i="4"/>
  <c r="S122" i="4" s="1"/>
  <c r="U122" i="4" s="1"/>
  <c r="V122" i="4" s="1"/>
  <c r="R412" i="4"/>
  <c r="S412" i="4" s="1"/>
  <c r="U412" i="4" s="1"/>
  <c r="V412" i="4" s="1"/>
  <c r="R281" i="4"/>
  <c r="S281" i="4" s="1"/>
  <c r="U281" i="4" s="1"/>
  <c r="V281" i="4" s="1"/>
  <c r="R31" i="4"/>
  <c r="S31" i="4" s="1"/>
  <c r="U31" i="4" s="1"/>
  <c r="V31" i="4" s="1"/>
  <c r="R219" i="4"/>
  <c r="S219" i="4" s="1"/>
  <c r="U219" i="4" s="1"/>
  <c r="V219" i="4" s="1"/>
  <c r="R132" i="4"/>
  <c r="S132" i="4" s="1"/>
  <c r="U132" i="4" s="1"/>
  <c r="V132" i="4" s="1"/>
  <c r="R421" i="4"/>
  <c r="S421" i="4" s="1"/>
  <c r="U421" i="4" s="1"/>
  <c r="V421" i="4" s="1"/>
  <c r="R475" i="4"/>
  <c r="S475" i="4" s="1"/>
  <c r="U475" i="4" s="1"/>
  <c r="V475" i="4" s="1"/>
  <c r="R746" i="4"/>
  <c r="S746" i="4" s="1"/>
  <c r="U746" i="4" s="1"/>
  <c r="V746" i="4" s="1"/>
  <c r="R123" i="4"/>
  <c r="S123" i="4" s="1"/>
  <c r="U123" i="4" s="1"/>
  <c r="V123" i="4" s="1"/>
  <c r="R286" i="4"/>
  <c r="S286" i="4" s="1"/>
  <c r="U286" i="4" s="1"/>
  <c r="V286" i="4" s="1"/>
  <c r="R188" i="4"/>
  <c r="S188" i="4" s="1"/>
  <c r="T188" i="4" s="1"/>
  <c r="T866" i="4"/>
  <c r="T694" i="4"/>
  <c r="U578" i="4"/>
  <c r="V578" i="4" s="1"/>
  <c r="T931" i="4"/>
  <c r="T1026" i="4"/>
  <c r="T373" i="4"/>
  <c r="T988" i="4"/>
  <c r="R712" i="4"/>
  <c r="S712" i="4" s="1"/>
  <c r="U712" i="4" s="1"/>
  <c r="V712" i="4" s="1"/>
  <c r="T770" i="4"/>
  <c r="R445" i="4"/>
  <c r="S445" i="4" s="1"/>
  <c r="R157" i="4"/>
  <c r="S157" i="4" s="1"/>
  <c r="U157" i="4" s="1"/>
  <c r="V157" i="4" s="1"/>
  <c r="T641" i="4"/>
  <c r="R586" i="4"/>
  <c r="S586" i="4" s="1"/>
  <c r="T586" i="4" s="1"/>
  <c r="R613" i="4"/>
  <c r="S613" i="4" s="1"/>
  <c r="U613" i="4" s="1"/>
  <c r="V613" i="4" s="1"/>
  <c r="R841" i="4"/>
  <c r="S841" i="4" s="1"/>
  <c r="U841" i="4" s="1"/>
  <c r="V841" i="4" s="1"/>
  <c r="R319" i="4"/>
  <c r="S319" i="4" s="1"/>
  <c r="U319" i="4" s="1"/>
  <c r="V319" i="4" s="1"/>
  <c r="R59" i="4"/>
  <c r="S59" i="4" s="1"/>
  <c r="T59" i="4" s="1"/>
  <c r="R345" i="4"/>
  <c r="S345" i="4" s="1"/>
  <c r="U345" i="4" s="1"/>
  <c r="V345" i="4" s="1"/>
  <c r="Q141" i="4"/>
  <c r="Q464" i="4"/>
  <c r="P334" i="4"/>
  <c r="P401" i="4"/>
  <c r="Q401" i="4"/>
  <c r="R682" i="4"/>
  <c r="S682" i="4" s="1"/>
  <c r="U576" i="4"/>
  <c r="V576" i="4" s="1"/>
  <c r="T576" i="4"/>
  <c r="T149" i="4"/>
  <c r="U149" i="4"/>
  <c r="V149" i="4" s="1"/>
  <c r="U637" i="4"/>
  <c r="V637" i="4" s="1"/>
  <c r="R587" i="4"/>
  <c r="S587" i="4" s="1"/>
  <c r="T587" i="4" s="1"/>
  <c r="R29" i="4"/>
  <c r="S29" i="4" s="1"/>
  <c r="T29" i="4" s="1"/>
  <c r="R222" i="4"/>
  <c r="S222" i="4" s="1"/>
  <c r="U222" i="4" s="1"/>
  <c r="V222" i="4" s="1"/>
  <c r="R391" i="4"/>
  <c r="S391" i="4" s="1"/>
  <c r="U391" i="4" s="1"/>
  <c r="V391" i="4" s="1"/>
  <c r="R511" i="4"/>
  <c r="S511" i="4" s="1"/>
  <c r="U511" i="4" s="1"/>
  <c r="V511" i="4" s="1"/>
  <c r="R197" i="4"/>
  <c r="S197" i="4" s="1"/>
  <c r="T569" i="4"/>
  <c r="R775" i="4"/>
  <c r="S775" i="4" s="1"/>
  <c r="U775" i="4" s="1"/>
  <c r="V775" i="4" s="1"/>
  <c r="R190" i="4"/>
  <c r="S190" i="4" s="1"/>
  <c r="T190" i="4" s="1"/>
  <c r="T639" i="4"/>
  <c r="T342" i="4"/>
  <c r="T766" i="4"/>
  <c r="R807" i="4"/>
  <c r="S807" i="4" s="1"/>
  <c r="U807" i="4" s="1"/>
  <c r="V807" i="4" s="1"/>
  <c r="R874" i="4"/>
  <c r="S874" i="4" s="1"/>
  <c r="R91" i="4"/>
  <c r="S91" i="4" s="1"/>
  <c r="U91" i="4" s="1"/>
  <c r="V91" i="4" s="1"/>
  <c r="R121" i="4"/>
  <c r="S121" i="4" s="1"/>
  <c r="U121" i="4" s="1"/>
  <c r="V121" i="4" s="1"/>
  <c r="R166" i="4"/>
  <c r="S166" i="4" s="1"/>
  <c r="U166" i="4" s="1"/>
  <c r="V166" i="4" s="1"/>
  <c r="R1065" i="4"/>
  <c r="S1065" i="4" s="1"/>
  <c r="U1065" i="4" s="1"/>
  <c r="V1065" i="4" s="1"/>
  <c r="R199" i="4"/>
  <c r="S199" i="4" s="1"/>
  <c r="U199" i="4" s="1"/>
  <c r="V199" i="4" s="1"/>
  <c r="R507" i="4"/>
  <c r="S507" i="4" s="1"/>
  <c r="U507" i="4" s="1"/>
  <c r="V507" i="4" s="1"/>
  <c r="R185" i="4"/>
  <c r="S185" i="4" s="1"/>
  <c r="U185" i="4" s="1"/>
  <c r="V185" i="4" s="1"/>
  <c r="R90" i="4"/>
  <c r="S90" i="4" s="1"/>
  <c r="U90" i="4" s="1"/>
  <c r="V90" i="4" s="1"/>
  <c r="R357" i="4"/>
  <c r="S357" i="4" s="1"/>
  <c r="T357" i="4" s="1"/>
  <c r="R377" i="4"/>
  <c r="S377" i="4" s="1"/>
  <c r="U377" i="4" s="1"/>
  <c r="V377" i="4" s="1"/>
  <c r="R1028" i="4"/>
  <c r="S1028" i="4" s="1"/>
  <c r="U1028" i="4" s="1"/>
  <c r="V1028" i="4" s="1"/>
  <c r="T86" i="4"/>
  <c r="T761" i="4"/>
  <c r="R133" i="4"/>
  <c r="S133" i="4" s="1"/>
  <c r="T133" i="4" s="1"/>
  <c r="R125" i="4"/>
  <c r="S125" i="4" s="1"/>
  <c r="T125" i="4" s="1"/>
  <c r="R452" i="4"/>
  <c r="S452" i="4" s="1"/>
  <c r="U452" i="4" s="1"/>
  <c r="V452" i="4" s="1"/>
  <c r="R485" i="4"/>
  <c r="S485" i="4" s="1"/>
  <c r="R287" i="4"/>
  <c r="S287" i="4" s="1"/>
  <c r="T287" i="4" s="1"/>
  <c r="T989" i="4"/>
  <c r="R937" i="4"/>
  <c r="S937" i="4" s="1"/>
  <c r="U937" i="4" s="1"/>
  <c r="V937" i="4" s="1"/>
  <c r="R617" i="4"/>
  <c r="S617" i="4" s="1"/>
  <c r="T617" i="4" s="1"/>
  <c r="R1061" i="4"/>
  <c r="S1061" i="4" s="1"/>
  <c r="T468" i="4"/>
  <c r="P112" i="4"/>
  <c r="Q172" i="4"/>
  <c r="Q463" i="4"/>
  <c r="Q305" i="4"/>
  <c r="T246" i="4"/>
  <c r="U181" i="4"/>
  <c r="V181" i="4" s="1"/>
  <c r="R189" i="4"/>
  <c r="S189" i="4" s="1"/>
  <c r="T189" i="4" s="1"/>
  <c r="Q307" i="4"/>
  <c r="R584" i="4"/>
  <c r="S584" i="4" s="1"/>
  <c r="U584" i="4" s="1"/>
  <c r="V584" i="4" s="1"/>
  <c r="T1044" i="4"/>
  <c r="R263" i="4"/>
  <c r="S263" i="4" s="1"/>
  <c r="U263" i="4" s="1"/>
  <c r="V263" i="4" s="1"/>
  <c r="R228" i="4"/>
  <c r="S228" i="4" s="1"/>
  <c r="T228" i="4" s="1"/>
  <c r="T1047" i="4"/>
  <c r="R619" i="4"/>
  <c r="S619" i="4" s="1"/>
  <c r="U21" i="4"/>
  <c r="V21" i="4" s="1"/>
  <c r="U1013" i="4"/>
  <c r="V1013" i="4" s="1"/>
  <c r="T664" i="4"/>
  <c r="R872" i="4"/>
  <c r="S872" i="4" s="1"/>
  <c r="U872" i="4" s="1"/>
  <c r="V872" i="4" s="1"/>
  <c r="T799" i="4"/>
  <c r="R939" i="4"/>
  <c r="S939" i="4" s="1"/>
  <c r="U939" i="4" s="1"/>
  <c r="V939" i="4" s="1"/>
  <c r="R444" i="4"/>
  <c r="S444" i="4" s="1"/>
  <c r="T444" i="4" s="1"/>
  <c r="R252" i="4"/>
  <c r="S252" i="4" s="1"/>
  <c r="U252" i="4" s="1"/>
  <c r="V252" i="4" s="1"/>
  <c r="U577" i="4"/>
  <c r="V577" i="4" s="1"/>
  <c r="T577" i="4"/>
  <c r="R741" i="4"/>
  <c r="S741" i="4" s="1"/>
  <c r="T741" i="4" s="1"/>
  <c r="R997" i="4"/>
  <c r="S997" i="4" s="1"/>
  <c r="U997" i="4" s="1"/>
  <c r="V997" i="4" s="1"/>
  <c r="R842" i="4"/>
  <c r="S842" i="4" s="1"/>
  <c r="T842" i="4" s="1"/>
  <c r="R38" i="4"/>
  <c r="S38" i="4" s="1"/>
  <c r="T38" i="4" s="1"/>
  <c r="R840" i="4"/>
  <c r="S840" i="4" s="1"/>
  <c r="U840" i="4" s="1"/>
  <c r="V840" i="4" s="1"/>
  <c r="R325" i="4"/>
  <c r="S325" i="4" s="1"/>
  <c r="U325" i="4" s="1"/>
  <c r="V325" i="4" s="1"/>
  <c r="R649" i="4"/>
  <c r="S649" i="4" s="1"/>
  <c r="U649" i="4" s="1"/>
  <c r="V649" i="4" s="1"/>
  <c r="R837" i="4"/>
  <c r="S837" i="4" s="1"/>
  <c r="U837" i="4" s="1"/>
  <c r="V837" i="4" s="1"/>
  <c r="R744" i="4"/>
  <c r="S744" i="4" s="1"/>
  <c r="U744" i="4" s="1"/>
  <c r="V744" i="4" s="1"/>
  <c r="R61" i="4"/>
  <c r="S61" i="4" s="1"/>
  <c r="U61" i="4" s="1"/>
  <c r="V61" i="4" s="1"/>
  <c r="R349" i="4"/>
  <c r="S349" i="4" s="1"/>
  <c r="R383" i="4"/>
  <c r="S383" i="4" s="1"/>
  <c r="U383" i="4" s="1"/>
  <c r="V383" i="4" s="1"/>
  <c r="R124" i="4"/>
  <c r="S124" i="4" s="1"/>
  <c r="U124" i="4" s="1"/>
  <c r="V124" i="4" s="1"/>
  <c r="R454" i="4"/>
  <c r="S454" i="4" s="1"/>
  <c r="U454" i="4" s="1"/>
  <c r="V454" i="4" s="1"/>
  <c r="R901" i="4"/>
  <c r="S901" i="4" s="1"/>
  <c r="U901" i="4" s="1"/>
  <c r="V901" i="4" s="1"/>
  <c r="R92" i="4"/>
  <c r="S92" i="4" s="1"/>
  <c r="T92" i="4" s="1"/>
  <c r="R506" i="4"/>
  <c r="S506" i="4" s="1"/>
  <c r="T506" i="4" s="1"/>
  <c r="R261" i="4"/>
  <c r="S261" i="4" s="1"/>
  <c r="T261" i="4" s="1"/>
  <c r="Q333" i="4"/>
  <c r="P338" i="4"/>
  <c r="P299" i="4"/>
  <c r="P451" i="4"/>
  <c r="P144" i="4"/>
  <c r="P46" i="4"/>
  <c r="P76" i="4"/>
  <c r="R714" i="4"/>
  <c r="S714" i="4" s="1"/>
  <c r="U714" i="4" s="1"/>
  <c r="V714" i="4" s="1"/>
  <c r="U309" i="4"/>
  <c r="V309" i="4" s="1"/>
  <c r="R388" i="4"/>
  <c r="S388" i="4" s="1"/>
  <c r="R1035" i="4"/>
  <c r="S1035" i="4" s="1"/>
  <c r="U1035" i="4" s="1"/>
  <c r="V1035" i="4" s="1"/>
  <c r="U1021" i="4"/>
  <c r="V1021" i="4" s="1"/>
  <c r="P48" i="4"/>
  <c r="R294" i="4"/>
  <c r="S294" i="4" s="1"/>
  <c r="U294" i="4" s="1"/>
  <c r="V294" i="4" s="1"/>
  <c r="Q497" i="4"/>
  <c r="P204" i="4"/>
  <c r="P171" i="4"/>
  <c r="P523" i="4"/>
  <c r="P397" i="4"/>
  <c r="T308" i="4"/>
  <c r="T702" i="4"/>
  <c r="T215" i="4"/>
  <c r="R165" i="4"/>
  <c r="S165" i="4" s="1"/>
  <c r="T165" i="4" s="1"/>
  <c r="R998" i="4"/>
  <c r="S998" i="4" s="1"/>
  <c r="T998" i="4" s="1"/>
  <c r="R585" i="4"/>
  <c r="S585" i="4" s="1"/>
  <c r="U585" i="4" s="1"/>
  <c r="V585" i="4" s="1"/>
  <c r="U611" i="4"/>
  <c r="V611" i="4" s="1"/>
  <c r="R647" i="4"/>
  <c r="S647" i="4" s="1"/>
  <c r="T647" i="4" s="1"/>
  <c r="R933" i="4"/>
  <c r="S933" i="4" s="1"/>
  <c r="T933" i="4" s="1"/>
  <c r="R487" i="4"/>
  <c r="S487" i="4" s="1"/>
  <c r="T487" i="4" s="1"/>
  <c r="P207" i="4"/>
  <c r="Q46" i="4"/>
  <c r="P429" i="4"/>
  <c r="Q48" i="4"/>
  <c r="P107" i="4"/>
  <c r="P461" i="4"/>
  <c r="P270" i="4"/>
  <c r="P241" i="4"/>
  <c r="Q47" i="4"/>
  <c r="P114" i="4"/>
  <c r="P131" i="4"/>
  <c r="Q496" i="4"/>
  <c r="Q80" i="4"/>
  <c r="P323" i="4"/>
  <c r="P528" i="4"/>
  <c r="P430" i="4"/>
  <c r="Q337" i="4"/>
  <c r="Q397" i="4"/>
  <c r="P175" i="4"/>
  <c r="P307" i="4"/>
  <c r="P267" i="4"/>
  <c r="Q173" i="4"/>
  <c r="P370" i="4"/>
  <c r="P433" i="4"/>
  <c r="P236" i="4"/>
  <c r="P109" i="4"/>
  <c r="Q236" i="4"/>
  <c r="P305" i="4"/>
  <c r="P333" i="4"/>
  <c r="P395" i="4"/>
  <c r="P243" i="4"/>
  <c r="Q527" i="4"/>
  <c r="Q51" i="4"/>
  <c r="P302" i="4"/>
  <c r="P275" i="4"/>
  <c r="Q275" i="4"/>
  <c r="P525" i="4"/>
  <c r="P403" i="4"/>
  <c r="Q498" i="4"/>
  <c r="Q403" i="4"/>
  <c r="P434" i="4"/>
  <c r="Q430" i="4"/>
  <c r="R871" i="4"/>
  <c r="S871" i="4" s="1"/>
  <c r="T871" i="4" s="1"/>
  <c r="P462" i="4"/>
  <c r="P67" i="4"/>
  <c r="P399" i="4"/>
  <c r="P332" i="4"/>
  <c r="P163" i="4"/>
  <c r="Q272" i="4"/>
  <c r="Q524" i="4"/>
  <c r="P141" i="4"/>
  <c r="P271" i="4"/>
  <c r="P366" i="4"/>
  <c r="Q146" i="4"/>
  <c r="Q400" i="4"/>
  <c r="Q364" i="4"/>
  <c r="Q461" i="4"/>
  <c r="P274" i="4"/>
  <c r="P435" i="4"/>
  <c r="P491" i="4"/>
  <c r="Q525" i="4"/>
  <c r="P272" i="4"/>
  <c r="P527" i="4"/>
  <c r="T735" i="4"/>
  <c r="P428" i="4"/>
  <c r="Q242" i="4"/>
  <c r="P300" i="4"/>
  <c r="Q115" i="4"/>
  <c r="P499" i="4"/>
  <c r="P80" i="4"/>
  <c r="Q271" i="4"/>
  <c r="P211" i="4"/>
  <c r="Q365" i="4"/>
  <c r="P460" i="4"/>
  <c r="P497" i="4"/>
  <c r="Q208" i="4"/>
  <c r="P483" i="4"/>
  <c r="Q44" i="4"/>
  <c r="R134" i="4"/>
  <c r="S134" i="4" s="1"/>
  <c r="T134" i="4" s="1"/>
  <c r="R93" i="4"/>
  <c r="S93" i="4" s="1"/>
  <c r="T93" i="4" s="1"/>
  <c r="U1059" i="4"/>
  <c r="V1059" i="4" s="1"/>
  <c r="T1059" i="4"/>
  <c r="Q435" i="4"/>
  <c r="Q494" i="4"/>
  <c r="P291" i="4"/>
  <c r="Q270" i="4"/>
  <c r="R907" i="4"/>
  <c r="S907" i="4" s="1"/>
  <c r="U907" i="4" s="1"/>
  <c r="V907" i="4" s="1"/>
  <c r="R774" i="4"/>
  <c r="S774" i="4" s="1"/>
  <c r="T774" i="4" s="1"/>
  <c r="R1003" i="4"/>
  <c r="S1003" i="4" s="1"/>
  <c r="U1003" i="4" s="1"/>
  <c r="V1003" i="4" s="1"/>
  <c r="R650" i="4"/>
  <c r="S650" i="4" s="1"/>
  <c r="U650" i="4" s="1"/>
  <c r="V650" i="4" s="1"/>
  <c r="R806" i="4"/>
  <c r="S806" i="4" s="1"/>
  <c r="U806" i="4" s="1"/>
  <c r="V806" i="4" s="1"/>
  <c r="R708" i="4"/>
  <c r="S708" i="4" s="1"/>
  <c r="U708" i="4" s="1"/>
  <c r="V708" i="4" s="1"/>
  <c r="R616" i="4"/>
  <c r="S616" i="4" s="1"/>
  <c r="U616" i="4" s="1"/>
  <c r="V616" i="4" s="1"/>
  <c r="U52" i="4"/>
  <c r="V52" i="4" s="1"/>
  <c r="T52" i="4"/>
  <c r="U340" i="4"/>
  <c r="V340" i="4" s="1"/>
  <c r="T605" i="4"/>
  <c r="R1029" i="4"/>
  <c r="S1029" i="4" s="1"/>
  <c r="T897" i="4"/>
  <c r="R810" i="4"/>
  <c r="S810" i="4" s="1"/>
  <c r="U245" i="4"/>
  <c r="V245" i="4" s="1"/>
  <c r="T245" i="4"/>
  <c r="T182" i="4"/>
  <c r="T962" i="4"/>
  <c r="T923" i="4"/>
  <c r="U669" i="4"/>
  <c r="V669" i="4" s="1"/>
  <c r="T669" i="4"/>
  <c r="T1048" i="4"/>
  <c r="U436" i="4"/>
  <c r="V436" i="4" s="1"/>
  <c r="T244" i="4"/>
  <c r="U118" i="4"/>
  <c r="V118" i="4" s="1"/>
  <c r="P496" i="4"/>
  <c r="Q143" i="4"/>
  <c r="Q429" i="4"/>
  <c r="P463" i="4"/>
  <c r="Q174" i="4"/>
  <c r="Q303" i="4"/>
  <c r="P465" i="4"/>
  <c r="Q306" i="4"/>
  <c r="U949" i="4"/>
  <c r="V949" i="4" s="1"/>
  <c r="T949" i="4"/>
  <c r="U980" i="4"/>
  <c r="V980" i="4" s="1"/>
  <c r="T980" i="4"/>
  <c r="R779" i="4"/>
  <c r="S779" i="4" s="1"/>
  <c r="T779" i="4" s="1"/>
  <c r="Q239" i="4"/>
  <c r="P208" i="4"/>
  <c r="Q76" i="4"/>
  <c r="P44" i="4"/>
  <c r="Q243" i="4"/>
  <c r="P530" i="4"/>
  <c r="U865" i="4"/>
  <c r="V865" i="4" s="1"/>
  <c r="T865" i="4"/>
  <c r="Q111" i="4"/>
  <c r="Q432" i="4"/>
  <c r="P49" i="4"/>
  <c r="P498" i="4"/>
  <c r="P364" i="4"/>
  <c r="R285" i="4"/>
  <c r="S285" i="4" s="1"/>
  <c r="U285" i="4" s="1"/>
  <c r="V285" i="4" s="1"/>
  <c r="U788" i="4"/>
  <c r="V788" i="4" s="1"/>
  <c r="T788" i="4"/>
  <c r="Q114" i="4"/>
  <c r="Q49" i="4"/>
  <c r="P173" i="4"/>
  <c r="P432" i="4"/>
  <c r="Q144" i="4"/>
  <c r="T792" i="4"/>
  <c r="U469" i="4"/>
  <c r="V469" i="4" s="1"/>
  <c r="T469" i="4"/>
  <c r="R293" i="4"/>
  <c r="S293" i="4" s="1"/>
  <c r="U293" i="4" s="1"/>
  <c r="V293" i="4" s="1"/>
  <c r="U1017" i="4"/>
  <c r="V1017" i="4" s="1"/>
  <c r="T1017" i="4"/>
  <c r="R969" i="4"/>
  <c r="S969" i="4" s="1"/>
  <c r="U969" i="4" s="1"/>
  <c r="V969" i="4" s="1"/>
  <c r="R776" i="4"/>
  <c r="S776" i="4" s="1"/>
  <c r="T776" i="4" s="1"/>
  <c r="R517" i="4"/>
  <c r="S517" i="4" s="1"/>
  <c r="U517" i="4" s="1"/>
  <c r="V517" i="4" s="1"/>
  <c r="R935" i="4"/>
  <c r="S935" i="4" s="1"/>
  <c r="T935" i="4" s="1"/>
  <c r="T860" i="4"/>
  <c r="U860" i="4"/>
  <c r="V860" i="4" s="1"/>
  <c r="R476" i="4"/>
  <c r="S476" i="4" s="1"/>
  <c r="U476" i="4" s="1"/>
  <c r="V476" i="4" s="1"/>
  <c r="R39" i="4"/>
  <c r="S39" i="4" s="1"/>
  <c r="R138" i="4" l="1"/>
  <c r="S138" i="4" s="1"/>
  <c r="U138" i="4" s="1"/>
  <c r="V138" i="4" s="1"/>
  <c r="S34" i="4"/>
  <c r="R298" i="4"/>
  <c r="S298" i="4" s="1"/>
  <c r="T298" i="4" s="1"/>
  <c r="R98" i="4"/>
  <c r="S98" i="4" s="1"/>
  <c r="U98" i="4" s="1"/>
  <c r="V98" i="4" s="1"/>
  <c r="R195" i="4"/>
  <c r="S195" i="4" s="1"/>
  <c r="U195" i="4" s="1"/>
  <c r="V195" i="4" s="1"/>
  <c r="R111" i="4"/>
  <c r="S111" i="4" s="1"/>
  <c r="U23" i="4"/>
  <c r="V23" i="4" s="1"/>
  <c r="S456" i="4"/>
  <c r="U456" i="4" s="1"/>
  <c r="V456" i="4" s="1"/>
  <c r="U324" i="4"/>
  <c r="V324" i="4" s="1"/>
  <c r="T120" i="4"/>
  <c r="T247" i="4"/>
  <c r="T183" i="4"/>
  <c r="T151" i="4"/>
  <c r="T311" i="4"/>
  <c r="S32" i="4"/>
  <c r="T32" i="4" s="1"/>
  <c r="R363" i="4"/>
  <c r="S363" i="4" s="1"/>
  <c r="U363" i="4" s="1"/>
  <c r="V363" i="4" s="1"/>
  <c r="T70" i="4"/>
  <c r="S264" i="4"/>
  <c r="U264" i="4" s="1"/>
  <c r="V264" i="4" s="1"/>
  <c r="R361" i="4"/>
  <c r="S361" i="4" s="1"/>
  <c r="U361" i="4" s="1"/>
  <c r="V361" i="4" s="1"/>
  <c r="R482" i="4"/>
  <c r="S482" i="4" s="1"/>
  <c r="T482" i="4" s="1"/>
  <c r="R65" i="4"/>
  <c r="S65" i="4" s="1"/>
  <c r="U65" i="4" s="1"/>
  <c r="V65" i="4" s="1"/>
  <c r="U351" i="4"/>
  <c r="V351" i="4" s="1"/>
  <c r="T412" i="4"/>
  <c r="T439" i="4"/>
  <c r="S320" i="4"/>
  <c r="U320" i="4" s="1"/>
  <c r="V320" i="4" s="1"/>
  <c r="S512" i="4"/>
  <c r="U512" i="4" s="1"/>
  <c r="V512" i="4" s="1"/>
  <c r="R259" i="4"/>
  <c r="S259" i="4" s="1"/>
  <c r="U259" i="4" s="1"/>
  <c r="V259" i="4" s="1"/>
  <c r="R522" i="4"/>
  <c r="S522" i="4" s="1"/>
  <c r="U522" i="4" s="1"/>
  <c r="V522" i="4" s="1"/>
  <c r="U313" i="4"/>
  <c r="V313" i="4" s="1"/>
  <c r="T280" i="4"/>
  <c r="U229" i="4"/>
  <c r="V229" i="4" s="1"/>
  <c r="R489" i="4"/>
  <c r="S489" i="4" s="1"/>
  <c r="T489" i="4" s="1"/>
  <c r="R322" i="4"/>
  <c r="S322" i="4" s="1"/>
  <c r="U322" i="4" s="1"/>
  <c r="V322" i="4" s="1"/>
  <c r="T191" i="4"/>
  <c r="T504" i="4"/>
  <c r="T127" i="4"/>
  <c r="U103" i="4"/>
  <c r="V103" i="4" s="1"/>
  <c r="R130" i="4"/>
  <c r="S130" i="4" s="1"/>
  <c r="T130" i="4" s="1"/>
  <c r="R234" i="4"/>
  <c r="S234" i="4" s="1"/>
  <c r="R210" i="4"/>
  <c r="S210" i="4" s="1"/>
  <c r="T210" i="4" s="1"/>
  <c r="R362" i="4"/>
  <c r="S362" i="4" s="1"/>
  <c r="T362" i="4" s="1"/>
  <c r="U350" i="4"/>
  <c r="V350" i="4" s="1"/>
  <c r="T350" i="4"/>
  <c r="U583" i="4"/>
  <c r="V583" i="4" s="1"/>
  <c r="T455" i="4"/>
  <c r="U89" i="4"/>
  <c r="V89" i="4" s="1"/>
  <c r="R332" i="4"/>
  <c r="S332" i="4" s="1"/>
  <c r="T332" i="4" s="1"/>
  <c r="R113" i="4"/>
  <c r="S113" i="4" s="1"/>
  <c r="T113" i="4" s="1"/>
  <c r="T58" i="4"/>
  <c r="S360" i="4"/>
  <c r="U360" i="4" s="1"/>
  <c r="V360" i="4" s="1"/>
  <c r="U68" i="4"/>
  <c r="V68" i="4" s="1"/>
  <c r="R523" i="4"/>
  <c r="S523" i="4" s="1"/>
  <c r="U523" i="4" s="1"/>
  <c r="V523" i="4" s="1"/>
  <c r="T380" i="4"/>
  <c r="R496" i="4"/>
  <c r="S496" i="4" s="1"/>
  <c r="U496" i="4" s="1"/>
  <c r="V496" i="4" s="1"/>
  <c r="U503" i="4"/>
  <c r="V503" i="4" s="1"/>
  <c r="T318" i="4"/>
  <c r="T375" i="4"/>
  <c r="T248" i="4"/>
  <c r="R163" i="4"/>
  <c r="S163" i="4" s="1"/>
  <c r="T163" i="4" s="1"/>
  <c r="T37" i="4"/>
  <c r="R433" i="4"/>
  <c r="S433" i="4" s="1"/>
  <c r="U433" i="4" s="1"/>
  <c r="V433" i="4" s="1"/>
  <c r="U968" i="4"/>
  <c r="V968" i="4" s="1"/>
  <c r="U152" i="4"/>
  <c r="V152" i="4" s="1"/>
  <c r="U59" i="4"/>
  <c r="V59" i="4" s="1"/>
  <c r="U28" i="4"/>
  <c r="V28" i="4" s="1"/>
  <c r="T809" i="4"/>
  <c r="T971" i="4"/>
  <c r="U155" i="4"/>
  <c r="V155" i="4" s="1"/>
  <c r="T155" i="4"/>
  <c r="U279" i="4"/>
  <c r="V279" i="4" s="1"/>
  <c r="U57" i="4"/>
  <c r="V57" i="4" s="1"/>
  <c r="T904" i="4"/>
  <c r="U346" i="4"/>
  <c r="V346" i="4" s="1"/>
  <c r="T346" i="4"/>
  <c r="U389" i="4"/>
  <c r="V389" i="4" s="1"/>
  <c r="T389" i="4"/>
  <c r="T63" i="4"/>
  <c r="R385" i="4"/>
  <c r="S385" i="4" s="1"/>
  <c r="U385" i="4" s="1"/>
  <c r="V385" i="4" s="1"/>
  <c r="R177" i="4"/>
  <c r="S177" i="4" s="1"/>
  <c r="U177" i="4" s="1"/>
  <c r="V177" i="4" s="1"/>
  <c r="R139" i="4"/>
  <c r="S139" i="4" s="1"/>
  <c r="R428" i="4"/>
  <c r="S428" i="4" s="1"/>
  <c r="U428" i="4" s="1"/>
  <c r="V428" i="4" s="1"/>
  <c r="T343" i="4"/>
  <c r="R530" i="4"/>
  <c r="S530" i="4" s="1"/>
  <c r="U530" i="4" s="1"/>
  <c r="V530" i="4" s="1"/>
  <c r="U382" i="4"/>
  <c r="V382" i="4" s="1"/>
  <c r="T119" i="4"/>
  <c r="R524" i="4"/>
  <c r="S524" i="4" s="1"/>
  <c r="T524" i="4" s="1"/>
  <c r="U996" i="4"/>
  <c r="V996" i="4" s="1"/>
  <c r="T26" i="4"/>
  <c r="R451" i="4"/>
  <c r="S451" i="4" s="1"/>
  <c r="T451" i="4" s="1"/>
  <c r="R97" i="4"/>
  <c r="S97" i="4" s="1"/>
  <c r="U97" i="4" s="1"/>
  <c r="V97" i="4" s="1"/>
  <c r="R174" i="4"/>
  <c r="S174" i="4" s="1"/>
  <c r="T174" i="4" s="1"/>
  <c r="U1033" i="4"/>
  <c r="V1033" i="4" s="1"/>
  <c r="R353" i="4"/>
  <c r="S353" i="4" s="1"/>
  <c r="U353" i="4" s="1"/>
  <c r="V353" i="4" s="1"/>
  <c r="T471" i="4"/>
  <c r="R129" i="4"/>
  <c r="S129" i="4" s="1"/>
  <c r="T129" i="4" s="1"/>
  <c r="S104" i="4"/>
  <c r="T104" i="4" s="1"/>
  <c r="R74" i="4"/>
  <c r="S74" i="4" s="1"/>
  <c r="U74" i="4" s="1"/>
  <c r="V74" i="4" s="1"/>
  <c r="R426" i="4"/>
  <c r="S426" i="4" s="1"/>
  <c r="U426" i="4" s="1"/>
  <c r="V426" i="4" s="1"/>
  <c r="T648" i="4"/>
  <c r="U964" i="4"/>
  <c r="V964" i="4" s="1"/>
  <c r="R142" i="4"/>
  <c r="S142" i="4" s="1"/>
  <c r="U142" i="4" s="1"/>
  <c r="V142" i="4" s="1"/>
  <c r="R227" i="4"/>
  <c r="S227" i="4" s="1"/>
  <c r="T712" i="4"/>
  <c r="T55" i="4"/>
  <c r="R323" i="4"/>
  <c r="S323" i="4" s="1"/>
  <c r="U323" i="4" s="1"/>
  <c r="V323" i="4" s="1"/>
  <c r="R67" i="4"/>
  <c r="S67" i="4" s="1"/>
  <c r="U67" i="4" s="1"/>
  <c r="V67" i="4" s="1"/>
  <c r="R110" i="4"/>
  <c r="S110" i="4" s="1"/>
  <c r="U110" i="4" s="1"/>
  <c r="V110" i="4" s="1"/>
  <c r="R459" i="4"/>
  <c r="S459" i="4" s="1"/>
  <c r="T680" i="4"/>
  <c r="T516" i="4"/>
  <c r="U516" i="4"/>
  <c r="V516" i="4" s="1"/>
  <c r="T743" i="4"/>
  <c r="U743" i="4"/>
  <c r="V743" i="4" s="1"/>
  <c r="U159" i="4"/>
  <c r="V159" i="4" s="1"/>
  <c r="U198" i="4"/>
  <c r="V198" i="4" s="1"/>
  <c r="R82" i="4"/>
  <c r="S82" i="4" s="1"/>
  <c r="T82" i="4" s="1"/>
  <c r="R330" i="4"/>
  <c r="S330" i="4" s="1"/>
  <c r="U330" i="4" s="1"/>
  <c r="V330" i="4" s="1"/>
  <c r="R258" i="4"/>
  <c r="S258" i="4" s="1"/>
  <c r="T258" i="4" s="1"/>
  <c r="R79" i="4"/>
  <c r="S79" i="4" s="1"/>
  <c r="R491" i="4"/>
  <c r="S491" i="4" s="1"/>
  <c r="R77" i="4"/>
  <c r="S77" i="4" s="1"/>
  <c r="U77" i="4" s="1"/>
  <c r="V77" i="4" s="1"/>
  <c r="T87" i="4"/>
  <c r="R457" i="4"/>
  <c r="S457" i="4" s="1"/>
  <c r="U457" i="4" s="1"/>
  <c r="V457" i="4" s="1"/>
  <c r="R386" i="4"/>
  <c r="S386" i="4" s="1"/>
  <c r="T386" i="4" s="1"/>
  <c r="R137" i="4"/>
  <c r="S137" i="4" s="1"/>
  <c r="U137" i="4" s="1"/>
  <c r="V137" i="4" s="1"/>
  <c r="R450" i="4"/>
  <c r="S450" i="4" s="1"/>
  <c r="U450" i="4" s="1"/>
  <c r="V450" i="4" s="1"/>
  <c r="T420" i="4"/>
  <c r="T126" i="4"/>
  <c r="T327" i="4"/>
  <c r="R226" i="4"/>
  <c r="S226" i="4" s="1"/>
  <c r="T226" i="4" s="1"/>
  <c r="T423" i="4"/>
  <c r="T486" i="4"/>
  <c r="S168" i="4"/>
  <c r="T168" i="4" s="1"/>
  <c r="R41" i="4"/>
  <c r="S41" i="4" s="1"/>
  <c r="U41" i="4" s="1"/>
  <c r="V41" i="4" s="1"/>
  <c r="R419" i="4"/>
  <c r="S419" i="4" s="1"/>
  <c r="U419" i="4" s="1"/>
  <c r="V419" i="4" s="1"/>
  <c r="R99" i="4"/>
  <c r="S99" i="4" s="1"/>
  <c r="U99" i="4" s="1"/>
  <c r="V99" i="4" s="1"/>
  <c r="T808" i="4"/>
  <c r="R483" i="4"/>
  <c r="S483" i="4" s="1"/>
  <c r="T483" i="4" s="1"/>
  <c r="R369" i="4"/>
  <c r="S369" i="4" s="1"/>
  <c r="U369" i="4" s="1"/>
  <c r="V369" i="4" s="1"/>
  <c r="R170" i="4"/>
  <c r="S170" i="4" s="1"/>
  <c r="T170" i="4" s="1"/>
  <c r="T612" i="4"/>
  <c r="U612" i="4"/>
  <c r="V612" i="4" s="1"/>
  <c r="U446" i="4"/>
  <c r="V446" i="4" s="1"/>
  <c r="T446" i="4"/>
  <c r="T71" i="4"/>
  <c r="U283" i="4"/>
  <c r="V283" i="4" s="1"/>
  <c r="R81" i="4"/>
  <c r="S81" i="4" s="1"/>
  <c r="U81" i="4" s="1"/>
  <c r="V81" i="4" s="1"/>
  <c r="U998" i="4"/>
  <c r="V998" i="4" s="1"/>
  <c r="R493" i="4"/>
  <c r="S493" i="4" s="1"/>
  <c r="U493" i="4" s="1"/>
  <c r="V493" i="4" s="1"/>
  <c r="R291" i="4"/>
  <c r="S291" i="4" s="1"/>
  <c r="U291" i="4" s="1"/>
  <c r="V291" i="4" s="1"/>
  <c r="R338" i="4"/>
  <c r="S338" i="4" s="1"/>
  <c r="U338" i="4" s="1"/>
  <c r="V338" i="4" s="1"/>
  <c r="R266" i="4"/>
  <c r="S266" i="4" s="1"/>
  <c r="R33" i="4"/>
  <c r="S33" i="4" s="1"/>
  <c r="T33" i="4" s="1"/>
  <c r="S352" i="4"/>
  <c r="T352" i="4" s="1"/>
  <c r="R105" i="4"/>
  <c r="S105" i="4" s="1"/>
  <c r="U105" i="4" s="1"/>
  <c r="V105" i="4" s="1"/>
  <c r="R42" i="4"/>
  <c r="S42" i="4" s="1"/>
  <c r="U42" i="4" s="1"/>
  <c r="V42" i="4" s="1"/>
  <c r="R355" i="4"/>
  <c r="S355" i="4" s="1"/>
  <c r="T355" i="4" s="1"/>
  <c r="R194" i="4"/>
  <c r="S194" i="4" s="1"/>
  <c r="U194" i="4" s="1"/>
  <c r="V194" i="4" s="1"/>
  <c r="R35" i="4"/>
  <c r="S35" i="4" s="1"/>
  <c r="U35" i="4" s="1"/>
  <c r="V35" i="4" s="1"/>
  <c r="R75" i="4"/>
  <c r="S75" i="4" s="1"/>
  <c r="T75" i="4" s="1"/>
  <c r="R201" i="4"/>
  <c r="S201" i="4" s="1"/>
  <c r="U201" i="4" s="1"/>
  <c r="V201" i="4" s="1"/>
  <c r="S64" i="4"/>
  <c r="T64" i="4" s="1"/>
  <c r="R66" i="4"/>
  <c r="S66" i="4" s="1"/>
  <c r="R106" i="4"/>
  <c r="S106" i="4" s="1"/>
  <c r="U106" i="4" s="1"/>
  <c r="V106" i="4" s="1"/>
  <c r="R207" i="4"/>
  <c r="S207" i="4" s="1"/>
  <c r="T207" i="4" s="1"/>
  <c r="R515" i="4"/>
  <c r="S515" i="4" s="1"/>
  <c r="U515" i="4" s="1"/>
  <c r="V515" i="4" s="1"/>
  <c r="S488" i="4"/>
  <c r="U488" i="4" s="1"/>
  <c r="V488" i="4" s="1"/>
  <c r="R178" i="4"/>
  <c r="S178" i="4" s="1"/>
  <c r="R354" i="4"/>
  <c r="S354" i="4" s="1"/>
  <c r="U354" i="4" s="1"/>
  <c r="V354" i="4" s="1"/>
  <c r="R267" i="4"/>
  <c r="S267" i="4" s="1"/>
  <c r="U267" i="4" s="1"/>
  <c r="V267" i="4" s="1"/>
  <c r="R235" i="4"/>
  <c r="S235" i="4" s="1"/>
  <c r="U235" i="4" s="1"/>
  <c r="V235" i="4" s="1"/>
  <c r="T56" i="4"/>
  <c r="R306" i="4"/>
  <c r="S306" i="4" s="1"/>
  <c r="T306" i="4" s="1"/>
  <c r="R193" i="4"/>
  <c r="S193" i="4" s="1"/>
  <c r="U193" i="4" s="1"/>
  <c r="V193" i="4" s="1"/>
  <c r="T440" i="4"/>
  <c r="R365" i="4"/>
  <c r="S365" i="4" s="1"/>
  <c r="T365" i="4" s="1"/>
  <c r="R335" i="4"/>
  <c r="S335" i="4" s="1"/>
  <c r="U335" i="4" s="1"/>
  <c r="V335" i="4" s="1"/>
  <c r="U900" i="4"/>
  <c r="V900" i="4" s="1"/>
  <c r="T315" i="4"/>
  <c r="R171" i="4"/>
  <c r="S171" i="4" s="1"/>
  <c r="T171" i="4" s="1"/>
  <c r="U414" i="4"/>
  <c r="V414" i="4" s="1"/>
  <c r="T414" i="4"/>
  <c r="R242" i="4"/>
  <c r="S242" i="4" s="1"/>
  <c r="T242" i="4" s="1"/>
  <c r="R172" i="4"/>
  <c r="S172" i="4" s="1"/>
  <c r="T172" i="4" s="1"/>
  <c r="R73" i="4"/>
  <c r="S73" i="4" s="1"/>
  <c r="U73" i="4" s="1"/>
  <c r="V73" i="4" s="1"/>
  <c r="R203" i="4"/>
  <c r="S203" i="4" s="1"/>
  <c r="R321" i="4"/>
  <c r="S321" i="4" s="1"/>
  <c r="U321" i="4" s="1"/>
  <c r="V321" i="4" s="1"/>
  <c r="S416" i="4"/>
  <c r="U416" i="4" s="1"/>
  <c r="V416" i="4" s="1"/>
  <c r="R393" i="4"/>
  <c r="S393" i="4" s="1"/>
  <c r="U393" i="4" s="1"/>
  <c r="V393" i="4" s="1"/>
  <c r="R458" i="4"/>
  <c r="S458" i="4" s="1"/>
  <c r="U458" i="4" s="1"/>
  <c r="V458" i="4" s="1"/>
  <c r="S192" i="4"/>
  <c r="U192" i="4" s="1"/>
  <c r="V192" i="4" s="1"/>
  <c r="S40" i="4"/>
  <c r="T40" i="4" s="1"/>
  <c r="R290" i="4"/>
  <c r="S290" i="4" s="1"/>
  <c r="U290" i="4" s="1"/>
  <c r="V290" i="4" s="1"/>
  <c r="R202" i="4"/>
  <c r="S202" i="4" s="1"/>
  <c r="U202" i="4" s="1"/>
  <c r="V202" i="4" s="1"/>
  <c r="R514" i="4"/>
  <c r="S514" i="4" s="1"/>
  <c r="T514" i="4" s="1"/>
  <c r="R225" i="4"/>
  <c r="S225" i="4" s="1"/>
  <c r="U225" i="4" s="1"/>
  <c r="V225" i="4" s="1"/>
  <c r="S448" i="4"/>
  <c r="T448" i="4" s="1"/>
  <c r="R387" i="4"/>
  <c r="S387" i="4" s="1"/>
  <c r="U387" i="4" s="1"/>
  <c r="V387" i="4" s="1"/>
  <c r="R394" i="4"/>
  <c r="S394" i="4" s="1"/>
  <c r="U394" i="4" s="1"/>
  <c r="V394" i="4" s="1"/>
  <c r="R395" i="4"/>
  <c r="S395" i="4" s="1"/>
  <c r="U395" i="4" s="1"/>
  <c r="V395" i="4" s="1"/>
  <c r="R464" i="4"/>
  <c r="S464" i="4" s="1"/>
  <c r="U464" i="4" s="1"/>
  <c r="V464" i="4" s="1"/>
  <c r="R265" i="4"/>
  <c r="S265" i="4" s="1"/>
  <c r="U265" i="4" s="1"/>
  <c r="V265" i="4" s="1"/>
  <c r="S232" i="4"/>
  <c r="T232" i="4" s="1"/>
  <c r="S331" i="4"/>
  <c r="U331" i="4" s="1"/>
  <c r="V331" i="4" s="1"/>
  <c r="R490" i="4"/>
  <c r="S490" i="4" s="1"/>
  <c r="T490" i="4" s="1"/>
  <c r="R418" i="4"/>
  <c r="S418" i="4" s="1"/>
  <c r="T418" i="4" s="1"/>
  <c r="R162" i="4"/>
  <c r="S162" i="4" s="1"/>
  <c r="T162" i="4" s="1"/>
  <c r="R233" i="4"/>
  <c r="S233" i="4" s="1"/>
  <c r="U233" i="4" s="1"/>
  <c r="V233" i="4" s="1"/>
  <c r="S96" i="4"/>
  <c r="T96" i="4" s="1"/>
  <c r="R513" i="4"/>
  <c r="S513" i="4" s="1"/>
  <c r="U513" i="4" s="1"/>
  <c r="V513" i="4" s="1"/>
  <c r="T742" i="4"/>
  <c r="U742" i="4"/>
  <c r="V742" i="4" s="1"/>
  <c r="T509" i="4"/>
  <c r="U509" i="4"/>
  <c r="V509" i="4" s="1"/>
  <c r="U510" i="4"/>
  <c r="V510" i="4" s="1"/>
  <c r="T510" i="4"/>
  <c r="T252" i="4"/>
  <c r="U741" i="4"/>
  <c r="V741" i="4" s="1"/>
  <c r="T199" i="4"/>
  <c r="S392" i="4"/>
  <c r="U392" i="4" s="1"/>
  <c r="V392" i="4" s="1"/>
  <c r="T807" i="4"/>
  <c r="R76" i="4"/>
  <c r="S76" i="4" s="1"/>
  <c r="T76" i="4" s="1"/>
  <c r="R303" i="4"/>
  <c r="S303" i="4" s="1"/>
  <c r="U303" i="4" s="1"/>
  <c r="V303" i="4" s="1"/>
  <c r="R107" i="4"/>
  <c r="S107" i="4" s="1"/>
  <c r="U107" i="4" s="1"/>
  <c r="V107" i="4" s="1"/>
  <c r="R112" i="4"/>
  <c r="S112" i="4" s="1"/>
  <c r="U112" i="4" s="1"/>
  <c r="V112" i="4" s="1"/>
  <c r="R43" i="4"/>
  <c r="S43" i="4" s="1"/>
  <c r="U43" i="4" s="1"/>
  <c r="V43" i="4" s="1"/>
  <c r="S520" i="4"/>
  <c r="U520" i="4" s="1"/>
  <c r="V520" i="4" s="1"/>
  <c r="T839" i="4"/>
  <c r="T217" i="4"/>
  <c r="T391" i="4"/>
  <c r="T679" i="4"/>
  <c r="T231" i="4"/>
  <c r="U24" i="4"/>
  <c r="V24" i="4" s="1"/>
  <c r="R300" i="4"/>
  <c r="S300" i="4" s="1"/>
  <c r="U300" i="4" s="1"/>
  <c r="V300" i="4" s="1"/>
  <c r="R299" i="4"/>
  <c r="S299" i="4" s="1"/>
  <c r="U299" i="4" s="1"/>
  <c r="V299" i="4" s="1"/>
  <c r="R301" i="4"/>
  <c r="S301" i="4" s="1"/>
  <c r="U301" i="4" s="1"/>
  <c r="V301" i="4" s="1"/>
  <c r="R417" i="4"/>
  <c r="S417" i="4" s="1"/>
  <c r="U417" i="4" s="1"/>
  <c r="V417" i="4" s="1"/>
  <c r="S424" i="4"/>
  <c r="U424" i="4" s="1"/>
  <c r="V424" i="4" s="1"/>
  <c r="R257" i="4"/>
  <c r="S257" i="4" s="1"/>
  <c r="U257" i="4" s="1"/>
  <c r="V257" i="4" s="1"/>
  <c r="U125" i="4"/>
  <c r="V125" i="4" s="1"/>
  <c r="T1028" i="4"/>
  <c r="U253" i="4"/>
  <c r="V253" i="4" s="1"/>
  <c r="R131" i="4"/>
  <c r="S131" i="4" s="1"/>
  <c r="U131" i="4" s="1"/>
  <c r="V131" i="4" s="1"/>
  <c r="R427" i="4"/>
  <c r="S427" i="4" s="1"/>
  <c r="U427" i="4" s="1"/>
  <c r="V427" i="4" s="1"/>
  <c r="S384" i="4"/>
  <c r="U384" i="4" s="1"/>
  <c r="V384" i="4" s="1"/>
  <c r="U165" i="4"/>
  <c r="V165" i="4" s="1"/>
  <c r="T1030" i="4"/>
  <c r="U27" i="4"/>
  <c r="V27" i="4" s="1"/>
  <c r="U1000" i="4"/>
  <c r="V1000" i="4" s="1"/>
  <c r="S224" i="4"/>
  <c r="T224" i="4" s="1"/>
  <c r="R243" i="4"/>
  <c r="S243" i="4" s="1"/>
  <c r="U243" i="4" s="1"/>
  <c r="V243" i="4" s="1"/>
  <c r="R304" i="4"/>
  <c r="S304" i="4" s="1"/>
  <c r="R238" i="4"/>
  <c r="S238" i="4" s="1"/>
  <c r="U238" i="4" s="1"/>
  <c r="V238" i="4" s="1"/>
  <c r="R268" i="4"/>
  <c r="S268" i="4" s="1"/>
  <c r="U268" i="4" s="1"/>
  <c r="V268" i="4" s="1"/>
  <c r="R499" i="4"/>
  <c r="S499" i="4" s="1"/>
  <c r="T499" i="4" s="1"/>
  <c r="R78" i="4"/>
  <c r="S78" i="4" s="1"/>
  <c r="U78" i="4" s="1"/>
  <c r="V78" i="4" s="1"/>
  <c r="R206" i="4"/>
  <c r="S206" i="4" s="1"/>
  <c r="T206" i="4" s="1"/>
  <c r="R449" i="4"/>
  <c r="S449" i="4" s="1"/>
  <c r="T449" i="4" s="1"/>
  <c r="R329" i="4"/>
  <c r="S329" i="4" s="1"/>
  <c r="U329" i="4" s="1"/>
  <c r="V329" i="4" s="1"/>
  <c r="R169" i="4"/>
  <c r="S169" i="4" s="1"/>
  <c r="U169" i="4" s="1"/>
  <c r="V169" i="4" s="1"/>
  <c r="S200" i="4"/>
  <c r="T200" i="4" s="1"/>
  <c r="T644" i="4"/>
  <c r="U644" i="4"/>
  <c r="V644" i="4" s="1"/>
  <c r="T932" i="4"/>
  <c r="T186" i="4"/>
  <c r="R460" i="4"/>
  <c r="S460" i="4" s="1"/>
  <c r="U460" i="4" s="1"/>
  <c r="V460" i="4" s="1"/>
  <c r="R461" i="4"/>
  <c r="S461" i="4" s="1"/>
  <c r="U461" i="4" s="1"/>
  <c r="V461" i="4" s="1"/>
  <c r="R434" i="4"/>
  <c r="S434" i="4" s="1"/>
  <c r="T434" i="4" s="1"/>
  <c r="R51" i="4"/>
  <c r="S51" i="4" s="1"/>
  <c r="T51" i="4" s="1"/>
  <c r="S288" i="4"/>
  <c r="T288" i="4" s="1"/>
  <c r="R396" i="4"/>
  <c r="S396" i="4" s="1"/>
  <c r="U396" i="4" s="1"/>
  <c r="V396" i="4" s="1"/>
  <c r="S72" i="4"/>
  <c r="T72" i="4" s="1"/>
  <c r="S160" i="4"/>
  <c r="T160" i="4" s="1"/>
  <c r="S136" i="4"/>
  <c r="U136" i="4" s="1"/>
  <c r="V136" i="4" s="1"/>
  <c r="U811" i="4"/>
  <c r="V811" i="4" s="1"/>
  <c r="T254" i="4"/>
  <c r="R334" i="4"/>
  <c r="S334" i="4" s="1"/>
  <c r="T334" i="4" s="1"/>
  <c r="R145" i="4"/>
  <c r="S145" i="4" s="1"/>
  <c r="T145" i="4" s="1"/>
  <c r="U587" i="4"/>
  <c r="V587" i="4" s="1"/>
  <c r="R114" i="4"/>
  <c r="S114" i="4" s="1"/>
  <c r="U114" i="4" s="1"/>
  <c r="V114" i="4" s="1"/>
  <c r="R528" i="4"/>
  <c r="S528" i="4" s="1"/>
  <c r="U528" i="4" s="1"/>
  <c r="V528" i="4" s="1"/>
  <c r="R425" i="4"/>
  <c r="S425" i="4" s="1"/>
  <c r="U425" i="4" s="1"/>
  <c r="V425" i="4" s="1"/>
  <c r="R45" i="4"/>
  <c r="S45" i="4" s="1"/>
  <c r="T45" i="4" s="1"/>
  <c r="T907" i="4"/>
  <c r="R161" i="4"/>
  <c r="S161" i="4" s="1"/>
  <c r="U161" i="4" s="1"/>
  <c r="V161" i="4" s="1"/>
  <c r="S128" i="4"/>
  <c r="U128" i="4" s="1"/>
  <c r="V128" i="4" s="1"/>
  <c r="U25" i="4"/>
  <c r="V25" i="4" s="1"/>
  <c r="T25" i="4"/>
  <c r="T411" i="4"/>
  <c r="U411" i="4"/>
  <c r="V411" i="4" s="1"/>
  <c r="S480" i="4"/>
  <c r="T480" i="4" s="1"/>
  <c r="S328" i="4"/>
  <c r="T806" i="4"/>
  <c r="U581" i="4"/>
  <c r="V581" i="4" s="1"/>
  <c r="R179" i="4"/>
  <c r="S179" i="4" s="1"/>
  <c r="U179" i="4" s="1"/>
  <c r="V179" i="4" s="1"/>
  <c r="R492" i="4"/>
  <c r="S492" i="4" s="1"/>
  <c r="U492" i="4" s="1"/>
  <c r="V492" i="4" s="1"/>
  <c r="U842" i="4"/>
  <c r="V842" i="4" s="1"/>
  <c r="T62" i="4"/>
  <c r="T407" i="4"/>
  <c r="T841" i="4"/>
  <c r="U902" i="4"/>
  <c r="V902" i="4" s="1"/>
  <c r="T478" i="4"/>
  <c r="S256" i="4"/>
  <c r="R289" i="4"/>
  <c r="S289" i="4" s="1"/>
  <c r="U289" i="4" s="1"/>
  <c r="V289" i="4" s="1"/>
  <c r="R297" i="4"/>
  <c r="S297" i="4" s="1"/>
  <c r="R521" i="4"/>
  <c r="S521" i="4" s="1"/>
  <c r="T521" i="4" s="1"/>
  <c r="R481" i="4"/>
  <c r="S481" i="4" s="1"/>
  <c r="R46" i="4"/>
  <c r="S46" i="4" s="1"/>
  <c r="T46" i="4" s="1"/>
  <c r="U938" i="4"/>
  <c r="V938" i="4" s="1"/>
  <c r="T938" i="4"/>
  <c r="T1065" i="4"/>
  <c r="R527" i="4"/>
  <c r="S527" i="4" s="1"/>
  <c r="T527" i="4" s="1"/>
  <c r="T325" i="4"/>
  <c r="U740" i="4"/>
  <c r="V740" i="4" s="1"/>
  <c r="U189" i="4"/>
  <c r="V189" i="4" s="1"/>
  <c r="T937" i="4"/>
  <c r="R497" i="4"/>
  <c r="S497" i="4" s="1"/>
  <c r="U497" i="4" s="1"/>
  <c r="V497" i="4" s="1"/>
  <c r="T377" i="4"/>
  <c r="R463" i="4"/>
  <c r="S463" i="4" s="1"/>
  <c r="T463" i="4" s="1"/>
  <c r="T772" i="4"/>
  <c r="U506" i="4"/>
  <c r="V506" i="4" s="1"/>
  <c r="T262" i="4"/>
  <c r="U262" i="4"/>
  <c r="V262" i="4" s="1"/>
  <c r="T158" i="4"/>
  <c r="U158" i="4"/>
  <c r="V158" i="4" s="1"/>
  <c r="U1060" i="4"/>
  <c r="V1060" i="4" s="1"/>
  <c r="U317" i="4"/>
  <c r="V317" i="4" s="1"/>
  <c r="R146" i="4"/>
  <c r="S146" i="4" s="1"/>
  <c r="U487" i="4"/>
  <c r="V487" i="4" s="1"/>
  <c r="U101" i="4"/>
  <c r="V101" i="4" s="1"/>
  <c r="U133" i="4"/>
  <c r="V133" i="4" s="1"/>
  <c r="U1002" i="4"/>
  <c r="V1002" i="4" s="1"/>
  <c r="T650" i="4"/>
  <c r="T453" i="4"/>
  <c r="T618" i="4"/>
  <c r="U30" i="4"/>
  <c r="V30" i="4" s="1"/>
  <c r="T681" i="4"/>
  <c r="U681" i="4"/>
  <c r="V681" i="4" s="1"/>
  <c r="U135" i="4"/>
  <c r="V135" i="4" s="1"/>
  <c r="R466" i="4"/>
  <c r="S466" i="4" s="1"/>
  <c r="U466" i="4" s="1"/>
  <c r="V466" i="4" s="1"/>
  <c r="R240" i="4"/>
  <c r="S240" i="4" s="1"/>
  <c r="U240" i="4" s="1"/>
  <c r="V240" i="4" s="1"/>
  <c r="R147" i="4"/>
  <c r="S147" i="4" s="1"/>
  <c r="U147" i="4" s="1"/>
  <c r="V147" i="4" s="1"/>
  <c r="T580" i="4"/>
  <c r="R115" i="4"/>
  <c r="S115" i="4" s="1"/>
  <c r="U115" i="4" s="1"/>
  <c r="V115" i="4" s="1"/>
  <c r="T263" i="4"/>
  <c r="T869" i="4"/>
  <c r="R336" i="4"/>
  <c r="S336" i="4" s="1"/>
  <c r="U336" i="4" s="1"/>
  <c r="V336" i="4" s="1"/>
  <c r="T284" i="4"/>
  <c r="U442" i="4"/>
  <c r="V442" i="4" s="1"/>
  <c r="R237" i="4"/>
  <c r="S237" i="4" s="1"/>
  <c r="T187" i="4"/>
  <c r="R371" i="4"/>
  <c r="S371" i="4" s="1"/>
  <c r="U371" i="4" s="1"/>
  <c r="V371" i="4" s="1"/>
  <c r="U184" i="4"/>
  <c r="V184" i="4" s="1"/>
  <c r="T746" i="4"/>
  <c r="T61" i="4"/>
  <c r="T715" i="4"/>
  <c r="T1035" i="4"/>
  <c r="R269" i="4"/>
  <c r="S269" i="4" s="1"/>
  <c r="T269" i="4" s="1"/>
  <c r="U773" i="4"/>
  <c r="V773" i="4" s="1"/>
  <c r="T381" i="4"/>
  <c r="T294" i="4"/>
  <c r="T775" i="4"/>
  <c r="R531" i="4"/>
  <c r="S531" i="4" s="1"/>
  <c r="U531" i="4" s="1"/>
  <c r="V531" i="4" s="1"/>
  <c r="T314" i="4"/>
  <c r="U314" i="4"/>
  <c r="V314" i="4" s="1"/>
  <c r="T646" i="4"/>
  <c r="U646" i="4"/>
  <c r="V646" i="4" s="1"/>
  <c r="R109" i="4"/>
  <c r="S109" i="4" s="1"/>
  <c r="T109" i="4" s="1"/>
  <c r="R209" i="4"/>
  <c r="S209" i="4" s="1"/>
  <c r="U209" i="4" s="1"/>
  <c r="V209" i="4" s="1"/>
  <c r="T999" i="4"/>
  <c r="U933" i="4"/>
  <c r="V933" i="4" s="1"/>
  <c r="U1066" i="4"/>
  <c r="V1066" i="4" s="1"/>
  <c r="T454" i="4"/>
  <c r="T1064" i="4"/>
  <c r="T95" i="4"/>
  <c r="R204" i="4"/>
  <c r="S204" i="4" s="1"/>
  <c r="T204" i="4" s="1"/>
  <c r="T778" i="4"/>
  <c r="T836" i="4"/>
  <c r="R337" i="4"/>
  <c r="S337" i="4" s="1"/>
  <c r="T337" i="4" s="1"/>
  <c r="R47" i="4"/>
  <c r="S47" i="4" s="1"/>
  <c r="U47" i="4" s="1"/>
  <c r="V47" i="4" s="1"/>
  <c r="T709" i="4"/>
  <c r="U348" i="4"/>
  <c r="V348" i="4" s="1"/>
  <c r="U804" i="4"/>
  <c r="V804" i="4" s="1"/>
  <c r="T223" i="4"/>
  <c r="T222" i="4"/>
  <c r="U167" i="4"/>
  <c r="V167" i="4" s="1"/>
  <c r="U586" i="4"/>
  <c r="V586" i="4" s="1"/>
  <c r="T508" i="4"/>
  <c r="T282" i="4"/>
  <c r="R462" i="4"/>
  <c r="S462" i="4" s="1"/>
  <c r="U462" i="4" s="1"/>
  <c r="V462" i="4" s="1"/>
  <c r="R241" i="4"/>
  <c r="S241" i="4" s="1"/>
  <c r="T241" i="4" s="1"/>
  <c r="T473" i="4"/>
  <c r="R305" i="4"/>
  <c r="S305" i="4" s="1"/>
  <c r="U305" i="4" s="1"/>
  <c r="V305" i="4" s="1"/>
  <c r="R399" i="4"/>
  <c r="S399" i="4" s="1"/>
  <c r="U399" i="4" s="1"/>
  <c r="V399" i="4" s="1"/>
  <c r="R307" i="4"/>
  <c r="S307" i="4" s="1"/>
  <c r="U307" i="4" s="1"/>
  <c r="V307" i="4" s="1"/>
  <c r="R368" i="4"/>
  <c r="S368" i="4" s="1"/>
  <c r="U368" i="4" s="1"/>
  <c r="V368" i="4" s="1"/>
  <c r="R526" i="4"/>
  <c r="S526" i="4" s="1"/>
  <c r="U526" i="4" s="1"/>
  <c r="V526" i="4" s="1"/>
  <c r="R339" i="4"/>
  <c r="S339" i="4" s="1"/>
  <c r="R108" i="4"/>
  <c r="S108" i="4" s="1"/>
  <c r="T108" i="4" s="1"/>
  <c r="R398" i="4"/>
  <c r="S398" i="4" s="1"/>
  <c r="U398" i="4" s="1"/>
  <c r="V398" i="4" s="1"/>
  <c r="R529" i="4"/>
  <c r="S529" i="4" s="1"/>
  <c r="U529" i="4" s="1"/>
  <c r="V529" i="4" s="1"/>
  <c r="R467" i="4"/>
  <c r="S467" i="4" s="1"/>
  <c r="U467" i="4" s="1"/>
  <c r="V467" i="4" s="1"/>
  <c r="R176" i="4"/>
  <c r="S176" i="4" s="1"/>
  <c r="U176" i="4" s="1"/>
  <c r="V176" i="4" s="1"/>
  <c r="U415" i="4"/>
  <c r="V415" i="4" s="1"/>
  <c r="T415" i="4"/>
  <c r="T682" i="4"/>
  <c r="U682" i="4"/>
  <c r="V682" i="4" s="1"/>
  <c r="T219" i="4"/>
  <c r="U230" i="4"/>
  <c r="V230" i="4" s="1"/>
  <c r="T967" i="4"/>
  <c r="T249" i="4"/>
  <c r="T413" i="4"/>
  <c r="T221" i="4"/>
  <c r="T837" i="4"/>
  <c r="T777" i="4"/>
  <c r="R273" i="4"/>
  <c r="S273" i="4" s="1"/>
  <c r="T376" i="4"/>
  <c r="T505" i="4"/>
  <c r="T410" i="4"/>
  <c r="U218" i="4"/>
  <c r="V218" i="4" s="1"/>
  <c r="R270" i="4"/>
  <c r="S270" i="4" s="1"/>
  <c r="U270" i="4" s="1"/>
  <c r="V270" i="4" s="1"/>
  <c r="R211" i="4"/>
  <c r="S211" i="4" s="1"/>
  <c r="U211" i="4" s="1"/>
  <c r="V211" i="4" s="1"/>
  <c r="R83" i="4"/>
  <c r="S83" i="4" s="1"/>
  <c r="U83" i="4" s="1"/>
  <c r="V83" i="4" s="1"/>
  <c r="T1062" i="4"/>
  <c r="T838" i="4"/>
  <c r="T347" i="4"/>
  <c r="R495" i="4"/>
  <c r="S495" i="4" s="1"/>
  <c r="U495" i="4" s="1"/>
  <c r="V495" i="4" s="1"/>
  <c r="T408" i="4"/>
  <c r="T966" i="4"/>
  <c r="T714" i="4"/>
  <c r="T710" i="4"/>
  <c r="R465" i="4"/>
  <c r="S465" i="4" s="1"/>
  <c r="U465" i="4" s="1"/>
  <c r="V465" i="4" s="1"/>
  <c r="T216" i="4"/>
  <c r="R44" i="4"/>
  <c r="S44" i="4" s="1"/>
  <c r="U44" i="4" s="1"/>
  <c r="V44" i="4" s="1"/>
  <c r="R367" i="4"/>
  <c r="S367" i="4" s="1"/>
  <c r="U367" i="4" s="1"/>
  <c r="V367" i="4" s="1"/>
  <c r="R431" i="4"/>
  <c r="S431" i="4" s="1"/>
  <c r="T431" i="4" s="1"/>
  <c r="R494" i="4"/>
  <c r="S494" i="4" s="1"/>
  <c r="U494" i="4" s="1"/>
  <c r="V494" i="4" s="1"/>
  <c r="R302" i="4"/>
  <c r="S302" i="4" s="1"/>
  <c r="T302" i="4" s="1"/>
  <c r="T676" i="4"/>
  <c r="T132" i="4"/>
  <c r="U871" i="4"/>
  <c r="V871" i="4" s="1"/>
  <c r="T901" i="4"/>
  <c r="T840" i="4"/>
  <c r="R173" i="4"/>
  <c r="S173" i="4" s="1"/>
  <c r="T173" i="4" s="1"/>
  <c r="T154" i="4"/>
  <c r="U774" i="4"/>
  <c r="V774" i="4" s="1"/>
  <c r="T870" i="4"/>
  <c r="R525" i="4"/>
  <c r="S525" i="4" s="1"/>
  <c r="U525" i="4" s="1"/>
  <c r="V525" i="4" s="1"/>
  <c r="R370" i="4"/>
  <c r="S370" i="4" s="1"/>
  <c r="U370" i="4" s="1"/>
  <c r="V370" i="4" s="1"/>
  <c r="U1032" i="4"/>
  <c r="V1032" i="4" s="1"/>
  <c r="T1032" i="4"/>
  <c r="U970" i="4"/>
  <c r="V970" i="4" s="1"/>
  <c r="U873" i="4"/>
  <c r="V873" i="4" s="1"/>
  <c r="T60" i="4"/>
  <c r="T316" i="4"/>
  <c r="T443" i="4"/>
  <c r="R429" i="4"/>
  <c r="S429" i="4" s="1"/>
  <c r="U429" i="4" s="1"/>
  <c r="V429" i="4" s="1"/>
  <c r="U312" i="4"/>
  <c r="V312" i="4" s="1"/>
  <c r="R143" i="4"/>
  <c r="S143" i="4" s="1"/>
  <c r="U143" i="4" s="1"/>
  <c r="V143" i="4" s="1"/>
  <c r="R366" i="4"/>
  <c r="S366" i="4" s="1"/>
  <c r="T366" i="4" s="1"/>
  <c r="U164" i="4"/>
  <c r="V164" i="4" s="1"/>
  <c r="R333" i="4"/>
  <c r="S333" i="4" s="1"/>
  <c r="U333" i="4" s="1"/>
  <c r="V333" i="4" s="1"/>
  <c r="T965" i="4"/>
  <c r="R50" i="4"/>
  <c r="S50" i="4" s="1"/>
  <c r="T50" i="4" s="1"/>
  <c r="R141" i="4"/>
  <c r="S141" i="4" s="1"/>
  <c r="U141" i="4" s="1"/>
  <c r="V141" i="4" s="1"/>
  <c r="R498" i="4"/>
  <c r="S498" i="4" s="1"/>
  <c r="U498" i="4" s="1"/>
  <c r="V498" i="4" s="1"/>
  <c r="U409" i="4"/>
  <c r="V409" i="4" s="1"/>
  <c r="U326" i="4"/>
  <c r="V326" i="4" s="1"/>
  <c r="U251" i="4"/>
  <c r="V251" i="4" s="1"/>
  <c r="U647" i="4"/>
  <c r="V647" i="4" s="1"/>
  <c r="U102" i="4"/>
  <c r="V102" i="4" s="1"/>
  <c r="T651" i="4"/>
  <c r="U261" i="4"/>
  <c r="V261" i="4" s="1"/>
  <c r="R144" i="4"/>
  <c r="S144" i="4" s="1"/>
  <c r="U144" i="4" s="1"/>
  <c r="V144" i="4" s="1"/>
  <c r="U518" i="4"/>
  <c r="V518" i="4" s="1"/>
  <c r="T934" i="4"/>
  <c r="T582" i="4"/>
  <c r="R400" i="4"/>
  <c r="S400" i="4" s="1"/>
  <c r="U400" i="4" s="1"/>
  <c r="V400" i="4" s="1"/>
  <c r="R140" i="4"/>
  <c r="S140" i="4" s="1"/>
  <c r="U140" i="4" s="1"/>
  <c r="V140" i="4" s="1"/>
  <c r="R402" i="4"/>
  <c r="S402" i="4" s="1"/>
  <c r="T402" i="4" s="1"/>
  <c r="U250" i="4"/>
  <c r="V250" i="4" s="1"/>
  <c r="R48" i="4"/>
  <c r="S48" i="4" s="1"/>
  <c r="U48" i="4" s="1"/>
  <c r="V48" i="4" s="1"/>
  <c r="R271" i="4"/>
  <c r="S271" i="4" s="1"/>
  <c r="U271" i="4" s="1"/>
  <c r="V271" i="4" s="1"/>
  <c r="U390" i="4"/>
  <c r="V390" i="4" s="1"/>
  <c r="T390" i="4"/>
  <c r="T196" i="4"/>
  <c r="U196" i="4"/>
  <c r="V196" i="4" s="1"/>
  <c r="T585" i="4"/>
  <c r="T744" i="4"/>
  <c r="T157" i="4"/>
  <c r="U188" i="4"/>
  <c r="V188" i="4" s="1"/>
  <c r="R175" i="4"/>
  <c r="S175" i="4" s="1"/>
  <c r="U175" i="4" s="1"/>
  <c r="V175" i="4" s="1"/>
  <c r="T1003" i="4"/>
  <c r="T1067" i="4"/>
  <c r="T422" i="4"/>
  <c r="T296" i="4"/>
  <c r="R401" i="4"/>
  <c r="S401" i="4" s="1"/>
  <c r="U401" i="4" s="1"/>
  <c r="V401" i="4" s="1"/>
  <c r="R205" i="4"/>
  <c r="S205" i="4" s="1"/>
  <c r="T205" i="4" s="1"/>
  <c r="T519" i="4"/>
  <c r="T511" i="4"/>
  <c r="T281" i="4"/>
  <c r="T292" i="4"/>
  <c r="T121" i="4"/>
  <c r="R208" i="4"/>
  <c r="S208" i="4" s="1"/>
  <c r="T208" i="4" s="1"/>
  <c r="U711" i="4"/>
  <c r="V711" i="4" s="1"/>
  <c r="R274" i="4"/>
  <c r="S274" i="4" s="1"/>
  <c r="U274" i="4" s="1"/>
  <c r="V274" i="4" s="1"/>
  <c r="T713" i="4"/>
  <c r="T843" i="4"/>
  <c r="R80" i="4"/>
  <c r="S80" i="4" s="1"/>
  <c r="U80" i="4" s="1"/>
  <c r="V80" i="4" s="1"/>
  <c r="U88" i="4"/>
  <c r="V88" i="4" s="1"/>
  <c r="U874" i="4"/>
  <c r="V874" i="4" s="1"/>
  <c r="T874" i="4"/>
  <c r="T875" i="4"/>
  <c r="T868" i="4"/>
  <c r="U447" i="4"/>
  <c r="V447" i="4" s="1"/>
  <c r="U747" i="4"/>
  <c r="V747" i="4" s="1"/>
  <c r="U1063" i="4"/>
  <c r="V1063" i="4" s="1"/>
  <c r="T31" i="4"/>
  <c r="U153" i="4"/>
  <c r="V153" i="4" s="1"/>
  <c r="T939" i="4"/>
  <c r="T614" i="4"/>
  <c r="T805" i="4"/>
  <c r="T286" i="4"/>
  <c r="R364" i="4"/>
  <c r="S364" i="4" s="1"/>
  <c r="T364" i="4" s="1"/>
  <c r="R239" i="4"/>
  <c r="S239" i="4" s="1"/>
  <c r="U239" i="4" s="1"/>
  <c r="V239" i="4" s="1"/>
  <c r="U484" i="4"/>
  <c r="V484" i="4" s="1"/>
  <c r="U190" i="4"/>
  <c r="V190" i="4" s="1"/>
  <c r="T905" i="4"/>
  <c r="R397" i="4"/>
  <c r="S397" i="4" s="1"/>
  <c r="U397" i="4" s="1"/>
  <c r="V397" i="4" s="1"/>
  <c r="T345" i="4"/>
  <c r="U479" i="4"/>
  <c r="V479" i="4" s="1"/>
  <c r="T100" i="4"/>
  <c r="U1031" i="4"/>
  <c r="V1031" i="4" s="1"/>
  <c r="T903" i="4"/>
  <c r="T123" i="4"/>
  <c r="T476" i="4"/>
  <c r="U779" i="4"/>
  <c r="V779" i="4" s="1"/>
  <c r="T36" i="4"/>
  <c r="U36" i="4"/>
  <c r="V36" i="4" s="1"/>
  <c r="T197" i="4"/>
  <c r="U197" i="4"/>
  <c r="V197" i="4" s="1"/>
  <c r="T613" i="4"/>
  <c r="T616" i="4"/>
  <c r="T584" i="4"/>
  <c r="U617" i="4"/>
  <c r="V617" i="4" s="1"/>
  <c r="U220" i="4"/>
  <c r="V220" i="4" s="1"/>
  <c r="T936" i="4"/>
  <c r="T356" i="4"/>
  <c r="R272" i="4"/>
  <c r="S272" i="4" s="1"/>
  <c r="T272" i="4" s="1"/>
  <c r="R430" i="4"/>
  <c r="S430" i="4" s="1"/>
  <c r="T430" i="4" s="1"/>
  <c r="R275" i="4"/>
  <c r="S275" i="4" s="1"/>
  <c r="U275" i="4" s="1"/>
  <c r="V275" i="4" s="1"/>
  <c r="U228" i="4"/>
  <c r="V228" i="4" s="1"/>
  <c r="U677" i="4"/>
  <c r="V677" i="4" s="1"/>
  <c r="T421" i="4"/>
  <c r="U93" i="4"/>
  <c r="V93" i="4" s="1"/>
  <c r="T359" i="4"/>
  <c r="T285" i="4"/>
  <c r="T708" i="4"/>
  <c r="U472" i="4"/>
  <c r="V472" i="4" s="1"/>
  <c r="T344" i="4"/>
  <c r="T475" i="4"/>
  <c r="T358" i="4"/>
  <c r="T997" i="4"/>
  <c r="U357" i="4"/>
  <c r="V357" i="4" s="1"/>
  <c r="T122" i="4"/>
  <c r="U69" i="4"/>
  <c r="V69" i="4" s="1"/>
  <c r="R435" i="4"/>
  <c r="S435" i="4" s="1"/>
  <c r="U435" i="4" s="1"/>
  <c r="V435" i="4" s="1"/>
  <c r="U38" i="4"/>
  <c r="V38" i="4" s="1"/>
  <c r="T185" i="4"/>
  <c r="T477" i="4"/>
  <c r="U295" i="4"/>
  <c r="V295" i="4" s="1"/>
  <c r="T507" i="4"/>
  <c r="U441" i="4"/>
  <c r="V441" i="4" s="1"/>
  <c r="T441" i="4"/>
  <c r="U445" i="4"/>
  <c r="V445" i="4" s="1"/>
  <c r="T445" i="4"/>
  <c r="T349" i="4"/>
  <c r="U349" i="4"/>
  <c r="V349" i="4" s="1"/>
  <c r="U645" i="4"/>
  <c r="V645" i="4" s="1"/>
  <c r="T255" i="4"/>
  <c r="U260" i="4"/>
  <c r="V260" i="4" s="1"/>
  <c r="U29" i="4"/>
  <c r="V29" i="4" s="1"/>
  <c r="T293" i="4"/>
  <c r="U287" i="4"/>
  <c r="V287" i="4" s="1"/>
  <c r="T1001" i="4"/>
  <c r="T90" i="4"/>
  <c r="T319" i="4"/>
  <c r="T166" i="4"/>
  <c r="U1061" i="4"/>
  <c r="V1061" i="4" s="1"/>
  <c r="T1061" i="4"/>
  <c r="U619" i="4"/>
  <c r="V619" i="4" s="1"/>
  <c r="T619" i="4"/>
  <c r="T474" i="4"/>
  <c r="T872" i="4"/>
  <c r="U134" i="4"/>
  <c r="V134" i="4" s="1"/>
  <c r="T91" i="4"/>
  <c r="T383" i="4"/>
  <c r="T615" i="4"/>
  <c r="U156" i="4"/>
  <c r="V156" i="4" s="1"/>
  <c r="T452" i="4"/>
  <c r="U92" i="4"/>
  <c r="V92" i="4" s="1"/>
  <c r="T683" i="4"/>
  <c r="U683" i="4"/>
  <c r="V683" i="4" s="1"/>
  <c r="T649" i="4"/>
  <c r="U1034" i="4"/>
  <c r="V1034" i="4" s="1"/>
  <c r="T678" i="4"/>
  <c r="U444" i="4"/>
  <c r="V444" i="4" s="1"/>
  <c r="T906" i="4"/>
  <c r="T969" i="4"/>
  <c r="T745" i="4"/>
  <c r="T379" i="4"/>
  <c r="U379" i="4"/>
  <c r="V379" i="4" s="1"/>
  <c r="U94" i="4"/>
  <c r="V94" i="4" s="1"/>
  <c r="R49" i="4"/>
  <c r="S49" i="4" s="1"/>
  <c r="T49" i="4" s="1"/>
  <c r="R236" i="4"/>
  <c r="S236" i="4" s="1"/>
  <c r="U236" i="4" s="1"/>
  <c r="V236" i="4" s="1"/>
  <c r="U378" i="4"/>
  <c r="V378" i="4" s="1"/>
  <c r="T378" i="4"/>
  <c r="T388" i="4"/>
  <c r="U388" i="4"/>
  <c r="V388" i="4" s="1"/>
  <c r="U776" i="4"/>
  <c r="V776" i="4" s="1"/>
  <c r="T124" i="4"/>
  <c r="R403" i="4"/>
  <c r="S403" i="4" s="1"/>
  <c r="U403" i="4" s="1"/>
  <c r="V403" i="4" s="1"/>
  <c r="R432" i="4"/>
  <c r="S432" i="4" s="1"/>
  <c r="T432" i="4" s="1"/>
  <c r="T485" i="4"/>
  <c r="U485" i="4"/>
  <c r="V485" i="4" s="1"/>
  <c r="U810" i="4"/>
  <c r="V810" i="4" s="1"/>
  <c r="T810" i="4"/>
  <c r="U1029" i="4"/>
  <c r="V1029" i="4" s="1"/>
  <c r="T1029" i="4"/>
  <c r="U935" i="4"/>
  <c r="V935" i="4" s="1"/>
  <c r="T517" i="4"/>
  <c r="T39" i="4"/>
  <c r="U39" i="4"/>
  <c r="V39" i="4" s="1"/>
  <c r="T111" i="4"/>
  <c r="U111" i="4"/>
  <c r="V111" i="4" s="1"/>
  <c r="U34" i="4"/>
  <c r="V34" i="4" s="1"/>
  <c r="T34" i="4"/>
  <c r="T456" i="4" l="1"/>
  <c r="U32" i="4"/>
  <c r="V32" i="4" s="1"/>
  <c r="T65" i="4"/>
  <c r="U258" i="4"/>
  <c r="V258" i="4" s="1"/>
  <c r="T320" i="4"/>
  <c r="T35" i="4"/>
  <c r="T264" i="4"/>
  <c r="T512" i="4"/>
  <c r="T363" i="4"/>
  <c r="U82" i="4"/>
  <c r="V82" i="4" s="1"/>
  <c r="T523" i="4"/>
  <c r="T394" i="4"/>
  <c r="T360" i="4"/>
  <c r="T195" i="4"/>
  <c r="U418" i="4"/>
  <c r="V418" i="4" s="1"/>
  <c r="T234" i="4"/>
  <c r="U234" i="4"/>
  <c r="V234" i="4" s="1"/>
  <c r="U489" i="4"/>
  <c r="V489" i="4" s="1"/>
  <c r="U482" i="4"/>
  <c r="V482" i="4" s="1"/>
  <c r="U226" i="4"/>
  <c r="V226" i="4" s="1"/>
  <c r="U242" i="4"/>
  <c r="V242" i="4" s="1"/>
  <c r="T433" i="4"/>
  <c r="T522" i="4"/>
  <c r="U355" i="4"/>
  <c r="V355" i="4" s="1"/>
  <c r="T98" i="4"/>
  <c r="T136" i="4"/>
  <c r="T67" i="4"/>
  <c r="T384" i="4"/>
  <c r="T194" i="4"/>
  <c r="T426" i="4"/>
  <c r="U208" i="4"/>
  <c r="V208" i="4" s="1"/>
  <c r="T139" i="4"/>
  <c r="U139" i="4"/>
  <c r="V139" i="4" s="1"/>
  <c r="U463" i="4"/>
  <c r="V463" i="4" s="1"/>
  <c r="T268" i="4"/>
  <c r="U266" i="4"/>
  <c r="V266" i="4" s="1"/>
  <c r="T266" i="4"/>
  <c r="T265" i="4"/>
  <c r="U178" i="4"/>
  <c r="V178" i="4" s="1"/>
  <c r="T178" i="4"/>
  <c r="T227" i="4"/>
  <c r="U227" i="4"/>
  <c r="V227" i="4" s="1"/>
  <c r="U483" i="4"/>
  <c r="V483" i="4" s="1"/>
  <c r="T48" i="4"/>
  <c r="T201" i="4"/>
  <c r="T450" i="4"/>
  <c r="T393" i="4"/>
  <c r="T106" i="4"/>
  <c r="T419" i="4"/>
  <c r="T307" i="4"/>
  <c r="T323" i="4"/>
  <c r="T79" i="4"/>
  <c r="U79" i="4"/>
  <c r="V79" i="4" s="1"/>
  <c r="U104" i="4"/>
  <c r="V104" i="4" s="1"/>
  <c r="T259" i="4"/>
  <c r="U171" i="4"/>
  <c r="V171" i="4" s="1"/>
  <c r="U170" i="4"/>
  <c r="V170" i="4" s="1"/>
  <c r="U168" i="4"/>
  <c r="V168" i="4" s="1"/>
  <c r="T300" i="4"/>
  <c r="U499" i="4"/>
  <c r="V499" i="4" s="1"/>
  <c r="T110" i="4"/>
  <c r="T137" i="4"/>
  <c r="T425" i="4"/>
  <c r="T491" i="4"/>
  <c r="U491" i="4"/>
  <c r="V491" i="4" s="1"/>
  <c r="U459" i="4"/>
  <c r="V459" i="4" s="1"/>
  <c r="T459" i="4"/>
  <c r="T457" i="4"/>
  <c r="T515" i="4"/>
  <c r="T458" i="4"/>
  <c r="U96" i="4"/>
  <c r="V96" i="4" s="1"/>
  <c r="T392" i="4"/>
  <c r="U448" i="4"/>
  <c r="V448" i="4" s="1"/>
  <c r="T387" i="4"/>
  <c r="T42" i="4"/>
  <c r="T192" i="4"/>
  <c r="U232" i="4"/>
  <c r="V232" i="4" s="1"/>
  <c r="U130" i="4"/>
  <c r="V130" i="4" s="1"/>
  <c r="T513" i="4"/>
  <c r="T488" i="4"/>
  <c r="T353" i="4"/>
  <c r="T141" i="4"/>
  <c r="T193" i="4"/>
  <c r="U304" i="4"/>
  <c r="V304" i="4" s="1"/>
  <c r="T304" i="4"/>
  <c r="T322" i="4"/>
  <c r="U352" i="4"/>
  <c r="V352" i="4" s="1"/>
  <c r="U298" i="4"/>
  <c r="V298" i="4" s="1"/>
  <c r="U386" i="4"/>
  <c r="V386" i="4" s="1"/>
  <c r="U64" i="4"/>
  <c r="V64" i="4" s="1"/>
  <c r="U66" i="4"/>
  <c r="V66" i="4" s="1"/>
  <c r="T66" i="4"/>
  <c r="U76" i="4"/>
  <c r="V76" i="4" s="1"/>
  <c r="T81" i="4"/>
  <c r="T331" i="4"/>
  <c r="T44" i="4"/>
  <c r="T267" i="4"/>
  <c r="T43" i="4"/>
  <c r="T467" i="4"/>
  <c r="T329" i="4"/>
  <c r="U451" i="4"/>
  <c r="V451" i="4" s="1"/>
  <c r="T497" i="4"/>
  <c r="U514" i="4"/>
  <c r="V514" i="4" s="1"/>
  <c r="T233" i="4"/>
  <c r="T520" i="4"/>
  <c r="T403" i="4"/>
  <c r="T128" i="4"/>
  <c r="T424" i="4"/>
  <c r="T321" i="4"/>
  <c r="T416" i="4"/>
  <c r="U40" i="4"/>
  <c r="V40" i="4" s="1"/>
  <c r="T496" i="4"/>
  <c r="T99" i="4"/>
  <c r="U129" i="4"/>
  <c r="V129" i="4" s="1"/>
  <c r="T77" i="4"/>
  <c r="U162" i="4"/>
  <c r="V162" i="4" s="1"/>
  <c r="T235" i="4"/>
  <c r="U334" i="4"/>
  <c r="V334" i="4" s="1"/>
  <c r="T169" i="4"/>
  <c r="U163" i="4"/>
  <c r="V163" i="4" s="1"/>
  <c r="U362" i="4"/>
  <c r="V362" i="4" s="1"/>
  <c r="T161" i="4"/>
  <c r="T525" i="4"/>
  <c r="T97" i="4"/>
  <c r="U72" i="4"/>
  <c r="V72" i="4" s="1"/>
  <c r="T105" i="4"/>
  <c r="U203" i="4"/>
  <c r="V203" i="4" s="1"/>
  <c r="T203" i="4"/>
  <c r="T290" i="4"/>
  <c r="T179" i="4"/>
  <c r="U365" i="4"/>
  <c r="V365" i="4" s="1"/>
  <c r="U210" i="4"/>
  <c r="V210" i="4" s="1"/>
  <c r="T369" i="4"/>
  <c r="T528" i="4"/>
  <c r="T243" i="4"/>
  <c r="U449" i="4"/>
  <c r="V449" i="4" s="1"/>
  <c r="U521" i="4"/>
  <c r="V521" i="4" s="1"/>
  <c r="U33" i="4"/>
  <c r="V33" i="4" s="1"/>
  <c r="T41" i="4"/>
  <c r="U490" i="4"/>
  <c r="V490" i="4" s="1"/>
  <c r="T427" i="4"/>
  <c r="T74" i="4"/>
  <c r="T107" i="4"/>
  <c r="T395" i="4"/>
  <c r="T417" i="4"/>
  <c r="T257" i="4"/>
  <c r="U288" i="4"/>
  <c r="V288" i="4" s="1"/>
  <c r="T112" i="4"/>
  <c r="T202" i="4"/>
  <c r="U480" i="4"/>
  <c r="V480" i="4" s="1"/>
  <c r="T73" i="4"/>
  <c r="U224" i="4"/>
  <c r="V224" i="4" s="1"/>
  <c r="T396" i="4"/>
  <c r="U206" i="4"/>
  <c r="V206" i="4" s="1"/>
  <c r="T177" i="4"/>
  <c r="T361" i="4"/>
  <c r="T289" i="4"/>
  <c r="U145" i="4"/>
  <c r="V145" i="4" s="1"/>
  <c r="U241" i="4"/>
  <c r="V241" i="4" s="1"/>
  <c r="U160" i="4"/>
  <c r="V160" i="4" s="1"/>
  <c r="T354" i="4"/>
  <c r="T138" i="4"/>
  <c r="T131" i="4"/>
  <c r="T176" i="4"/>
  <c r="U75" i="4"/>
  <c r="V75" i="4" s="1"/>
  <c r="T303" i="4"/>
  <c r="T291" i="4"/>
  <c r="T299" i="4"/>
  <c r="U45" i="4"/>
  <c r="V45" i="4" s="1"/>
  <c r="T428" i="4"/>
  <c r="T330" i="4"/>
  <c r="T385" i="4"/>
  <c r="U200" i="4"/>
  <c r="V200" i="4" s="1"/>
  <c r="U207" i="4"/>
  <c r="V207" i="4" s="1"/>
  <c r="T498" i="4"/>
  <c r="T146" i="4"/>
  <c r="U146" i="4"/>
  <c r="V146" i="4" s="1"/>
  <c r="T237" i="4"/>
  <c r="U237" i="4"/>
  <c r="V237" i="4" s="1"/>
  <c r="U332" i="4"/>
  <c r="V332" i="4" s="1"/>
  <c r="U173" i="4"/>
  <c r="V173" i="4" s="1"/>
  <c r="U113" i="4"/>
  <c r="V113" i="4" s="1"/>
  <c r="T147" i="4"/>
  <c r="T531" i="4"/>
  <c r="U527" i="4"/>
  <c r="V527" i="4" s="1"/>
  <c r="U46" i="4"/>
  <c r="V46" i="4" s="1"/>
  <c r="U108" i="4"/>
  <c r="V108" i="4" s="1"/>
  <c r="T83" i="4"/>
  <c r="T225" i="4"/>
  <c r="T328" i="4"/>
  <c r="U328" i="4"/>
  <c r="V328" i="4" s="1"/>
  <c r="T338" i="4"/>
  <c r="T333" i="4"/>
  <c r="T492" i="4"/>
  <c r="U297" i="4"/>
  <c r="V297" i="4" s="1"/>
  <c r="T297" i="4"/>
  <c r="T256" i="4"/>
  <c r="U256" i="4"/>
  <c r="V256" i="4" s="1"/>
  <c r="U481" i="4"/>
  <c r="V481" i="4" s="1"/>
  <c r="T481" i="4"/>
  <c r="U364" i="4"/>
  <c r="V364" i="4" s="1"/>
  <c r="U51" i="4"/>
  <c r="V51" i="4" s="1"/>
  <c r="T464" i="4"/>
  <c r="T526" i="4"/>
  <c r="T461" i="4"/>
  <c r="U339" i="4"/>
  <c r="V339" i="4" s="1"/>
  <c r="T339" i="4"/>
  <c r="T301" i="4"/>
  <c r="U337" i="4"/>
  <c r="V337" i="4" s="1"/>
  <c r="T140" i="4"/>
  <c r="T305" i="4"/>
  <c r="U366" i="4"/>
  <c r="V366" i="4" s="1"/>
  <c r="T240" i="4"/>
  <c r="T462" i="4"/>
  <c r="U109" i="4"/>
  <c r="V109" i="4" s="1"/>
  <c r="T494" i="4"/>
  <c r="T368" i="4"/>
  <c r="T211" i="4"/>
  <c r="T460" i="4"/>
  <c r="T371" i="4"/>
  <c r="T495" i="4"/>
  <c r="T80" i="4"/>
  <c r="U174" i="4"/>
  <c r="V174" i="4" s="1"/>
  <c r="T370" i="4"/>
  <c r="T493" i="4"/>
  <c r="U272" i="4"/>
  <c r="V272" i="4" s="1"/>
  <c r="T114" i="4"/>
  <c r="U402" i="4"/>
  <c r="V402" i="4" s="1"/>
  <c r="T435" i="4"/>
  <c r="U269" i="4"/>
  <c r="V269" i="4" s="1"/>
  <c r="T78" i="4"/>
  <c r="T142" i="4"/>
  <c r="T115" i="4"/>
  <c r="T209" i="4"/>
  <c r="U302" i="4"/>
  <c r="V302" i="4" s="1"/>
  <c r="T398" i="4"/>
  <c r="T399" i="4"/>
  <c r="T400" i="4"/>
  <c r="T175" i="4"/>
  <c r="T274" i="4"/>
  <c r="U172" i="4"/>
  <c r="V172" i="4" s="1"/>
  <c r="T239" i="4"/>
  <c r="T144" i="4"/>
  <c r="U204" i="4"/>
  <c r="V204" i="4" s="1"/>
  <c r="T465" i="4"/>
  <c r="T47" i="4"/>
  <c r="T367" i="4"/>
  <c r="T238" i="4"/>
  <c r="T529" i="4"/>
  <c r="U524" i="4"/>
  <c r="V524" i="4" s="1"/>
  <c r="T273" i="4"/>
  <c r="U273" i="4"/>
  <c r="V273" i="4" s="1"/>
  <c r="T336" i="4"/>
  <c r="T466" i="4"/>
  <c r="T530" i="4"/>
  <c r="U432" i="4"/>
  <c r="V432" i="4" s="1"/>
  <c r="T270" i="4"/>
  <c r="T429" i="4"/>
  <c r="U50" i="4"/>
  <c r="V50" i="4" s="1"/>
  <c r="U431" i="4"/>
  <c r="V431" i="4" s="1"/>
  <c r="U430" i="4"/>
  <c r="V430" i="4" s="1"/>
  <c r="U306" i="4"/>
  <c r="V306" i="4" s="1"/>
  <c r="T335" i="4"/>
  <c r="T143" i="4"/>
  <c r="U205" i="4"/>
  <c r="V205" i="4" s="1"/>
  <c r="T271" i="4"/>
  <c r="T401" i="4"/>
  <c r="T275" i="4"/>
  <c r="U434" i="4"/>
  <c r="V434" i="4" s="1"/>
  <c r="T397" i="4"/>
  <c r="U49" i="4"/>
  <c r="V49" i="4" s="1"/>
  <c r="T1069" i="4"/>
  <c r="R2" i="4" s="1"/>
  <c r="E247" i="3" s="1"/>
  <c r="AB46" i="2" s="1"/>
  <c r="T236" i="4"/>
  <c r="V1069" i="4"/>
  <c r="J543" i="4" s="1"/>
  <c r="K544" i="4" s="1"/>
  <c r="T533" i="4" l="1"/>
  <c r="Q2" i="4" s="1"/>
  <c r="D247" i="3" s="1"/>
  <c r="D248" i="3" s="1"/>
  <c r="B38" i="1" s="1"/>
  <c r="V533" i="4"/>
  <c r="J8" i="4" s="1"/>
  <c r="N7" i="4" s="1"/>
  <c r="E248" i="3"/>
  <c r="C38" i="1" s="1"/>
  <c r="C34" i="1"/>
  <c r="L543" i="4"/>
  <c r="N542" i="4"/>
  <c r="B34" i="1" l="1"/>
  <c r="B46" i="2"/>
  <c r="L8" i="4"/>
  <c r="K9" i="4"/>
  <c r="K548" i="4"/>
  <c r="K547" i="4"/>
  <c r="K12" i="4" l="1"/>
  <c r="K13" i="4"/>
  <c r="W1050" i="4"/>
  <c r="W1037" i="4"/>
  <c r="W1028" i="4"/>
  <c r="W1012" i="4"/>
  <c r="W1020" i="4"/>
  <c r="W985" i="4"/>
  <c r="W1009" i="4"/>
  <c r="W990" i="4"/>
  <c r="W1024" i="4"/>
  <c r="W1015" i="4"/>
  <c r="W944" i="4"/>
  <c r="W978" i="4"/>
  <c r="W1003" i="4"/>
  <c r="W930" i="4"/>
  <c r="W927" i="4"/>
  <c r="W913" i="4"/>
  <c r="W881" i="4"/>
  <c r="W849" i="4"/>
  <c r="W922" i="4"/>
  <c r="W890" i="4"/>
  <c r="W919" i="4"/>
  <c r="W856" i="4"/>
  <c r="W951" i="4"/>
  <c r="W854" i="4"/>
  <c r="W907" i="4"/>
  <c r="W830" i="4"/>
  <c r="W798" i="4"/>
  <c r="W843" i="4"/>
  <c r="W866" i="4"/>
  <c r="W773" i="4"/>
  <c r="W741" i="4"/>
  <c r="W835" i="4"/>
  <c r="W1059" i="4"/>
  <c r="W1033" i="4"/>
  <c r="W1027" i="4"/>
  <c r="W1000" i="4"/>
  <c r="W1019" i="4"/>
  <c r="W1039" i="4"/>
  <c r="W977" i="4"/>
  <c r="W974" i="4"/>
  <c r="W1023" i="4"/>
  <c r="W1005" i="4"/>
  <c r="W940" i="4"/>
  <c r="W975" i="4"/>
  <c r="W1064" i="4"/>
  <c r="W1029" i="4"/>
  <c r="W1026" i="4"/>
  <c r="W996" i="4"/>
  <c r="W1010" i="4"/>
  <c r="W1018" i="4"/>
  <c r="W973" i="4"/>
  <c r="W970" i="4"/>
  <c r="W1017" i="4"/>
  <c r="W986" i="4"/>
  <c r="W936" i="4"/>
  <c r="W967" i="4"/>
  <c r="W1057" i="4"/>
  <c r="W1025" i="4"/>
  <c r="W1063" i="4"/>
  <c r="W992" i="4"/>
  <c r="W1007" i="4"/>
  <c r="W1053" i="4"/>
  <c r="W969" i="4"/>
  <c r="W966" i="4"/>
  <c r="W1014" i="4"/>
  <c r="W984" i="4"/>
  <c r="W932" i="4"/>
  <c r="W1067" i="4"/>
  <c r="W950" i="4"/>
  <c r="W1002" i="4"/>
  <c r="W1004" i="4"/>
  <c r="W901" i="4"/>
  <c r="W869" i="4"/>
  <c r="W837" i="4"/>
  <c r="W910" i="4"/>
  <c r="W878" i="4"/>
  <c r="W895" i="4"/>
  <c r="W824" i="4"/>
  <c r="W860" i="4"/>
  <c r="W846" i="4"/>
  <c r="W883" i="4"/>
  <c r="W818" i="4"/>
  <c r="W786" i="4"/>
  <c r="W801" i="4"/>
  <c r="W819" i="4"/>
  <c r="W761" i="4"/>
  <c r="W729" i="4"/>
  <c r="W813" i="4"/>
  <c r="W1066" i="4"/>
  <c r="W1052" i="4"/>
  <c r="W1061" i="4"/>
  <c r="W1043" i="4"/>
  <c r="W988" i="4"/>
  <c r="W1001" i="4"/>
  <c r="W1038" i="4"/>
  <c r="W965" i="4"/>
  <c r="W962" i="4"/>
  <c r="W1011" i="4"/>
  <c r="W979" i="4"/>
  <c r="W928" i="4"/>
  <c r="W1016" i="4"/>
  <c r="W946" i="4"/>
  <c r="W960" i="4"/>
  <c r="W971" i="4"/>
  <c r="W897" i="4"/>
  <c r="W865" i="4"/>
  <c r="W1055" i="4"/>
  <c r="W906" i="4"/>
  <c r="W949" i="4"/>
  <c r="W1045" i="4"/>
  <c r="W1032" i="4"/>
  <c r="W1040" i="4"/>
  <c r="W981" i="4"/>
  <c r="W995" i="4"/>
  <c r="W1035" i="4"/>
  <c r="W921" i="4"/>
  <c r="W873" i="4"/>
  <c r="W925" i="4"/>
  <c r="W941" i="4"/>
  <c r="W867" i="4"/>
  <c r="W871" i="4"/>
  <c r="W963" i="4"/>
  <c r="W851" i="4"/>
  <c r="W790" i="4"/>
  <c r="W912" i="4"/>
  <c r="W777" i="4"/>
  <c r="W733" i="4"/>
  <c r="W788" i="4"/>
  <c r="W855" i="4"/>
  <c r="W772" i="4"/>
  <c r="W705" i="4"/>
  <c r="W831" i="4"/>
  <c r="W892" i="4"/>
  <c r="W839" i="4"/>
  <c r="W756" i="4"/>
  <c r="W711" i="4"/>
  <c r="W785" i="4"/>
  <c r="W678" i="4"/>
  <c r="W646" i="4"/>
  <c r="W614" i="4"/>
  <c r="W582" i="4"/>
  <c r="W823" i="4"/>
  <c r="W803" i="4"/>
  <c r="W694" i="4"/>
  <c r="W656" i="4"/>
  <c r="W624" i="4"/>
  <c r="W592" i="4"/>
  <c r="W560" i="4"/>
  <c r="W659" i="4"/>
  <c r="W595" i="4"/>
  <c r="W738" i="4"/>
  <c r="W690" i="4"/>
  <c r="W615" i="4"/>
  <c r="W720" i="4"/>
  <c r="W649" i="4"/>
  <c r="W593" i="4"/>
  <c r="W609" i="4"/>
  <c r="W679" i="4"/>
  <c r="W605" i="4"/>
  <c r="W880" i="4"/>
  <c r="W728" i="4"/>
  <c r="W809" i="4"/>
  <c r="W758" i="4"/>
  <c r="W638" i="4"/>
  <c r="W760" i="4"/>
  <c r="W648" i="4"/>
  <c r="W792" i="4"/>
  <c r="W775" i="4"/>
  <c r="W599" i="4"/>
  <c r="W637" i="4"/>
  <c r="W1041" i="4"/>
  <c r="W1030" i="4"/>
  <c r="W1056" i="4"/>
  <c r="W1051" i="4"/>
  <c r="W972" i="4"/>
  <c r="W1031" i="4"/>
  <c r="W917" i="4"/>
  <c r="W861" i="4"/>
  <c r="W918" i="4"/>
  <c r="W957" i="4"/>
  <c r="W832" i="4"/>
  <c r="W836" i="4"/>
  <c r="W923" i="4"/>
  <c r="W826" i="4"/>
  <c r="W782" i="4"/>
  <c r="W896" i="4"/>
  <c r="W769" i="4"/>
  <c r="W725" i="4"/>
  <c r="W778" i="4"/>
  <c r="W834" i="4"/>
  <c r="W750" i="4"/>
  <c r="W701" i="4"/>
  <c r="W815" i="4"/>
  <c r="W825" i="4"/>
  <c r="W817" i="4"/>
  <c r="W755" i="4"/>
  <c r="W707" i="4"/>
  <c r="W759" i="4"/>
  <c r="W674" i="4"/>
  <c r="W642" i="4"/>
  <c r="W610" i="4"/>
  <c r="W578" i="4"/>
  <c r="W807" i="4"/>
  <c r="W768" i="4"/>
  <c r="W692" i="4"/>
  <c r="W652" i="4"/>
  <c r="W620" i="4"/>
  <c r="W588" i="4"/>
  <c r="W556" i="4"/>
  <c r="W651" i="4"/>
  <c r="W587" i="4"/>
  <c r="W947" i="4"/>
  <c r="W671" i="4"/>
  <c r="W607" i="4"/>
  <c r="W653" i="4"/>
  <c r="W613" i="4"/>
  <c r="W557" i="4"/>
  <c r="W565" i="4"/>
  <c r="W661" i="4"/>
  <c r="W597" i="4"/>
  <c r="W828" i="4"/>
  <c r="W916" i="4"/>
  <c r="W852" i="4"/>
  <c r="W697" i="4"/>
  <c r="W784" i="4"/>
  <c r="W754" i="4"/>
  <c r="W670" i="4"/>
  <c r="W606" i="4"/>
  <c r="W688" i="4"/>
  <c r="W686" i="4"/>
  <c r="W584" i="4"/>
  <c r="W643" i="4"/>
  <c r="W663" i="4"/>
  <c r="W625" i="4"/>
  <c r="W888" i="4"/>
  <c r="W1047" i="4"/>
  <c r="W1021" i="4"/>
  <c r="W1042" i="4"/>
  <c r="W956" i="4"/>
  <c r="W964" i="4"/>
  <c r="W953" i="4"/>
  <c r="W909" i="4"/>
  <c r="W857" i="4"/>
  <c r="W914" i="4"/>
  <c r="W929" i="4"/>
  <c r="W955" i="4"/>
  <c r="W915" i="4"/>
  <c r="W822" i="4"/>
  <c r="W1008" i="4"/>
  <c r="W765" i="4"/>
  <c r="W774" i="4"/>
  <c r="W776" i="4"/>
  <c r="W703" i="4"/>
  <c r="W574" i="4"/>
  <c r="W616" i="4"/>
  <c r="W579" i="4"/>
  <c r="W585" i="4"/>
  <c r="W1060" i="4"/>
  <c r="W997" i="4"/>
  <c r="W1022" i="4"/>
  <c r="W952" i="4"/>
  <c r="W1062" i="4"/>
  <c r="W1044" i="4"/>
  <c r="W993" i="4"/>
  <c r="W958" i="4"/>
  <c r="W948" i="4"/>
  <c r="W954" i="4"/>
  <c r="W937" i="4"/>
  <c r="W893" i="4"/>
  <c r="W845" i="4"/>
  <c r="W898" i="4"/>
  <c r="W1054" i="4"/>
  <c r="W1034" i="4"/>
  <c r="W999" i="4"/>
  <c r="W1046" i="4"/>
  <c r="W987" i="4"/>
  <c r="W989" i="4"/>
  <c r="W938" i="4"/>
  <c r="W885" i="4"/>
  <c r="W886" i="4"/>
  <c r="W816" i="4"/>
  <c r="W998" i="4"/>
  <c r="W806" i="4"/>
  <c r="W859" i="4"/>
  <c r="W745" i="4"/>
  <c r="W766" i="4"/>
  <c r="W781" i="4"/>
  <c r="W685" i="4"/>
  <c r="W780" i="4"/>
  <c r="W783" i="4"/>
  <c r="W695" i="4"/>
  <c r="W698" i="4"/>
  <c r="W626" i="4"/>
  <c r="W570" i="4"/>
  <c r="W864" i="4"/>
  <c r="W672" i="4"/>
  <c r="W628" i="4"/>
  <c r="W572" i="4"/>
  <c r="W635" i="4"/>
  <c r="W748" i="4"/>
  <c r="W647" i="4"/>
  <c r="W559" i="4"/>
  <c r="W684" i="4"/>
  <c r="W696" i="4"/>
  <c r="W680" i="4"/>
  <c r="W767" i="4"/>
  <c r="W622" i="4"/>
  <c r="W850" i="4"/>
  <c r="W668" i="4"/>
  <c r="W568" i="4"/>
  <c r="W627" i="4"/>
  <c r="W639" i="4"/>
  <c r="W657" i="4"/>
  <c r="W669" i="4"/>
  <c r="W868" i="4"/>
  <c r="W838" i="4"/>
  <c r="W650" i="4"/>
  <c r="W710" i="4"/>
  <c r="W571" i="4"/>
  <c r="W677" i="4"/>
  <c r="W959" i="4"/>
  <c r="W982" i="4"/>
  <c r="W934" i="4"/>
  <c r="W877" i="4"/>
  <c r="W882" i="4"/>
  <c r="W812" i="4"/>
  <c r="W899" i="4"/>
  <c r="W802" i="4"/>
  <c r="W827" i="4"/>
  <c r="W737" i="4"/>
  <c r="W762" i="4"/>
  <c r="W723" i="4"/>
  <c r="W681" i="4"/>
  <c r="W763" i="4"/>
  <c r="W691" i="4"/>
  <c r="W666" i="4"/>
  <c r="W566" i="4"/>
  <c r="W612" i="4"/>
  <c r="W743" i="4"/>
  <c r="W589" i="4"/>
  <c r="W629" i="4"/>
  <c r="W1048" i="4"/>
  <c r="W842" i="4"/>
  <c r="W719" i="4"/>
  <c r="W596" i="4"/>
  <c r="W905" i="4"/>
  <c r="W808" i="4"/>
  <c r="W693" i="4"/>
  <c r="W590" i="4"/>
  <c r="W580" i="4"/>
  <c r="W575" i="4"/>
  <c r="W1049" i="4"/>
  <c r="W945" i="4"/>
  <c r="W853" i="4"/>
  <c r="W911" i="4"/>
  <c r="W991" i="4"/>
  <c r="W891" i="4"/>
  <c r="W794" i="4"/>
  <c r="W811" i="4"/>
  <c r="W900" i="4"/>
  <c r="W933" i="4"/>
  <c r="W721" i="4"/>
  <c r="W904" i="4"/>
  <c r="W732" i="4"/>
  <c r="W744" i="4"/>
  <c r="W870" i="4"/>
  <c r="W662" i="4"/>
  <c r="W618" i="4"/>
  <c r="W562" i="4"/>
  <c r="W687" i="4"/>
  <c r="W664" i="4"/>
  <c r="W608" i="4"/>
  <c r="W564" i="4"/>
  <c r="W619" i="4"/>
  <c r="W751" i="4"/>
  <c r="W631" i="4"/>
  <c r="W561" i="4"/>
  <c r="W621" i="4"/>
  <c r="W665" i="4"/>
  <c r="W645" i="4"/>
  <c r="W740" i="4"/>
  <c r="W800" i="4"/>
  <c r="W602" i="4"/>
  <c r="W863" i="4"/>
  <c r="W660" i="4"/>
  <c r="W752" i="4"/>
  <c r="W611" i="4"/>
  <c r="W623" i="4"/>
  <c r="W876" i="4"/>
  <c r="W641" i="4"/>
  <c r="W673" i="4"/>
  <c r="W591" i="4"/>
  <c r="W682" i="4"/>
  <c r="W983" i="4"/>
  <c r="W858" i="4"/>
  <c r="W821" i="4"/>
  <c r="W797" i="4"/>
  <c r="W746" i="4"/>
  <c r="W700" i="4"/>
  <c r="W633" i="4"/>
  <c r="W1036" i="4"/>
  <c r="W902" i="4"/>
  <c r="W814" i="4"/>
  <c r="W799" i="4"/>
  <c r="W796" i="4"/>
  <c r="W702" i="4"/>
  <c r="W708" i="4"/>
  <c r="W581" i="4"/>
  <c r="W994" i="4"/>
  <c r="W926" i="4"/>
  <c r="W841" i="4"/>
  <c r="W903" i="4"/>
  <c r="W935" i="4"/>
  <c r="W875" i="4"/>
  <c r="W943" i="4"/>
  <c r="W805" i="4"/>
  <c r="W884" i="4"/>
  <c r="W862" i="4"/>
  <c r="W717" i="4"/>
  <c r="W727" i="4"/>
  <c r="W739" i="4"/>
  <c r="W658" i="4"/>
  <c r="W558" i="4"/>
  <c r="W604" i="4"/>
  <c r="W736" i="4"/>
  <c r="W617" i="4"/>
  <c r="W779" i="4"/>
  <c r="W569" i="4"/>
  <c r="W879" i="4"/>
  <c r="W1058" i="4"/>
  <c r="W1006" i="4"/>
  <c r="W1065" i="4"/>
  <c r="W980" i="4"/>
  <c r="W887" i="4"/>
  <c r="W939" i="4"/>
  <c r="W872" i="4"/>
  <c r="W844" i="4"/>
  <c r="W791" i="4"/>
  <c r="W829" i="4"/>
  <c r="W840" i="4"/>
  <c r="W713" i="4"/>
  <c r="W735" i="4"/>
  <c r="W722" i="4"/>
  <c r="W734" i="4"/>
  <c r="W747" i="4"/>
  <c r="W654" i="4"/>
  <c r="W598" i="4"/>
  <c r="W920" i="4"/>
  <c r="W718" i="4"/>
  <c r="W644" i="4"/>
  <c r="W600" i="4"/>
  <c r="W716" i="4"/>
  <c r="W603" i="4"/>
  <c r="W731" i="4"/>
  <c r="W577" i="4"/>
  <c r="W968" i="4"/>
  <c r="W757" i="4"/>
  <c r="W730" i="4"/>
  <c r="W601" i="4"/>
  <c r="W848" i="4"/>
  <c r="W804" i="4"/>
  <c r="W714" i="4"/>
  <c r="W675" i="4"/>
  <c r="W724" i="4"/>
  <c r="W742" i="4"/>
  <c r="W961" i="4"/>
  <c r="W874" i="4"/>
  <c r="W753" i="4"/>
  <c r="W976" i="4"/>
  <c r="W634" i="4"/>
  <c r="W636" i="4"/>
  <c r="W563" i="4"/>
  <c r="W573" i="4"/>
  <c r="W1013" i="4"/>
  <c r="W942" i="4"/>
  <c r="W889" i="4"/>
  <c r="W894" i="4"/>
  <c r="W820" i="4"/>
  <c r="W847" i="4"/>
  <c r="W810" i="4"/>
  <c r="W787" i="4"/>
  <c r="W749" i="4"/>
  <c r="W770" i="4"/>
  <c r="W789" i="4"/>
  <c r="W689" i="4"/>
  <c r="W924" i="4"/>
  <c r="W795" i="4"/>
  <c r="W699" i="4"/>
  <c r="W706" i="4"/>
  <c r="W630" i="4"/>
  <c r="W586" i="4"/>
  <c r="W908" i="4"/>
  <c r="W676" i="4"/>
  <c r="W632" i="4"/>
  <c r="W576" i="4"/>
  <c r="W667" i="4"/>
  <c r="W771" i="4"/>
  <c r="W655" i="4"/>
  <c r="W567" i="4"/>
  <c r="W704" i="4"/>
  <c r="W793" i="4"/>
  <c r="W683" i="4"/>
  <c r="W833" i="4"/>
  <c r="W931" i="4"/>
  <c r="W709" i="4"/>
  <c r="W594" i="4"/>
  <c r="W640" i="4"/>
  <c r="W726" i="4"/>
  <c r="W583" i="4"/>
  <c r="W712" i="4"/>
  <c r="W715" i="4"/>
  <c r="W764" i="4"/>
  <c r="W353" i="4" l="1"/>
  <c r="W73" i="4"/>
  <c r="W223" i="4"/>
  <c r="Z223" i="4" s="1"/>
  <c r="AA223" i="4" s="1"/>
  <c r="W126" i="4"/>
  <c r="Z126" i="4" s="1"/>
  <c r="AA126" i="4" s="1"/>
  <c r="W119" i="4"/>
  <c r="Z119" i="4" s="1"/>
  <c r="AA119" i="4" s="1"/>
  <c r="W252" i="4"/>
  <c r="Z252" i="4" s="1"/>
  <c r="AA252" i="4" s="1"/>
  <c r="W59" i="4"/>
  <c r="Z59" i="4" s="1"/>
  <c r="AA59" i="4" s="1"/>
  <c r="W391" i="4"/>
  <c r="Z391" i="4" s="1"/>
  <c r="AA391" i="4" s="1"/>
  <c r="W88" i="4"/>
  <c r="Z88" i="4" s="1"/>
  <c r="AA88" i="4" s="1"/>
  <c r="W505" i="4"/>
  <c r="Z505" i="4" s="1"/>
  <c r="AA505" i="4" s="1"/>
  <c r="W494" i="4"/>
  <c r="Z494" i="4" s="1"/>
  <c r="AA494" i="4" s="1"/>
  <c r="W51" i="4"/>
  <c r="Z51" i="4" s="1"/>
  <c r="AA51" i="4" s="1"/>
  <c r="W62" i="4"/>
  <c r="Z62" i="4" s="1"/>
  <c r="AA62" i="4" s="1"/>
  <c r="W496" i="4"/>
  <c r="X496" i="4" s="1"/>
  <c r="W281" i="4"/>
  <c r="Z281" i="4" s="1"/>
  <c r="AA281" i="4" s="1"/>
  <c r="W122" i="4"/>
  <c r="X122" i="4" s="1"/>
  <c r="W317" i="4"/>
  <c r="Z317" i="4" s="1"/>
  <c r="AA317" i="4" s="1"/>
  <c r="W389" i="4"/>
  <c r="W48" i="4"/>
  <c r="X48" i="4" s="1"/>
  <c r="W75" i="4"/>
  <c r="Z75" i="4" s="1"/>
  <c r="AA75" i="4" s="1"/>
  <c r="W459" i="4"/>
  <c r="Z459" i="4" s="1"/>
  <c r="AA459" i="4" s="1"/>
  <c r="W349" i="4"/>
  <c r="Z349" i="4" s="1"/>
  <c r="AA349" i="4" s="1"/>
  <c r="W272" i="4"/>
  <c r="X272" i="4" s="1"/>
  <c r="W467" i="4"/>
  <c r="Z467" i="4" s="1"/>
  <c r="AA467" i="4" s="1"/>
  <c r="W434" i="4"/>
  <c r="X434" i="4" s="1"/>
  <c r="W250" i="4"/>
  <c r="X250" i="4" s="1"/>
  <c r="W380" i="4"/>
  <c r="X380" i="4" s="1"/>
  <c r="W82" i="4"/>
  <c r="X82" i="4" s="1"/>
  <c r="W504" i="4"/>
  <c r="Z504" i="4" s="1"/>
  <c r="AA504" i="4" s="1"/>
  <c r="W244" i="4"/>
  <c r="Z244" i="4" s="1"/>
  <c r="AA244" i="4" s="1"/>
  <c r="W36" i="4"/>
  <c r="X36" i="4" s="1"/>
  <c r="W84" i="4"/>
  <c r="Z84" i="4" s="1"/>
  <c r="AA84" i="4" s="1"/>
  <c r="W458" i="4"/>
  <c r="Z458" i="4" s="1"/>
  <c r="AA458" i="4" s="1"/>
  <c r="W277" i="4"/>
  <c r="Z277" i="4" s="1"/>
  <c r="AA277" i="4" s="1"/>
  <c r="W77" i="4"/>
  <c r="Z77" i="4" s="1"/>
  <c r="AA77" i="4" s="1"/>
  <c r="W181" i="4"/>
  <c r="Z181" i="4" s="1"/>
  <c r="AA181" i="4" s="1"/>
  <c r="W429" i="4"/>
  <c r="Z429" i="4" s="1"/>
  <c r="AA429" i="4" s="1"/>
  <c r="W163" i="4"/>
  <c r="Z163" i="4" s="1"/>
  <c r="AA163" i="4" s="1"/>
  <c r="W224" i="4"/>
  <c r="Z224" i="4" s="1"/>
  <c r="AA224" i="4" s="1"/>
  <c r="W333" i="4"/>
  <c r="Z333" i="4" s="1"/>
  <c r="AA333" i="4" s="1"/>
  <c r="W52" i="4"/>
  <c r="X52" i="4" s="1"/>
  <c r="W491" i="4"/>
  <c r="X491" i="4" s="1"/>
  <c r="W345" i="4"/>
  <c r="Z345" i="4" s="1"/>
  <c r="AA345" i="4" s="1"/>
  <c r="W374" i="4"/>
  <c r="Z374" i="4" s="1"/>
  <c r="AA374" i="4" s="1"/>
  <c r="W259" i="4"/>
  <c r="Z259" i="4" s="1"/>
  <c r="AA259" i="4" s="1"/>
  <c r="W446" i="4"/>
  <c r="Z446" i="4" s="1"/>
  <c r="AA446" i="4" s="1"/>
  <c r="W377" i="4"/>
  <c r="Z377" i="4" s="1"/>
  <c r="AA377" i="4" s="1"/>
  <c r="W54" i="4"/>
  <c r="X54" i="4" s="1"/>
  <c r="W369" i="4"/>
  <c r="Z369" i="4" s="1"/>
  <c r="AA369" i="4" s="1"/>
  <c r="W265" i="4"/>
  <c r="Z265" i="4" s="1"/>
  <c r="AA265" i="4" s="1"/>
  <c r="W456" i="4"/>
  <c r="Z456" i="4" s="1"/>
  <c r="AA456" i="4" s="1"/>
  <c r="W117" i="4"/>
  <c r="Z117" i="4" s="1"/>
  <c r="AA117" i="4" s="1"/>
  <c r="W367" i="4"/>
  <c r="Z367" i="4" s="1"/>
  <c r="AA367" i="4" s="1"/>
  <c r="W357" i="4"/>
  <c r="Z357" i="4" s="1"/>
  <c r="AA357" i="4" s="1"/>
  <c r="W501" i="4"/>
  <c r="X501" i="4" s="1"/>
  <c r="W100" i="4"/>
  <c r="Z100" i="4" s="1"/>
  <c r="AA100" i="4" s="1"/>
  <c r="W363" i="4"/>
  <c r="Z363" i="4" s="1"/>
  <c r="AA363" i="4" s="1"/>
  <c r="W199" i="4"/>
  <c r="Z199" i="4" s="1"/>
  <c r="AA199" i="4" s="1"/>
  <c r="W457" i="4"/>
  <c r="Z457" i="4" s="1"/>
  <c r="AA457" i="4" s="1"/>
  <c r="W308" i="4"/>
  <c r="X308" i="4" s="1"/>
  <c r="W472" i="4"/>
  <c r="Z472" i="4" s="1"/>
  <c r="AA472" i="4" s="1"/>
  <c r="W502" i="4"/>
  <c r="Z502" i="4" s="1"/>
  <c r="AA502" i="4" s="1"/>
  <c r="W67" i="4"/>
  <c r="Z67" i="4" s="1"/>
  <c r="AA67" i="4" s="1"/>
  <c r="W274" i="4"/>
  <c r="Z274" i="4" s="1"/>
  <c r="AA274" i="4" s="1"/>
  <c r="W115" i="4"/>
  <c r="X115" i="4" s="1"/>
  <c r="W240" i="4"/>
  <c r="Z240" i="4" s="1"/>
  <c r="AA240" i="4" s="1"/>
  <c r="W315" i="4"/>
  <c r="X315" i="4" s="1"/>
  <c r="W111" i="4"/>
  <c r="Z111" i="4" s="1"/>
  <c r="AA111" i="4" s="1"/>
  <c r="W137" i="4"/>
  <c r="Z137" i="4" s="1"/>
  <c r="AA137" i="4" s="1"/>
  <c r="W227" i="4"/>
  <c r="Z227" i="4" s="1"/>
  <c r="AA227" i="4" s="1"/>
  <c r="W221" i="4"/>
  <c r="Z221" i="4" s="1"/>
  <c r="AA221" i="4" s="1"/>
  <c r="W178" i="4"/>
  <c r="Z178" i="4" s="1"/>
  <c r="AA178" i="4" s="1"/>
  <c r="W444" i="4"/>
  <c r="Z444" i="4" s="1"/>
  <c r="AA444" i="4" s="1"/>
  <c r="W485" i="4"/>
  <c r="Z485" i="4" s="1"/>
  <c r="AA485" i="4" s="1"/>
  <c r="W154" i="4"/>
  <c r="Z154" i="4" s="1"/>
  <c r="AA154" i="4" s="1"/>
  <c r="W295" i="4"/>
  <c r="Z295" i="4" s="1"/>
  <c r="AA295" i="4" s="1"/>
  <c r="W106" i="4"/>
  <c r="Z106" i="4" s="1"/>
  <c r="AA106" i="4" s="1"/>
  <c r="W426" i="4"/>
  <c r="Z426" i="4" s="1"/>
  <c r="AA426" i="4" s="1"/>
  <c r="W47" i="4"/>
  <c r="X47" i="4" s="1"/>
  <c r="W268" i="4"/>
  <c r="X268" i="4" s="1"/>
  <c r="W201" i="4"/>
  <c r="Z201" i="4" s="1"/>
  <c r="AA201" i="4" s="1"/>
  <c r="W190" i="4"/>
  <c r="X190" i="4" s="1"/>
  <c r="W141" i="4"/>
  <c r="X141" i="4" s="1"/>
  <c r="W356" i="4"/>
  <c r="X356" i="4" s="1"/>
  <c r="W342" i="4"/>
  <c r="X342" i="4" s="1"/>
  <c r="W205" i="4"/>
  <c r="Z205" i="4" s="1"/>
  <c r="AA205" i="4" s="1"/>
  <c r="W454" i="4"/>
  <c r="X454" i="4" s="1"/>
  <c r="W392" i="4"/>
  <c r="Z392" i="4" s="1"/>
  <c r="AA392" i="4" s="1"/>
  <c r="W109" i="4"/>
  <c r="Z109" i="4" s="1"/>
  <c r="AA109" i="4" s="1"/>
  <c r="W171" i="4"/>
  <c r="Z171" i="4" s="1"/>
  <c r="AA171" i="4" s="1"/>
  <c r="W293" i="4"/>
  <c r="Z293" i="4" s="1"/>
  <c r="AA293" i="4" s="1"/>
  <c r="W56" i="4"/>
  <c r="X56" i="4" s="1"/>
  <c r="W166" i="4"/>
  <c r="X166" i="4" s="1"/>
  <c r="W393" i="4"/>
  <c r="X393" i="4" s="1"/>
  <c r="W343" i="4"/>
  <c r="X343" i="4" s="1"/>
  <c r="W269" i="4"/>
  <c r="Z269" i="4" s="1"/>
  <c r="AA269" i="4" s="1"/>
  <c r="W101" i="4"/>
  <c r="X101" i="4" s="1"/>
  <c r="W258" i="4"/>
  <c r="X258" i="4" s="1"/>
  <c r="W214" i="4"/>
  <c r="Z214" i="4" s="1"/>
  <c r="AA214" i="4" s="1"/>
  <c r="W517" i="4"/>
  <c r="Z517" i="4" s="1"/>
  <c r="AA517" i="4" s="1"/>
  <c r="W460" i="4"/>
  <c r="W55" i="4"/>
  <c r="Z55" i="4" s="1"/>
  <c r="AA55" i="4" s="1"/>
  <c r="W96" i="4"/>
  <c r="Z96" i="4" s="1"/>
  <c r="AA96" i="4" s="1"/>
  <c r="W20" i="4"/>
  <c r="Z20" i="4" s="1"/>
  <c r="AA20" i="4" s="1"/>
  <c r="W193" i="4"/>
  <c r="Z193" i="4" s="1"/>
  <c r="AA193" i="4" s="1"/>
  <c r="W301" i="4"/>
  <c r="Z301" i="4" s="1"/>
  <c r="AA301" i="4" s="1"/>
  <c r="W266" i="4"/>
  <c r="X266" i="4" s="1"/>
  <c r="W320" i="4"/>
  <c r="Z320" i="4" s="1"/>
  <c r="AA320" i="4" s="1"/>
  <c r="W264" i="4"/>
  <c r="Z264" i="4" s="1"/>
  <c r="AA264" i="4" s="1"/>
  <c r="W213" i="4"/>
  <c r="X213" i="4" s="1"/>
  <c r="W330" i="4"/>
  <c r="Z330" i="4" s="1"/>
  <c r="AA330" i="4" s="1"/>
  <c r="W174" i="4"/>
  <c r="Z174" i="4" s="1"/>
  <c r="AA174" i="4" s="1"/>
  <c r="W254" i="4"/>
  <c r="Z254" i="4" s="1"/>
  <c r="AA254" i="4" s="1"/>
  <c r="W173" i="4"/>
  <c r="Z173" i="4" s="1"/>
  <c r="AA173" i="4" s="1"/>
  <c r="W87" i="4"/>
  <c r="Z87" i="4" s="1"/>
  <c r="AA87" i="4" s="1"/>
  <c r="W61" i="4"/>
  <c r="Z61" i="4" s="1"/>
  <c r="AA61" i="4" s="1"/>
  <c r="W438" i="4"/>
  <c r="Z438" i="4" s="1"/>
  <c r="AA438" i="4" s="1"/>
  <c r="W400" i="4"/>
  <c r="Z400" i="4" s="1"/>
  <c r="AA400" i="4" s="1"/>
  <c r="W409" i="4"/>
  <c r="Z409" i="4" s="1"/>
  <c r="AA409" i="4" s="1"/>
  <c r="W232" i="4"/>
  <c r="Z232" i="4" s="1"/>
  <c r="AA232" i="4" s="1"/>
  <c r="W215" i="4"/>
  <c r="Z215" i="4" s="1"/>
  <c r="AA215" i="4" s="1"/>
  <c r="W410" i="4"/>
  <c r="Z410" i="4" s="1"/>
  <c r="AA410" i="4" s="1"/>
  <c r="W316" i="4"/>
  <c r="X316" i="4" s="1"/>
  <c r="W326" i="4"/>
  <c r="Z326" i="4" s="1"/>
  <c r="AA326" i="4" s="1"/>
  <c r="W57" i="4"/>
  <c r="Z57" i="4" s="1"/>
  <c r="AA57" i="4" s="1"/>
  <c r="W477" i="4"/>
  <c r="Z477" i="4" s="1"/>
  <c r="AA477" i="4" s="1"/>
  <c r="W276" i="4"/>
  <c r="Z276" i="4" s="1"/>
  <c r="AA276" i="4" s="1"/>
  <c r="W323" i="4"/>
  <c r="Z323" i="4" s="1"/>
  <c r="AA323" i="4" s="1"/>
  <c r="W50" i="4"/>
  <c r="Z50" i="4" s="1"/>
  <c r="AA50" i="4" s="1"/>
  <c r="W489" i="4"/>
  <c r="Z489" i="4" s="1"/>
  <c r="AA489" i="4" s="1"/>
  <c r="W311" i="4"/>
  <c r="X311" i="4" s="1"/>
  <c r="W267" i="4"/>
  <c r="Z267" i="4" s="1"/>
  <c r="AA267" i="4" s="1"/>
  <c r="W402" i="4"/>
  <c r="Z402" i="4" s="1"/>
  <c r="AA402" i="4" s="1"/>
  <c r="W379" i="4"/>
  <c r="Z379" i="4" s="1"/>
  <c r="AA379" i="4" s="1"/>
  <c r="W442" i="4"/>
  <c r="X442" i="4" s="1"/>
  <c r="W273" i="4"/>
  <c r="Z273" i="4" s="1"/>
  <c r="AA273" i="4" s="1"/>
  <c r="W35" i="4"/>
  <c r="Z35" i="4" s="1"/>
  <c r="AA35" i="4" s="1"/>
  <c r="W382" i="4"/>
  <c r="Z382" i="4" s="1"/>
  <c r="AA382" i="4" s="1"/>
  <c r="W228" i="4"/>
  <c r="X228" i="4" s="1"/>
  <c r="W113" i="4"/>
  <c r="X113" i="4" s="1"/>
  <c r="W291" i="4"/>
  <c r="Z291" i="4" s="1"/>
  <c r="AA291" i="4" s="1"/>
  <c r="W206" i="4"/>
  <c r="X206" i="4" s="1"/>
  <c r="W531" i="4"/>
  <c r="Z531" i="4" s="1"/>
  <c r="AA531" i="4" s="1"/>
  <c r="W297" i="4"/>
  <c r="X297" i="4" s="1"/>
  <c r="W322" i="4"/>
  <c r="Z322" i="4" s="1"/>
  <c r="AA322" i="4" s="1"/>
  <c r="W208" i="4"/>
  <c r="Z208" i="4" s="1"/>
  <c r="AA208" i="4" s="1"/>
  <c r="W217" i="4"/>
  <c r="Z217" i="4" s="1"/>
  <c r="AA217" i="4" s="1"/>
  <c r="W372" i="4"/>
  <c r="Z372" i="4" s="1"/>
  <c r="AA372" i="4" s="1"/>
  <c r="W310" i="4"/>
  <c r="X310" i="4" s="1"/>
  <c r="W314" i="4"/>
  <c r="X314" i="4" s="1"/>
  <c r="W79" i="4"/>
  <c r="X79" i="4" s="1"/>
  <c r="W46" i="4"/>
  <c r="Z46" i="4" s="1"/>
  <c r="AA46" i="4" s="1"/>
  <c r="W419" i="4"/>
  <c r="Z419" i="4" s="1"/>
  <c r="AA419" i="4" s="1"/>
  <c r="W332" i="4"/>
  <c r="Z332" i="4" s="1"/>
  <c r="AA332" i="4" s="1"/>
  <c r="W507" i="4"/>
  <c r="X507" i="4" s="1"/>
  <c r="W210" i="4"/>
  <c r="X210" i="4" s="1"/>
  <c r="W530" i="4"/>
  <c r="Z530" i="4" s="1"/>
  <c r="AA530" i="4" s="1"/>
  <c r="W522" i="4"/>
  <c r="Z522" i="4" s="1"/>
  <c r="AA522" i="4" s="1"/>
  <c r="W340" i="4"/>
  <c r="X340" i="4" s="1"/>
  <c r="W144" i="4"/>
  <c r="X144" i="4" s="1"/>
  <c r="W30" i="4"/>
  <c r="Z30" i="4" s="1"/>
  <c r="AA30" i="4" s="1"/>
  <c r="W397" i="4"/>
  <c r="Z397" i="4" s="1"/>
  <c r="AA397" i="4" s="1"/>
  <c r="W260" i="4"/>
  <c r="X260" i="4" s="1"/>
  <c r="W230" i="4"/>
  <c r="X230" i="4" s="1"/>
  <c r="W156" i="4"/>
  <c r="X156" i="4" s="1"/>
  <c r="W425" i="4"/>
  <c r="Z425" i="4" s="1"/>
  <c r="AA425" i="4" s="1"/>
  <c r="W145" i="4"/>
  <c r="Z145" i="4" s="1"/>
  <c r="AA145" i="4" s="1"/>
  <c r="W449" i="4"/>
  <c r="Z449" i="4" s="1"/>
  <c r="AA449" i="4" s="1"/>
  <c r="W376" i="4"/>
  <c r="X376" i="4" s="1"/>
  <c r="W354" i="4"/>
  <c r="X354" i="4" s="1"/>
  <c r="W514" i="4"/>
  <c r="X514" i="4" s="1"/>
  <c r="W216" i="4"/>
  <c r="Z216" i="4" s="1"/>
  <c r="AA216" i="4" s="1"/>
  <c r="W405" i="4"/>
  <c r="X405" i="4" s="1"/>
  <c r="W155" i="4"/>
  <c r="X155" i="4" s="1"/>
  <c r="W523" i="4"/>
  <c r="Z523" i="4" s="1"/>
  <c r="AA523" i="4" s="1"/>
  <c r="W463" i="4"/>
  <c r="Z463" i="4" s="1"/>
  <c r="AA463" i="4" s="1"/>
  <c r="W386" i="4"/>
  <c r="Z386" i="4" s="1"/>
  <c r="AA386" i="4" s="1"/>
  <c r="W226" i="4"/>
  <c r="Z226" i="4" s="1"/>
  <c r="AA226" i="4" s="1"/>
  <c r="W80" i="4"/>
  <c r="X80" i="4" s="1"/>
  <c r="W242" i="4"/>
  <c r="Z242" i="4" s="1"/>
  <c r="AA242" i="4" s="1"/>
  <c r="W152" i="4"/>
  <c r="Z152" i="4" s="1"/>
  <c r="AA152" i="4" s="1"/>
  <c r="W157" i="4"/>
  <c r="Z157" i="4" s="1"/>
  <c r="AA157" i="4" s="1"/>
  <c r="W500" i="4"/>
  <c r="Z500" i="4" s="1"/>
  <c r="AA500" i="4" s="1"/>
  <c r="W285" i="4"/>
  <c r="X285" i="4" s="1"/>
  <c r="W63" i="4"/>
  <c r="Z63" i="4" s="1"/>
  <c r="AA63" i="4" s="1"/>
  <c r="W33" i="4"/>
  <c r="Z33" i="4" s="1"/>
  <c r="AA33" i="4" s="1"/>
  <c r="W306" i="4"/>
  <c r="Z306" i="4" s="1"/>
  <c r="AA306" i="4" s="1"/>
  <c r="W398" i="4"/>
  <c r="Z398" i="4" s="1"/>
  <c r="AA398" i="4" s="1"/>
  <c r="W40" i="4"/>
  <c r="Z40" i="4" s="1"/>
  <c r="AA40" i="4" s="1"/>
  <c r="W481" i="4"/>
  <c r="X481" i="4" s="1"/>
  <c r="W385" i="4"/>
  <c r="Z385" i="4" s="1"/>
  <c r="AA385" i="4" s="1"/>
  <c r="W160" i="4"/>
  <c r="X160" i="4" s="1"/>
  <c r="W368" i="4"/>
  <c r="X368" i="4" s="1"/>
  <c r="W256" i="4"/>
  <c r="Z256" i="4" s="1"/>
  <c r="AA256" i="4" s="1"/>
  <c r="W488" i="4"/>
  <c r="Z488" i="4" s="1"/>
  <c r="AA488" i="4" s="1"/>
  <c r="W133" i="4"/>
  <c r="X133" i="4" s="1"/>
  <c r="W168" i="4"/>
  <c r="Z168" i="4" s="1"/>
  <c r="AA168" i="4" s="1"/>
  <c r="W348" i="4"/>
  <c r="X348" i="4" s="1"/>
  <c r="W78" i="4"/>
  <c r="Z78" i="4" s="1"/>
  <c r="AA78" i="4" s="1"/>
  <c r="W366" i="4"/>
  <c r="Z366" i="4" s="1"/>
  <c r="AA366" i="4" s="1"/>
  <c r="W148" i="4"/>
  <c r="X148" i="4" s="1"/>
  <c r="W24" i="4"/>
  <c r="Z24" i="4" s="1"/>
  <c r="AA24" i="4" s="1"/>
  <c r="W194" i="4"/>
  <c r="X194" i="4" s="1"/>
  <c r="W116" i="4"/>
  <c r="X116" i="4" s="1"/>
  <c r="W417" i="4"/>
  <c r="X417" i="4" s="1"/>
  <c r="W76" i="4"/>
  <c r="Z76" i="4" s="1"/>
  <c r="AA76" i="4" s="1"/>
  <c r="W136" i="4"/>
  <c r="Z136" i="4" s="1"/>
  <c r="AA136" i="4" s="1"/>
  <c r="W146" i="4"/>
  <c r="X146" i="4" s="1"/>
  <c r="W105" i="4"/>
  <c r="Z105" i="4" s="1"/>
  <c r="AA105" i="4" s="1"/>
  <c r="W439" i="4"/>
  <c r="X439" i="4" s="1"/>
  <c r="W89" i="4"/>
  <c r="Z89" i="4" s="1"/>
  <c r="AA89" i="4" s="1"/>
  <c r="W187" i="4"/>
  <c r="X187" i="4" s="1"/>
  <c r="W234" i="4"/>
  <c r="Z234" i="4" s="1"/>
  <c r="AA234" i="4" s="1"/>
  <c r="W283" i="4"/>
  <c r="Z283" i="4" s="1"/>
  <c r="AA283" i="4" s="1"/>
  <c r="W360" i="4"/>
  <c r="Z360" i="4" s="1"/>
  <c r="AA360" i="4" s="1"/>
  <c r="W462" i="4"/>
  <c r="X462" i="4" s="1"/>
  <c r="W468" i="4"/>
  <c r="Z468" i="4" s="1"/>
  <c r="AA468" i="4" s="1"/>
  <c r="W257" i="4"/>
  <c r="X257" i="4" s="1"/>
  <c r="W204" i="4"/>
  <c r="X204" i="4" s="1"/>
  <c r="W290" i="4"/>
  <c r="X290" i="4" s="1"/>
  <c r="W473" i="4"/>
  <c r="Z473" i="4" s="1"/>
  <c r="AA473" i="4" s="1"/>
  <c r="W124" i="4"/>
  <c r="Z124" i="4" s="1"/>
  <c r="AA124" i="4" s="1"/>
  <c r="W102" i="4"/>
  <c r="X102" i="4" s="1"/>
  <c r="W211" i="4"/>
  <c r="X211" i="4" s="1"/>
  <c r="W465" i="4"/>
  <c r="X465" i="4" s="1"/>
  <c r="W511" i="4"/>
  <c r="Z511" i="4" s="1"/>
  <c r="AA511" i="4" s="1"/>
  <c r="W466" i="4"/>
  <c r="X466" i="4" s="1"/>
  <c r="W286" i="4"/>
  <c r="Z286" i="4" s="1"/>
  <c r="AA286" i="4" s="1"/>
  <c r="W365" i="4"/>
  <c r="X365" i="4" s="1"/>
  <c r="W180" i="4"/>
  <c r="Z180" i="4" s="1"/>
  <c r="AA180" i="4" s="1"/>
  <c r="W31" i="4"/>
  <c r="X31" i="4" s="1"/>
  <c r="W313" i="4"/>
  <c r="X313" i="4" s="1"/>
  <c r="W525" i="4"/>
  <c r="X525" i="4" s="1"/>
  <c r="W490" i="4"/>
  <c r="Z490" i="4" s="1"/>
  <c r="AA490" i="4" s="1"/>
  <c r="W399" i="4"/>
  <c r="X399" i="4" s="1"/>
  <c r="W513" i="4"/>
  <c r="Z513" i="4" s="1"/>
  <c r="AA513" i="4" s="1"/>
  <c r="W452" i="4"/>
  <c r="Z452" i="4" s="1"/>
  <c r="AA452" i="4" s="1"/>
  <c r="W309" i="4"/>
  <c r="X309" i="4" s="1"/>
  <c r="W189" i="4"/>
  <c r="Z189" i="4" s="1"/>
  <c r="AA189" i="4" s="1"/>
  <c r="W390" i="4"/>
  <c r="X390" i="4" s="1"/>
  <c r="W191" i="4"/>
  <c r="Z191" i="4" s="1"/>
  <c r="AA191" i="4" s="1"/>
  <c r="W97" i="4"/>
  <c r="Z97" i="4" s="1"/>
  <c r="AA97" i="4" s="1"/>
  <c r="W445" i="4"/>
  <c r="X445" i="4" s="1"/>
  <c r="W451" i="4"/>
  <c r="X451" i="4" s="1"/>
  <c r="W519" i="4"/>
  <c r="Z519" i="4" s="1"/>
  <c r="AA519" i="4" s="1"/>
  <c r="W261" i="4"/>
  <c r="Z261" i="4" s="1"/>
  <c r="AA261" i="4" s="1"/>
  <c r="W134" i="4"/>
  <c r="Z134" i="4" s="1"/>
  <c r="AA134" i="4" s="1"/>
  <c r="W243" i="4"/>
  <c r="Z243" i="4" s="1"/>
  <c r="AA243" i="4" s="1"/>
  <c r="W292" i="4"/>
  <c r="Z292" i="4" s="1"/>
  <c r="AA292" i="4" s="1"/>
  <c r="W327" i="4"/>
  <c r="Z327" i="4" s="1"/>
  <c r="AA327" i="4" s="1"/>
  <c r="W394" i="4"/>
  <c r="Z394" i="4" s="1"/>
  <c r="AA394" i="4" s="1"/>
  <c r="W347" i="4"/>
  <c r="Z347" i="4" s="1"/>
  <c r="AA347" i="4" s="1"/>
  <c r="W480" i="4"/>
  <c r="X480" i="4" s="1"/>
  <c r="W34" i="4"/>
  <c r="Z34" i="4" s="1"/>
  <c r="AA34" i="4" s="1"/>
  <c r="W421" i="4"/>
  <c r="X421" i="4" s="1"/>
  <c r="W245" i="4"/>
  <c r="X245" i="4" s="1"/>
  <c r="W432" i="4"/>
  <c r="Z432" i="4" s="1"/>
  <c r="AA432" i="4" s="1"/>
  <c r="W351" i="4"/>
  <c r="Z351" i="4" s="1"/>
  <c r="AA351" i="4" s="1"/>
  <c r="W378" i="4"/>
  <c r="Z378" i="4" s="1"/>
  <c r="AA378" i="4" s="1"/>
  <c r="W142" i="4"/>
  <c r="X142" i="4" s="1"/>
  <c r="W428" i="4"/>
  <c r="X428" i="4" s="1"/>
  <c r="W506" i="4"/>
  <c r="Z506" i="4" s="1"/>
  <c r="AA506" i="4" s="1"/>
  <c r="W140" i="4"/>
  <c r="Z140" i="4" s="1"/>
  <c r="AA140" i="4" s="1"/>
  <c r="W151" i="4"/>
  <c r="Z151" i="4" s="1"/>
  <c r="AA151" i="4" s="1"/>
  <c r="W197" i="4"/>
  <c r="Z197" i="4" s="1"/>
  <c r="AA197" i="4" s="1"/>
  <c r="W312" i="4"/>
  <c r="X312" i="4" s="1"/>
  <c r="W192" i="4"/>
  <c r="X192" i="4" s="1"/>
  <c r="W92" i="4"/>
  <c r="Z92" i="4" s="1"/>
  <c r="AA92" i="4" s="1"/>
  <c r="W364" i="4"/>
  <c r="Z364" i="4" s="1"/>
  <c r="AA364" i="4" s="1"/>
  <c r="W86" i="4"/>
  <c r="Z86" i="4" s="1"/>
  <c r="AA86" i="4" s="1"/>
  <c r="W370" i="4"/>
  <c r="Z370" i="4" s="1"/>
  <c r="AA370" i="4" s="1"/>
  <c r="W42" i="4"/>
  <c r="Z42" i="4" s="1"/>
  <c r="AA42" i="4" s="1"/>
  <c r="W246" i="4"/>
  <c r="Z246" i="4" s="1"/>
  <c r="AA246" i="4" s="1"/>
  <c r="W427" i="4"/>
  <c r="Z427" i="4" s="1"/>
  <c r="AA427" i="4" s="1"/>
  <c r="W335" i="4"/>
  <c r="Z335" i="4" s="1"/>
  <c r="AA335" i="4" s="1"/>
  <c r="W233" i="4"/>
  <c r="X233" i="4" s="1"/>
  <c r="W518" i="4"/>
  <c r="X518" i="4" s="1"/>
  <c r="W526" i="4"/>
  <c r="X526" i="4" s="1"/>
  <c r="W253" i="4"/>
  <c r="X253" i="4" s="1"/>
  <c r="W29" i="4"/>
  <c r="Z29" i="4" s="1"/>
  <c r="AA29" i="4" s="1"/>
  <c r="W94" i="4"/>
  <c r="Z94" i="4" s="1"/>
  <c r="AA94" i="4" s="1"/>
  <c r="W71" i="4"/>
  <c r="X71" i="4" s="1"/>
  <c r="W53" i="4"/>
  <c r="X53" i="4" s="1"/>
  <c r="W27" i="4"/>
  <c r="X27" i="4" s="1"/>
  <c r="W58" i="4"/>
  <c r="X58" i="4" s="1"/>
  <c r="W99" i="4"/>
  <c r="Z99" i="4" s="1"/>
  <c r="AA99" i="4" s="1"/>
  <c r="W329" i="4"/>
  <c r="Z329" i="4" s="1"/>
  <c r="AA329" i="4" s="1"/>
  <c r="W464" i="4"/>
  <c r="Z464" i="4" s="1"/>
  <c r="AA464" i="4" s="1"/>
  <c r="W492" i="4"/>
  <c r="X492" i="4" s="1"/>
  <c r="W200" i="4"/>
  <c r="Z200" i="4" s="1"/>
  <c r="AA200" i="4" s="1"/>
  <c r="W209" i="4"/>
  <c r="X209" i="4" s="1"/>
  <c r="W212" i="4"/>
  <c r="X212" i="4" s="1"/>
  <c r="W493" i="4"/>
  <c r="Z493" i="4" s="1"/>
  <c r="AA493" i="4" s="1"/>
  <c r="W169" i="4"/>
  <c r="Z169" i="4" s="1"/>
  <c r="AA169" i="4" s="1"/>
  <c r="W239" i="4"/>
  <c r="Z239" i="4" s="1"/>
  <c r="AA239" i="4" s="1"/>
  <c r="W183" i="4"/>
  <c r="Z183" i="4" s="1"/>
  <c r="AA183" i="4" s="1"/>
  <c r="W229" i="4"/>
  <c r="Z229" i="4" s="1"/>
  <c r="AA229" i="4" s="1"/>
  <c r="W524" i="4"/>
  <c r="Z524" i="4" s="1"/>
  <c r="AA524" i="4" s="1"/>
  <c r="W262" i="4"/>
  <c r="X262" i="4" s="1"/>
  <c r="W241" i="4"/>
  <c r="Z241" i="4" s="1"/>
  <c r="AA241" i="4" s="1"/>
  <c r="W129" i="4"/>
  <c r="Z129" i="4" s="1"/>
  <c r="AA129" i="4" s="1"/>
  <c r="W26" i="4"/>
  <c r="X26" i="4" s="1"/>
  <c r="W508" i="4"/>
  <c r="X508" i="4" s="1"/>
  <c r="W403" i="4"/>
  <c r="Z403" i="4" s="1"/>
  <c r="AA403" i="4" s="1"/>
  <c r="W282" i="4"/>
  <c r="Z282" i="4" s="1"/>
  <c r="AA282" i="4" s="1"/>
  <c r="W225" i="4"/>
  <c r="Z225" i="4" s="1"/>
  <c r="AA225" i="4" s="1"/>
  <c r="W251" i="4"/>
  <c r="Z251" i="4" s="1"/>
  <c r="AA251" i="4" s="1"/>
  <c r="W479" i="4"/>
  <c r="Z479" i="4" s="1"/>
  <c r="AA479" i="4" s="1"/>
  <c r="W448" i="4"/>
  <c r="Z448" i="4" s="1"/>
  <c r="AA448" i="4" s="1"/>
  <c r="W130" i="4"/>
  <c r="Z130" i="4" s="1"/>
  <c r="AA130" i="4" s="1"/>
  <c r="W23" i="4"/>
  <c r="Z23" i="4" s="1"/>
  <c r="AA23" i="4" s="1"/>
  <c r="W469" i="4"/>
  <c r="Z469" i="4" s="1"/>
  <c r="AA469" i="4" s="1"/>
  <c r="W153" i="4"/>
  <c r="X153" i="4" s="1"/>
  <c r="W298" i="4"/>
  <c r="Z298" i="4" s="1"/>
  <c r="AA298" i="4" s="1"/>
  <c r="W520" i="4"/>
  <c r="X520" i="4" s="1"/>
  <c r="W318" i="4"/>
  <c r="Z318" i="4" s="1"/>
  <c r="AA318" i="4" s="1"/>
  <c r="W510" i="4"/>
  <c r="Z510" i="4" s="1"/>
  <c r="AA510" i="4" s="1"/>
  <c r="W74" i="4"/>
  <c r="X74" i="4" s="1"/>
  <c r="W486" i="4"/>
  <c r="Z486" i="4" s="1"/>
  <c r="AA486" i="4" s="1"/>
  <c r="W355" i="4"/>
  <c r="X355" i="4" s="1"/>
  <c r="W371" i="4"/>
  <c r="Z371" i="4" s="1"/>
  <c r="AA371" i="4" s="1"/>
  <c r="W358" i="4"/>
  <c r="Z358" i="4" s="1"/>
  <c r="AA358" i="4" s="1"/>
  <c r="W218" i="4"/>
  <c r="Z218" i="4" s="1"/>
  <c r="AA218" i="4" s="1"/>
  <c r="W344" i="4"/>
  <c r="Z344" i="4" s="1"/>
  <c r="AA344" i="4" s="1"/>
  <c r="W420" i="4"/>
  <c r="X420" i="4" s="1"/>
  <c r="W98" i="4"/>
  <c r="X98" i="4" s="1"/>
  <c r="W207" i="4"/>
  <c r="Z207" i="4" s="1"/>
  <c r="AA207" i="4" s="1"/>
  <c r="W411" i="4"/>
  <c r="Z411" i="4" s="1"/>
  <c r="AA411" i="4" s="1"/>
  <c r="W104" i="4"/>
  <c r="X104" i="4" s="1"/>
  <c r="W43" i="4"/>
  <c r="Z43" i="4" s="1"/>
  <c r="AA43" i="4" s="1"/>
  <c r="W483" i="4"/>
  <c r="Z483" i="4" s="1"/>
  <c r="AA483" i="4" s="1"/>
  <c r="W107" i="4"/>
  <c r="Z107" i="4" s="1"/>
  <c r="AA107" i="4" s="1"/>
  <c r="W32" i="4"/>
  <c r="Z32" i="4" s="1"/>
  <c r="AA32" i="4" s="1"/>
  <c r="W423" i="4"/>
  <c r="X423" i="4" s="1"/>
  <c r="W91" i="4"/>
  <c r="X91" i="4" s="1"/>
  <c r="W305" i="4"/>
  <c r="Z305" i="4" s="1"/>
  <c r="AA305" i="4" s="1"/>
  <c r="W384" i="4"/>
  <c r="Z384" i="4" s="1"/>
  <c r="AA384" i="4" s="1"/>
  <c r="W482" i="4"/>
  <c r="Z482" i="4" s="1"/>
  <c r="AA482" i="4" s="1"/>
  <c r="W321" i="4"/>
  <c r="Z321" i="4" s="1"/>
  <c r="AA321" i="4" s="1"/>
  <c r="W338" i="4"/>
  <c r="X338" i="4" s="1"/>
  <c r="W443" i="4"/>
  <c r="X443" i="4" s="1"/>
  <c r="W455" i="4"/>
  <c r="Z455" i="4" s="1"/>
  <c r="AA455" i="4" s="1"/>
  <c r="W375" i="4"/>
  <c r="X375" i="4" s="1"/>
  <c r="W203" i="4"/>
  <c r="Z203" i="4" s="1"/>
  <c r="AA203" i="4" s="1"/>
  <c r="W430" i="4"/>
  <c r="Z430" i="4" s="1"/>
  <c r="AA430" i="4" s="1"/>
  <c r="W255" i="4"/>
  <c r="X255" i="4" s="1"/>
  <c r="W68" i="4"/>
  <c r="Z68" i="4" s="1"/>
  <c r="AA68" i="4" s="1"/>
  <c r="W433" i="4"/>
  <c r="X433" i="4" s="1"/>
  <c r="W132" i="4"/>
  <c r="X132" i="4" s="1"/>
  <c r="W294" i="4"/>
  <c r="Z294" i="4" s="1"/>
  <c r="AA294" i="4" s="1"/>
  <c r="W509" i="4"/>
  <c r="Z509" i="4" s="1"/>
  <c r="AA509" i="4" s="1"/>
  <c r="W161" i="4"/>
  <c r="Z161" i="4" s="1"/>
  <c r="AA161" i="4" s="1"/>
  <c r="W85" i="4"/>
  <c r="X85" i="4" s="1"/>
  <c r="W288" i="4"/>
  <c r="Z288" i="4" s="1"/>
  <c r="AA288" i="4" s="1"/>
  <c r="W188" i="4"/>
  <c r="X188" i="4" s="1"/>
  <c r="W125" i="4"/>
  <c r="Z125" i="4" s="1"/>
  <c r="AA125" i="4" s="1"/>
  <c r="W324" i="4"/>
  <c r="X324" i="4" s="1"/>
  <c r="W165" i="4"/>
  <c r="Z165" i="4" s="1"/>
  <c r="AA165" i="4" s="1"/>
  <c r="W300" i="4"/>
  <c r="Z300" i="4" s="1"/>
  <c r="AA300" i="4" s="1"/>
  <c r="W21" i="4"/>
  <c r="X21" i="4" s="1"/>
  <c r="W220" i="4"/>
  <c r="Z220" i="4" s="1"/>
  <c r="AA220" i="4" s="1"/>
  <c r="W44" i="4"/>
  <c r="X44" i="4" s="1"/>
  <c r="W95" i="4"/>
  <c r="X95" i="4" s="1"/>
  <c r="W516" i="4"/>
  <c r="Z516" i="4" s="1"/>
  <c r="AA516" i="4" s="1"/>
  <c r="W235" i="4"/>
  <c r="Z235" i="4" s="1"/>
  <c r="AA235" i="4" s="1"/>
  <c r="W470" i="4"/>
  <c r="X470" i="4" s="1"/>
  <c r="W461" i="4"/>
  <c r="Z461" i="4" s="1"/>
  <c r="AA461" i="4" s="1"/>
  <c r="W339" i="4"/>
  <c r="Z339" i="4" s="1"/>
  <c r="AA339" i="4" s="1"/>
  <c r="W149" i="4"/>
  <c r="Z149" i="4" s="1"/>
  <c r="AA149" i="4" s="1"/>
  <c r="W346" i="4"/>
  <c r="Z346" i="4" s="1"/>
  <c r="AA346" i="4" s="1"/>
  <c r="W498" i="4"/>
  <c r="Z498" i="4" s="1"/>
  <c r="AA498" i="4" s="1"/>
  <c r="W437" i="4"/>
  <c r="Z437" i="4" s="1"/>
  <c r="AA437" i="4" s="1"/>
  <c r="W475" i="4"/>
  <c r="X475" i="4" s="1"/>
  <c r="W164" i="4"/>
  <c r="X164" i="4" s="1"/>
  <c r="W503" i="4"/>
  <c r="X503" i="4" s="1"/>
  <c r="W303" i="4"/>
  <c r="Z303" i="4" s="1"/>
  <c r="AA303" i="4" s="1"/>
  <c r="W373" i="4"/>
  <c r="Z373" i="4" s="1"/>
  <c r="AA373" i="4" s="1"/>
  <c r="W387" i="4"/>
  <c r="X387" i="4" s="1"/>
  <c r="W45" i="4"/>
  <c r="X45" i="4" s="1"/>
  <c r="W179" i="4"/>
  <c r="Z179" i="4" s="1"/>
  <c r="AA179" i="4" s="1"/>
  <c r="W521" i="4"/>
  <c r="Z521" i="4" s="1"/>
  <c r="AA521" i="4" s="1"/>
  <c r="W22" i="4"/>
  <c r="Z22" i="4" s="1"/>
  <c r="AA22" i="4" s="1"/>
  <c r="W341" i="4"/>
  <c r="Z341" i="4" s="1"/>
  <c r="AA341" i="4" s="1"/>
  <c r="W222" i="4"/>
  <c r="Z222" i="4" s="1"/>
  <c r="AA222" i="4" s="1"/>
  <c r="W186" i="4"/>
  <c r="Z186" i="4" s="1"/>
  <c r="AA186" i="4" s="1"/>
  <c r="W185" i="4"/>
  <c r="X185" i="4" s="1"/>
  <c r="W350" i="4"/>
  <c r="X350" i="4" s="1"/>
  <c r="W182" i="4"/>
  <c r="Z182" i="4" s="1"/>
  <c r="AA182" i="4" s="1"/>
  <c r="W453" i="4"/>
  <c r="X453" i="4" s="1"/>
  <c r="W447" i="4"/>
  <c r="Z447" i="4" s="1"/>
  <c r="AA447" i="4" s="1"/>
  <c r="W415" i="4"/>
  <c r="Z415" i="4" s="1"/>
  <c r="AA415" i="4" s="1"/>
  <c r="W304" i="4"/>
  <c r="Z304" i="4" s="1"/>
  <c r="AA304" i="4" s="1"/>
  <c r="W270" i="4"/>
  <c r="Z270" i="4" s="1"/>
  <c r="AA270" i="4" s="1"/>
  <c r="W72" i="4"/>
  <c r="Z72" i="4" s="1"/>
  <c r="AA72" i="4" s="1"/>
  <c r="W127" i="4"/>
  <c r="Z127" i="4" s="1"/>
  <c r="AA127" i="4" s="1"/>
  <c r="W325" i="4"/>
  <c r="Z325" i="4" s="1"/>
  <c r="AA325" i="4" s="1"/>
  <c r="W162" i="4"/>
  <c r="Z162" i="4" s="1"/>
  <c r="AA162" i="4" s="1"/>
  <c r="W362" i="4"/>
  <c r="Z362" i="4" s="1"/>
  <c r="AA362" i="4" s="1"/>
  <c r="W196" i="4"/>
  <c r="Z196" i="4" s="1"/>
  <c r="AA196" i="4" s="1"/>
  <c r="W143" i="4"/>
  <c r="Z143" i="4" s="1"/>
  <c r="AA143" i="4" s="1"/>
  <c r="W436" i="4"/>
  <c r="W64" i="4"/>
  <c r="Z64" i="4" s="1"/>
  <c r="AA64" i="4" s="1"/>
  <c r="W103" i="4"/>
  <c r="Z103" i="4" s="1"/>
  <c r="AA103" i="4" s="1"/>
  <c r="W435" i="4"/>
  <c r="Z435" i="4" s="1"/>
  <c r="AA435" i="4" s="1"/>
  <c r="W441" i="4"/>
  <c r="Z441" i="4" s="1"/>
  <c r="AA441" i="4" s="1"/>
  <c r="W147" i="4"/>
  <c r="Z147" i="4" s="1"/>
  <c r="AA147" i="4" s="1"/>
  <c r="W512" i="4"/>
  <c r="Z512" i="4" s="1"/>
  <c r="AA512" i="4" s="1"/>
  <c r="W395" i="4"/>
  <c r="Z395" i="4" s="1"/>
  <c r="AA395" i="4" s="1"/>
  <c r="W414" i="4"/>
  <c r="Z414" i="4" s="1"/>
  <c r="AA414" i="4" s="1"/>
  <c r="W236" i="4"/>
  <c r="Z236" i="4" s="1"/>
  <c r="AA236" i="4" s="1"/>
  <c r="W83" i="4"/>
  <c r="X83" i="4" s="1"/>
  <c r="W219" i="4"/>
  <c r="X219" i="4" s="1"/>
  <c r="W70" i="4"/>
  <c r="Z70" i="4" s="1"/>
  <c r="AA70" i="4" s="1"/>
  <c r="W478" i="4"/>
  <c r="X478" i="4" s="1"/>
  <c r="W383" i="4"/>
  <c r="X383" i="4" s="1"/>
  <c r="W381" i="4"/>
  <c r="Z381" i="4" s="1"/>
  <c r="AA381" i="4" s="1"/>
  <c r="W128" i="4"/>
  <c r="Z128" i="4" s="1"/>
  <c r="AA128" i="4" s="1"/>
  <c r="W299" i="4"/>
  <c r="Z299" i="4" s="1"/>
  <c r="AA299" i="4" s="1"/>
  <c r="W412" i="4"/>
  <c r="X412" i="4" s="1"/>
  <c r="W440" i="4"/>
  <c r="X440" i="4" s="1"/>
  <c r="W90" i="4"/>
  <c r="X90" i="4" s="1"/>
  <c r="W184" i="4"/>
  <c r="X184" i="4" s="1"/>
  <c r="W110" i="4"/>
  <c r="X110" i="4" s="1"/>
  <c r="W60" i="4"/>
  <c r="Z60" i="4" s="1"/>
  <c r="AA60" i="4" s="1"/>
  <c r="W413" i="4"/>
  <c r="Z413" i="4" s="1"/>
  <c r="AA413" i="4" s="1"/>
  <c r="W69" i="4"/>
  <c r="X69" i="4" s="1"/>
  <c r="W484" i="4"/>
  <c r="Z484" i="4" s="1"/>
  <c r="AA484" i="4" s="1"/>
  <c r="W177" i="4"/>
  <c r="W422" i="4"/>
  <c r="Z422" i="4" s="1"/>
  <c r="AA422" i="4" s="1"/>
  <c r="W38" i="4"/>
  <c r="Z38" i="4" s="1"/>
  <c r="AA38" i="4" s="1"/>
  <c r="W528" i="4"/>
  <c r="Z528" i="4" s="1"/>
  <c r="AA528" i="4" s="1"/>
  <c r="W279" i="4"/>
  <c r="Z279" i="4" s="1"/>
  <c r="AA279" i="4" s="1"/>
  <c r="W158" i="4"/>
  <c r="Z158" i="4" s="1"/>
  <c r="AA158" i="4" s="1"/>
  <c r="W361" i="4"/>
  <c r="W249" i="4"/>
  <c r="Z249" i="4" s="1"/>
  <c r="AA249" i="4" s="1"/>
  <c r="W135" i="4"/>
  <c r="Z135" i="4" s="1"/>
  <c r="AA135" i="4" s="1"/>
  <c r="W302" i="4"/>
  <c r="X302" i="4" s="1"/>
  <c r="W131" i="4"/>
  <c r="X131" i="4" s="1"/>
  <c r="W334" i="4"/>
  <c r="X334" i="4" s="1"/>
  <c r="W150" i="4"/>
  <c r="X150" i="4" s="1"/>
  <c r="W337" i="4"/>
  <c r="X337" i="4" s="1"/>
  <c r="W198" i="4"/>
  <c r="Z198" i="4" s="1"/>
  <c r="AA198" i="4" s="1"/>
  <c r="W247" i="4"/>
  <c r="Z247" i="4" s="1"/>
  <c r="AA247" i="4" s="1"/>
  <c r="W202" i="4"/>
  <c r="Z202" i="4" s="1"/>
  <c r="AA202" i="4" s="1"/>
  <c r="W289" i="4"/>
  <c r="Z289" i="4" s="1"/>
  <c r="AA289" i="4" s="1"/>
  <c r="W307" i="4"/>
  <c r="Z307" i="4" s="1"/>
  <c r="AA307" i="4" s="1"/>
  <c r="W138" i="4"/>
  <c r="Z138" i="4" s="1"/>
  <c r="AA138" i="4" s="1"/>
  <c r="W406" i="4"/>
  <c r="W238" i="4"/>
  <c r="X238" i="4" s="1"/>
  <c r="W66" i="4"/>
  <c r="Z66" i="4" s="1"/>
  <c r="AA66" i="4" s="1"/>
  <c r="W401" i="4"/>
  <c r="Z401" i="4" s="1"/>
  <c r="AA401" i="4" s="1"/>
  <c r="W28" i="4"/>
  <c r="Z28" i="4" s="1"/>
  <c r="AA28" i="4" s="1"/>
  <c r="W278" i="4"/>
  <c r="W497" i="4"/>
  <c r="X497" i="4" s="1"/>
  <c r="W81" i="4"/>
  <c r="Z81" i="4" s="1"/>
  <c r="AA81" i="4" s="1"/>
  <c r="W176" i="4"/>
  <c r="W108" i="4"/>
  <c r="Z108" i="4" s="1"/>
  <c r="AA108" i="4" s="1"/>
  <c r="W263" i="4"/>
  <c r="X263" i="4" s="1"/>
  <c r="W114" i="4"/>
  <c r="W424" i="4"/>
  <c r="W121" i="4"/>
  <c r="Z121" i="4" s="1"/>
  <c r="AA121" i="4" s="1"/>
  <c r="W172" i="4"/>
  <c r="Z172" i="4" s="1"/>
  <c r="AA172" i="4" s="1"/>
  <c r="W195" i="4"/>
  <c r="X195" i="4" s="1"/>
  <c r="W495" i="4"/>
  <c r="X495" i="4" s="1"/>
  <c r="W416" i="4"/>
  <c r="Z416" i="4" s="1"/>
  <c r="AA416" i="4" s="1"/>
  <c r="W120" i="4"/>
  <c r="Z120" i="4" s="1"/>
  <c r="AA120" i="4" s="1"/>
  <c r="W296" i="4"/>
  <c r="Z296" i="4" s="1"/>
  <c r="AA296" i="4" s="1"/>
  <c r="W175" i="4"/>
  <c r="Z175" i="4" s="1"/>
  <c r="AA175" i="4" s="1"/>
  <c r="W474" i="4"/>
  <c r="Z474" i="4" s="1"/>
  <c r="AA474" i="4" s="1"/>
  <c r="W237" i="4"/>
  <c r="Z237" i="4" s="1"/>
  <c r="AA237" i="4" s="1"/>
  <c r="W49" i="4"/>
  <c r="Z49" i="4" s="1"/>
  <c r="AA49" i="4" s="1"/>
  <c r="W336" i="4"/>
  <c r="Z336" i="4" s="1"/>
  <c r="AA336" i="4" s="1"/>
  <c r="W159" i="4"/>
  <c r="W231" i="4"/>
  <c r="Z231" i="4" s="1"/>
  <c r="AA231" i="4" s="1"/>
  <c r="W93" i="4"/>
  <c r="Z93" i="4" s="1"/>
  <c r="AA93" i="4" s="1"/>
  <c r="W396" i="4"/>
  <c r="X396" i="4" s="1"/>
  <c r="W167" i="4"/>
  <c r="Z167" i="4" s="1"/>
  <c r="AA167" i="4" s="1"/>
  <c r="W275" i="4"/>
  <c r="Z275" i="4" s="1"/>
  <c r="AA275" i="4" s="1"/>
  <c r="W499" i="4"/>
  <c r="Z499" i="4" s="1"/>
  <c r="AA499" i="4" s="1"/>
  <c r="W359" i="4"/>
  <c r="W404" i="4"/>
  <c r="Z404" i="4" s="1"/>
  <c r="AA404" i="4" s="1"/>
  <c r="W39" i="4"/>
  <c r="W431" i="4"/>
  <c r="Z431" i="4" s="1"/>
  <c r="AA431" i="4" s="1"/>
  <c r="W418" i="4"/>
  <c r="Z418" i="4" s="1"/>
  <c r="AA418" i="4" s="1"/>
  <c r="W471" i="4"/>
  <c r="X471" i="4" s="1"/>
  <c r="W527" i="4"/>
  <c r="X527" i="4" s="1"/>
  <c r="W287" i="4"/>
  <c r="W118" i="4"/>
  <c r="W319" i="4"/>
  <c r="Z319" i="4" s="1"/>
  <c r="AA319" i="4" s="1"/>
  <c r="W284" i="4"/>
  <c r="Z284" i="4" s="1"/>
  <c r="AA284" i="4" s="1"/>
  <c r="W515" i="4"/>
  <c r="X515" i="4" s="1"/>
  <c r="W271" i="4"/>
  <c r="Z271" i="4" s="1"/>
  <c r="AA271" i="4" s="1"/>
  <c r="W476" i="4"/>
  <c r="Z476" i="4" s="1"/>
  <c r="AA476" i="4" s="1"/>
  <c r="W487" i="4"/>
  <c r="W328" i="4"/>
  <c r="Z328" i="4" s="1"/>
  <c r="AA328" i="4" s="1"/>
  <c r="W65" i="4"/>
  <c r="Z65" i="4" s="1"/>
  <c r="AA65" i="4" s="1"/>
  <c r="W388" i="4"/>
  <c r="X388" i="4" s="1"/>
  <c r="W248" i="4"/>
  <c r="Z248" i="4" s="1"/>
  <c r="AA248" i="4" s="1"/>
  <c r="W450" i="4"/>
  <c r="Z450" i="4" s="1"/>
  <c r="AA450" i="4" s="1"/>
  <c r="W408" i="4"/>
  <c r="W280" i="4"/>
  <c r="Z280" i="4" s="1"/>
  <c r="AA280" i="4" s="1"/>
  <c r="W123" i="4"/>
  <c r="X123" i="4" s="1"/>
  <c r="W407" i="4"/>
  <c r="X407" i="4" s="1"/>
  <c r="W112" i="4"/>
  <c r="Z112" i="4" s="1"/>
  <c r="AA112" i="4" s="1"/>
  <c r="W139" i="4"/>
  <c r="W352" i="4"/>
  <c r="W37" i="4"/>
  <c r="W41" i="4"/>
  <c r="W529" i="4"/>
  <c r="W25" i="4"/>
  <c r="Z25" i="4" s="1"/>
  <c r="AA25" i="4" s="1"/>
  <c r="W331" i="4"/>
  <c r="Z331" i="4" s="1"/>
  <c r="AA331" i="4" s="1"/>
  <c r="W170" i="4"/>
  <c r="X242" i="4"/>
  <c r="X389" i="4"/>
  <c r="Z389" i="4"/>
  <c r="AA389" i="4" s="1"/>
  <c r="Z48" i="4"/>
  <c r="AA48" i="4" s="1"/>
  <c r="X353" i="4"/>
  <c r="Z353" i="4"/>
  <c r="AA353" i="4" s="1"/>
  <c r="Z73" i="4"/>
  <c r="AA73" i="4" s="1"/>
  <c r="X73" i="4"/>
  <c r="Z655" i="4"/>
  <c r="AA655" i="4" s="1"/>
  <c r="X655" i="4"/>
  <c r="Z730" i="4"/>
  <c r="AA730" i="4" s="1"/>
  <c r="X730" i="4"/>
  <c r="Z862" i="4"/>
  <c r="AA862" i="4" s="1"/>
  <c r="X862" i="4"/>
  <c r="Z621" i="4"/>
  <c r="AA621" i="4" s="1"/>
  <c r="X621" i="4"/>
  <c r="Z709" i="4"/>
  <c r="AA709" i="4" s="1"/>
  <c r="X709" i="4"/>
  <c r="Z573" i="4"/>
  <c r="AA573" i="4" s="1"/>
  <c r="X573" i="4"/>
  <c r="Z667" i="4"/>
  <c r="AA667" i="4" s="1"/>
  <c r="X667" i="4"/>
  <c r="Z968" i="4"/>
  <c r="AA968" i="4" s="1"/>
  <c r="X968" i="4"/>
  <c r="Z1065" i="4"/>
  <c r="AA1065" i="4" s="1"/>
  <c r="X1065" i="4"/>
  <c r="X581" i="4"/>
  <c r="Z581" i="4"/>
  <c r="AA581" i="4" s="1"/>
  <c r="Z633" i="4"/>
  <c r="AA633" i="4" s="1"/>
  <c r="X633" i="4"/>
  <c r="Z591" i="4"/>
  <c r="AA591" i="4" s="1"/>
  <c r="X591" i="4"/>
  <c r="Z863" i="4"/>
  <c r="AA863" i="4" s="1"/>
  <c r="X863" i="4"/>
  <c r="Z631" i="4"/>
  <c r="AA631" i="4" s="1"/>
  <c r="X631" i="4"/>
  <c r="Z618" i="4"/>
  <c r="AA618" i="4" s="1"/>
  <c r="X618" i="4"/>
  <c r="Z900" i="4"/>
  <c r="AA900" i="4" s="1"/>
  <c r="X900" i="4"/>
  <c r="Z1049" i="4"/>
  <c r="AA1049" i="4" s="1"/>
  <c r="X1049" i="4"/>
  <c r="Z719" i="4"/>
  <c r="AA719" i="4" s="1"/>
  <c r="X719" i="4"/>
  <c r="Z666" i="4"/>
  <c r="AA666" i="4" s="1"/>
  <c r="X666" i="4"/>
  <c r="Z802" i="4"/>
  <c r="AA802" i="4" s="1"/>
  <c r="X802" i="4"/>
  <c r="Z677" i="4"/>
  <c r="AA677" i="4" s="1"/>
  <c r="X677" i="4"/>
  <c r="Z639" i="4"/>
  <c r="AA639" i="4" s="1"/>
  <c r="X639" i="4"/>
  <c r="Z696" i="4"/>
  <c r="AA696" i="4" s="1"/>
  <c r="X696" i="4"/>
  <c r="Z672" i="4"/>
  <c r="AA672" i="4" s="1"/>
  <c r="X672" i="4"/>
  <c r="Z685" i="4"/>
  <c r="AA685" i="4" s="1"/>
  <c r="X685" i="4"/>
  <c r="X886" i="4"/>
  <c r="Z886" i="4"/>
  <c r="AA886" i="4" s="1"/>
  <c r="X1054" i="4"/>
  <c r="Z1054" i="4"/>
  <c r="AA1054" i="4" s="1"/>
  <c r="Z993" i="4"/>
  <c r="AA993" i="4" s="1"/>
  <c r="X993" i="4"/>
  <c r="Z579" i="4"/>
  <c r="AA579" i="4" s="1"/>
  <c r="X579" i="4"/>
  <c r="Z822" i="4"/>
  <c r="AA822" i="4" s="1"/>
  <c r="X822" i="4"/>
  <c r="X964" i="4"/>
  <c r="Z964" i="4"/>
  <c r="AA964" i="4" s="1"/>
  <c r="Z643" i="4"/>
  <c r="AA643" i="4" s="1"/>
  <c r="X643" i="4"/>
  <c r="Z697" i="4"/>
  <c r="AA697" i="4" s="1"/>
  <c r="X697" i="4"/>
  <c r="Z613" i="4"/>
  <c r="AA613" i="4" s="1"/>
  <c r="X613" i="4"/>
  <c r="Z588" i="4"/>
  <c r="AA588" i="4" s="1"/>
  <c r="X588" i="4"/>
  <c r="X642" i="4"/>
  <c r="Z642" i="4"/>
  <c r="AA642" i="4" s="1"/>
  <c r="X701" i="4"/>
  <c r="Z701" i="4"/>
  <c r="AA701" i="4" s="1"/>
  <c r="Z826" i="4"/>
  <c r="AA826" i="4" s="1"/>
  <c r="X826" i="4"/>
  <c r="Z1031" i="4"/>
  <c r="AA1031" i="4" s="1"/>
  <c r="X1031" i="4"/>
  <c r="Z775" i="4"/>
  <c r="AA775" i="4" s="1"/>
  <c r="X775" i="4"/>
  <c r="Z880" i="4"/>
  <c r="AA880" i="4" s="1"/>
  <c r="X880" i="4"/>
  <c r="Z690" i="4"/>
  <c r="AA690" i="4" s="1"/>
  <c r="X690" i="4"/>
  <c r="Z694" i="4"/>
  <c r="AA694" i="4" s="1"/>
  <c r="X694" i="4"/>
  <c r="Z711" i="4"/>
  <c r="AA711" i="4" s="1"/>
  <c r="X711" i="4"/>
  <c r="Z788" i="4"/>
  <c r="AA788" i="4" s="1"/>
  <c r="X788" i="4"/>
  <c r="Z867" i="4"/>
  <c r="AA867" i="4" s="1"/>
  <c r="X867" i="4"/>
  <c r="Z1040" i="4"/>
  <c r="AA1040" i="4" s="1"/>
  <c r="X1040" i="4"/>
  <c r="Z971" i="4"/>
  <c r="AA971" i="4" s="1"/>
  <c r="X971" i="4"/>
  <c r="Z965" i="4"/>
  <c r="AA965" i="4" s="1"/>
  <c r="X965" i="4"/>
  <c r="X813" i="4"/>
  <c r="Z813" i="4"/>
  <c r="AA813" i="4" s="1"/>
  <c r="Z846" i="4"/>
  <c r="AA846" i="4" s="1"/>
  <c r="X846" i="4"/>
  <c r="X901" i="4"/>
  <c r="Z901" i="4"/>
  <c r="AA901" i="4" s="1"/>
  <c r="Z966" i="4"/>
  <c r="AA966" i="4" s="1"/>
  <c r="X966" i="4"/>
  <c r="Z967" i="4"/>
  <c r="AA967" i="4" s="1"/>
  <c r="X967" i="4"/>
  <c r="Z996" i="4"/>
  <c r="AA996" i="4" s="1"/>
  <c r="X996" i="4"/>
  <c r="Z974" i="4"/>
  <c r="AA974" i="4" s="1"/>
  <c r="X974" i="4"/>
  <c r="Z835" i="4"/>
  <c r="AA835" i="4" s="1"/>
  <c r="X835" i="4"/>
  <c r="Z854" i="4"/>
  <c r="AA854" i="4" s="1"/>
  <c r="X854" i="4"/>
  <c r="Z913" i="4"/>
  <c r="AA913" i="4" s="1"/>
  <c r="X913" i="4"/>
  <c r="Z990" i="4"/>
  <c r="AA990" i="4" s="1"/>
  <c r="X990" i="4"/>
  <c r="Z567" i="4"/>
  <c r="AA567" i="4" s="1"/>
  <c r="X567" i="4"/>
  <c r="Z594" i="4"/>
  <c r="AA594" i="4" s="1"/>
  <c r="X594" i="4"/>
  <c r="Z961" i="4"/>
  <c r="AA961" i="4" s="1"/>
  <c r="X961" i="4"/>
  <c r="Z617" i="4"/>
  <c r="AA617" i="4" s="1"/>
  <c r="X617" i="4"/>
  <c r="Z983" i="4"/>
  <c r="AA983" i="4" s="1"/>
  <c r="X983" i="4"/>
  <c r="Z905" i="4"/>
  <c r="AA905" i="4" s="1"/>
  <c r="X905" i="4"/>
  <c r="X706" i="4"/>
  <c r="Z706" i="4"/>
  <c r="AA706" i="4" s="1"/>
  <c r="Z757" i="4"/>
  <c r="AA757" i="4" s="1"/>
  <c r="X757" i="4"/>
  <c r="Z931" i="4"/>
  <c r="AA931" i="4" s="1"/>
  <c r="X931" i="4"/>
  <c r="X810" i="4"/>
  <c r="Z810" i="4"/>
  <c r="AA810" i="4" s="1"/>
  <c r="Z563" i="4"/>
  <c r="AA563" i="4" s="1"/>
  <c r="X563" i="4"/>
  <c r="Z840" i="4"/>
  <c r="AA840" i="4" s="1"/>
  <c r="X840" i="4"/>
  <c r="Z604" i="4"/>
  <c r="AA604" i="4" s="1"/>
  <c r="X604" i="4"/>
  <c r="Z715" i="4"/>
  <c r="AA715" i="4" s="1"/>
  <c r="X715" i="4"/>
  <c r="Z833" i="4"/>
  <c r="AA833" i="4" s="1"/>
  <c r="X833" i="4"/>
  <c r="X576" i="4"/>
  <c r="Z576" i="4"/>
  <c r="AA576" i="4" s="1"/>
  <c r="Z795" i="4"/>
  <c r="AA795" i="4" s="1"/>
  <c r="X795" i="4"/>
  <c r="Z847" i="4"/>
  <c r="AA847" i="4" s="1"/>
  <c r="X847" i="4"/>
  <c r="X636" i="4"/>
  <c r="Z636" i="4"/>
  <c r="AA636" i="4" s="1"/>
  <c r="Z675" i="4"/>
  <c r="AA675" i="4" s="1"/>
  <c r="X675" i="4"/>
  <c r="Z577" i="4"/>
  <c r="AA577" i="4" s="1"/>
  <c r="X577" i="4"/>
  <c r="Z598" i="4"/>
  <c r="AA598" i="4" s="1"/>
  <c r="X598" i="4"/>
  <c r="Z829" i="4"/>
  <c r="AA829" i="4" s="1"/>
  <c r="X829" i="4"/>
  <c r="Z1006" i="4"/>
  <c r="AA1006" i="4" s="1"/>
  <c r="X1006" i="4"/>
  <c r="Z558" i="4"/>
  <c r="AA558" i="4" s="1"/>
  <c r="X558" i="4"/>
  <c r="Z943" i="4"/>
  <c r="AA943" i="4" s="1"/>
  <c r="X943" i="4"/>
  <c r="Z708" i="4"/>
  <c r="AA708" i="4" s="1"/>
  <c r="X708" i="4"/>
  <c r="Z700" i="4"/>
  <c r="AA700" i="4" s="1"/>
  <c r="X700" i="4"/>
  <c r="Z673" i="4"/>
  <c r="AA673" i="4" s="1"/>
  <c r="X673" i="4"/>
  <c r="Z602" i="4"/>
  <c r="AA602" i="4" s="1"/>
  <c r="X602" i="4"/>
  <c r="Z751" i="4"/>
  <c r="AA751" i="4" s="1"/>
  <c r="X751" i="4"/>
  <c r="Z662" i="4"/>
  <c r="AA662" i="4" s="1"/>
  <c r="X662" i="4"/>
  <c r="Z811" i="4"/>
  <c r="AA811" i="4" s="1"/>
  <c r="X811" i="4"/>
  <c r="Z575" i="4"/>
  <c r="AA575" i="4" s="1"/>
  <c r="X575" i="4"/>
  <c r="X842" i="4"/>
  <c r="Z842" i="4"/>
  <c r="AA842" i="4" s="1"/>
  <c r="Z691" i="4"/>
  <c r="AA691" i="4" s="1"/>
  <c r="X691" i="4"/>
  <c r="Z899" i="4"/>
  <c r="AA899" i="4" s="1"/>
  <c r="X899" i="4"/>
  <c r="Z571" i="4"/>
  <c r="AA571" i="4" s="1"/>
  <c r="X571" i="4"/>
  <c r="Z627" i="4"/>
  <c r="AA627" i="4" s="1"/>
  <c r="X627" i="4"/>
  <c r="Z684" i="4"/>
  <c r="AA684" i="4" s="1"/>
  <c r="X684" i="4"/>
  <c r="Z864" i="4"/>
  <c r="AA864" i="4" s="1"/>
  <c r="X864" i="4"/>
  <c r="Z781" i="4"/>
  <c r="AA781" i="4" s="1"/>
  <c r="X781" i="4"/>
  <c r="X885" i="4"/>
  <c r="Z885" i="4"/>
  <c r="AA885" i="4" s="1"/>
  <c r="Z898" i="4"/>
  <c r="AA898" i="4" s="1"/>
  <c r="X898" i="4"/>
  <c r="Z1044" i="4"/>
  <c r="AA1044" i="4" s="1"/>
  <c r="X1044" i="4"/>
  <c r="Z616" i="4"/>
  <c r="AA616" i="4" s="1"/>
  <c r="X616" i="4"/>
  <c r="Z915" i="4"/>
  <c r="AA915" i="4" s="1"/>
  <c r="X915" i="4"/>
  <c r="X956" i="4"/>
  <c r="Z956" i="4"/>
  <c r="AA956" i="4" s="1"/>
  <c r="Z584" i="4"/>
  <c r="AA584" i="4" s="1"/>
  <c r="X584" i="4"/>
  <c r="Z852" i="4"/>
  <c r="AA852" i="4" s="1"/>
  <c r="X852" i="4"/>
  <c r="X653" i="4"/>
  <c r="Z653" i="4"/>
  <c r="AA653" i="4" s="1"/>
  <c r="X620" i="4"/>
  <c r="Z620" i="4"/>
  <c r="AA620" i="4" s="1"/>
  <c r="Z674" i="4"/>
  <c r="AA674" i="4" s="1"/>
  <c r="X674" i="4"/>
  <c r="Z750" i="4"/>
  <c r="AA750" i="4" s="1"/>
  <c r="X750" i="4"/>
  <c r="Z923" i="4"/>
  <c r="AA923" i="4" s="1"/>
  <c r="X923" i="4"/>
  <c r="Z972" i="4"/>
  <c r="AA972" i="4" s="1"/>
  <c r="X972" i="4"/>
  <c r="Z792" i="4"/>
  <c r="AA792" i="4" s="1"/>
  <c r="X792" i="4"/>
  <c r="Z605" i="4"/>
  <c r="AA605" i="4" s="1"/>
  <c r="X605" i="4"/>
  <c r="Z738" i="4"/>
  <c r="AA738" i="4" s="1"/>
  <c r="X738" i="4"/>
  <c r="Z803" i="4"/>
  <c r="AA803" i="4" s="1"/>
  <c r="X803" i="4"/>
  <c r="Z756" i="4"/>
  <c r="AA756" i="4" s="1"/>
  <c r="X756" i="4"/>
  <c r="Z733" i="4"/>
  <c r="AA733" i="4" s="1"/>
  <c r="X733" i="4"/>
  <c r="Z941" i="4"/>
  <c r="AA941" i="4" s="1"/>
  <c r="X941" i="4"/>
  <c r="Z1032" i="4"/>
  <c r="AA1032" i="4" s="1"/>
  <c r="X1032" i="4"/>
  <c r="Z960" i="4"/>
  <c r="AA960" i="4" s="1"/>
  <c r="X960" i="4"/>
  <c r="Z1038" i="4"/>
  <c r="AA1038" i="4" s="1"/>
  <c r="X1038" i="4"/>
  <c r="X729" i="4"/>
  <c r="Z729" i="4"/>
  <c r="AA729" i="4" s="1"/>
  <c r="Z860" i="4"/>
  <c r="AA860" i="4" s="1"/>
  <c r="X860" i="4"/>
  <c r="Z1004" i="4"/>
  <c r="AA1004" i="4" s="1"/>
  <c r="X1004" i="4"/>
  <c r="Z969" i="4"/>
  <c r="AA969" i="4" s="1"/>
  <c r="X969" i="4"/>
  <c r="Z936" i="4"/>
  <c r="AA936" i="4" s="1"/>
  <c r="X936" i="4"/>
  <c r="Z1026" i="4"/>
  <c r="AA1026" i="4" s="1"/>
  <c r="X1026" i="4"/>
  <c r="Z977" i="4"/>
  <c r="AA977" i="4" s="1"/>
  <c r="X977" i="4"/>
  <c r="Z741" i="4"/>
  <c r="AA741" i="4" s="1"/>
  <c r="X741" i="4"/>
  <c r="Z951" i="4"/>
  <c r="AA951" i="4" s="1"/>
  <c r="X951" i="4"/>
  <c r="Z927" i="4"/>
  <c r="AA927" i="4" s="1"/>
  <c r="X927" i="4"/>
  <c r="Z1009" i="4"/>
  <c r="AA1009" i="4" s="1"/>
  <c r="X1009" i="4"/>
  <c r="Z770" i="4"/>
  <c r="AA770" i="4" s="1"/>
  <c r="X770" i="4"/>
  <c r="Z1013" i="4"/>
  <c r="AA1013" i="4" s="1"/>
  <c r="X1013" i="4"/>
  <c r="Z887" i="4"/>
  <c r="AA887" i="4" s="1"/>
  <c r="X887" i="4"/>
  <c r="Z752" i="4"/>
  <c r="AA752" i="4" s="1"/>
  <c r="X752" i="4"/>
  <c r="Z853" i="4"/>
  <c r="AA853" i="4" s="1"/>
  <c r="X853" i="4"/>
  <c r="X771" i="4"/>
  <c r="Z771" i="4"/>
  <c r="AA771" i="4" s="1"/>
  <c r="Z742" i="4"/>
  <c r="AA742" i="4" s="1"/>
  <c r="X742" i="4"/>
  <c r="Z764" i="4"/>
  <c r="AA764" i="4" s="1"/>
  <c r="X764" i="4"/>
  <c r="Z699" i="4"/>
  <c r="AA699" i="4" s="1"/>
  <c r="X699" i="4"/>
  <c r="Z724" i="4"/>
  <c r="AA724" i="4" s="1"/>
  <c r="X724" i="4"/>
  <c r="Z920" i="4"/>
  <c r="AA920" i="4" s="1"/>
  <c r="X920" i="4"/>
  <c r="Z805" i="4"/>
  <c r="AA805" i="4" s="1"/>
  <c r="X805" i="4"/>
  <c r="Z712" i="4"/>
  <c r="AA712" i="4" s="1"/>
  <c r="X712" i="4"/>
  <c r="Z683" i="4"/>
  <c r="AA683" i="4" s="1"/>
  <c r="X683" i="4"/>
  <c r="Z632" i="4"/>
  <c r="AA632" i="4" s="1"/>
  <c r="X632" i="4"/>
  <c r="Z924" i="4"/>
  <c r="AA924" i="4" s="1"/>
  <c r="X924" i="4"/>
  <c r="Z820" i="4"/>
  <c r="AA820" i="4" s="1"/>
  <c r="X820" i="4"/>
  <c r="Z634" i="4"/>
  <c r="AA634" i="4" s="1"/>
  <c r="X634" i="4"/>
  <c r="Z714" i="4"/>
  <c r="AA714" i="4" s="1"/>
  <c r="X714" i="4"/>
  <c r="Z731" i="4"/>
  <c r="AA731" i="4" s="1"/>
  <c r="X731" i="4"/>
  <c r="Z654" i="4"/>
  <c r="AA654" i="4" s="1"/>
  <c r="X654" i="4"/>
  <c r="Z791" i="4"/>
  <c r="AA791" i="4" s="1"/>
  <c r="X791" i="4"/>
  <c r="Z1058" i="4"/>
  <c r="AA1058" i="4" s="1"/>
  <c r="X1058" i="4"/>
  <c r="Z658" i="4"/>
  <c r="AA658" i="4" s="1"/>
  <c r="X658" i="4"/>
  <c r="Z875" i="4"/>
  <c r="AA875" i="4" s="1"/>
  <c r="X875" i="4"/>
  <c r="Z702" i="4"/>
  <c r="AA702" i="4" s="1"/>
  <c r="X702" i="4"/>
  <c r="Z746" i="4"/>
  <c r="AA746" i="4" s="1"/>
  <c r="X746" i="4"/>
  <c r="Z641" i="4"/>
  <c r="AA641" i="4" s="1"/>
  <c r="X641" i="4"/>
  <c r="Z800" i="4"/>
  <c r="AA800" i="4" s="1"/>
  <c r="X800" i="4"/>
  <c r="Z619" i="4"/>
  <c r="AA619" i="4" s="1"/>
  <c r="X619" i="4"/>
  <c r="Z870" i="4"/>
  <c r="AA870" i="4" s="1"/>
  <c r="X870" i="4"/>
  <c r="Z794" i="4"/>
  <c r="AA794" i="4" s="1"/>
  <c r="X794" i="4"/>
  <c r="Z580" i="4"/>
  <c r="AA580" i="4" s="1"/>
  <c r="X580" i="4"/>
  <c r="Z1048" i="4"/>
  <c r="AA1048" i="4" s="1"/>
  <c r="X1048" i="4"/>
  <c r="Z763" i="4"/>
  <c r="AA763" i="4" s="1"/>
  <c r="X763" i="4"/>
  <c r="Z812" i="4"/>
  <c r="AA812" i="4" s="1"/>
  <c r="X812" i="4"/>
  <c r="Z710" i="4"/>
  <c r="AA710" i="4" s="1"/>
  <c r="X710" i="4"/>
  <c r="Z568" i="4"/>
  <c r="AA568" i="4" s="1"/>
  <c r="X568" i="4"/>
  <c r="Z559" i="4"/>
  <c r="AA559" i="4" s="1"/>
  <c r="X559" i="4"/>
  <c r="Z570" i="4"/>
  <c r="AA570" i="4" s="1"/>
  <c r="X570" i="4"/>
  <c r="Z766" i="4"/>
  <c r="AA766" i="4" s="1"/>
  <c r="X766" i="4"/>
  <c r="X938" i="4"/>
  <c r="Z938" i="4"/>
  <c r="AA938" i="4" s="1"/>
  <c r="Z845" i="4"/>
  <c r="AA845" i="4" s="1"/>
  <c r="X845" i="4"/>
  <c r="Z1062" i="4"/>
  <c r="AA1062" i="4" s="1"/>
  <c r="X1062" i="4"/>
  <c r="Z574" i="4"/>
  <c r="AA574" i="4" s="1"/>
  <c r="X574" i="4"/>
  <c r="Z955" i="4"/>
  <c r="AA955" i="4" s="1"/>
  <c r="X955" i="4"/>
  <c r="Z1042" i="4"/>
  <c r="AA1042" i="4" s="1"/>
  <c r="X1042" i="4"/>
  <c r="Z686" i="4"/>
  <c r="AA686" i="4" s="1"/>
  <c r="X686" i="4"/>
  <c r="Z916" i="4"/>
  <c r="AA916" i="4" s="1"/>
  <c r="X916" i="4"/>
  <c r="Z607" i="4"/>
  <c r="AA607" i="4" s="1"/>
  <c r="X607" i="4"/>
  <c r="Z652" i="4"/>
  <c r="AA652" i="4" s="1"/>
  <c r="X652" i="4"/>
  <c r="Z759" i="4"/>
  <c r="AA759" i="4" s="1"/>
  <c r="X759" i="4"/>
  <c r="Z834" i="4"/>
  <c r="AA834" i="4" s="1"/>
  <c r="X834" i="4"/>
  <c r="Z836" i="4"/>
  <c r="AA836" i="4" s="1"/>
  <c r="X836" i="4"/>
  <c r="Z1051" i="4"/>
  <c r="AA1051" i="4" s="1"/>
  <c r="X1051" i="4"/>
  <c r="Z648" i="4"/>
  <c r="AA648" i="4" s="1"/>
  <c r="X648" i="4"/>
  <c r="Z679" i="4"/>
  <c r="AA679" i="4" s="1"/>
  <c r="X679" i="4"/>
  <c r="Z595" i="4"/>
  <c r="AA595" i="4" s="1"/>
  <c r="X595" i="4"/>
  <c r="Z823" i="4"/>
  <c r="AA823" i="4" s="1"/>
  <c r="X823" i="4"/>
  <c r="X839" i="4"/>
  <c r="Z839" i="4"/>
  <c r="AA839" i="4" s="1"/>
  <c r="Z777" i="4"/>
  <c r="AA777" i="4" s="1"/>
  <c r="X777" i="4"/>
  <c r="Z925" i="4"/>
  <c r="AA925" i="4" s="1"/>
  <c r="X925" i="4"/>
  <c r="Z1045" i="4"/>
  <c r="AA1045" i="4" s="1"/>
  <c r="X1045" i="4"/>
  <c r="Z946" i="4"/>
  <c r="AA946" i="4" s="1"/>
  <c r="X946" i="4"/>
  <c r="Z1001" i="4"/>
  <c r="AA1001" i="4" s="1"/>
  <c r="X1001" i="4"/>
  <c r="Z761" i="4"/>
  <c r="AA761" i="4" s="1"/>
  <c r="X761" i="4"/>
  <c r="Z824" i="4"/>
  <c r="AA824" i="4" s="1"/>
  <c r="X824" i="4"/>
  <c r="Z1002" i="4"/>
  <c r="AA1002" i="4" s="1"/>
  <c r="X1002" i="4"/>
  <c r="Z1053" i="4"/>
  <c r="AA1053" i="4" s="1"/>
  <c r="X1053" i="4"/>
  <c r="Z986" i="4"/>
  <c r="AA986" i="4" s="1"/>
  <c r="X986" i="4"/>
  <c r="X1029" i="4"/>
  <c r="Z1029" i="4"/>
  <c r="AA1029" i="4" s="1"/>
  <c r="Z1039" i="4"/>
  <c r="AA1039" i="4" s="1"/>
  <c r="X1039" i="4"/>
  <c r="Z773" i="4"/>
  <c r="AA773" i="4" s="1"/>
  <c r="X773" i="4"/>
  <c r="Z856" i="4"/>
  <c r="AA856" i="4" s="1"/>
  <c r="X856" i="4"/>
  <c r="Z930" i="4"/>
  <c r="AA930" i="4" s="1"/>
  <c r="X930" i="4"/>
  <c r="Z985" i="4"/>
  <c r="AA985" i="4" s="1"/>
  <c r="X985" i="4"/>
  <c r="Z583" i="4"/>
  <c r="AA583" i="4" s="1"/>
  <c r="X583" i="4"/>
  <c r="Z793" i="4"/>
  <c r="AA793" i="4" s="1"/>
  <c r="X793" i="4"/>
  <c r="Z676" i="4"/>
  <c r="AA676" i="4" s="1"/>
  <c r="X676" i="4"/>
  <c r="Z689" i="4"/>
  <c r="AA689" i="4" s="1"/>
  <c r="X689" i="4"/>
  <c r="Z894" i="4"/>
  <c r="AA894" i="4" s="1"/>
  <c r="X894" i="4"/>
  <c r="Z976" i="4"/>
  <c r="AA976" i="4" s="1"/>
  <c r="X976" i="4"/>
  <c r="X804" i="4"/>
  <c r="Z804" i="4"/>
  <c r="AA804" i="4" s="1"/>
  <c r="Z603" i="4"/>
  <c r="AA603" i="4" s="1"/>
  <c r="X603" i="4"/>
  <c r="Z747" i="4"/>
  <c r="AA747" i="4" s="1"/>
  <c r="X747" i="4"/>
  <c r="Z844" i="4"/>
  <c r="AA844" i="4" s="1"/>
  <c r="X844" i="4"/>
  <c r="Z879" i="4"/>
  <c r="AA879" i="4" s="1"/>
  <c r="X879" i="4"/>
  <c r="Z739" i="4"/>
  <c r="AA739" i="4" s="1"/>
  <c r="X739" i="4"/>
  <c r="Z935" i="4"/>
  <c r="AA935" i="4" s="1"/>
  <c r="X935" i="4"/>
  <c r="Z796" i="4"/>
  <c r="AA796" i="4" s="1"/>
  <c r="X796" i="4"/>
  <c r="Z797" i="4"/>
  <c r="AA797" i="4" s="1"/>
  <c r="X797" i="4"/>
  <c r="Z876" i="4"/>
  <c r="AA876" i="4" s="1"/>
  <c r="X876" i="4"/>
  <c r="Z740" i="4"/>
  <c r="AA740" i="4" s="1"/>
  <c r="X740" i="4"/>
  <c r="Z564" i="4"/>
  <c r="AA564" i="4" s="1"/>
  <c r="X564" i="4"/>
  <c r="Z744" i="4"/>
  <c r="AA744" i="4" s="1"/>
  <c r="X744" i="4"/>
  <c r="Z891" i="4"/>
  <c r="AA891" i="4" s="1"/>
  <c r="X891" i="4"/>
  <c r="Z590" i="4"/>
  <c r="AA590" i="4" s="1"/>
  <c r="X590" i="4"/>
  <c r="Z629" i="4"/>
  <c r="AA629" i="4" s="1"/>
  <c r="X629" i="4"/>
  <c r="Z681" i="4"/>
  <c r="AA681" i="4" s="1"/>
  <c r="X681" i="4"/>
  <c r="X882" i="4"/>
  <c r="Z882" i="4"/>
  <c r="AA882" i="4" s="1"/>
  <c r="Z650" i="4"/>
  <c r="AA650" i="4" s="1"/>
  <c r="X650" i="4"/>
  <c r="X668" i="4"/>
  <c r="Z668" i="4"/>
  <c r="AA668" i="4" s="1"/>
  <c r="Z647" i="4"/>
  <c r="AA647" i="4" s="1"/>
  <c r="X647" i="4"/>
  <c r="Z626" i="4"/>
  <c r="AA626" i="4" s="1"/>
  <c r="X626" i="4"/>
  <c r="Z745" i="4"/>
  <c r="AA745" i="4" s="1"/>
  <c r="X745" i="4"/>
  <c r="Z989" i="4"/>
  <c r="AA989" i="4" s="1"/>
  <c r="X989" i="4"/>
  <c r="Z893" i="4"/>
  <c r="AA893" i="4" s="1"/>
  <c r="X893" i="4"/>
  <c r="Z952" i="4"/>
  <c r="AA952" i="4" s="1"/>
  <c r="X952" i="4"/>
  <c r="Z703" i="4"/>
  <c r="AA703" i="4" s="1"/>
  <c r="X703" i="4"/>
  <c r="Z929" i="4"/>
  <c r="AA929" i="4" s="1"/>
  <c r="X929" i="4"/>
  <c r="X1021" i="4"/>
  <c r="Z1021" i="4"/>
  <c r="AA1021" i="4" s="1"/>
  <c r="Z688" i="4"/>
  <c r="AA688" i="4" s="1"/>
  <c r="X688" i="4"/>
  <c r="Z828" i="4"/>
  <c r="AA828" i="4" s="1"/>
  <c r="X828" i="4"/>
  <c r="Z671" i="4"/>
  <c r="AA671" i="4" s="1"/>
  <c r="X671" i="4"/>
  <c r="Z692" i="4"/>
  <c r="AA692" i="4" s="1"/>
  <c r="X692" i="4"/>
  <c r="Z707" i="4"/>
  <c r="AA707" i="4" s="1"/>
  <c r="X707" i="4"/>
  <c r="Z778" i="4"/>
  <c r="AA778" i="4" s="1"/>
  <c r="X778" i="4"/>
  <c r="Z832" i="4"/>
  <c r="AA832" i="4" s="1"/>
  <c r="X832" i="4"/>
  <c r="Z1056" i="4"/>
  <c r="AA1056" i="4" s="1"/>
  <c r="X1056" i="4"/>
  <c r="Z760" i="4"/>
  <c r="AA760" i="4" s="1"/>
  <c r="X760" i="4"/>
  <c r="Z609" i="4"/>
  <c r="AA609" i="4" s="1"/>
  <c r="X609" i="4"/>
  <c r="Z659" i="4"/>
  <c r="AA659" i="4" s="1"/>
  <c r="X659" i="4"/>
  <c r="Z582" i="4"/>
  <c r="AA582" i="4" s="1"/>
  <c r="X582" i="4"/>
  <c r="Z892" i="4"/>
  <c r="AA892" i="4" s="1"/>
  <c r="X892" i="4"/>
  <c r="Z912" i="4"/>
  <c r="AA912" i="4" s="1"/>
  <c r="X912" i="4"/>
  <c r="Z873" i="4"/>
  <c r="AA873" i="4" s="1"/>
  <c r="X873" i="4"/>
  <c r="Z949" i="4"/>
  <c r="AA949" i="4" s="1"/>
  <c r="X949" i="4"/>
  <c r="Z1016" i="4"/>
  <c r="AA1016" i="4" s="1"/>
  <c r="X1016" i="4"/>
  <c r="Z988" i="4"/>
  <c r="AA988" i="4" s="1"/>
  <c r="X988" i="4"/>
  <c r="Z819" i="4"/>
  <c r="AA819" i="4" s="1"/>
  <c r="X819" i="4"/>
  <c r="Z895" i="4"/>
  <c r="AA895" i="4" s="1"/>
  <c r="X895" i="4"/>
  <c r="Z950" i="4"/>
  <c r="AA950" i="4" s="1"/>
  <c r="X950" i="4"/>
  <c r="Z1007" i="4"/>
  <c r="AA1007" i="4" s="1"/>
  <c r="X1007" i="4"/>
  <c r="Z1017" i="4"/>
  <c r="AA1017" i="4" s="1"/>
  <c r="X1017" i="4"/>
  <c r="Z1064" i="4"/>
  <c r="AA1064" i="4" s="1"/>
  <c r="X1064" i="4"/>
  <c r="Z1019" i="4"/>
  <c r="AA1019" i="4" s="1"/>
  <c r="X1019" i="4"/>
  <c r="Z866" i="4"/>
  <c r="AA866" i="4" s="1"/>
  <c r="X866" i="4"/>
  <c r="Z919" i="4"/>
  <c r="AA919" i="4" s="1"/>
  <c r="X919" i="4"/>
  <c r="Z1003" i="4"/>
  <c r="AA1003" i="4" s="1"/>
  <c r="X1003" i="4"/>
  <c r="Z1020" i="4"/>
  <c r="AA1020" i="4" s="1"/>
  <c r="X1020" i="4"/>
  <c r="X726" i="4"/>
  <c r="Z726" i="4"/>
  <c r="AA726" i="4" s="1"/>
  <c r="X704" i="4"/>
  <c r="Z704" i="4"/>
  <c r="AA704" i="4" s="1"/>
  <c r="Z908" i="4"/>
  <c r="AA908" i="4" s="1"/>
  <c r="X908" i="4"/>
  <c r="Z789" i="4"/>
  <c r="AA789" i="4" s="1"/>
  <c r="X789" i="4"/>
  <c r="Z889" i="4"/>
  <c r="AA889" i="4" s="1"/>
  <c r="X889" i="4"/>
  <c r="X753" i="4"/>
  <c r="Z753" i="4"/>
  <c r="AA753" i="4" s="1"/>
  <c r="Z848" i="4"/>
  <c r="AA848" i="4" s="1"/>
  <c r="X848" i="4"/>
  <c r="Z716" i="4"/>
  <c r="AA716" i="4" s="1"/>
  <c r="X716" i="4"/>
  <c r="Z734" i="4"/>
  <c r="AA734" i="4" s="1"/>
  <c r="X734" i="4"/>
  <c r="Z872" i="4"/>
  <c r="AA872" i="4" s="1"/>
  <c r="X872" i="4"/>
  <c r="Z569" i="4"/>
  <c r="AA569" i="4" s="1"/>
  <c r="X569" i="4"/>
  <c r="Z727" i="4"/>
  <c r="AA727" i="4" s="1"/>
  <c r="X727" i="4"/>
  <c r="Z903" i="4"/>
  <c r="AA903" i="4" s="1"/>
  <c r="X903" i="4"/>
  <c r="Z799" i="4"/>
  <c r="AA799" i="4" s="1"/>
  <c r="X799" i="4"/>
  <c r="Z821" i="4"/>
  <c r="AA821" i="4" s="1"/>
  <c r="X821" i="4"/>
  <c r="Z623" i="4"/>
  <c r="AA623" i="4" s="1"/>
  <c r="X623" i="4"/>
  <c r="Z645" i="4"/>
  <c r="AA645" i="4" s="1"/>
  <c r="X645" i="4"/>
  <c r="Z608" i="4"/>
  <c r="AA608" i="4" s="1"/>
  <c r="X608" i="4"/>
  <c r="Z732" i="4"/>
  <c r="AA732" i="4" s="1"/>
  <c r="X732" i="4"/>
  <c r="Z991" i="4"/>
  <c r="AA991" i="4" s="1"/>
  <c r="X991" i="4"/>
  <c r="Z693" i="4"/>
  <c r="AA693" i="4" s="1"/>
  <c r="X693" i="4"/>
  <c r="Z589" i="4"/>
  <c r="AA589" i="4" s="1"/>
  <c r="X589" i="4"/>
  <c r="Z723" i="4"/>
  <c r="AA723" i="4" s="1"/>
  <c r="X723" i="4"/>
  <c r="Z877" i="4"/>
  <c r="AA877" i="4" s="1"/>
  <c r="X877" i="4"/>
  <c r="Z838" i="4"/>
  <c r="AA838" i="4" s="1"/>
  <c r="X838" i="4"/>
  <c r="Z850" i="4"/>
  <c r="AA850" i="4" s="1"/>
  <c r="X850" i="4"/>
  <c r="Z748" i="4"/>
  <c r="AA748" i="4" s="1"/>
  <c r="X748" i="4"/>
  <c r="Z698" i="4"/>
  <c r="AA698" i="4" s="1"/>
  <c r="X698" i="4"/>
  <c r="Z859" i="4"/>
  <c r="AA859" i="4" s="1"/>
  <c r="X859" i="4"/>
  <c r="Z987" i="4"/>
  <c r="AA987" i="4" s="1"/>
  <c r="X987" i="4"/>
  <c r="Z937" i="4"/>
  <c r="AA937" i="4" s="1"/>
  <c r="X937" i="4"/>
  <c r="Z1022" i="4"/>
  <c r="AA1022" i="4" s="1"/>
  <c r="X1022" i="4"/>
  <c r="Z776" i="4"/>
  <c r="AA776" i="4" s="1"/>
  <c r="X776" i="4"/>
  <c r="X914" i="4"/>
  <c r="Z914" i="4"/>
  <c r="AA914" i="4" s="1"/>
  <c r="X1047" i="4"/>
  <c r="Z1047" i="4"/>
  <c r="AA1047" i="4" s="1"/>
  <c r="Z606" i="4"/>
  <c r="AA606" i="4" s="1"/>
  <c r="X606" i="4"/>
  <c r="Z597" i="4"/>
  <c r="AA597" i="4" s="1"/>
  <c r="X597" i="4"/>
  <c r="Z947" i="4"/>
  <c r="AA947" i="4" s="1"/>
  <c r="X947" i="4"/>
  <c r="Z768" i="4"/>
  <c r="AA768" i="4" s="1"/>
  <c r="X768" i="4"/>
  <c r="Z755" i="4"/>
  <c r="AA755" i="4" s="1"/>
  <c r="X755" i="4"/>
  <c r="Z725" i="4"/>
  <c r="AA725" i="4" s="1"/>
  <c r="X725" i="4"/>
  <c r="Z957" i="4"/>
  <c r="AA957" i="4" s="1"/>
  <c r="X957" i="4"/>
  <c r="Z1030" i="4"/>
  <c r="AA1030" i="4" s="1"/>
  <c r="X1030" i="4"/>
  <c r="Z638" i="4"/>
  <c r="AA638" i="4" s="1"/>
  <c r="X638" i="4"/>
  <c r="Z593" i="4"/>
  <c r="AA593" i="4" s="1"/>
  <c r="X593" i="4"/>
  <c r="Z560" i="4"/>
  <c r="AA560" i="4" s="1"/>
  <c r="X560" i="4"/>
  <c r="Z614" i="4"/>
  <c r="AA614" i="4" s="1"/>
  <c r="X614" i="4"/>
  <c r="Z831" i="4"/>
  <c r="AA831" i="4" s="1"/>
  <c r="X831" i="4"/>
  <c r="Z790" i="4"/>
  <c r="AA790" i="4" s="1"/>
  <c r="X790" i="4"/>
  <c r="Z921" i="4"/>
  <c r="AA921" i="4" s="1"/>
  <c r="X921" i="4"/>
  <c r="Z906" i="4"/>
  <c r="AA906" i="4" s="1"/>
  <c r="X906" i="4"/>
  <c r="Z928" i="4"/>
  <c r="AA928" i="4" s="1"/>
  <c r="X928" i="4"/>
  <c r="Z1043" i="4"/>
  <c r="AA1043" i="4" s="1"/>
  <c r="X1043" i="4"/>
  <c r="Z801" i="4"/>
  <c r="AA801" i="4" s="1"/>
  <c r="X801" i="4"/>
  <c r="Z878" i="4"/>
  <c r="AA878" i="4" s="1"/>
  <c r="X878" i="4"/>
  <c r="Z1067" i="4"/>
  <c r="AA1067" i="4" s="1"/>
  <c r="X1067" i="4"/>
  <c r="Z992" i="4"/>
  <c r="AA992" i="4" s="1"/>
  <c r="X992" i="4"/>
  <c r="Z970" i="4"/>
  <c r="AA970" i="4" s="1"/>
  <c r="X970" i="4"/>
  <c r="X975" i="4"/>
  <c r="Z975" i="4"/>
  <c r="AA975" i="4" s="1"/>
  <c r="Z1000" i="4"/>
  <c r="AA1000" i="4" s="1"/>
  <c r="X1000" i="4"/>
  <c r="Z843" i="4"/>
  <c r="AA843" i="4" s="1"/>
  <c r="X843" i="4"/>
  <c r="Z890" i="4"/>
  <c r="AA890" i="4" s="1"/>
  <c r="X890" i="4"/>
  <c r="Z978" i="4"/>
  <c r="AA978" i="4" s="1"/>
  <c r="X978" i="4"/>
  <c r="Z1012" i="4"/>
  <c r="AA1012" i="4" s="1"/>
  <c r="X1012" i="4"/>
  <c r="Z942" i="4"/>
  <c r="AA942" i="4" s="1"/>
  <c r="X942" i="4"/>
  <c r="X874" i="4"/>
  <c r="Z874" i="4"/>
  <c r="AA874" i="4" s="1"/>
  <c r="Z601" i="4"/>
  <c r="AA601" i="4" s="1"/>
  <c r="X601" i="4"/>
  <c r="Z600" i="4"/>
  <c r="AA600" i="4" s="1"/>
  <c r="X600" i="4"/>
  <c r="Z722" i="4"/>
  <c r="AA722" i="4" s="1"/>
  <c r="X722" i="4"/>
  <c r="Z939" i="4"/>
  <c r="AA939" i="4" s="1"/>
  <c r="X939" i="4"/>
  <c r="Z779" i="4"/>
  <c r="AA779" i="4" s="1"/>
  <c r="X779" i="4"/>
  <c r="X717" i="4"/>
  <c r="Z717" i="4"/>
  <c r="AA717" i="4" s="1"/>
  <c r="Z841" i="4"/>
  <c r="AA841" i="4" s="1"/>
  <c r="X841" i="4"/>
  <c r="Z814" i="4"/>
  <c r="AA814" i="4" s="1"/>
  <c r="X814" i="4"/>
  <c r="Z858" i="4"/>
  <c r="AA858" i="4" s="1"/>
  <c r="X858" i="4"/>
  <c r="Z611" i="4"/>
  <c r="AA611" i="4" s="1"/>
  <c r="X611" i="4"/>
  <c r="Z665" i="4"/>
  <c r="AA665" i="4" s="1"/>
  <c r="X665" i="4"/>
  <c r="X664" i="4"/>
  <c r="Z664" i="4"/>
  <c r="AA664" i="4" s="1"/>
  <c r="Z904" i="4"/>
  <c r="AA904" i="4" s="1"/>
  <c r="X904" i="4"/>
  <c r="Z911" i="4"/>
  <c r="AA911" i="4" s="1"/>
  <c r="X911" i="4"/>
  <c r="Z808" i="4"/>
  <c r="AA808" i="4" s="1"/>
  <c r="X808" i="4"/>
  <c r="Z743" i="4"/>
  <c r="AA743" i="4" s="1"/>
  <c r="X743" i="4"/>
  <c r="Z762" i="4"/>
  <c r="AA762" i="4" s="1"/>
  <c r="X762" i="4"/>
  <c r="Z934" i="4"/>
  <c r="AA934" i="4" s="1"/>
  <c r="X934" i="4"/>
  <c r="Z868" i="4"/>
  <c r="AA868" i="4" s="1"/>
  <c r="X868" i="4"/>
  <c r="Z622" i="4"/>
  <c r="AA622" i="4" s="1"/>
  <c r="X622" i="4"/>
  <c r="Z635" i="4"/>
  <c r="AA635" i="4" s="1"/>
  <c r="X635" i="4"/>
  <c r="Z695" i="4"/>
  <c r="AA695" i="4" s="1"/>
  <c r="X695" i="4"/>
  <c r="Z806" i="4"/>
  <c r="AA806" i="4" s="1"/>
  <c r="X806" i="4"/>
  <c r="X1046" i="4"/>
  <c r="Z1046" i="4"/>
  <c r="AA1046" i="4" s="1"/>
  <c r="Z954" i="4"/>
  <c r="AA954" i="4" s="1"/>
  <c r="X954" i="4"/>
  <c r="Z997" i="4"/>
  <c r="AA997" i="4" s="1"/>
  <c r="X997" i="4"/>
  <c r="Z774" i="4"/>
  <c r="AA774" i="4" s="1"/>
  <c r="X774" i="4"/>
  <c r="Z857" i="4"/>
  <c r="AA857" i="4" s="1"/>
  <c r="X857" i="4"/>
  <c r="Z888" i="4"/>
  <c r="AA888" i="4" s="1"/>
  <c r="X888" i="4"/>
  <c r="Z670" i="4"/>
  <c r="AA670" i="4" s="1"/>
  <c r="X670" i="4"/>
  <c r="Z661" i="4"/>
  <c r="AA661" i="4" s="1"/>
  <c r="X661" i="4"/>
  <c r="Z587" i="4"/>
  <c r="AA587" i="4" s="1"/>
  <c r="X587" i="4"/>
  <c r="Z807" i="4"/>
  <c r="AA807" i="4" s="1"/>
  <c r="X807" i="4"/>
  <c r="X817" i="4"/>
  <c r="Z817" i="4"/>
  <c r="AA817" i="4" s="1"/>
  <c r="Z769" i="4"/>
  <c r="AA769" i="4" s="1"/>
  <c r="X769" i="4"/>
  <c r="Z918" i="4"/>
  <c r="AA918" i="4" s="1"/>
  <c r="X918" i="4"/>
  <c r="Z1041" i="4"/>
  <c r="AA1041" i="4" s="1"/>
  <c r="X1041" i="4"/>
  <c r="Z758" i="4"/>
  <c r="AA758" i="4" s="1"/>
  <c r="X758" i="4"/>
  <c r="Z649" i="4"/>
  <c r="AA649" i="4" s="1"/>
  <c r="X649" i="4"/>
  <c r="Z592" i="4"/>
  <c r="AA592" i="4" s="1"/>
  <c r="X592" i="4"/>
  <c r="Z646" i="4"/>
  <c r="AA646" i="4" s="1"/>
  <c r="X646" i="4"/>
  <c r="Z705" i="4"/>
  <c r="AA705" i="4" s="1"/>
  <c r="X705" i="4"/>
  <c r="Z851" i="4"/>
  <c r="AA851" i="4" s="1"/>
  <c r="X851" i="4"/>
  <c r="Z1035" i="4"/>
  <c r="AA1035" i="4" s="1"/>
  <c r="X1035" i="4"/>
  <c r="Z1055" i="4"/>
  <c r="AA1055" i="4" s="1"/>
  <c r="X1055" i="4"/>
  <c r="Z979" i="4"/>
  <c r="AA979" i="4" s="1"/>
  <c r="X979" i="4"/>
  <c r="Z1061" i="4"/>
  <c r="AA1061" i="4" s="1"/>
  <c r="X1061" i="4"/>
  <c r="Z786" i="4"/>
  <c r="AA786" i="4" s="1"/>
  <c r="X786" i="4"/>
  <c r="Z910" i="4"/>
  <c r="AA910" i="4" s="1"/>
  <c r="X910" i="4"/>
  <c r="X932" i="4"/>
  <c r="Z932" i="4"/>
  <c r="AA932" i="4" s="1"/>
  <c r="Z1063" i="4"/>
  <c r="AA1063" i="4" s="1"/>
  <c r="X1063" i="4"/>
  <c r="Z973" i="4"/>
  <c r="AA973" i="4" s="1"/>
  <c r="X973" i="4"/>
  <c r="Z940" i="4"/>
  <c r="AA940" i="4" s="1"/>
  <c r="X940" i="4"/>
  <c r="X1027" i="4"/>
  <c r="Z1027" i="4"/>
  <c r="AA1027" i="4" s="1"/>
  <c r="Z798" i="4"/>
  <c r="AA798" i="4" s="1"/>
  <c r="X798" i="4"/>
  <c r="Z922" i="4"/>
  <c r="AA922" i="4" s="1"/>
  <c r="X922" i="4"/>
  <c r="Z944" i="4"/>
  <c r="AA944" i="4" s="1"/>
  <c r="X944" i="4"/>
  <c r="Z1028" i="4"/>
  <c r="AA1028" i="4" s="1"/>
  <c r="X1028" i="4"/>
  <c r="Z586" i="4"/>
  <c r="AA586" i="4" s="1"/>
  <c r="X586" i="4"/>
  <c r="Z749" i="4"/>
  <c r="AA749" i="4" s="1"/>
  <c r="X749" i="4"/>
  <c r="Z735" i="4"/>
  <c r="AA735" i="4" s="1"/>
  <c r="X735" i="4"/>
  <c r="Z902" i="4"/>
  <c r="AA902" i="4" s="1"/>
  <c r="X902" i="4"/>
  <c r="Z687" i="4"/>
  <c r="AA687" i="4" s="1"/>
  <c r="X687" i="4"/>
  <c r="Z612" i="4"/>
  <c r="AA612" i="4" s="1"/>
  <c r="X612" i="4"/>
  <c r="Z737" i="4"/>
  <c r="AA737" i="4" s="1"/>
  <c r="X737" i="4"/>
  <c r="X982" i="4"/>
  <c r="Z982" i="4"/>
  <c r="AA982" i="4" s="1"/>
  <c r="Z669" i="4"/>
  <c r="AA669" i="4" s="1"/>
  <c r="X669" i="4"/>
  <c r="Z767" i="4"/>
  <c r="AA767" i="4" s="1"/>
  <c r="X767" i="4"/>
  <c r="Z572" i="4"/>
  <c r="AA572" i="4" s="1"/>
  <c r="X572" i="4"/>
  <c r="Z783" i="4"/>
  <c r="AA783" i="4" s="1"/>
  <c r="X783" i="4"/>
  <c r="Z998" i="4"/>
  <c r="AA998" i="4" s="1"/>
  <c r="X998" i="4"/>
  <c r="X999" i="4"/>
  <c r="Z999" i="4"/>
  <c r="AA999" i="4" s="1"/>
  <c r="Z948" i="4"/>
  <c r="AA948" i="4" s="1"/>
  <c r="X948" i="4"/>
  <c r="X1060" i="4"/>
  <c r="Z1060" i="4"/>
  <c r="AA1060" i="4" s="1"/>
  <c r="Z765" i="4"/>
  <c r="AA765" i="4" s="1"/>
  <c r="X765" i="4"/>
  <c r="Z909" i="4"/>
  <c r="AA909" i="4" s="1"/>
  <c r="X909" i="4"/>
  <c r="Z625" i="4"/>
  <c r="AA625" i="4" s="1"/>
  <c r="X625" i="4"/>
  <c r="Z754" i="4"/>
  <c r="AA754" i="4" s="1"/>
  <c r="X754" i="4"/>
  <c r="Z565" i="4"/>
  <c r="AA565" i="4" s="1"/>
  <c r="X565" i="4"/>
  <c r="Z651" i="4"/>
  <c r="AA651" i="4" s="1"/>
  <c r="X651" i="4"/>
  <c r="Z578" i="4"/>
  <c r="AA578" i="4" s="1"/>
  <c r="X578" i="4"/>
  <c r="Z825" i="4"/>
  <c r="AA825" i="4" s="1"/>
  <c r="X825" i="4"/>
  <c r="X896" i="4"/>
  <c r="Z896" i="4"/>
  <c r="AA896" i="4" s="1"/>
  <c r="Z861" i="4"/>
  <c r="AA861" i="4" s="1"/>
  <c r="X861" i="4"/>
  <c r="Z637" i="4"/>
  <c r="AA637" i="4" s="1"/>
  <c r="X637" i="4"/>
  <c r="Z809" i="4"/>
  <c r="AA809" i="4" s="1"/>
  <c r="X809" i="4"/>
  <c r="Z720" i="4"/>
  <c r="AA720" i="4" s="1"/>
  <c r="X720" i="4"/>
  <c r="Z624" i="4"/>
  <c r="AA624" i="4" s="1"/>
  <c r="X624" i="4"/>
  <c r="Z678" i="4"/>
  <c r="AA678" i="4" s="1"/>
  <c r="X678" i="4"/>
  <c r="X772" i="4"/>
  <c r="Z772" i="4"/>
  <c r="AA772" i="4" s="1"/>
  <c r="Z963" i="4"/>
  <c r="AA963" i="4" s="1"/>
  <c r="X963" i="4"/>
  <c r="Z995" i="4"/>
  <c r="AA995" i="4" s="1"/>
  <c r="X995" i="4"/>
  <c r="Z865" i="4"/>
  <c r="AA865" i="4" s="1"/>
  <c r="X865" i="4"/>
  <c r="Z1011" i="4"/>
  <c r="AA1011" i="4" s="1"/>
  <c r="X1011" i="4"/>
  <c r="Z1052" i="4"/>
  <c r="AA1052" i="4" s="1"/>
  <c r="X1052" i="4"/>
  <c r="Z818" i="4"/>
  <c r="AA818" i="4" s="1"/>
  <c r="X818" i="4"/>
  <c r="Z837" i="4"/>
  <c r="AA837" i="4" s="1"/>
  <c r="X837" i="4"/>
  <c r="Z984" i="4"/>
  <c r="AA984" i="4" s="1"/>
  <c r="X984" i="4"/>
  <c r="Z1025" i="4"/>
  <c r="AA1025" i="4" s="1"/>
  <c r="X1025" i="4"/>
  <c r="Z1018" i="4"/>
  <c r="AA1018" i="4" s="1"/>
  <c r="X1018" i="4"/>
  <c r="Z1005" i="4"/>
  <c r="AA1005" i="4" s="1"/>
  <c r="X1005" i="4"/>
  <c r="Z1033" i="4"/>
  <c r="AA1033" i="4" s="1"/>
  <c r="X1033" i="4"/>
  <c r="Z830" i="4"/>
  <c r="AA830" i="4" s="1"/>
  <c r="X830" i="4"/>
  <c r="Z849" i="4"/>
  <c r="AA849" i="4" s="1"/>
  <c r="X849" i="4"/>
  <c r="Z1015" i="4"/>
  <c r="AA1015" i="4" s="1"/>
  <c r="X1015" i="4"/>
  <c r="Z1037" i="4"/>
  <c r="AA1037" i="4" s="1"/>
  <c r="X1037" i="4"/>
  <c r="Z640" i="4"/>
  <c r="AA640" i="4" s="1"/>
  <c r="X640" i="4"/>
  <c r="X630" i="4"/>
  <c r="Z630" i="4"/>
  <c r="AA630" i="4" s="1"/>
  <c r="Z644" i="4"/>
  <c r="AA644" i="4" s="1"/>
  <c r="X644" i="4"/>
  <c r="Z926" i="4"/>
  <c r="AA926" i="4" s="1"/>
  <c r="X926" i="4"/>
  <c r="X721" i="4"/>
  <c r="Z721" i="4"/>
  <c r="AA721" i="4" s="1"/>
  <c r="Z787" i="4"/>
  <c r="AA787" i="4" s="1"/>
  <c r="X787" i="4"/>
  <c r="Z718" i="4"/>
  <c r="AA718" i="4" s="1"/>
  <c r="X718" i="4"/>
  <c r="Z713" i="4"/>
  <c r="AA713" i="4" s="1"/>
  <c r="X713" i="4"/>
  <c r="X980" i="4"/>
  <c r="Z980" i="4"/>
  <c r="AA980" i="4" s="1"/>
  <c r="Z736" i="4"/>
  <c r="AA736" i="4" s="1"/>
  <c r="X736" i="4"/>
  <c r="Z884" i="4"/>
  <c r="AA884" i="4" s="1"/>
  <c r="X884" i="4"/>
  <c r="Z994" i="4"/>
  <c r="AA994" i="4" s="1"/>
  <c r="X994" i="4"/>
  <c r="Z1036" i="4"/>
  <c r="AA1036" i="4" s="1"/>
  <c r="X1036" i="4"/>
  <c r="Z682" i="4"/>
  <c r="AA682" i="4" s="1"/>
  <c r="X682" i="4"/>
  <c r="Z660" i="4"/>
  <c r="AA660" i="4" s="1"/>
  <c r="X660" i="4"/>
  <c r="Z561" i="4"/>
  <c r="AA561" i="4" s="1"/>
  <c r="X561" i="4"/>
  <c r="Z562" i="4"/>
  <c r="AA562" i="4" s="1"/>
  <c r="X562" i="4"/>
  <c r="Z933" i="4"/>
  <c r="AA933" i="4" s="1"/>
  <c r="X933" i="4"/>
  <c r="Z945" i="4"/>
  <c r="AA945" i="4" s="1"/>
  <c r="X945" i="4"/>
  <c r="Z596" i="4"/>
  <c r="AA596" i="4" s="1"/>
  <c r="X596" i="4"/>
  <c r="Z566" i="4"/>
  <c r="AA566" i="4" s="1"/>
  <c r="X566" i="4"/>
  <c r="Z827" i="4"/>
  <c r="AA827" i="4" s="1"/>
  <c r="X827" i="4"/>
  <c r="Z959" i="4"/>
  <c r="AA959" i="4" s="1"/>
  <c r="X959" i="4"/>
  <c r="Z657" i="4"/>
  <c r="AA657" i="4" s="1"/>
  <c r="X657" i="4"/>
  <c r="Z680" i="4"/>
  <c r="AA680" i="4" s="1"/>
  <c r="X680" i="4"/>
  <c r="Z628" i="4"/>
  <c r="AA628" i="4" s="1"/>
  <c r="X628" i="4"/>
  <c r="Z780" i="4"/>
  <c r="AA780" i="4" s="1"/>
  <c r="X780" i="4"/>
  <c r="X816" i="4"/>
  <c r="Z816" i="4"/>
  <c r="AA816" i="4" s="1"/>
  <c r="Z1034" i="4"/>
  <c r="AA1034" i="4" s="1"/>
  <c r="X1034" i="4"/>
  <c r="Z958" i="4"/>
  <c r="AA958" i="4" s="1"/>
  <c r="X958" i="4"/>
  <c r="Z585" i="4"/>
  <c r="AA585" i="4" s="1"/>
  <c r="X585" i="4"/>
  <c r="Z1008" i="4"/>
  <c r="AA1008" i="4" s="1"/>
  <c r="X1008" i="4"/>
  <c r="X953" i="4"/>
  <c r="Z953" i="4"/>
  <c r="AA953" i="4" s="1"/>
  <c r="Z663" i="4"/>
  <c r="AA663" i="4" s="1"/>
  <c r="X663" i="4"/>
  <c r="Z784" i="4"/>
  <c r="AA784" i="4" s="1"/>
  <c r="X784" i="4"/>
  <c r="Z557" i="4"/>
  <c r="AA557" i="4" s="1"/>
  <c r="X557" i="4"/>
  <c r="Z556" i="4"/>
  <c r="AA556" i="4" s="1"/>
  <c r="X556" i="4"/>
  <c r="Z610" i="4"/>
  <c r="AA610" i="4" s="1"/>
  <c r="X610" i="4"/>
  <c r="Z815" i="4"/>
  <c r="AA815" i="4" s="1"/>
  <c r="X815" i="4"/>
  <c r="Z782" i="4"/>
  <c r="AA782" i="4" s="1"/>
  <c r="X782" i="4"/>
  <c r="Z917" i="4"/>
  <c r="AA917" i="4" s="1"/>
  <c r="X917" i="4"/>
  <c r="Z599" i="4"/>
  <c r="AA599" i="4" s="1"/>
  <c r="X599" i="4"/>
  <c r="Z728" i="4"/>
  <c r="AA728" i="4" s="1"/>
  <c r="X728" i="4"/>
  <c r="Z615" i="4"/>
  <c r="AA615" i="4" s="1"/>
  <c r="X615" i="4"/>
  <c r="Z656" i="4"/>
  <c r="AA656" i="4" s="1"/>
  <c r="X656" i="4"/>
  <c r="Z785" i="4"/>
  <c r="AA785" i="4" s="1"/>
  <c r="X785" i="4"/>
  <c r="Z855" i="4"/>
  <c r="AA855" i="4" s="1"/>
  <c r="X855" i="4"/>
  <c r="Z871" i="4"/>
  <c r="AA871" i="4" s="1"/>
  <c r="X871" i="4"/>
  <c r="Z981" i="4"/>
  <c r="AA981" i="4" s="1"/>
  <c r="X981" i="4"/>
  <c r="Z897" i="4"/>
  <c r="AA897" i="4" s="1"/>
  <c r="X897" i="4"/>
  <c r="Z962" i="4"/>
  <c r="AA962" i="4" s="1"/>
  <c r="X962" i="4"/>
  <c r="Z1066" i="4"/>
  <c r="AA1066" i="4" s="1"/>
  <c r="X1066" i="4"/>
  <c r="X883" i="4"/>
  <c r="Z883" i="4"/>
  <c r="AA883" i="4" s="1"/>
  <c r="Z869" i="4"/>
  <c r="AA869" i="4" s="1"/>
  <c r="X869" i="4"/>
  <c r="Z1014" i="4"/>
  <c r="AA1014" i="4" s="1"/>
  <c r="X1014" i="4"/>
  <c r="X1057" i="4"/>
  <c r="Z1057" i="4"/>
  <c r="AA1057" i="4" s="1"/>
  <c r="X1010" i="4"/>
  <c r="Z1010" i="4"/>
  <c r="AA1010" i="4" s="1"/>
  <c r="Z1023" i="4"/>
  <c r="AA1023" i="4" s="1"/>
  <c r="X1023" i="4"/>
  <c r="Z1059" i="4"/>
  <c r="AA1059" i="4" s="1"/>
  <c r="X1059" i="4"/>
  <c r="Z907" i="4"/>
  <c r="AA907" i="4" s="1"/>
  <c r="X907" i="4"/>
  <c r="Z881" i="4"/>
  <c r="AA881" i="4" s="1"/>
  <c r="X881" i="4"/>
  <c r="Z1024" i="4"/>
  <c r="AA1024" i="4" s="1"/>
  <c r="X1024" i="4"/>
  <c r="Z1050" i="4"/>
  <c r="AA1050" i="4" s="1"/>
  <c r="X1050" i="4"/>
  <c r="X75" i="4" l="1"/>
  <c r="X126" i="4"/>
  <c r="Z356" i="4"/>
  <c r="AA356" i="4" s="1"/>
  <c r="X181" i="4"/>
  <c r="X111" i="4"/>
  <c r="X214" i="4"/>
  <c r="X117" i="4"/>
  <c r="X240" i="4"/>
  <c r="Z142" i="4"/>
  <c r="AA142" i="4" s="1"/>
  <c r="X286" i="4"/>
  <c r="X479" i="4"/>
  <c r="Z187" i="4"/>
  <c r="AA187" i="4" s="1"/>
  <c r="Z212" i="4"/>
  <c r="AA212" i="4" s="1"/>
  <c r="Z233" i="4"/>
  <c r="AA233" i="4" s="1"/>
  <c r="X372" i="4"/>
  <c r="Z451" i="4"/>
  <c r="AA451" i="4" s="1"/>
  <c r="Z133" i="4"/>
  <c r="AA133" i="4" s="1"/>
  <c r="X267" i="4"/>
  <c r="X223" i="4"/>
  <c r="X77" i="4"/>
  <c r="X505" i="4"/>
  <c r="X24" i="4"/>
  <c r="X199" i="4"/>
  <c r="Z56" i="4"/>
  <c r="AA56" i="4" s="1"/>
  <c r="Z290" i="4"/>
  <c r="AA290" i="4" s="1"/>
  <c r="Z308" i="4"/>
  <c r="AA308" i="4" s="1"/>
  <c r="Z316" i="4"/>
  <c r="AA316" i="4" s="1"/>
  <c r="X154" i="4"/>
  <c r="Z380" i="4"/>
  <c r="AA380" i="4" s="1"/>
  <c r="Z113" i="4"/>
  <c r="AA113" i="4" s="1"/>
  <c r="X51" i="4"/>
  <c r="X326" i="4"/>
  <c r="X398" i="4"/>
  <c r="X374" i="4"/>
  <c r="Z116" i="4"/>
  <c r="AA116" i="4" s="1"/>
  <c r="Z82" i="4"/>
  <c r="AA82" i="4" s="1"/>
  <c r="X216" i="4"/>
  <c r="X347" i="4"/>
  <c r="X318" i="4"/>
  <c r="X295" i="4"/>
  <c r="Z266" i="4"/>
  <c r="AA266" i="4" s="1"/>
  <c r="X494" i="4"/>
  <c r="X293" i="4"/>
  <c r="X345" i="4"/>
  <c r="X107" i="4"/>
  <c r="X182" i="4"/>
  <c r="Z338" i="4"/>
  <c r="AA338" i="4" s="1"/>
  <c r="X437" i="4"/>
  <c r="Z433" i="4"/>
  <c r="AA433" i="4" s="1"/>
  <c r="Z262" i="4"/>
  <c r="AA262" i="4" s="1"/>
  <c r="X378" i="4"/>
  <c r="Z80" i="4"/>
  <c r="AA80" i="4" s="1"/>
  <c r="X61" i="4"/>
  <c r="X517" i="4"/>
  <c r="X241" i="4"/>
  <c r="X92" i="4"/>
  <c r="Z230" i="4"/>
  <c r="AA230" i="4" s="1"/>
  <c r="X320" i="4"/>
  <c r="Z27" i="4"/>
  <c r="AA27" i="4" s="1"/>
  <c r="X513" i="4"/>
  <c r="Z210" i="4"/>
  <c r="AA210" i="4" s="1"/>
  <c r="X344" i="4"/>
  <c r="X125" i="4"/>
  <c r="Z417" i="4"/>
  <c r="AA417" i="4" s="1"/>
  <c r="Z365" i="4"/>
  <c r="AA365" i="4" s="1"/>
  <c r="Z518" i="4"/>
  <c r="AA518" i="4" s="1"/>
  <c r="X291" i="4"/>
  <c r="Z310" i="4"/>
  <c r="AA310" i="4" s="1"/>
  <c r="X129" i="4"/>
  <c r="X448" i="4"/>
  <c r="Z420" i="4"/>
  <c r="AA420" i="4" s="1"/>
  <c r="X57" i="4"/>
  <c r="X493" i="4"/>
  <c r="Z58" i="4"/>
  <c r="AA58" i="4" s="1"/>
  <c r="X259" i="4"/>
  <c r="X62" i="4"/>
  <c r="X452" i="4"/>
  <c r="X510" i="4"/>
  <c r="X367" i="4"/>
  <c r="X519" i="4"/>
  <c r="X472" i="4"/>
  <c r="X119" i="4"/>
  <c r="X530" i="4"/>
  <c r="Z156" i="4"/>
  <c r="AA156" i="4" s="1"/>
  <c r="X438" i="4"/>
  <c r="X152" i="4"/>
  <c r="X459" i="4"/>
  <c r="Z324" i="4"/>
  <c r="AA324" i="4" s="1"/>
  <c r="X521" i="4"/>
  <c r="Z445" i="4"/>
  <c r="AA445" i="4" s="1"/>
  <c r="Z399" i="4"/>
  <c r="AA399" i="4" s="1"/>
  <c r="Z192" i="4"/>
  <c r="AA192" i="4" s="1"/>
  <c r="X68" i="4"/>
  <c r="X70" i="4"/>
  <c r="X435" i="4"/>
  <c r="X40" i="4"/>
  <c r="Z342" i="4"/>
  <c r="AA342" i="4" s="1"/>
  <c r="X504" i="4"/>
  <c r="X402" i="4"/>
  <c r="X235" i="4"/>
  <c r="X106" i="4"/>
  <c r="Z428" i="4"/>
  <c r="AA428" i="4" s="1"/>
  <c r="X137" i="4"/>
  <c r="Z166" i="4"/>
  <c r="AA166" i="4" s="1"/>
  <c r="Z405" i="4"/>
  <c r="AA405" i="4" s="1"/>
  <c r="X364" i="4"/>
  <c r="X168" i="4"/>
  <c r="Z475" i="4"/>
  <c r="AA475" i="4" s="1"/>
  <c r="X473" i="4"/>
  <c r="Z443" i="4"/>
  <c r="AA443" i="4" s="1"/>
  <c r="X234" i="4"/>
  <c r="Z480" i="4"/>
  <c r="AA480" i="4" s="1"/>
  <c r="X32" i="4"/>
  <c r="X264" i="4"/>
  <c r="X429" i="4"/>
  <c r="Z315" i="4"/>
  <c r="AA315" i="4" s="1"/>
  <c r="Z209" i="4"/>
  <c r="AA209" i="4" s="1"/>
  <c r="Z45" i="4"/>
  <c r="AA45" i="4" s="1"/>
  <c r="Z53" i="4"/>
  <c r="AA53" i="4" s="1"/>
  <c r="Z466" i="4"/>
  <c r="AA466" i="4" s="1"/>
  <c r="X457" i="4"/>
  <c r="Z141" i="4"/>
  <c r="AA141" i="4" s="1"/>
  <c r="X335" i="4"/>
  <c r="Z228" i="4"/>
  <c r="AA228" i="4" s="1"/>
  <c r="X89" i="4"/>
  <c r="Z260" i="4"/>
  <c r="AA260" i="4" s="1"/>
  <c r="Z514" i="4"/>
  <c r="AA514" i="4" s="1"/>
  <c r="X483" i="4"/>
  <c r="Z311" i="4"/>
  <c r="AA311" i="4" s="1"/>
  <c r="X87" i="4"/>
  <c r="X127" i="4"/>
  <c r="Z194" i="4"/>
  <c r="AA194" i="4" s="1"/>
  <c r="Z204" i="4"/>
  <c r="AA204" i="4" s="1"/>
  <c r="X306" i="4"/>
  <c r="X251" i="4"/>
  <c r="X394" i="4"/>
  <c r="X488" i="4"/>
  <c r="Z507" i="4"/>
  <c r="AA507" i="4" s="1"/>
  <c r="X218" i="4"/>
  <c r="X217" i="4"/>
  <c r="X484" i="4"/>
  <c r="X456" i="4"/>
  <c r="X397" i="4"/>
  <c r="X321" i="4"/>
  <c r="Z90" i="4"/>
  <c r="AA90" i="4" s="1"/>
  <c r="Z453" i="4"/>
  <c r="AA453" i="4" s="1"/>
  <c r="Z132" i="4"/>
  <c r="AA132" i="4" s="1"/>
  <c r="X441" i="4"/>
  <c r="X490" i="4"/>
  <c r="X252" i="4"/>
  <c r="X55" i="4"/>
  <c r="X506" i="4"/>
  <c r="X357" i="4"/>
  <c r="Z393" i="4"/>
  <c r="AA393" i="4" s="1"/>
  <c r="X227" i="4"/>
  <c r="Z213" i="4"/>
  <c r="AA213" i="4" s="1"/>
  <c r="X99" i="4"/>
  <c r="Z348" i="4"/>
  <c r="AA348" i="4" s="1"/>
  <c r="X180" i="4"/>
  <c r="X502" i="4"/>
  <c r="X349" i="4"/>
  <c r="X283" i="4"/>
  <c r="X169" i="4"/>
  <c r="X244" i="4"/>
  <c r="X524" i="4"/>
  <c r="Z312" i="4"/>
  <c r="AA312" i="4" s="1"/>
  <c r="X162" i="4"/>
  <c r="Z343" i="4"/>
  <c r="AA343" i="4" s="1"/>
  <c r="Z334" i="4"/>
  <c r="AA334" i="4" s="1"/>
  <c r="X145" i="4"/>
  <c r="Z272" i="4"/>
  <c r="AA272" i="4" s="1"/>
  <c r="Z421" i="4"/>
  <c r="AA421" i="4" s="1"/>
  <c r="Z481" i="4"/>
  <c r="AA481" i="4" s="1"/>
  <c r="X446" i="4"/>
  <c r="X426" i="4"/>
  <c r="X522" i="4"/>
  <c r="X205" i="4"/>
  <c r="Z206" i="4"/>
  <c r="AA206" i="4" s="1"/>
  <c r="Z496" i="4"/>
  <c r="AA496" i="4" s="1"/>
  <c r="X163" i="4"/>
  <c r="Z314" i="4"/>
  <c r="AA314" i="4" s="1"/>
  <c r="X76" i="4"/>
  <c r="X400" i="4"/>
  <c r="X157" i="4"/>
  <c r="X477" i="4"/>
  <c r="X100" i="4"/>
  <c r="Z268" i="4"/>
  <c r="AA268" i="4" s="1"/>
  <c r="Z160" i="4"/>
  <c r="AA160" i="4" s="1"/>
  <c r="Z285" i="4"/>
  <c r="AA285" i="4" s="1"/>
  <c r="X339" i="4"/>
  <c r="X422" i="4"/>
  <c r="X474" i="4"/>
  <c r="X86" i="4"/>
  <c r="X165" i="4"/>
  <c r="Z164" i="4"/>
  <c r="AA164" i="4" s="1"/>
  <c r="X261" i="4"/>
  <c r="X124" i="4"/>
  <c r="Z26" i="4"/>
  <c r="AA26" i="4" s="1"/>
  <c r="X34" i="4"/>
  <c r="X425" i="4"/>
  <c r="Z309" i="4"/>
  <c r="AA309" i="4" s="1"/>
  <c r="Z155" i="4"/>
  <c r="AA155" i="4" s="1"/>
  <c r="Z302" i="4"/>
  <c r="AA302" i="4" s="1"/>
  <c r="X379" i="4"/>
  <c r="Z497" i="4"/>
  <c r="AA497" i="4" s="1"/>
  <c r="Z526" i="4"/>
  <c r="AA526" i="4" s="1"/>
  <c r="Z501" i="4"/>
  <c r="AA501" i="4" s="1"/>
  <c r="Z146" i="4"/>
  <c r="AA146" i="4" s="1"/>
  <c r="X134" i="4"/>
  <c r="Z340" i="4"/>
  <c r="AA340" i="4" s="1"/>
  <c r="Z297" i="4"/>
  <c r="AA297" i="4" s="1"/>
  <c r="X377" i="4"/>
  <c r="X59" i="4"/>
  <c r="Z79" i="4"/>
  <c r="AA79" i="4" s="1"/>
  <c r="X409" i="4"/>
  <c r="X415" i="4"/>
  <c r="X392" i="4"/>
  <c r="X366" i="4"/>
  <c r="X232" i="4"/>
  <c r="X273" i="4"/>
  <c r="X140" i="4"/>
  <c r="Z211" i="4"/>
  <c r="AA211" i="4" s="1"/>
  <c r="X385" i="4"/>
  <c r="X67" i="4"/>
  <c r="X84" i="4"/>
  <c r="X467" i="4"/>
  <c r="Z462" i="4"/>
  <c r="AA462" i="4" s="1"/>
  <c r="X96" i="4"/>
  <c r="Z442" i="4"/>
  <c r="AA442" i="4" s="1"/>
  <c r="X333" i="4"/>
  <c r="X281" i="4"/>
  <c r="Z54" i="4"/>
  <c r="AA54" i="4" s="1"/>
  <c r="Z144" i="4"/>
  <c r="AA144" i="4" s="1"/>
  <c r="X221" i="4"/>
  <c r="X46" i="4"/>
  <c r="X269" i="4"/>
  <c r="X323" i="4"/>
  <c r="X330" i="4"/>
  <c r="X329" i="4"/>
  <c r="X461" i="4"/>
  <c r="X449" i="4"/>
  <c r="Z47" i="4"/>
  <c r="AA47" i="4" s="1"/>
  <c r="Z122" i="4"/>
  <c r="AA122" i="4" s="1"/>
  <c r="X42" i="4"/>
  <c r="X523" i="4"/>
  <c r="X78" i="4"/>
  <c r="Z313" i="4"/>
  <c r="AA313" i="4" s="1"/>
  <c r="X463" i="4"/>
  <c r="X391" i="4"/>
  <c r="Z36" i="4"/>
  <c r="AA36" i="4" s="1"/>
  <c r="X174" i="4"/>
  <c r="X178" i="4"/>
  <c r="X20" i="4"/>
  <c r="X224" i="4"/>
  <c r="Z454" i="4"/>
  <c r="AA454" i="4" s="1"/>
  <c r="X274" i="4"/>
  <c r="X109" i="4"/>
  <c r="Z115" i="4"/>
  <c r="AA115" i="4" s="1"/>
  <c r="X444" i="4"/>
  <c r="X30" i="4"/>
  <c r="Z101" i="4"/>
  <c r="AA101" i="4" s="1"/>
  <c r="X246" i="4"/>
  <c r="X317" i="4"/>
  <c r="X186" i="4"/>
  <c r="X201" i="4"/>
  <c r="X35" i="4"/>
  <c r="Z465" i="4"/>
  <c r="AA465" i="4" s="1"/>
  <c r="Z376" i="4"/>
  <c r="AA376" i="4" s="1"/>
  <c r="X322" i="4"/>
  <c r="X363" i="4"/>
  <c r="X254" i="4"/>
  <c r="X88" i="4"/>
  <c r="X191" i="4"/>
  <c r="X292" i="4"/>
  <c r="X193" i="4"/>
  <c r="Z52" i="4"/>
  <c r="AA52" i="4" s="1"/>
  <c r="X386" i="4"/>
  <c r="X458" i="4"/>
  <c r="X369" i="4"/>
  <c r="Z434" i="4"/>
  <c r="AA434" i="4" s="1"/>
  <c r="Z492" i="4"/>
  <c r="AA492" i="4" s="1"/>
  <c r="X215" i="4"/>
  <c r="Z337" i="4"/>
  <c r="AA337" i="4" s="1"/>
  <c r="X167" i="4"/>
  <c r="X121" i="4"/>
  <c r="X289" i="4"/>
  <c r="X200" i="4"/>
  <c r="X489" i="4"/>
  <c r="X511" i="4"/>
  <c r="X256" i="4"/>
  <c r="X351" i="4"/>
  <c r="X332" i="4"/>
  <c r="Z491" i="4"/>
  <c r="AA491" i="4" s="1"/>
  <c r="Z439" i="4"/>
  <c r="AA439" i="4" s="1"/>
  <c r="X33" i="4"/>
  <c r="X208" i="4"/>
  <c r="X410" i="4"/>
  <c r="Z255" i="4"/>
  <c r="AA255" i="4" s="1"/>
  <c r="X97" i="4"/>
  <c r="Z258" i="4"/>
  <c r="AA258" i="4" s="1"/>
  <c r="X226" i="4"/>
  <c r="Z250" i="4"/>
  <c r="AA250" i="4" s="1"/>
  <c r="X301" i="4"/>
  <c r="X171" i="4"/>
  <c r="Z257" i="4"/>
  <c r="AA257" i="4" s="1"/>
  <c r="Z354" i="4"/>
  <c r="AA354" i="4" s="1"/>
  <c r="X382" i="4"/>
  <c r="X277" i="4"/>
  <c r="X173" i="4"/>
  <c r="X236" i="4"/>
  <c r="Z190" i="4"/>
  <c r="AA190" i="4" s="1"/>
  <c r="X485" i="4"/>
  <c r="X265" i="4"/>
  <c r="Z74" i="4"/>
  <c r="AA74" i="4" s="1"/>
  <c r="X130" i="4"/>
  <c r="X179" i="4"/>
  <c r="X135" i="4"/>
  <c r="X418" i="4"/>
  <c r="X38" i="4"/>
  <c r="X516" i="4"/>
  <c r="X447" i="4"/>
  <c r="Z98" i="4"/>
  <c r="AA98" i="4" s="1"/>
  <c r="X294" i="4"/>
  <c r="Z219" i="4"/>
  <c r="AA219" i="4" s="1"/>
  <c r="X28" i="4"/>
  <c r="X362" i="4"/>
  <c r="Z515" i="4"/>
  <c r="AA515" i="4" s="1"/>
  <c r="Z470" i="4"/>
  <c r="AA470" i="4" s="1"/>
  <c r="X202" i="4"/>
  <c r="X325" i="4"/>
  <c r="X455" i="4"/>
  <c r="X22" i="4"/>
  <c r="Z440" i="4"/>
  <c r="AA440" i="4" s="1"/>
  <c r="Z460" i="4"/>
  <c r="AA460" i="4" s="1"/>
  <c r="X460" i="4"/>
  <c r="X239" i="4"/>
  <c r="X189" i="4"/>
  <c r="Z383" i="4"/>
  <c r="AA383" i="4" s="1"/>
  <c r="X207" i="4"/>
  <c r="X196" i="4"/>
  <c r="X147" i="4"/>
  <c r="Z150" i="4"/>
  <c r="AA150" i="4" s="1"/>
  <c r="X509" i="4"/>
  <c r="Z253" i="4"/>
  <c r="AA253" i="4" s="1"/>
  <c r="Z184" i="4"/>
  <c r="AA184" i="4" s="1"/>
  <c r="X307" i="4"/>
  <c r="X486" i="4"/>
  <c r="Z102" i="4"/>
  <c r="AA102" i="4" s="1"/>
  <c r="X531" i="4"/>
  <c r="X300" i="4"/>
  <c r="X276" i="4"/>
  <c r="Z91" i="4"/>
  <c r="AA91" i="4" s="1"/>
  <c r="Z508" i="4"/>
  <c r="AA508" i="4" s="1"/>
  <c r="Z478" i="4"/>
  <c r="AA478" i="4" s="1"/>
  <c r="Z503" i="4"/>
  <c r="AA503" i="4" s="1"/>
  <c r="X341" i="4"/>
  <c r="Z31" i="4"/>
  <c r="AA31" i="4" s="1"/>
  <c r="X500" i="4"/>
  <c r="X23" i="4"/>
  <c r="Z110" i="4"/>
  <c r="AA110" i="4" s="1"/>
  <c r="X370" i="4"/>
  <c r="X360" i="4"/>
  <c r="X136" i="4"/>
  <c r="Z375" i="4"/>
  <c r="AA375" i="4" s="1"/>
  <c r="X512" i="4"/>
  <c r="Z131" i="4"/>
  <c r="AA131" i="4" s="1"/>
  <c r="Z423" i="4"/>
  <c r="AA423" i="4" s="1"/>
  <c r="X528" i="4"/>
  <c r="X94" i="4"/>
  <c r="X430" i="4"/>
  <c r="X229" i="4"/>
  <c r="X419" i="4"/>
  <c r="X270" i="4"/>
  <c r="X414" i="4"/>
  <c r="X416" i="4"/>
  <c r="X105" i="4"/>
  <c r="X50" i="4"/>
  <c r="X413" i="4"/>
  <c r="X197" i="4"/>
  <c r="X63" i="4"/>
  <c r="X158" i="4"/>
  <c r="X371" i="4"/>
  <c r="Z153" i="4"/>
  <c r="AA153" i="4" s="1"/>
  <c r="X282" i="4"/>
  <c r="Z525" i="4"/>
  <c r="AA525" i="4" s="1"/>
  <c r="X468" i="4"/>
  <c r="X220" i="4"/>
  <c r="Z104" i="4"/>
  <c r="AA104" i="4" s="1"/>
  <c r="X432" i="4"/>
  <c r="Z148" i="4"/>
  <c r="AA148" i="4" s="1"/>
  <c r="X373" i="4"/>
  <c r="X384" i="4"/>
  <c r="X149" i="4"/>
  <c r="Z368" i="4"/>
  <c r="AA368" i="4" s="1"/>
  <c r="Z85" i="4"/>
  <c r="AA85" i="4" s="1"/>
  <c r="X128" i="4"/>
  <c r="X108" i="4"/>
  <c r="Z238" i="4"/>
  <c r="AA238" i="4" s="1"/>
  <c r="X279" i="4"/>
  <c r="X271" i="4"/>
  <c r="X404" i="4"/>
  <c r="X64" i="4"/>
  <c r="Z69" i="4"/>
  <c r="AA69" i="4" s="1"/>
  <c r="X72" i="4"/>
  <c r="X482" i="4"/>
  <c r="X346" i="4"/>
  <c r="X43" i="4"/>
  <c r="Z185" i="4"/>
  <c r="AA185" i="4" s="1"/>
  <c r="X427" i="4"/>
  <c r="X298" i="4"/>
  <c r="Z71" i="4"/>
  <c r="AA71" i="4" s="1"/>
  <c r="Z44" i="4"/>
  <c r="AA44" i="4" s="1"/>
  <c r="X288" i="4"/>
  <c r="X299" i="4"/>
  <c r="Z387" i="4"/>
  <c r="AA387" i="4" s="1"/>
  <c r="X327" i="4"/>
  <c r="X358" i="4"/>
  <c r="X225" i="4"/>
  <c r="X29" i="4"/>
  <c r="X411" i="4"/>
  <c r="X60" i="4"/>
  <c r="Z471" i="4"/>
  <c r="AA471" i="4" s="1"/>
  <c r="X305" i="4"/>
  <c r="X143" i="4"/>
  <c r="X161" i="4"/>
  <c r="Z21" i="4"/>
  <c r="AA21" i="4" s="1"/>
  <c r="X243" i="4"/>
  <c r="Z495" i="4"/>
  <c r="AA495" i="4" s="1"/>
  <c r="X381" i="4"/>
  <c r="X469" i="4"/>
  <c r="X203" i="4"/>
  <c r="X222" i="4"/>
  <c r="X395" i="4"/>
  <c r="X151" i="4"/>
  <c r="Z355" i="4"/>
  <c r="AA355" i="4" s="1"/>
  <c r="Z245" i="4"/>
  <c r="AA245" i="4" s="1"/>
  <c r="X403" i="4"/>
  <c r="X336" i="4"/>
  <c r="Z390" i="4"/>
  <c r="AA390" i="4" s="1"/>
  <c r="X464" i="4"/>
  <c r="X303" i="4"/>
  <c r="X183" i="4"/>
  <c r="X304" i="4"/>
  <c r="X93" i="4"/>
  <c r="X249" i="4"/>
  <c r="X175" i="4"/>
  <c r="Z412" i="4"/>
  <c r="AA412" i="4" s="1"/>
  <c r="X498" i="4"/>
  <c r="Z83" i="4"/>
  <c r="AA83" i="4" s="1"/>
  <c r="Z520" i="4"/>
  <c r="AA520" i="4" s="1"/>
  <c r="X431" i="4"/>
  <c r="Z95" i="4"/>
  <c r="AA95" i="4" s="1"/>
  <c r="Z188" i="4"/>
  <c r="AA188" i="4" s="1"/>
  <c r="X247" i="4"/>
  <c r="X103" i="4"/>
  <c r="Z396" i="4"/>
  <c r="AA396" i="4" s="1"/>
  <c r="X296" i="4"/>
  <c r="X401" i="4"/>
  <c r="Z350" i="4"/>
  <c r="AA350" i="4" s="1"/>
  <c r="X450" i="4"/>
  <c r="X112" i="4"/>
  <c r="Z436" i="4"/>
  <c r="AA436" i="4" s="1"/>
  <c r="X436" i="4"/>
  <c r="X361" i="4"/>
  <c r="Z361" i="4"/>
  <c r="AA361" i="4" s="1"/>
  <c r="X319" i="4"/>
  <c r="X198" i="4"/>
  <c r="Z263" i="4"/>
  <c r="AA263" i="4" s="1"/>
  <c r="X66" i="4"/>
  <c r="X65" i="4"/>
  <c r="X120" i="4"/>
  <c r="X231" i="4"/>
  <c r="X177" i="4"/>
  <c r="Z177" i="4"/>
  <c r="AA177" i="4" s="1"/>
  <c r="Z123" i="4"/>
  <c r="AA123" i="4" s="1"/>
  <c r="Z406" i="4"/>
  <c r="AA406" i="4" s="1"/>
  <c r="X406" i="4"/>
  <c r="X81" i="4"/>
  <c r="X138" i="4"/>
  <c r="Z407" i="4"/>
  <c r="AA407" i="4" s="1"/>
  <c r="Z278" i="4"/>
  <c r="AA278" i="4" s="1"/>
  <c r="X278" i="4"/>
  <c r="X49" i="4"/>
  <c r="Z195" i="4"/>
  <c r="AA195" i="4" s="1"/>
  <c r="X499" i="4"/>
  <c r="X172" i="4"/>
  <c r="Z424" i="4"/>
  <c r="AA424" i="4" s="1"/>
  <c r="X424" i="4"/>
  <c r="Z114" i="4"/>
  <c r="AA114" i="4" s="1"/>
  <c r="X114" i="4"/>
  <c r="X176" i="4"/>
  <c r="Z176" i="4"/>
  <c r="AA176" i="4" s="1"/>
  <c r="X476" i="4"/>
  <c r="X275" i="4"/>
  <c r="X280" i="4"/>
  <c r="X237" i="4"/>
  <c r="Z39" i="4"/>
  <c r="AA39" i="4" s="1"/>
  <c r="X39" i="4"/>
  <c r="Z159" i="4"/>
  <c r="AA159" i="4" s="1"/>
  <c r="X159" i="4"/>
  <c r="X328" i="4"/>
  <c r="Z527" i="4"/>
  <c r="AA527" i="4" s="1"/>
  <c r="Z359" i="4"/>
  <c r="AA359" i="4" s="1"/>
  <c r="X359" i="4"/>
  <c r="X248" i="4"/>
  <c r="Z118" i="4"/>
  <c r="AA118" i="4" s="1"/>
  <c r="X118" i="4"/>
  <c r="Z287" i="4"/>
  <c r="AA287" i="4" s="1"/>
  <c r="X287" i="4"/>
  <c r="X284" i="4"/>
  <c r="Z388" i="4"/>
  <c r="AA388" i="4" s="1"/>
  <c r="Z408" i="4"/>
  <c r="AA408" i="4" s="1"/>
  <c r="X408" i="4"/>
  <c r="Z487" i="4"/>
  <c r="AA487" i="4" s="1"/>
  <c r="X487" i="4"/>
  <c r="Z529" i="4"/>
  <c r="AA529" i="4" s="1"/>
  <c r="X529" i="4"/>
  <c r="X25" i="4"/>
  <c r="X41" i="4"/>
  <c r="Z41" i="4"/>
  <c r="AA41" i="4" s="1"/>
  <c r="X331" i="4"/>
  <c r="Z37" i="4"/>
  <c r="AA37" i="4" s="1"/>
  <c r="X37" i="4"/>
  <c r="Z352" i="4"/>
  <c r="AA352" i="4" s="1"/>
  <c r="X352" i="4"/>
  <c r="X139" i="4"/>
  <c r="Z139" i="4"/>
  <c r="AA139" i="4" s="1"/>
  <c r="Z170" i="4"/>
  <c r="AA170" i="4" s="1"/>
  <c r="X170" i="4"/>
  <c r="AA1069" i="4"/>
  <c r="R3" i="4" s="1"/>
  <c r="E246" i="3" s="1"/>
  <c r="X1069" i="4"/>
  <c r="AA533" i="4" l="1"/>
  <c r="Q3" i="4" s="1"/>
  <c r="D246" i="3" s="1"/>
  <c r="B35" i="1" s="1"/>
  <c r="B45" i="2" s="1"/>
  <c r="B48" i="2" s="1"/>
  <c r="X533" i="4"/>
  <c r="C35" i="1"/>
  <c r="AB45" i="2" s="1"/>
  <c r="E249" i="3"/>
  <c r="D249" i="3" l="1"/>
  <c r="D250" i="3" s="1"/>
  <c r="B40" i="1" s="1"/>
  <c r="E250" i="3"/>
  <c r="C40" i="1" s="1"/>
  <c r="C37" i="1"/>
  <c r="B22" i="2" l="1"/>
  <c r="C41" i="1"/>
  <c r="B41" i="1"/>
  <c r="B37" i="1"/>
  <c r="AB22" i="2"/>
  <c r="B46" i="1"/>
  <c r="G39" i="2"/>
  <c r="G44" i="2" l="1"/>
  <c r="D33" i="3"/>
  <c r="Z44" i="2" l="1"/>
  <c r="I318" i="6"/>
  <c r="I319" i="6"/>
</calcChain>
</file>

<file path=xl/sharedStrings.xml><?xml version="1.0" encoding="utf-8"?>
<sst xmlns="http://schemas.openxmlformats.org/spreadsheetml/2006/main" count="2820" uniqueCount="887">
  <si>
    <t>Set 1</t>
  </si>
  <si>
    <t>Set 2</t>
  </si>
  <si>
    <t>Job Buffs</t>
  </si>
  <si>
    <t>Other Player Buffs</t>
  </si>
  <si>
    <t>Target</t>
  </si>
  <si>
    <t>NM iLvl 140 (Theorized)</t>
  </si>
  <si>
    <t>General</t>
  </si>
  <si>
    <t>Race</t>
  </si>
  <si>
    <t>Elvaan</t>
  </si>
  <si>
    <t>Main Job</t>
  </si>
  <si>
    <t>Mage</t>
  </si>
  <si>
    <t>Level</t>
  </si>
  <si>
    <t>Rune</t>
  </si>
  <si>
    <t>Haste II</t>
  </si>
  <si>
    <t>Defense</t>
  </si>
  <si>
    <t>Subjob</t>
  </si>
  <si>
    <t>Sam</t>
  </si>
  <si>
    <t>Rune Damage</t>
  </si>
  <si>
    <t>Final Def</t>
  </si>
  <si>
    <t>Food</t>
  </si>
  <si>
    <t>Pork Cutlet Rice Bowl</t>
  </si>
  <si>
    <t>Whm</t>
  </si>
  <si>
    <t>Evasion</t>
  </si>
  <si>
    <t>Support Job</t>
  </si>
  <si>
    <t>Enhancing Skill</t>
  </si>
  <si>
    <t>Final Eva</t>
  </si>
  <si>
    <t>Merits</t>
  </si>
  <si>
    <t>Berserk</t>
  </si>
  <si>
    <t>Boost-Str</t>
  </si>
  <si>
    <t>Vit</t>
  </si>
  <si>
    <t>Str</t>
  </si>
  <si>
    <t>Aggressor</t>
  </si>
  <si>
    <t>Agi</t>
  </si>
  <si>
    <t>Dex</t>
  </si>
  <si>
    <t>Hasso</t>
  </si>
  <si>
    <t>Smn</t>
  </si>
  <si>
    <t>Crit Def Bonus</t>
  </si>
  <si>
    <t>HP</t>
  </si>
  <si>
    <t>Meditate</t>
  </si>
  <si>
    <t>Summoning Skill</t>
  </si>
  <si>
    <t>Crit Rate Mod</t>
  </si>
  <si>
    <t>Crit</t>
  </si>
  <si>
    <t>Med. Over-time</t>
  </si>
  <si>
    <t>Ifrit Enfire</t>
  </si>
  <si>
    <t>Sword skill</t>
  </si>
  <si>
    <t>Haste Samba (5%)</t>
  </si>
  <si>
    <t>GS Skill</t>
  </si>
  <si>
    <t>Last Resort</t>
  </si>
  <si>
    <t>Sch</t>
  </si>
  <si>
    <t>Axe Skill</t>
  </si>
  <si>
    <t>Souleater</t>
  </si>
  <si>
    <t>None</t>
  </si>
  <si>
    <t>GA Skill</t>
  </si>
  <si>
    <t>Starting HP % (ws)</t>
  </si>
  <si>
    <t>Embrava</t>
  </si>
  <si>
    <t>Resolution</t>
  </si>
  <si>
    <t>Avg HP % (melee)</t>
  </si>
  <si>
    <t>Enspell</t>
  </si>
  <si>
    <t>Requiescat</t>
  </si>
  <si>
    <t>Adloquium</t>
  </si>
  <si>
    <t>Upheaval</t>
  </si>
  <si>
    <t>Ruinator</t>
  </si>
  <si>
    <t>Dnc</t>
  </si>
  <si>
    <t>Area Buffs</t>
  </si>
  <si>
    <t>Haste Samba (10%)</t>
  </si>
  <si>
    <t>Melee / Weaponskill</t>
  </si>
  <si>
    <t>Weapon Type</t>
  </si>
  <si>
    <t>Abyssea</t>
  </si>
  <si>
    <t>Brd</t>
  </si>
  <si>
    <t>Set 1 Bonus</t>
  </si>
  <si>
    <t>Set 1 Points</t>
  </si>
  <si>
    <t>Set 2 Bonus</t>
  </si>
  <si>
    <t>Set 2 Points</t>
  </si>
  <si>
    <t>Weaponskill</t>
  </si>
  <si>
    <t>Dimidiation</t>
  </si>
  <si>
    <t>In Abyssea?</t>
  </si>
  <si>
    <t>Honor March</t>
  </si>
  <si>
    <t>“+4”</t>
  </si>
  <si>
    <t>ODD (main weapon)</t>
  </si>
  <si>
    <t>Cruor Buff Value</t>
  </si>
  <si>
    <t>Victory March</t>
  </si>
  <si>
    <t>“+8”</t>
  </si>
  <si>
    <t>Mythic AM2</t>
  </si>
  <si>
    <t>Atma1</t>
  </si>
  <si>
    <t>Apocolypse</t>
  </si>
  <si>
    <t>Razed Ruin</t>
  </si>
  <si>
    <t>Advancing March</t>
  </si>
  <si>
    <t>AM2 TP</t>
  </si>
  <si>
    <t>Atma2</t>
  </si>
  <si>
    <t>V. Violet</t>
  </si>
  <si>
    <t>Minuet V</t>
  </si>
  <si>
    <t>Mythic AM3</t>
  </si>
  <si>
    <t>Atma3</t>
  </si>
  <si>
    <t>Griffon's Claw</t>
  </si>
  <si>
    <t>Minuet IV</t>
  </si>
  <si>
    <t>Blade Madrigal</t>
  </si>
  <si>
    <t>“+9”</t>
  </si>
  <si>
    <t>Results</t>
  </si>
  <si>
    <t>Voidwatch</t>
  </si>
  <si>
    <t>Sword Madrigal</t>
  </si>
  <si>
    <t>Melee damage per round</t>
  </si>
  <si>
    <t>Atmacite 1</t>
  </si>
  <si>
    <t>N/A</t>
  </si>
  <si>
    <t>Honor March (Haste)</t>
  </si>
  <si>
    <t>Melee DPS</t>
  </si>
  <si>
    <t>Atmacite 2</t>
  </si>
  <si>
    <t>Honor March (Att)</t>
  </si>
  <si>
    <t>Atmacite 3</t>
  </si>
  <si>
    <t>Honor March (Acc)</t>
  </si>
  <si>
    <t>Rounds/WS</t>
  </si>
  <si>
    <t>WS Dmg</t>
  </si>
  <si>
    <t>Stalwart's</t>
  </si>
  <si>
    <t>Cor</t>
  </si>
  <si>
    <t>Total Cycle Damage</t>
  </si>
  <si>
    <t>Adoulin</t>
  </si>
  <si>
    <t>Chaos Roll</t>
  </si>
  <si>
    <t>Att %</t>
  </si>
  <si>
    <t>Total Cycle Time</t>
  </si>
  <si>
    <t>Ionis</t>
  </si>
  <si>
    <t>Hunter's Roll</t>
  </si>
  <si>
    <t>Acc</t>
  </si>
  <si>
    <t>Fighter's Roll</t>
  </si>
  <si>
    <t>DA %</t>
  </si>
  <si>
    <t>Total DPS</t>
  </si>
  <si>
    <t>Rogue's Roll</t>
  </si>
  <si>
    <t>Crit %</t>
  </si>
  <si>
    <t>Day for fTP Bonus</t>
  </si>
  <si>
    <t>Sam Roll</t>
  </si>
  <si>
    <t>Store TP</t>
  </si>
  <si>
    <t>Tactician's Roll</t>
  </si>
  <si>
    <t>Regain</t>
  </si>
  <si>
    <t>Sample Last Resort split</t>
  </si>
  <si>
    <t>Total:</t>
  </si>
  <si>
    <t>TP Adjustments</t>
  </si>
  <si>
    <t>Miser's Roll</t>
  </si>
  <si>
    <t>Save TP</t>
  </si>
  <si>
    <t>Set Ratios</t>
  </si>
  <si>
    <t>Over-TP Rnds:</t>
  </si>
  <si>
    <t>Combined DPS</t>
  </si>
  <si>
    <t>Save TP:</t>
  </si>
  <si>
    <t>Minimum WS TP</t>
  </si>
  <si>
    <t>Other TP Gain/Loss</t>
  </si>
  <si>
    <t>Geo</t>
  </si>
  <si>
    <t>Indi Spell</t>
  </si>
  <si>
    <t>Geo Fury (+Att%)</t>
  </si>
  <si>
    <t>Geo Spell</t>
  </si>
  <si>
    <t>Geo Frailty (-Def%)</t>
  </si>
  <si>
    <t>Geomancy+</t>
  </si>
  <si>
    <t>“+10” (Idris)</t>
  </si>
  <si>
    <t>Melee (Set 1)</t>
  </si>
  <si>
    <t>Melee (Set 2)</t>
  </si>
  <si>
    <t>Slot</t>
  </si>
  <si>
    <t>Gear</t>
  </si>
  <si>
    <t>Int</t>
  </si>
  <si>
    <t>Mnd</t>
  </si>
  <si>
    <t>HPP</t>
  </si>
  <si>
    <t>Att</t>
  </si>
  <si>
    <t>Att%</t>
  </si>
  <si>
    <t>DA</t>
  </si>
  <si>
    <t>TA</t>
  </si>
  <si>
    <t>QA</t>
  </si>
  <si>
    <t>Zan</t>
  </si>
  <si>
    <t>C.Rate</t>
  </si>
  <si>
    <t>C.Dmg</t>
  </si>
  <si>
    <t>Haste</t>
  </si>
  <si>
    <t>DW</t>
  </si>
  <si>
    <t>STP</t>
  </si>
  <si>
    <t>GreatSword</t>
  </si>
  <si>
    <t>Epeolatry  III (R15)</t>
  </si>
  <si>
    <t>Zantetsuken X</t>
  </si>
  <si>
    <t>Grip</t>
  </si>
  <si>
    <t>Utu Grip</t>
  </si>
  <si>
    <t>Ammo</t>
  </si>
  <si>
    <t>Aurgelmir Orb +1</t>
  </si>
  <si>
    <t>Staunch +1</t>
  </si>
  <si>
    <t>Head</t>
  </si>
  <si>
    <t>Futhark +3</t>
  </si>
  <si>
    <t>Neck</t>
  </si>
  <si>
    <t>Futhark +2</t>
  </si>
  <si>
    <t>Earring</t>
  </si>
  <si>
    <t xml:space="preserve">Ishvara </t>
  </si>
  <si>
    <t>Brutal</t>
  </si>
  <si>
    <t>Telos</t>
  </si>
  <si>
    <t>Sherida</t>
  </si>
  <si>
    <t>Body</t>
  </si>
  <si>
    <t>Ashera</t>
  </si>
  <si>
    <t>Hands</t>
  </si>
  <si>
    <t>Turms +1</t>
  </si>
  <si>
    <t>Ring</t>
  </si>
  <si>
    <t>Moonlight</t>
  </si>
  <si>
    <t>Back</t>
  </si>
  <si>
    <t>Ogma's cape (It’s probably this one)</t>
  </si>
  <si>
    <t>Waist</t>
  </si>
  <si>
    <t>Ioskeha +1</t>
  </si>
  <si>
    <t>Legs</t>
  </si>
  <si>
    <t>Runeist +3</t>
  </si>
  <si>
    <t>Meghanada +2</t>
  </si>
  <si>
    <t>Feet</t>
  </si>
  <si>
    <t>Herculean (TA)</t>
  </si>
  <si>
    <t>Set Bonus</t>
  </si>
  <si>
    <t>Custom</t>
  </si>
  <si>
    <t>Total</t>
  </si>
  <si>
    <t>Set DPS:</t>
  </si>
  <si>
    <t>WS (Set 1)</t>
  </si>
  <si>
    <t>WS (Set 2)</t>
  </si>
  <si>
    <t>TP Bonus</t>
  </si>
  <si>
    <t>CTP</t>
  </si>
  <si>
    <t>WSD</t>
  </si>
  <si>
    <t>fTP</t>
  </si>
  <si>
    <t>Knobkierrie</t>
  </si>
  <si>
    <t>Lustratio +1 (Path D)</t>
  </si>
  <si>
    <t>Moonshade Att+TP</t>
  </si>
  <si>
    <t>Adhemar +1 (Path B)</t>
  </si>
  <si>
    <t>Ayanmo +2</t>
  </si>
  <si>
    <t>Karieyh +1 (WS)</t>
  </si>
  <si>
    <t>Ramuh +1</t>
  </si>
  <si>
    <t xml:space="preserve">Epaminondas's </t>
  </si>
  <si>
    <t>Windbuffet +1</t>
  </si>
  <si>
    <t>Ele.Belt</t>
  </si>
  <si>
    <t>Lustratio +1 (Path B)</t>
  </si>
  <si>
    <t>WS Dmg:</t>
  </si>
  <si>
    <t>Rounds/WS:</t>
  </si>
  <si>
    <t>Run</t>
  </si>
  <si>
    <t>Base+M</t>
  </si>
  <si>
    <t>Cruor 1</t>
  </si>
  <si>
    <t>Cruor 2</t>
  </si>
  <si>
    <t>Atma 1</t>
  </si>
  <si>
    <t>Atma 2</t>
  </si>
  <si>
    <t>Total 1</t>
  </si>
  <si>
    <t>Total 2</t>
  </si>
  <si>
    <t>Def Down %</t>
  </si>
  <si>
    <t>Def Down</t>
  </si>
  <si>
    <t>Geomancy Def Down</t>
  </si>
  <si>
    <t>Geo Torpor (-Eva)</t>
  </si>
  <si>
    <t>Mult.</t>
  </si>
  <si>
    <t>Cap</t>
  </si>
  <si>
    <t>Add</t>
  </si>
  <si>
    <t>DW Trait:</t>
  </si>
  <si>
    <t>Att Bonus</t>
  </si>
  <si>
    <t>Acc Bonus</t>
  </si>
  <si>
    <t>Atmas (1)</t>
  </si>
  <si>
    <t>Atmas (2)</t>
  </si>
  <si>
    <t>Job</t>
  </si>
  <si>
    <t>Wpn Type</t>
  </si>
  <si>
    <t>Wpn Skill</t>
  </si>
  <si>
    <t>Zanshin</t>
  </si>
  <si>
    <t>&gt;&gt;</t>
  </si>
  <si>
    <t>Wpn 1 Dmg</t>
  </si>
  <si>
    <t>Crit Rate</t>
  </si>
  <si>
    <t>Wpn 1 Dly</t>
  </si>
  <si>
    <t>Crit Dmg</t>
  </si>
  <si>
    <t>Skill</t>
  </si>
  <si>
    <t>WSDmg</t>
  </si>
  <si>
    <t>Food STP</t>
  </si>
  <si>
    <t>Wpn 2 Dmg</t>
  </si>
  <si>
    <t>Wpn 2 Dly</t>
  </si>
  <si>
    <t>ODD</t>
  </si>
  <si>
    <t>Is DW?</t>
  </si>
  <si>
    <t>Stat</t>
  </si>
  <si>
    <t>TPSet1</t>
  </si>
  <si>
    <t>TPSet2</t>
  </si>
  <si>
    <t>WSSet1</t>
  </si>
  <si>
    <t>WSSet2</t>
  </si>
  <si>
    <t>Boost Potency</t>
  </si>
  <si>
    <t>dStr</t>
  </si>
  <si>
    <t>Lambda</t>
  </si>
  <si>
    <t>AM2</t>
  </si>
  <si>
    <t>TP</t>
  </si>
  <si>
    <t>Songs</t>
  </si>
  <si>
    <t>Ionis Att</t>
  </si>
  <si>
    <t>Mythic Level</t>
  </si>
  <si>
    <t>Precision (+Acc)</t>
  </si>
  <si>
    <t>Ionis Acc</t>
  </si>
  <si>
    <t>Stalwart's (acc)</t>
  </si>
  <si>
    <t>Souleater Acc</t>
  </si>
  <si>
    <t>Hasso Acc</t>
  </si>
  <si>
    <t>Subtotal HP</t>
  </si>
  <si>
    <t>Food HPP</t>
  </si>
  <si>
    <t>Food HPP Cap</t>
  </si>
  <si>
    <t>Food HP</t>
  </si>
  <si>
    <t>Total HP</t>
  </si>
  <si>
    <t>Mob Def</t>
  </si>
  <si>
    <t>Hand 1</t>
  </si>
  <si>
    <t>Str Att</t>
  </si>
  <si>
    <t>Dex Acc</t>
  </si>
  <si>
    <t>Base Att</t>
  </si>
  <si>
    <t>Base Acc</t>
  </si>
  <si>
    <t>Food Att</t>
  </si>
  <si>
    <t>Food Acc</t>
  </si>
  <si>
    <t>Chaos</t>
  </si>
  <si>
    <t>Stalwart's (att)</t>
  </si>
  <si>
    <t>Geomancy +</t>
  </si>
  <si>
    <t>WS Att Bonus</t>
  </si>
  <si>
    <t>cRatio</t>
  </si>
  <si>
    <t>pDif (non-crit)</t>
  </si>
  <si>
    <t>wRatio</t>
  </si>
  <si>
    <t>Min 1</t>
  </si>
  <si>
    <t>Min Limit</t>
  </si>
  <si>
    <t>Min</t>
  </si>
  <si>
    <t>Cap Min</t>
  </si>
  <si>
    <t>Max 1</t>
  </si>
  <si>
    <t>Max Limit</t>
  </si>
  <si>
    <t>Max</t>
  </si>
  <si>
    <t>Cap Max</t>
  </si>
  <si>
    <t>Full Range</t>
  </si>
  <si>
    <t>Cap Range</t>
  </si>
  <si>
    <t>Low Cap %</t>
  </si>
  <si>
    <t>High Cap %</t>
  </si>
  <si>
    <t>Spike %</t>
  </si>
  <si>
    <t>Avg non-crit pDif</t>
  </si>
  <si>
    <t>pDif (crit)</t>
  </si>
  <si>
    <t>Avg crit pDif</t>
  </si>
  <si>
    <t>Raw Hit Rate</t>
  </si>
  <si>
    <t>Hit Rate</t>
  </si>
  <si>
    <t>Zanshin Hit Rate</t>
  </si>
  <si>
    <t>D Rating</t>
  </si>
  <si>
    <t>WRank</t>
  </si>
  <si>
    <t>fStr</t>
  </si>
  <si>
    <t>Damage</t>
  </si>
  <si>
    <t>Hand 2</t>
  </si>
  <si>
    <t>Other modifiers</t>
  </si>
  <si>
    <t>Base Delay</t>
  </si>
  <si>
    <t>Delay Reduction</t>
  </si>
  <si>
    <t>Delay per Weap</t>
  </si>
  <si>
    <t>Base TP/Hit</t>
  </si>
  <si>
    <t>TP/Hit</t>
  </si>
  <si>
    <t>dDex</t>
  </si>
  <si>
    <t>Dex Crit</t>
  </si>
  <si>
    <t>Ionis Crit</t>
  </si>
  <si>
    <t>Enhance SE</t>
  </si>
  <si>
    <t>Souleater %</t>
  </si>
  <si>
    <t>HP %</t>
  </si>
  <si>
    <t>SE Dmg/Hit</t>
  </si>
  <si>
    <t>TP Set 1</t>
  </si>
  <si>
    <t>TP Set 2</t>
  </si>
  <si>
    <t>WS Set 1</t>
  </si>
  <si>
    <t>WS Set 2</t>
  </si>
  <si>
    <t>Rune Dmg</t>
  </si>
  <si>
    <t>Ifrit Enspell Dmg</t>
  </si>
  <si>
    <t>Sch Enspell Dmg</t>
  </si>
  <si>
    <t>Enspell Dmg</t>
  </si>
  <si>
    <t>Hits/Rnd W1</t>
  </si>
  <si>
    <t>Hits/Rnd W2</t>
  </si>
  <si>
    <t>Avg W1</t>
  </si>
  <si>
    <t>AE W1</t>
  </si>
  <si>
    <t>Avg W2</t>
  </si>
  <si>
    <t>AE W2</t>
  </si>
  <si>
    <t>Relic Level</t>
  </si>
  <si>
    <t>Relic Dmg/Rnd</t>
  </si>
  <si>
    <t>ODD Dmg/Rnd</t>
  </si>
  <si>
    <t>DA Hits 1</t>
  </si>
  <si>
    <t>DA Hits 2</t>
  </si>
  <si>
    <t>DA Dmg/Rnd</t>
  </si>
  <si>
    <t>Avg Rnd</t>
  </si>
  <si>
    <t>Weaponskill Bonuses</t>
  </si>
  <si>
    <t>Ground Strike</t>
  </si>
  <si>
    <t>Steel Cyclone</t>
  </si>
  <si>
    <t>Savage Blade</t>
  </si>
  <si>
    <t>Decimation</t>
  </si>
  <si>
    <t>Epeolatry III R15</t>
  </si>
  <si>
    <t>Rounds</t>
  </si>
  <si>
    <t>Lionheart R15</t>
  </si>
  <si>
    <t>Geo Haste</t>
  </si>
  <si>
    <t>Nandaka</t>
  </si>
  <si>
    <t>Magic Haste</t>
  </si>
  <si>
    <t>Lycurgos</t>
  </si>
  <si>
    <t>JA Haste</t>
  </si>
  <si>
    <t>Naegling</t>
  </si>
  <si>
    <t>Gear Haste</t>
  </si>
  <si>
    <t>Dolichenus</t>
  </si>
  <si>
    <t>Total Haste</t>
  </si>
  <si>
    <t>Nom. Delay</t>
  </si>
  <si>
    <t>Min Delay</t>
  </si>
  <si>
    <t>Delay/Round</t>
  </si>
  <si>
    <t>Category DPS</t>
  </si>
  <si>
    <t>DREAM Bonus</t>
  </si>
  <si>
    <t>Regain Amt</t>
  </si>
  <si>
    <t>Base TP Rnds</t>
  </si>
  <si>
    <t>Base TP Time</t>
  </si>
  <si>
    <t>Total Damage</t>
  </si>
  <si>
    <t>Set1</t>
  </si>
  <si>
    <t>WS 1</t>
  </si>
  <si>
    <t>WS 2</t>
  </si>
  <si>
    <t>Rnds</t>
  </si>
  <si>
    <t>Melee TP/Hit:</t>
  </si>
  <si>
    <t>DA:</t>
  </si>
  <si>
    <t>WS</t>
  </si>
  <si>
    <t>WS TP/Hit:</t>
  </si>
  <si>
    <t>TA:</t>
  </si>
  <si>
    <t>Utu Bonus</t>
  </si>
  <si>
    <t>WS Store TP:</t>
  </si>
  <si>
    <t>QA:</t>
  </si>
  <si>
    <t>WSC:</t>
  </si>
  <si>
    <t>WS TP/add. Hit:</t>
  </si>
  <si>
    <t>AM3</t>
  </si>
  <si>
    <t>fTP:</t>
  </si>
  <si>
    <t>Def Ignored:</t>
  </si>
  <si>
    <t>WS Hit rate:</t>
  </si>
  <si>
    <t>AM3-2</t>
  </si>
  <si>
    <t>+fTP:</t>
  </si>
  <si>
    <t>AM3-3</t>
  </si>
  <si>
    <t>Avg TP:</t>
  </si>
  <si>
    <t>Avg fTP:</t>
  </si>
  <si>
    <t>Extra hits:</t>
  </si>
  <si>
    <t>WS Crit%:</t>
  </si>
  <si>
    <t>Over-TP:</t>
  </si>
  <si>
    <t>Offhand:</t>
  </si>
  <si>
    <t>Conserve TP:</t>
  </si>
  <si>
    <t>D</t>
  </si>
  <si>
    <t>Crit%:</t>
  </si>
  <si>
    <t>First</t>
  </si>
  <si>
    <t>Min TP:</t>
  </si>
  <si>
    <t>Main</t>
  </si>
  <si>
    <t>WSDmg:</t>
  </si>
  <si>
    <t>AddMain</t>
  </si>
  <si>
    <t>Off</t>
  </si>
  <si>
    <t>Avg pDif 1:</t>
  </si>
  <si>
    <t>Regain:</t>
  </si>
  <si>
    <t>Avg pDif 2:</t>
  </si>
  <si>
    <t>Extra 1</t>
  </si>
  <si>
    <t>Extra 2</t>
  </si>
  <si>
    <t>Swings</t>
  </si>
  <si>
    <t>+Swings</t>
  </si>
  <si>
    <t>Real Ex1</t>
  </si>
  <si>
    <t>P(extra)</t>
  </si>
  <si>
    <t>Main hit</t>
  </si>
  <si>
    <t>Off hit</t>
  </si>
  <si>
    <t>Add hit</t>
  </si>
  <si>
    <t>P(hits)</t>
  </si>
  <si>
    <t>P(ws)</t>
  </si>
  <si>
    <t>TP&gt;Ready</t>
  </si>
  <si>
    <t>Hits&gt;Ready</t>
  </si>
  <si>
    <t>CTP1</t>
  </si>
  <si>
    <t>CTP2</t>
  </si>
  <si>
    <t>CTP Rnd</t>
  </si>
  <si>
    <t>A.Rnds</t>
  </si>
  <si>
    <t>P(rnds)</t>
  </si>
  <si>
    <t>Next TP</t>
  </si>
  <si>
    <t>P(tp)</t>
  </si>
  <si>
    <t>Dmg</t>
  </si>
  <si>
    <t>P(dmg)</t>
  </si>
  <si>
    <t>SE Dmg</t>
  </si>
  <si>
    <t>Ttl Dmg</t>
  </si>
  <si>
    <t>P(SE Dmg)</t>
  </si>
  <si>
    <t>Sum P:</t>
  </si>
  <si>
    <t>Avg Rnd:</t>
  </si>
  <si>
    <t>Avg Dmg:</t>
  </si>
  <si>
    <t>Avg SE:</t>
  </si>
  <si>
    <t>Set2</t>
  </si>
  <si>
    <t>WSD:</t>
  </si>
  <si>
    <t>Melee Hit rate:</t>
  </si>
  <si>
    <t>Avg rounds</t>
  </si>
  <si>
    <t>Probability</t>
  </si>
  <si>
    <t>KA:</t>
  </si>
  <si>
    <t>OAx (1)</t>
  </si>
  <si>
    <t>OA2</t>
  </si>
  <si>
    <t>OA3</t>
  </si>
  <si>
    <t>OA4</t>
  </si>
  <si>
    <t>Hits remaining</t>
  </si>
  <si>
    <t>OA5</t>
  </si>
  <si>
    <t>OA6</t>
  </si>
  <si>
    <t>OA7</t>
  </si>
  <si>
    <t>OA8</t>
  </si>
  <si>
    <t>Sum:</t>
  </si>
  <si>
    <t>Offhand hit rate</t>
  </si>
  <si>
    <t>Avg:</t>
  </si>
  <si>
    <t>OAx (2)</t>
  </si>
  <si>
    <t>Offhand</t>
  </si>
  <si>
    <t>Zanshin Rate</t>
  </si>
  <si>
    <t>Combined</t>
  </si>
  <si>
    <t>Swings:</t>
  </si>
  <si>
    <t>Prob:</t>
  </si>
  <si>
    <t>Hits</t>
  </si>
  <si>
    <t>Used HP</t>
  </si>
  <si>
    <t>Remain HP</t>
  </si>
  <si>
    <t>Sum Dmg</t>
  </si>
  <si>
    <t>% Dmg</t>
  </si>
  <si>
    <t>SSkill</t>
  </si>
  <si>
    <t>GSkill</t>
  </si>
  <si>
    <t>GASkill</t>
  </si>
  <si>
    <t>ASkill</t>
  </si>
  <si>
    <t>CombatSkill</t>
  </si>
  <si>
    <t>Chr</t>
  </si>
  <si>
    <t>R.Acc</t>
  </si>
  <si>
    <t>R.Att</t>
  </si>
  <si>
    <t>M.Acc</t>
  </si>
  <si>
    <t>MAB</t>
  </si>
  <si>
    <t>MDmg</t>
  </si>
  <si>
    <t>KA</t>
  </si>
  <si>
    <t>DfTP</t>
  </si>
  <si>
    <t>2HDly</t>
  </si>
  <si>
    <t>Dly</t>
  </si>
  <si>
    <t>OAx</t>
  </si>
  <si>
    <t>AE Dmg</t>
  </si>
  <si>
    <t>GreatSwords</t>
  </si>
  <si>
    <t>Lionheart</t>
  </si>
  <si>
    <t>Epeolatry I</t>
  </si>
  <si>
    <t>Epeolatry III</t>
  </si>
  <si>
    <t>Aettir</t>
  </si>
  <si>
    <t>Aettir R15</t>
  </si>
  <si>
    <t>Montante +1</t>
  </si>
  <si>
    <t>Morgelai R15</t>
  </si>
  <si>
    <t>Peord Claymore R10</t>
  </si>
  <si>
    <t>GreatAxes</t>
  </si>
  <si>
    <t>Swords</t>
  </si>
  <si>
    <t>Axes</t>
  </si>
  <si>
    <t>Bloodrain</t>
  </si>
  <si>
    <t>Claymore Grip</t>
  </si>
  <si>
    <t>Dilettante's +1</t>
  </si>
  <si>
    <t>Duplus Grip</t>
  </si>
  <si>
    <t>Lentus Grip</t>
  </si>
  <si>
    <t>Pole Grip</t>
  </si>
  <si>
    <t>Sword Strap</t>
  </si>
  <si>
    <t>Tardus Grip</t>
  </si>
  <si>
    <t>Uther's Grip</t>
  </si>
  <si>
    <t>Brigantia</t>
  </si>
  <si>
    <t>C. Palug Stone</t>
  </si>
  <si>
    <t>Cheruski Needle</t>
  </si>
  <si>
    <t>Fracas Grenade</t>
  </si>
  <si>
    <t>Ginsen</t>
  </si>
  <si>
    <t>Hasty Pinion +1</t>
  </si>
  <si>
    <t>Honed Tathlum</t>
  </si>
  <si>
    <t>Jukukik Feather</t>
  </si>
  <si>
    <t>Ombre Tathlum +1</t>
  </si>
  <si>
    <t>Oneiros Cluster</t>
  </si>
  <si>
    <t>Qirmiz</t>
  </si>
  <si>
    <t>Thew Bomblet</t>
  </si>
  <si>
    <t>Voluspa Tathlum</t>
  </si>
  <si>
    <t>Yamarang</t>
  </si>
  <si>
    <t>Yetshila +1</t>
  </si>
  <si>
    <t>Erilaz +1</t>
  </si>
  <si>
    <t>Carmine +1</t>
  </si>
  <si>
    <t>Carmine +1 (Path A)</t>
  </si>
  <si>
    <t>Carmine +1 (Path B)</t>
  </si>
  <si>
    <t>Carmine +1 (Path D)</t>
  </si>
  <si>
    <t>Lustratio +1</t>
  </si>
  <si>
    <t>Lustratio +1 (Path A)</t>
  </si>
  <si>
    <t>Lustratio +1 (Path C)</t>
  </si>
  <si>
    <t>Adhemar +1</t>
  </si>
  <si>
    <t>Adhemar +1 (Path A)</t>
  </si>
  <si>
    <t>Herculean</t>
  </si>
  <si>
    <t>Herculean (STP)</t>
  </si>
  <si>
    <t>Herculean (WSD)</t>
  </si>
  <si>
    <t>Aife</t>
  </si>
  <si>
    <t>Almah</t>
  </si>
  <si>
    <t>Asperity</t>
  </si>
  <si>
    <t>Calcitrant</t>
  </si>
  <si>
    <t>Caro</t>
  </si>
  <si>
    <t>Chivalrous</t>
  </si>
  <si>
    <t>Ej Necklace +1</t>
  </si>
  <si>
    <t>Gaudryi</t>
  </si>
  <si>
    <t>Houyi</t>
  </si>
  <si>
    <t>Iqabi</t>
  </si>
  <si>
    <t>Ire +1</t>
  </si>
  <si>
    <t>Justiciar</t>
  </si>
  <si>
    <t>Lacono +1</t>
  </si>
  <si>
    <t>Nefarious +1</t>
  </si>
  <si>
    <t>Ocachi</t>
  </si>
  <si>
    <t>PCC</t>
  </si>
  <si>
    <t>Portus</t>
  </si>
  <si>
    <t>Rancor Max</t>
  </si>
  <si>
    <t>Shifting +1</t>
  </si>
  <si>
    <t>Tjukurrpa</t>
  </si>
  <si>
    <t>Tlamiztli</t>
  </si>
  <si>
    <t>Earrings</t>
  </si>
  <si>
    <t>Aesir</t>
  </si>
  <si>
    <t>Balder +1 (Right)</t>
  </si>
  <si>
    <t>Bladeborn</t>
  </si>
  <si>
    <t>Cessance</t>
  </si>
  <si>
    <t>Coral</t>
  </si>
  <si>
    <t>Dudgeon</t>
  </si>
  <si>
    <t>Ethereal</t>
  </si>
  <si>
    <t>Ghillie +1</t>
  </si>
  <si>
    <t>Heartseeker</t>
  </si>
  <si>
    <t>Hollow</t>
  </si>
  <si>
    <t>Kemas</t>
  </si>
  <si>
    <t>Kuwunga (latent)</t>
  </si>
  <si>
    <t>Mache +1</t>
  </si>
  <si>
    <t>Merman</t>
  </si>
  <si>
    <t>Minuet</t>
  </si>
  <si>
    <t>Moonshade Ac+TP</t>
  </si>
  <si>
    <t>Odr</t>
  </si>
  <si>
    <t>Steelflash</t>
  </si>
  <si>
    <t>Tati +1</t>
  </si>
  <si>
    <t>Tripudio</t>
  </si>
  <si>
    <t>Triumph</t>
  </si>
  <si>
    <t>Trux</t>
  </si>
  <si>
    <t>Vulcan</t>
  </si>
  <si>
    <t>Vulcan Pearl</t>
  </si>
  <si>
    <t>Zennaroi</t>
  </si>
  <si>
    <t>Rings</t>
  </si>
  <si>
    <t>Arvina +1</t>
  </si>
  <si>
    <t>Ayanmo</t>
  </si>
  <si>
    <t>Beeline</t>
  </si>
  <si>
    <t>Candent</t>
  </si>
  <si>
    <t>Carbuncle +1</t>
  </si>
  <si>
    <t>Cho'j</t>
  </si>
  <si>
    <t>Defending</t>
  </si>
  <si>
    <t>Ecphoria</t>
  </si>
  <si>
    <t>Enlivened</t>
  </si>
  <si>
    <t>Epona</t>
  </si>
  <si>
    <t>Excelsis</t>
  </si>
  <si>
    <t>Fenrir +1</t>
  </si>
  <si>
    <t>Flame</t>
  </si>
  <si>
    <t>Garuda +1</t>
  </si>
  <si>
    <t>Hoard</t>
  </si>
  <si>
    <t>Icesoul</t>
  </si>
  <si>
    <t>Ifrit +1</t>
  </si>
  <si>
    <t>Ilabrat</t>
  </si>
  <si>
    <t>K'ayres</t>
  </si>
  <si>
    <t>Kusha's</t>
  </si>
  <si>
    <t>Lava's</t>
  </si>
  <si>
    <t>Leviathan +1</t>
  </si>
  <si>
    <t>Meridian</t>
  </si>
  <si>
    <t>Niqmaddu</t>
  </si>
  <si>
    <t>Patricius</t>
  </si>
  <si>
    <t>Petrov</t>
  </si>
  <si>
    <t>Pyrosoul</t>
  </si>
  <si>
    <t>Rajas</t>
  </si>
  <si>
    <t>Ruby</t>
  </si>
  <si>
    <t>Shiva</t>
  </si>
  <si>
    <t>Shiva +1</t>
  </si>
  <si>
    <t>Sljor</t>
  </si>
  <si>
    <t>Sniper</t>
  </si>
  <si>
    <t>Spiral</t>
  </si>
  <si>
    <t>Stormsoul</t>
  </si>
  <si>
    <t>Strigoi</t>
  </si>
  <si>
    <t>Thundersoul</t>
  </si>
  <si>
    <t>Titan +1</t>
  </si>
  <si>
    <t>Toreador</t>
  </si>
  <si>
    <t>Tyrant</t>
  </si>
  <si>
    <t>Ulthalam</t>
  </si>
  <si>
    <t>Vehemence</t>
  </si>
  <si>
    <t>Yacuruna +1</t>
  </si>
  <si>
    <t>Anguinus</t>
  </si>
  <si>
    <t>Beir +1</t>
  </si>
  <si>
    <t>Cascade</t>
  </si>
  <si>
    <t>Caudata</t>
  </si>
  <si>
    <t>Cetl</t>
  </si>
  <si>
    <t>Chuq'aba</t>
  </si>
  <si>
    <t>Cuchulain</t>
  </si>
  <si>
    <t>Dynamic +1</t>
  </si>
  <si>
    <t>Gerdr +1</t>
  </si>
  <si>
    <t>Goading</t>
  </si>
  <si>
    <t>Grunfeld</t>
  </si>
  <si>
    <t>Hurch'lan</t>
  </si>
  <si>
    <t>Kasiri</t>
  </si>
  <si>
    <t>Metalsinger</t>
  </si>
  <si>
    <t>Ninurta</t>
  </si>
  <si>
    <t>Olseni</t>
  </si>
  <si>
    <t>Oneiros</t>
  </si>
  <si>
    <t>Paewr</t>
  </si>
  <si>
    <t>Panthalassa</t>
  </si>
  <si>
    <t>Phasmida</t>
  </si>
  <si>
    <t>Phos +1</t>
  </si>
  <si>
    <t>Pipilaka</t>
  </si>
  <si>
    <t>Prosilio +1 (ws)</t>
  </si>
  <si>
    <t>Pya'ekue +1</t>
  </si>
  <si>
    <t>Pythia +1</t>
  </si>
  <si>
    <t>Speed</t>
  </si>
  <si>
    <t>Sweordfaetels +1</t>
  </si>
  <si>
    <t>Swift</t>
  </si>
  <si>
    <t>Twilight</t>
  </si>
  <si>
    <t>Virtuoso</t>
  </si>
  <si>
    <t>Wanion</t>
  </si>
  <si>
    <t>Warwolf</t>
  </si>
  <si>
    <t>Samnuha  (Capped)</t>
  </si>
  <si>
    <t>HP Mult</t>
  </si>
  <si>
    <t>HP Cap</t>
  </si>
  <si>
    <t>Att Mult</t>
  </si>
  <si>
    <t>Att Mult Cap</t>
  </si>
  <si>
    <t>Att Add</t>
  </si>
  <si>
    <t>Acc Mult</t>
  </si>
  <si>
    <t>Acc Mult Cap</t>
  </si>
  <si>
    <t>Acc Add</t>
  </si>
  <si>
    <t>Pizza</t>
  </si>
  <si>
    <t>Pizza +1</t>
  </si>
  <si>
    <t>Bream Sushi</t>
  </si>
  <si>
    <t>Crab Sushi</t>
  </si>
  <si>
    <t>Sole Sushi</t>
  </si>
  <si>
    <t>Squid Sushi</t>
  </si>
  <si>
    <t>Bison Steak</t>
  </si>
  <si>
    <t>Magma Steak</t>
  </si>
  <si>
    <t>S. Salis. Steak</t>
  </si>
  <si>
    <t>C. Salis. Steak</t>
  </si>
  <si>
    <t>Carbonara</t>
  </si>
  <si>
    <t>Arrabbiata</t>
  </si>
  <si>
    <t>Mithkabob</t>
  </si>
  <si>
    <t>Chiefkabob</t>
  </si>
  <si>
    <t>Coeurl Sub</t>
  </si>
  <si>
    <t>Coeurl Sub +1</t>
  </si>
  <si>
    <t>Yellow Curry</t>
  </si>
  <si>
    <t>Yellow C Bun</t>
  </si>
  <si>
    <t>Yellow C Bun +1</t>
  </si>
  <si>
    <t>Red C Bun</t>
  </si>
  <si>
    <t>Riverfin Soup</t>
  </si>
  <si>
    <t>Sublime Sushi</t>
  </si>
  <si>
    <t>Sword Weaponskills</t>
  </si>
  <si>
    <t>Vorpal Blade</t>
  </si>
  <si>
    <t>“+0”</t>
  </si>
  <si>
    <t>“+1”</t>
  </si>
  <si>
    <t>“+2”</t>
  </si>
  <si>
    <t>“+3”</t>
  </si>
  <si>
    <t>“+5”</t>
  </si>
  <si>
    <t>“+6”</t>
  </si>
  <si>
    <t>“+7”</t>
  </si>
  <si>
    <t>Great Sword Weaponskills</t>
  </si>
  <si>
    <t>Spinning Slash</t>
  </si>
  <si>
    <t>Axe Weaponskills</t>
  </si>
  <si>
    <t>Rampage</t>
  </si>
  <si>
    <t>Geomancy</t>
  </si>
  <si>
    <t>“+0” (Base)</t>
  </si>
  <si>
    <t>“+3” (Eminent)</t>
  </si>
  <si>
    <t>“+5” (JSE)</t>
  </si>
  <si>
    <t>“+6” (JSE +1)</t>
  </si>
  <si>
    <t>“+7” (JSE+2)</t>
  </si>
  <si>
    <t>Great Axe Weaponskills</t>
  </si>
  <si>
    <t>Geo Precision (+Acc)</t>
  </si>
  <si>
    <t>Weapon Types</t>
  </si>
  <si>
    <t>Sword</t>
  </si>
  <si>
    <t>Great Sword</t>
  </si>
  <si>
    <t>Axe</t>
  </si>
  <si>
    <t>Great Axe</t>
  </si>
  <si>
    <t>Skills</t>
  </si>
  <si>
    <t>Base</t>
  </si>
  <si>
    <t>GreatAxe</t>
  </si>
  <si>
    <t>MainWeapons</t>
  </si>
  <si>
    <t>2H</t>
  </si>
  <si>
    <t>1H</t>
  </si>
  <si>
    <t>Sub1HWeapons</t>
  </si>
  <si>
    <t>Sub2HWeapons</t>
  </si>
  <si>
    <t>Weaponskills</t>
  </si>
  <si>
    <t>Extra Hits</t>
  </si>
  <si>
    <t>WSC1 Name</t>
  </si>
  <si>
    <t>WSC1 Value</t>
  </si>
  <si>
    <t>WSC2 Name</t>
  </si>
  <si>
    <t>WSC2 Value</t>
  </si>
  <si>
    <t>FTP1</t>
  </si>
  <si>
    <t>FTP2</t>
  </si>
  <si>
    <t>FTP3</t>
  </si>
  <si>
    <t>FTPCarry</t>
  </si>
  <si>
    <t>Att1</t>
  </si>
  <si>
    <t>Att2</t>
  </si>
  <si>
    <t>Crit0</t>
  </si>
  <si>
    <t>Crit1</t>
  </si>
  <si>
    <t>Crit2</t>
  </si>
  <si>
    <t>Def0</t>
  </si>
  <si>
    <t>Def1</t>
  </si>
  <si>
    <t>Def2</t>
  </si>
  <si>
    <t>Pieces</t>
  </si>
  <si>
    <t>Gear sets</t>
  </si>
  <si>
    <t>Truncations</t>
  </si>
  <si>
    <t>Gear2</t>
  </si>
  <si>
    <t>Mod</t>
  </si>
  <si>
    <t>TPSet1Gear</t>
  </si>
  <si>
    <t>TPSet2Gear</t>
  </si>
  <si>
    <t>WSSet1Gear</t>
  </si>
  <si>
    <t>WSSet2Gear</t>
  </si>
  <si>
    <t>TPSet1Bonus</t>
  </si>
  <si>
    <t>TPSet2Bonus</t>
  </si>
  <si>
    <t>WSSet1Bonus</t>
  </si>
  <si>
    <t>WSSet2Bonus</t>
  </si>
  <si>
    <t>Bladeb</t>
  </si>
  <si>
    <t>Steelf</t>
  </si>
  <si>
    <t>Dudgeo</t>
  </si>
  <si>
    <t>Hearts</t>
  </si>
  <si>
    <t>Sub</t>
  </si>
  <si>
    <t>Lustra</t>
  </si>
  <si>
    <t>Adhema</t>
  </si>
  <si>
    <t xml:space="preserve">C.Rate </t>
  </si>
  <si>
    <t>Carmin</t>
  </si>
  <si>
    <t>Runeis</t>
  </si>
  <si>
    <t>Regal</t>
  </si>
  <si>
    <t>Ear1</t>
  </si>
  <si>
    <t>Ear2</t>
  </si>
  <si>
    <t>Atmas</t>
  </si>
  <si>
    <t>Alpha &amp; Omega</t>
  </si>
  <si>
    <t>Baying Moon</t>
  </si>
  <si>
    <t>Demonic Lash</t>
  </si>
  <si>
    <t>Gnarled Horn</t>
  </si>
  <si>
    <t>Harvester</t>
  </si>
  <si>
    <t>S. Scythe</t>
  </si>
  <si>
    <t>Scorpion Queen</t>
  </si>
  <si>
    <t>Smiting Blow</t>
  </si>
  <si>
    <t>Stout Arm</t>
  </si>
  <si>
    <t>Mobs</t>
  </si>
  <si>
    <t>Level Correct</t>
  </si>
  <si>
    <t>CritDef</t>
  </si>
  <si>
    <t>CritRate</t>
  </si>
  <si>
    <t>Trivial</t>
  </si>
  <si>
    <t>Yes</t>
  </si>
  <si>
    <t>DC Dynamis</t>
  </si>
  <si>
    <t>Bluffalo EM</t>
  </si>
  <si>
    <t>Chapuli (100)</t>
  </si>
  <si>
    <t>No</t>
  </si>
  <si>
    <t>Chapuli (102)</t>
  </si>
  <si>
    <t>Delve Fodder</t>
  </si>
  <si>
    <t>Qilin</t>
  </si>
  <si>
    <t>Kamihr Raaz</t>
  </si>
  <si>
    <t>Ig-Alima</t>
  </si>
  <si>
    <t>Tojil</t>
  </si>
  <si>
    <t>Serac Rabbit</t>
  </si>
  <si>
    <t>Apex Leech (127)</t>
  </si>
  <si>
    <t>Apex Toad (131)</t>
  </si>
  <si>
    <t>Apex Bat (136)</t>
  </si>
  <si>
    <t>Apex Bhoot (139)</t>
  </si>
  <si>
    <t>Warder of Courage</t>
  </si>
  <si>
    <t>Subjobs</t>
  </si>
  <si>
    <t>Drk</t>
  </si>
  <si>
    <t>Nin</t>
  </si>
  <si>
    <t>War</t>
  </si>
  <si>
    <t>Races</t>
  </si>
  <si>
    <t>Hume</t>
  </si>
  <si>
    <t>Mithra</t>
  </si>
  <si>
    <t>Galka</t>
  </si>
  <si>
    <t>Tarutaru</t>
  </si>
  <si>
    <t>Toggle</t>
  </si>
  <si>
    <t>WS Only</t>
  </si>
  <si>
    <t>On</t>
  </si>
  <si>
    <t>Hastes</t>
  </si>
  <si>
    <t>Boosts</t>
  </si>
  <si>
    <t>Boost-Dex</t>
  </si>
  <si>
    <t>MainList1</t>
  </si>
  <si>
    <t>SubList1</t>
  </si>
  <si>
    <t>MainList2</t>
  </si>
  <si>
    <t>SubList2</t>
  </si>
  <si>
    <t>Final Stats</t>
  </si>
  <si>
    <t>Calculations</t>
  </si>
  <si>
    <t>Grades</t>
  </si>
  <si>
    <t>C</t>
  </si>
  <si>
    <t>B</t>
  </si>
  <si>
    <t>E</t>
  </si>
  <si>
    <t>F</t>
  </si>
  <si>
    <t>G</t>
  </si>
  <si>
    <t>A</t>
  </si>
  <si>
    <t>BRD</t>
  </si>
  <si>
    <t>BST</t>
  </si>
  <si>
    <t>BLM</t>
  </si>
  <si>
    <t>BLU</t>
  </si>
  <si>
    <t>COR</t>
  </si>
  <si>
    <t>DNC</t>
  </si>
  <si>
    <t>DRK</t>
  </si>
  <si>
    <t>DRG</t>
  </si>
  <si>
    <t>GEO</t>
  </si>
  <si>
    <t>MNK</t>
  </si>
  <si>
    <t>NIN</t>
  </si>
  <si>
    <t>PLD</t>
  </si>
  <si>
    <t>PUP</t>
  </si>
  <si>
    <t>RNG</t>
  </si>
  <si>
    <t>RDM</t>
  </si>
  <si>
    <t>RUN</t>
  </si>
  <si>
    <t>SAM</t>
  </si>
  <si>
    <t>SCH</t>
  </si>
  <si>
    <t>SMN</t>
  </si>
  <si>
    <t>THF</t>
  </si>
  <si>
    <t>WAR</t>
  </si>
  <si>
    <t>WHM</t>
  </si>
  <si>
    <t>Grade Rates</t>
  </si>
  <si>
    <t>HPBase</t>
  </si>
  <si>
    <t>HP60</t>
  </si>
  <si>
    <t>HP30+</t>
  </si>
  <si>
    <t>HP75</t>
  </si>
  <si>
    <t>HP99</t>
  </si>
  <si>
    <t>StatBase</t>
  </si>
  <si>
    <t>Stat60</t>
  </si>
  <si>
    <t>Stat75</t>
  </si>
  <si>
    <t>Stat99</t>
  </si>
  <si>
    <t>Bonus</t>
  </si>
  <si>
    <t>Staunch</t>
  </si>
  <si>
    <t>Sailfi belt +1</t>
  </si>
  <si>
    <t>Anu Torque</t>
  </si>
  <si>
    <t>Ogma's cape STP</t>
  </si>
  <si>
    <t>Ogma's cape DA</t>
  </si>
  <si>
    <t>Kentarch belt +1</t>
  </si>
  <si>
    <t>Seeth. Bomblet +1</t>
  </si>
  <si>
    <t>was</t>
  </si>
  <si>
    <t>now</t>
  </si>
  <si>
    <t>DTLITE</t>
  </si>
  <si>
    <t>up %</t>
  </si>
  <si>
    <t>Lustratio (Path B)</t>
  </si>
  <si>
    <t>Herculean (QA)</t>
  </si>
  <si>
    <t>Blistering Sallet +1 (Aug)</t>
  </si>
  <si>
    <t>Fotia Gorget</t>
  </si>
  <si>
    <t>Set Winner</t>
  </si>
  <si>
    <t>Current</t>
  </si>
  <si>
    <t>Abs Max</t>
  </si>
  <si>
    <t>Cacoethic Ring +1 (aug)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</si>
</sst>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%"/>
    <numFmt numFmtId="166" formatCode="0.0000"/>
    <numFmt numFmtId="167" formatCode="\ * #,##0\ ;\ * \(#,##0\);\ * \-#\ ;\ @\ "/>
    <numFmt numFmtId="168" formatCode="0.0"/>
  </numFmts>
  <fonts count="13" x14ac:knownFonts="1">
    <font>
      <sz val="10"/>
      <color rgb="FF000000"/>
      <name val="Arial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CE181E"/>
      <name val="Arial"/>
      <family val="2"/>
    </font>
    <font>
      <sz val="10"/>
      <name val="Arial"/>
      <family val="2"/>
    </font>
    <font>
      <sz val="11"/>
      <name val="Cambria"/>
      <family val="1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  <fill>
      <patternFill patternType="solid">
        <fgColor rgb="FF89C765"/>
        <bgColor rgb="FF89C765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/>
    <xf numFmtId="3" fontId="3" fillId="0" borderId="0" xfId="0" applyNumberFormat="1" applyFont="1" applyAlignment="1"/>
    <xf numFmtId="9" fontId="3" fillId="0" borderId="0" xfId="0" applyNumberFormat="1" applyFont="1" applyAlignment="1"/>
    <xf numFmtId="9" fontId="2" fillId="0" borderId="0" xfId="0" applyNumberFormat="1" applyFont="1" applyAlignment="1"/>
    <xf numFmtId="9" fontId="3" fillId="2" borderId="1" xfId="0" applyNumberFormat="1" applyFont="1" applyFill="1" applyBorder="1" applyAlignment="1"/>
    <xf numFmtId="164" fontId="3" fillId="0" borderId="0" xfId="0" applyNumberFormat="1" applyFont="1" applyAlignment="1"/>
    <xf numFmtId="0" fontId="3" fillId="0" borderId="0" xfId="0" applyFont="1" applyAlignment="1">
      <alignment wrapText="1"/>
    </xf>
    <xf numFmtId="0" fontId="2" fillId="3" borderId="1" xfId="0" applyFont="1" applyFill="1" applyBorder="1" applyAlignment="1"/>
    <xf numFmtId="0" fontId="4" fillId="0" borderId="0" xfId="0" applyFont="1" applyAlignment="1">
      <alignment wrapText="1"/>
    </xf>
    <xf numFmtId="1" fontId="3" fillId="0" borderId="0" xfId="0" applyNumberFormat="1" applyFont="1" applyAlignment="1"/>
    <xf numFmtId="0" fontId="5" fillId="0" borderId="0" xfId="0" applyFont="1" applyAlignment="1"/>
    <xf numFmtId="0" fontId="4" fillId="0" borderId="0" xfId="0" applyFont="1" applyAlignment="1"/>
    <xf numFmtId="2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wrapText="1"/>
    </xf>
    <xf numFmtId="0" fontId="3" fillId="4" borderId="1" xfId="0" applyFont="1" applyFill="1" applyBorder="1" applyAlignment="1"/>
    <xf numFmtId="0" fontId="3" fillId="4" borderId="1" xfId="0" applyFont="1" applyFill="1" applyBorder="1" applyAlignment="1"/>
    <xf numFmtId="9" fontId="6" fillId="0" borderId="0" xfId="0" applyNumberFormat="1" applyFont="1"/>
    <xf numFmtId="3" fontId="6" fillId="0" borderId="0" xfId="0" applyNumberFormat="1" applyFont="1"/>
    <xf numFmtId="9" fontId="3" fillId="4" borderId="1" xfId="0" applyNumberFormat="1" applyFont="1" applyFill="1" applyBorder="1" applyAlignment="1"/>
    <xf numFmtId="1" fontId="1" fillId="0" borderId="0" xfId="0" applyNumberFormat="1" applyFont="1" applyAlignment="1"/>
    <xf numFmtId="0" fontId="7" fillId="0" borderId="0" xfId="0" applyFont="1" applyAlignment="1"/>
    <xf numFmtId="165" fontId="7" fillId="0" borderId="0" xfId="0" applyNumberFormat="1" applyFont="1" applyAlignment="1"/>
    <xf numFmtId="0" fontId="0" fillId="0" borderId="0" xfId="0" applyFont="1" applyAlignment="1"/>
    <xf numFmtId="3" fontId="7" fillId="0" borderId="0" xfId="0" applyNumberFormat="1" applyFont="1" applyAlignment="1"/>
    <xf numFmtId="0" fontId="3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3" fillId="0" borderId="4" xfId="0" applyFont="1" applyBorder="1" applyAlignment="1"/>
    <xf numFmtId="1" fontId="3" fillId="0" borderId="5" xfId="0" applyNumberFormat="1" applyFont="1" applyBorder="1" applyAlignment="1"/>
    <xf numFmtId="1" fontId="3" fillId="0" borderId="2" xfId="0" applyNumberFormat="1" applyFont="1" applyBorder="1" applyAlignment="1"/>
    <xf numFmtId="1" fontId="3" fillId="0" borderId="6" xfId="0" applyNumberFormat="1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3" fontId="0" fillId="0" borderId="0" xfId="0" applyNumberFormat="1" applyFont="1" applyAlignment="1"/>
    <xf numFmtId="3" fontId="0" fillId="0" borderId="5" xfId="0" applyNumberFormat="1" applyFont="1" applyBorder="1" applyAlignment="1"/>
    <xf numFmtId="1" fontId="3" fillId="0" borderId="4" xfId="0" applyNumberFormat="1" applyFont="1" applyBorder="1" applyAlignment="1"/>
    <xf numFmtId="9" fontId="3" fillId="0" borderId="5" xfId="0" applyNumberFormat="1" applyFont="1" applyBorder="1" applyAlignment="1"/>
    <xf numFmtId="0" fontId="3" fillId="0" borderId="7" xfId="0" applyFont="1" applyBorder="1" applyAlignment="1"/>
    <xf numFmtId="3" fontId="3" fillId="0" borderId="7" xfId="0" applyNumberFormat="1" applyFont="1" applyBorder="1" applyAlignment="1"/>
    <xf numFmtId="3" fontId="3" fillId="0" borderId="8" xfId="0" applyNumberFormat="1" applyFont="1" applyBorder="1" applyAlignment="1"/>
    <xf numFmtId="0" fontId="1" fillId="0" borderId="5" xfId="0" applyFont="1" applyBorder="1" applyAlignment="1"/>
    <xf numFmtId="1" fontId="1" fillId="0" borderId="2" xfId="0" applyNumberFormat="1" applyFont="1" applyBorder="1" applyAlignment="1"/>
    <xf numFmtId="0" fontId="1" fillId="0" borderId="6" xfId="0" applyFont="1" applyBorder="1" applyAlignment="1"/>
    <xf numFmtId="9" fontId="3" fillId="0" borderId="4" xfId="0" applyNumberFormat="1" applyFont="1" applyBorder="1" applyAlignment="1"/>
    <xf numFmtId="9" fontId="3" fillId="0" borderId="2" xfId="0" applyNumberFormat="1" applyFont="1" applyBorder="1" applyAlignment="1"/>
    <xf numFmtId="9" fontId="3" fillId="0" borderId="6" xfId="0" applyNumberFormat="1" applyFont="1" applyBorder="1" applyAlignment="1"/>
    <xf numFmtId="0" fontId="3" fillId="0" borderId="9" xfId="0" applyFont="1" applyBorder="1" applyAlignment="1"/>
    <xf numFmtId="165" fontId="0" fillId="0" borderId="0" xfId="0" applyNumberFormat="1" applyFont="1" applyAlignment="1"/>
    <xf numFmtId="165" fontId="0" fillId="0" borderId="5" xfId="0" applyNumberFormat="1" applyFont="1" applyBorder="1" applyAlignment="1"/>
    <xf numFmtId="166" fontId="3" fillId="0" borderId="7" xfId="0" applyNumberFormat="1" applyFont="1" applyBorder="1" applyAlignment="1"/>
    <xf numFmtId="166" fontId="3" fillId="0" borderId="8" xfId="0" applyNumberFormat="1" applyFont="1" applyBorder="1" applyAlignment="1"/>
    <xf numFmtId="166" fontId="3" fillId="0" borderId="0" xfId="0" applyNumberFormat="1" applyFont="1" applyAlignment="1"/>
    <xf numFmtId="166" fontId="3" fillId="0" borderId="5" xfId="0" applyNumberFormat="1" applyFont="1" applyBorder="1" applyAlignment="1"/>
    <xf numFmtId="10" fontId="3" fillId="0" borderId="0" xfId="0" applyNumberFormat="1" applyFont="1" applyAlignment="1"/>
    <xf numFmtId="10" fontId="3" fillId="0" borderId="5" xfId="0" applyNumberFormat="1" applyFont="1" applyBorder="1" applyAlignment="1"/>
    <xf numFmtId="166" fontId="3" fillId="0" borderId="2" xfId="0" applyNumberFormat="1" applyFont="1" applyBorder="1" applyAlignment="1"/>
    <xf numFmtId="166" fontId="3" fillId="0" borderId="6" xfId="0" applyNumberFormat="1" applyFont="1" applyBorder="1" applyAlignment="1"/>
    <xf numFmtId="165" fontId="3" fillId="0" borderId="0" xfId="0" applyNumberFormat="1" applyFont="1" applyAlignment="1"/>
    <xf numFmtId="165" fontId="3" fillId="0" borderId="5" xfId="0" applyNumberFormat="1" applyFont="1" applyBorder="1" applyAlignment="1"/>
    <xf numFmtId="165" fontId="3" fillId="0" borderId="2" xfId="0" applyNumberFormat="1" applyFont="1" applyBorder="1" applyAlignment="1"/>
    <xf numFmtId="165" fontId="3" fillId="0" borderId="6" xfId="0" applyNumberFormat="1" applyFont="1" applyBorder="1" applyAlignment="1"/>
    <xf numFmtId="165" fontId="3" fillId="0" borderId="10" xfId="0" applyNumberFormat="1" applyFont="1" applyBorder="1" applyAlignment="1"/>
    <xf numFmtId="165" fontId="3" fillId="0" borderId="11" xfId="0" applyNumberFormat="1" applyFont="1" applyBorder="1" applyAlignment="1"/>
    <xf numFmtId="1" fontId="1" fillId="0" borderId="6" xfId="0" applyNumberFormat="1" applyFont="1" applyBorder="1" applyAlignment="1"/>
    <xf numFmtId="167" fontId="3" fillId="0" borderId="0" xfId="0" applyNumberFormat="1" applyFont="1" applyAlignment="1"/>
    <xf numFmtId="167" fontId="3" fillId="0" borderId="5" xfId="0" applyNumberFormat="1" applyFont="1" applyBorder="1" applyAlignment="1"/>
    <xf numFmtId="0" fontId="1" fillId="0" borderId="12" xfId="0" applyFont="1" applyBorder="1" applyAlignment="1"/>
    <xf numFmtId="164" fontId="3" fillId="0" borderId="5" xfId="0" applyNumberFormat="1" applyFont="1" applyBorder="1" applyAlignment="1"/>
    <xf numFmtId="0" fontId="3" fillId="0" borderId="12" xfId="0" applyFont="1" applyBorder="1" applyAlignment="1"/>
    <xf numFmtId="2" fontId="3" fillId="0" borderId="5" xfId="0" applyNumberFormat="1" applyFont="1" applyBorder="1" applyAlignment="1"/>
    <xf numFmtId="164" fontId="3" fillId="0" borderId="2" xfId="0" applyNumberFormat="1" applyFont="1" applyBorder="1" applyAlignment="1"/>
    <xf numFmtId="164" fontId="3" fillId="0" borderId="6" xfId="0" applyNumberFormat="1" applyFont="1" applyBorder="1" applyAlignment="1"/>
    <xf numFmtId="0" fontId="3" fillId="0" borderId="3" xfId="0" applyFont="1" applyBorder="1" applyAlignment="1"/>
    <xf numFmtId="0" fontId="6" fillId="0" borderId="0" xfId="0" applyFont="1" applyAlignment="1"/>
    <xf numFmtId="168" fontId="3" fillId="0" borderId="0" xfId="0" applyNumberFormat="1" applyFont="1" applyAlignment="1"/>
    <xf numFmtId="168" fontId="3" fillId="0" borderId="5" xfId="0" applyNumberFormat="1" applyFont="1" applyBorder="1" applyAlignment="1"/>
    <xf numFmtId="168" fontId="3" fillId="0" borderId="2" xfId="0" applyNumberFormat="1" applyFont="1" applyBorder="1" applyAlignment="1"/>
    <xf numFmtId="168" fontId="3" fillId="0" borderId="6" xfId="0" applyNumberFormat="1" applyFont="1" applyBorder="1" applyAlignment="1"/>
    <xf numFmtId="164" fontId="3" fillId="0" borderId="7" xfId="0" applyNumberFormat="1" applyFont="1" applyBorder="1" applyAlignment="1"/>
    <xf numFmtId="164" fontId="3" fillId="0" borderId="8" xfId="0" applyNumberFormat="1" applyFont="1" applyBorder="1" applyAlignment="1"/>
    <xf numFmtId="0" fontId="3" fillId="0" borderId="13" xfId="0" applyFont="1" applyBorder="1" applyAlignment="1"/>
    <xf numFmtId="1" fontId="2" fillId="0" borderId="0" xfId="0" applyNumberFormat="1" applyFont="1" applyAlignment="1"/>
    <xf numFmtId="9" fontId="3" fillId="0" borderId="14" xfId="0" applyNumberFormat="1" applyFont="1" applyBorder="1" applyAlignment="1"/>
    <xf numFmtId="10" fontId="3" fillId="0" borderId="14" xfId="0" applyNumberFormat="1" applyFont="1" applyBorder="1" applyAlignment="1"/>
    <xf numFmtId="10" fontId="3" fillId="0" borderId="3" xfId="0" applyNumberFormat="1" applyFont="1" applyBorder="1" applyAlignment="1"/>
    <xf numFmtId="10" fontId="3" fillId="0" borderId="2" xfId="0" applyNumberFormat="1" applyFont="1" applyBorder="1" applyAlignment="1"/>
    <xf numFmtId="9" fontId="6" fillId="0" borderId="0" xfId="0" applyNumberFormat="1" applyFont="1" applyAlignment="1"/>
    <xf numFmtId="10" fontId="6" fillId="0" borderId="0" xfId="0" applyNumberFormat="1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9" fontId="8" fillId="0" borderId="0" xfId="0" applyNumberFormat="1" applyFont="1" applyAlignment="1"/>
    <xf numFmtId="0" fontId="8" fillId="0" borderId="0" xfId="0" applyFont="1" applyAlignment="1"/>
    <xf numFmtId="9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0" xfId="0" applyNumberFormat="1" applyFont="1" applyAlignment="1"/>
    <xf numFmtId="9" fontId="3" fillId="0" borderId="0" xfId="0" applyNumberFormat="1" applyFont="1" applyAlignment="1"/>
    <xf numFmtId="0" fontId="9" fillId="0" borderId="0" xfId="0" applyFont="1" applyAlignment="1"/>
    <xf numFmtId="10" fontId="3" fillId="0" borderId="0" xfId="0" applyNumberFormat="1" applyFont="1" applyAlignment="1">
      <alignment wrapText="1"/>
    </xf>
    <xf numFmtId="0" fontId="3" fillId="0" borderId="0" xfId="0" applyFont="1" applyAlignment="1">
      <alignment horizontal="center"/>
    </xf>
    <xf numFmtId="0" fontId="10" fillId="0" borderId="0" xfId="0" applyFont="1"/>
    <xf numFmtId="0" fontId="9" fillId="0" borderId="2" xfId="0" applyFont="1" applyBorder="1" applyAlignment="1"/>
    <xf numFmtId="2" fontId="6" fillId="0" borderId="0" xfId="0" applyNumberFormat="1" applyFont="1"/>
    <xf numFmtId="0" fontId="11" fillId="0" borderId="0" xfId="0" applyFont="1" applyAlignment="1"/>
    <xf numFmtId="0" fontId="11" fillId="5" borderId="0" xfId="0" applyFont="1" applyFill="1" applyAlignment="1"/>
    <xf numFmtId="0" fontId="0" fillId="5" borderId="0" xfId="0" applyFont="1" applyFill="1" applyAlignment="1"/>
    <xf numFmtId="0" fontId="3" fillId="5" borderId="0" xfId="0" applyFont="1" applyFill="1" applyAlignment="1"/>
    <xf numFmtId="9" fontId="3" fillId="5" borderId="0" xfId="0" applyNumberFormat="1" applyFont="1" applyFill="1" applyAlignment="1"/>
    <xf numFmtId="3" fontId="3" fillId="5" borderId="0" xfId="0" applyNumberFormat="1" applyFont="1" applyFill="1" applyAlignment="1"/>
    <xf numFmtId="0" fontId="0" fillId="0" borderId="0" xfId="0"/>
    <xf numFmtId="9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right"/>
    </xf>
    <xf numFmtId="1" fontId="12" fillId="6" borderId="0" xfId="0" applyNumberFormat="1" applyFont="1" applyFill="1" applyAlignment="1"/>
    <xf numFmtId="0" fontId="11" fillId="0" borderId="0" xfId="0" applyFont="1"/>
  </cellXfs>
  <cellStyles count="1">
    <cellStyle name="Normal" xfId="0" builtinId="0"/>
  </cellStyles>
  <dxfs count="20">
    <dxf>
      <font>
        <name val="Arial"/>
      </font>
      <fill>
        <patternFill patternType="solid">
          <fgColor rgb="FFFFCC99"/>
          <bgColor rgb="FFFFCC99"/>
        </patternFill>
      </fill>
    </dxf>
    <dxf>
      <font>
        <name val="Arial"/>
      </font>
      <fill>
        <patternFill patternType="solid">
          <fgColor rgb="FF808000"/>
          <bgColor rgb="FF808000"/>
        </patternFill>
      </fill>
    </dxf>
    <dxf>
      <font>
        <name val="Arial"/>
      </font>
      <fill>
        <patternFill patternType="solid">
          <fgColor rgb="FFFFCC99"/>
          <bgColor rgb="FFFFCC99"/>
        </patternFill>
      </fill>
    </dxf>
    <dxf>
      <font>
        <name val="Arial"/>
      </font>
      <fill>
        <patternFill patternType="solid">
          <fgColor rgb="FF808000"/>
          <bgColor rgb="FF808000"/>
        </patternFill>
      </fill>
    </dxf>
    <dxf>
      <font>
        <name val="Arial"/>
      </font>
      <fill>
        <patternFill patternType="solid">
          <fgColor rgb="FF808000"/>
          <bgColor rgb="FF808000"/>
        </patternFill>
      </fill>
    </dxf>
    <dxf>
      <font>
        <name val="Arial"/>
      </font>
      <fill>
        <patternFill patternType="solid">
          <fgColor rgb="FF808000"/>
          <bgColor rgb="FF808000"/>
        </patternFill>
      </fill>
    </dxf>
    <dxf>
      <font>
        <name val="Arial"/>
      </font>
      <fill>
        <patternFill patternType="solid">
          <fgColor rgb="FFFFCC99"/>
          <bgColor rgb="FFFFCC99"/>
        </patternFill>
      </fill>
    </dxf>
    <dxf>
      <font>
        <name val="Arial"/>
      </font>
      <fill>
        <patternFill patternType="solid">
          <fgColor rgb="FFFFCC99"/>
          <bgColor rgb="FFFFCC99"/>
        </patternFill>
      </fill>
    </dxf>
    <dxf>
      <font>
        <name val="Arial"/>
      </font>
      <fill>
        <patternFill patternType="solid">
          <fgColor rgb="FFFFCC99"/>
          <bgColor rgb="FFFFCC99"/>
        </patternFill>
      </fill>
    </dxf>
    <dxf>
      <font>
        <name val="Arial"/>
      </font>
      <fill>
        <patternFill patternType="solid">
          <fgColor rgb="FFFFCC99"/>
          <bgColor rgb="FFFFCC99"/>
        </patternFill>
      </fill>
    </dxf>
    <dxf>
      <font>
        <name val="Arial"/>
      </font>
      <fill>
        <patternFill patternType="solid">
          <fgColor rgb="FF808000"/>
          <bgColor rgb="FF808000"/>
        </patternFill>
      </fill>
    </dxf>
    <dxf>
      <font>
        <name val="Arial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fill>
        <patternFill patternType="solid">
          <fgColor rgb="FFFFCC99"/>
          <bgColor rgb="FFFFCC99"/>
        </patternFill>
      </fill>
    </dxf>
    <dxf>
      <font>
        <name val="Arial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fill>
        <patternFill patternType="solid">
          <fgColor rgb="FFFFCC99"/>
          <bgColor rgb="FFFFCC99"/>
        </patternFill>
      </fill>
    </dxf>
    <dxf>
      <font>
        <name val="Arial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fill>
        <patternFill patternType="solid">
          <fgColor rgb="FFFFCC99"/>
          <bgColor rgb="FFFFCC99"/>
        </patternFill>
      </fill>
    </dxf>
    <dxf>
      <font>
        <name val="Arial"/>
      </font>
      <fill>
        <patternFill patternType="solid">
          <fgColor rgb="FF808000"/>
          <bgColor rgb="FF808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FFCC"/>
  </sheetPr>
  <dimension ref="A1:R1000"/>
  <sheetViews>
    <sheetView topLeftCell="A10" workbookViewId="0">
      <selection activeCell="C50" sqref="C50"/>
    </sheetView>
  </sheetViews>
  <sheetFormatPr defaultColWidth="14.42578125" defaultRowHeight="15" customHeight="1" x14ac:dyDescent="0.2"/>
  <cols>
    <col min="1" max="1" width="25.7109375" customWidth="1"/>
    <col min="2" max="3" width="15.7109375" customWidth="1"/>
    <col min="4" max="4" width="8.7109375" customWidth="1"/>
    <col min="5" max="5" width="19.7109375" customWidth="1"/>
    <col min="6" max="7" width="12.7109375" customWidth="1"/>
    <col min="8" max="8" width="5.7109375" customWidth="1"/>
    <col min="9" max="9" width="21.7109375" customWidth="1"/>
    <col min="10" max="11" width="12.7109375" customWidth="1"/>
    <col min="12" max="12" width="13.5703125" customWidth="1"/>
    <col min="13" max="14" width="16.7109375" customWidth="1"/>
    <col min="15" max="15" width="15.28515625" customWidth="1"/>
    <col min="16" max="16" width="21" customWidth="1"/>
    <col min="17" max="17" width="14.28515625" customWidth="1"/>
    <col min="18" max="18" width="13.28515625" customWidth="1"/>
    <col min="19" max="26" width="8.7109375" customWidth="1"/>
  </cols>
  <sheetData>
    <row r="1" spans="1:18" ht="12.75" customHeight="1" x14ac:dyDescent="0.2">
      <c r="A1" s="1"/>
      <c r="B1" s="1" t="s">
        <v>0</v>
      </c>
      <c r="C1" s="1" t="s">
        <v>1</v>
      </c>
      <c r="D1" s="1"/>
      <c r="E1" s="1" t="s">
        <v>2</v>
      </c>
      <c r="F1" s="1" t="s">
        <v>0</v>
      </c>
      <c r="G1" s="1" t="s">
        <v>1</v>
      </c>
      <c r="H1" s="1"/>
      <c r="I1" s="1" t="s">
        <v>3</v>
      </c>
      <c r="J1" s="1" t="s">
        <v>0</v>
      </c>
      <c r="K1" s="1" t="s">
        <v>1</v>
      </c>
      <c r="M1" s="1" t="s">
        <v>4</v>
      </c>
      <c r="N1" s="2" t="s">
        <v>5</v>
      </c>
    </row>
    <row r="2" spans="1:18" ht="12.75" customHeight="1" x14ac:dyDescent="0.2">
      <c r="A2" s="1" t="s">
        <v>6</v>
      </c>
      <c r="E2" s="3"/>
      <c r="F2" s="3"/>
      <c r="G2" s="3"/>
      <c r="N2" s="1" t="s">
        <v>0</v>
      </c>
      <c r="O2" s="1" t="s">
        <v>1</v>
      </c>
    </row>
    <row r="3" spans="1:18" ht="12.75" customHeight="1" x14ac:dyDescent="0.2">
      <c r="A3" s="3" t="s">
        <v>7</v>
      </c>
      <c r="B3" s="4" t="s">
        <v>812</v>
      </c>
      <c r="C3" t="str">
        <f>B3</f>
        <v>Hume</v>
      </c>
      <c r="E3" s="1" t="s">
        <v>9</v>
      </c>
      <c r="F3" s="3"/>
      <c r="G3" s="3"/>
      <c r="I3" s="1" t="s">
        <v>10</v>
      </c>
      <c r="M3" t="s">
        <v>11</v>
      </c>
      <c r="N3" s="3">
        <f>VLOOKUP($N$1,Mobs,MATCH($M3,MobHeader,0), 0)</f>
        <v>140</v>
      </c>
      <c r="O3">
        <f>N3</f>
        <v>140</v>
      </c>
    </row>
    <row r="4" spans="1:18" ht="12.75" customHeight="1" x14ac:dyDescent="0.2">
      <c r="A4" s="3" t="s">
        <v>11</v>
      </c>
      <c r="B4" s="5">
        <v>99</v>
      </c>
      <c r="C4" s="6">
        <f>B4</f>
        <v>99</v>
      </c>
      <c r="D4" s="6"/>
      <c r="E4" s="3" t="s">
        <v>12</v>
      </c>
      <c r="F4" s="4">
        <v>1</v>
      </c>
      <c r="G4" s="4">
        <v>1</v>
      </c>
      <c r="I4" s="4" t="s">
        <v>13</v>
      </c>
      <c r="J4" s="4">
        <v>0</v>
      </c>
      <c r="K4" s="4">
        <v>0</v>
      </c>
      <c r="M4" t="s">
        <v>14</v>
      </c>
      <c r="N4" s="3">
        <f>VLOOKUP($N$1,Mobs,MATCH($M4,MobHeader,0), 0)</f>
        <v>1800</v>
      </c>
      <c r="O4">
        <f>N4</f>
        <v>1800</v>
      </c>
    </row>
    <row r="5" spans="1:18" ht="12.75" customHeight="1" x14ac:dyDescent="0.2">
      <c r="A5" t="s">
        <v>15</v>
      </c>
      <c r="B5" s="4" t="s">
        <v>808</v>
      </c>
      <c r="C5" s="3" t="str">
        <f>B5</f>
        <v>Drk</v>
      </c>
      <c r="D5" s="3"/>
      <c r="E5" t="s">
        <v>17</v>
      </c>
      <c r="F5" s="7">
        <v>30</v>
      </c>
      <c r="G5" s="7">
        <v>30</v>
      </c>
      <c r="M5" t="s">
        <v>18</v>
      </c>
      <c r="N5" s="3">
        <f>Data!O6</f>
        <v>1620</v>
      </c>
      <c r="O5">
        <f>Data!P6</f>
        <v>1620</v>
      </c>
    </row>
    <row r="6" spans="1:18" ht="12.75" customHeight="1" x14ac:dyDescent="0.2">
      <c r="A6" t="s">
        <v>19</v>
      </c>
      <c r="B6" s="4" t="s">
        <v>51</v>
      </c>
      <c r="C6" s="3" t="str">
        <f>B6</f>
        <v>None</v>
      </c>
      <c r="D6" s="3"/>
      <c r="E6" s="3"/>
      <c r="F6" s="4"/>
      <c r="G6" s="4"/>
      <c r="I6" s="1" t="s">
        <v>21</v>
      </c>
      <c r="M6" t="s">
        <v>22</v>
      </c>
      <c r="N6" s="3">
        <f>VLOOKUP($N$1,Mobs,MATCH($M6,MobHeader,0), 0)</f>
        <v>1500</v>
      </c>
      <c r="O6">
        <f>N6</f>
        <v>1500</v>
      </c>
    </row>
    <row r="7" spans="1:18" ht="12.75" customHeight="1" x14ac:dyDescent="0.2">
      <c r="E7" s="1" t="s">
        <v>23</v>
      </c>
      <c r="F7" s="3"/>
      <c r="G7" s="3"/>
      <c r="I7" s="3" t="s">
        <v>24</v>
      </c>
      <c r="J7" s="7">
        <v>450</v>
      </c>
      <c r="K7" s="7">
        <v>450</v>
      </c>
      <c r="M7" t="s">
        <v>25</v>
      </c>
      <c r="N7" s="8">
        <f>Data!O8</f>
        <v>325</v>
      </c>
      <c r="O7" s="8">
        <f>Data!P8</f>
        <v>1620</v>
      </c>
    </row>
    <row r="8" spans="1:18" ht="12.75" customHeight="1" x14ac:dyDescent="0.2">
      <c r="A8" s="1" t="s">
        <v>26</v>
      </c>
      <c r="E8" t="s">
        <v>27</v>
      </c>
      <c r="F8" s="4">
        <v>0</v>
      </c>
      <c r="G8" s="4">
        <v>0</v>
      </c>
      <c r="H8" s="9"/>
      <c r="I8" s="4" t="s">
        <v>28</v>
      </c>
      <c r="J8" s="4">
        <v>0</v>
      </c>
      <c r="K8" s="4">
        <v>0</v>
      </c>
      <c r="M8" t="s">
        <v>29</v>
      </c>
      <c r="N8" s="3">
        <f>VLOOKUP($N$1,Mobs,MATCH($M8,MobHeader,0), 0)</f>
        <v>325</v>
      </c>
      <c r="O8">
        <f>N8</f>
        <v>325</v>
      </c>
    </row>
    <row r="9" spans="1:18" ht="12.75" customHeight="1" x14ac:dyDescent="0.2">
      <c r="A9" t="s">
        <v>30</v>
      </c>
      <c r="B9" s="4">
        <v>12</v>
      </c>
      <c r="C9">
        <f t="shared" ref="C9:C20" si="0">B9</f>
        <v>12</v>
      </c>
      <c r="E9" t="s">
        <v>31</v>
      </c>
      <c r="F9" s="4">
        <v>0</v>
      </c>
      <c r="G9" s="4">
        <v>0</v>
      </c>
      <c r="M9" t="s">
        <v>32</v>
      </c>
      <c r="N9" s="3">
        <f>VLOOKUP($N$1,Mobs,MATCH($M9,MobHeader,0), 0)</f>
        <v>325</v>
      </c>
      <c r="O9">
        <f>N9</f>
        <v>325</v>
      </c>
    </row>
    <row r="10" spans="1:18" ht="12.75" customHeight="1" x14ac:dyDescent="0.2">
      <c r="A10" t="s">
        <v>33</v>
      </c>
      <c r="B10" s="4">
        <v>12</v>
      </c>
      <c r="C10">
        <f t="shared" si="0"/>
        <v>12</v>
      </c>
      <c r="E10" t="s">
        <v>34</v>
      </c>
      <c r="F10" s="4">
        <v>0</v>
      </c>
      <c r="G10" s="4">
        <v>0</v>
      </c>
      <c r="I10" s="1" t="s">
        <v>35</v>
      </c>
      <c r="M10" t="s">
        <v>36</v>
      </c>
      <c r="N10" s="9">
        <f>VLOOKUP($N$1,Mobs,MATCH("CritDef",MobHeader,0), 0)</f>
        <v>0</v>
      </c>
      <c r="O10" s="9">
        <f>N10</f>
        <v>0</v>
      </c>
    </row>
    <row r="11" spans="1:18" ht="12.75" customHeight="1" x14ac:dyDescent="0.2">
      <c r="A11" t="s">
        <v>37</v>
      </c>
      <c r="B11" s="4">
        <v>150</v>
      </c>
      <c r="C11">
        <f t="shared" si="0"/>
        <v>150</v>
      </c>
      <c r="E11" t="s">
        <v>38</v>
      </c>
      <c r="F11" s="4">
        <v>0</v>
      </c>
      <c r="G11" s="4">
        <v>0</v>
      </c>
      <c r="I11" t="s">
        <v>39</v>
      </c>
      <c r="J11" s="7">
        <v>450</v>
      </c>
      <c r="K11" s="7">
        <v>450</v>
      </c>
      <c r="M11" t="s">
        <v>40</v>
      </c>
      <c r="N11" s="9">
        <f>VLOOKUP($N$1,Mobs,MATCH("CritRate",MobHeader,0), 0)</f>
        <v>0</v>
      </c>
      <c r="O11" s="9">
        <f>N11</f>
        <v>0</v>
      </c>
    </row>
    <row r="12" spans="1:18" ht="12.75" customHeight="1" x14ac:dyDescent="0.2">
      <c r="A12" t="s">
        <v>41</v>
      </c>
      <c r="B12" s="10">
        <v>0.05</v>
      </c>
      <c r="C12" s="9">
        <f t="shared" si="0"/>
        <v>0.05</v>
      </c>
      <c r="D12" s="9"/>
      <c r="E12" t="s">
        <v>42</v>
      </c>
      <c r="F12" s="7">
        <v>30</v>
      </c>
      <c r="G12" s="7">
        <v>30</v>
      </c>
      <c r="I12" s="3" t="s">
        <v>43</v>
      </c>
      <c r="J12" s="4">
        <v>0</v>
      </c>
      <c r="K12" s="4">
        <v>0</v>
      </c>
    </row>
    <row r="13" spans="1:18" ht="12.75" customHeight="1" x14ac:dyDescent="0.2">
      <c r="A13" t="s">
        <v>44</v>
      </c>
      <c r="B13" s="4">
        <v>16</v>
      </c>
      <c r="C13">
        <f t="shared" si="0"/>
        <v>16</v>
      </c>
      <c r="E13" t="s">
        <v>45</v>
      </c>
      <c r="F13" s="4">
        <v>0</v>
      </c>
      <c r="G13" s="4">
        <v>0</v>
      </c>
    </row>
    <row r="14" spans="1:18" ht="12.75" customHeight="1" x14ac:dyDescent="0.2">
      <c r="A14" t="s">
        <v>46</v>
      </c>
      <c r="B14" s="4">
        <v>16</v>
      </c>
      <c r="C14">
        <f t="shared" si="0"/>
        <v>16</v>
      </c>
      <c r="E14" t="s">
        <v>47</v>
      </c>
      <c r="F14" s="4">
        <v>1</v>
      </c>
      <c r="G14" s="4">
        <v>1</v>
      </c>
      <c r="I14" s="1" t="s">
        <v>48</v>
      </c>
    </row>
    <row r="15" spans="1:18" ht="12.75" customHeight="1" x14ac:dyDescent="0.2">
      <c r="A15" t="s">
        <v>49</v>
      </c>
      <c r="B15" s="4">
        <v>16</v>
      </c>
      <c r="C15">
        <f t="shared" si="0"/>
        <v>16</v>
      </c>
      <c r="E15" t="s">
        <v>50</v>
      </c>
      <c r="F15" s="4" t="s">
        <v>51</v>
      </c>
      <c r="G15" s="4" t="s">
        <v>51</v>
      </c>
      <c r="H15" s="6"/>
      <c r="I15" s="3" t="s">
        <v>24</v>
      </c>
      <c r="J15" s="7">
        <v>475</v>
      </c>
      <c r="K15" s="7">
        <v>475</v>
      </c>
    </row>
    <row r="16" spans="1:18" ht="12.75" customHeight="1" x14ac:dyDescent="0.2">
      <c r="A16" t="s">
        <v>52</v>
      </c>
      <c r="B16" s="4">
        <v>16</v>
      </c>
      <c r="C16">
        <f t="shared" si="0"/>
        <v>16</v>
      </c>
      <c r="E16" t="s">
        <v>53</v>
      </c>
      <c r="F16" s="11">
        <v>0.9</v>
      </c>
      <c r="G16" s="11">
        <v>0.9</v>
      </c>
      <c r="H16" s="3"/>
      <c r="I16" t="s">
        <v>54</v>
      </c>
      <c r="J16" s="4">
        <v>0</v>
      </c>
      <c r="K16" s="4">
        <v>0</v>
      </c>
      <c r="Q16" s="12"/>
      <c r="R16" s="12"/>
    </row>
    <row r="17" spans="1:18" ht="12.75" customHeight="1" x14ac:dyDescent="0.2">
      <c r="A17" t="s">
        <v>55</v>
      </c>
      <c r="B17" s="4">
        <v>5</v>
      </c>
      <c r="C17">
        <f t="shared" si="0"/>
        <v>5</v>
      </c>
      <c r="E17" t="s">
        <v>56</v>
      </c>
      <c r="F17" s="11">
        <v>0.85</v>
      </c>
      <c r="G17" s="11">
        <v>0.85</v>
      </c>
      <c r="H17" s="3"/>
      <c r="I17" t="s">
        <v>57</v>
      </c>
      <c r="J17" s="4">
        <v>0</v>
      </c>
      <c r="K17" s="4">
        <v>0</v>
      </c>
      <c r="Q17" s="12"/>
      <c r="R17" s="12"/>
    </row>
    <row r="18" spans="1:18" ht="12.75" customHeight="1" x14ac:dyDescent="0.2">
      <c r="A18" t="s">
        <v>58</v>
      </c>
      <c r="B18" s="4">
        <v>5</v>
      </c>
      <c r="C18">
        <f t="shared" si="0"/>
        <v>5</v>
      </c>
      <c r="F18" s="4"/>
      <c r="G18" s="4"/>
      <c r="I18" t="s">
        <v>59</v>
      </c>
      <c r="J18" s="4">
        <v>0</v>
      </c>
      <c r="K18" s="4">
        <v>0</v>
      </c>
      <c r="P18" s="3"/>
      <c r="Q18" s="3"/>
      <c r="R18" s="3"/>
    </row>
    <row r="19" spans="1:18" ht="12.75" customHeight="1" x14ac:dyDescent="0.2">
      <c r="A19" t="s">
        <v>60</v>
      </c>
      <c r="B19" s="4">
        <v>5</v>
      </c>
      <c r="C19">
        <f t="shared" si="0"/>
        <v>5</v>
      </c>
      <c r="P19" s="3"/>
      <c r="Q19" s="3"/>
      <c r="R19" s="3"/>
    </row>
    <row r="20" spans="1:18" ht="12.75" customHeight="1" x14ac:dyDescent="0.2">
      <c r="A20" t="s">
        <v>61</v>
      </c>
      <c r="B20" s="4">
        <v>5</v>
      </c>
      <c r="C20">
        <f t="shared" si="0"/>
        <v>5</v>
      </c>
      <c r="I20" s="1" t="s">
        <v>62</v>
      </c>
      <c r="P20" s="3"/>
      <c r="Q20" s="3"/>
      <c r="R20" s="3"/>
    </row>
    <row r="21" spans="1:18" ht="12.75" customHeight="1" x14ac:dyDescent="0.2">
      <c r="E21" s="1" t="s">
        <v>63</v>
      </c>
      <c r="F21" s="1" t="s">
        <v>0</v>
      </c>
      <c r="G21" s="1" t="s">
        <v>1</v>
      </c>
      <c r="H21" s="4"/>
      <c r="I21" t="s">
        <v>64</v>
      </c>
      <c r="J21" s="4">
        <v>0</v>
      </c>
      <c r="K21" s="4">
        <v>0</v>
      </c>
      <c r="P21" s="3"/>
      <c r="Q21" s="3"/>
      <c r="R21" s="3"/>
    </row>
    <row r="22" spans="1:18" ht="12.75" customHeight="1" x14ac:dyDescent="0.2">
      <c r="A22" s="1" t="s">
        <v>65</v>
      </c>
      <c r="E22" s="3"/>
      <c r="F22" s="3"/>
      <c r="G22" s="3"/>
      <c r="H22" s="4"/>
      <c r="P22" s="3"/>
      <c r="Q22" s="3"/>
      <c r="R22" s="3"/>
    </row>
    <row r="23" spans="1:18" ht="12.75" customHeight="1" x14ac:dyDescent="0.2">
      <c r="A23" s="3" t="s">
        <v>66</v>
      </c>
      <c r="B23" t="str">
        <f>Gear!A3</f>
        <v>GreatSword</v>
      </c>
      <c r="C23" t="str">
        <f>Gear!AA3</f>
        <v>GreatSword</v>
      </c>
      <c r="E23" s="1" t="s">
        <v>67</v>
      </c>
      <c r="H23" s="4"/>
      <c r="I23" s="13" t="s">
        <v>68</v>
      </c>
      <c r="J23" s="13" t="s">
        <v>0</v>
      </c>
      <c r="K23" s="13" t="s">
        <v>1</v>
      </c>
      <c r="L23" s="13" t="s">
        <v>69</v>
      </c>
      <c r="M23" s="13" t="s">
        <v>70</v>
      </c>
      <c r="N23" s="13" t="s">
        <v>71</v>
      </c>
      <c r="O23" s="13" t="s">
        <v>72</v>
      </c>
      <c r="P23" s="3"/>
      <c r="Q23" s="3"/>
      <c r="R23" s="3"/>
    </row>
    <row r="24" spans="1:18" ht="12.75" customHeight="1" x14ac:dyDescent="0.2">
      <c r="A24" t="s">
        <v>73</v>
      </c>
      <c r="B24" s="4" t="s">
        <v>74</v>
      </c>
      <c r="C24" s="4" t="s">
        <v>74</v>
      </c>
      <c r="E24" t="s">
        <v>75</v>
      </c>
      <c r="F24" s="4">
        <v>0</v>
      </c>
      <c r="G24" s="4">
        <v>0</v>
      </c>
      <c r="H24" s="4"/>
      <c r="I24" s="13" t="s">
        <v>76</v>
      </c>
      <c r="J24" s="14">
        <v>0</v>
      </c>
      <c r="K24" s="14">
        <v>0</v>
      </c>
      <c r="L24" s="7" t="s">
        <v>77</v>
      </c>
      <c r="M24" s="13"/>
      <c r="N24" s="7" t="s">
        <v>77</v>
      </c>
      <c r="O24" s="13"/>
      <c r="P24" s="3"/>
      <c r="Q24" s="3"/>
      <c r="R24" s="3"/>
    </row>
    <row r="25" spans="1:18" ht="12.75" customHeight="1" x14ac:dyDescent="0.2">
      <c r="A25" t="s">
        <v>78</v>
      </c>
      <c r="B25" s="10">
        <v>0</v>
      </c>
      <c r="C25" s="10">
        <v>0</v>
      </c>
      <c r="E25" t="s">
        <v>79</v>
      </c>
      <c r="F25" s="7">
        <v>70</v>
      </c>
      <c r="G25" s="7">
        <f>F25</f>
        <v>70</v>
      </c>
      <c r="H25" s="4"/>
      <c r="I25" s="13" t="s">
        <v>80</v>
      </c>
      <c r="J25" s="14">
        <v>0</v>
      </c>
      <c r="K25" s="14">
        <v>0</v>
      </c>
      <c r="L25" s="7" t="s">
        <v>702</v>
      </c>
      <c r="M25" s="13"/>
      <c r="N25" s="7" t="s">
        <v>702</v>
      </c>
      <c r="O25" s="13"/>
      <c r="P25" s="3"/>
      <c r="Q25" s="3"/>
      <c r="R25" s="3"/>
    </row>
    <row r="26" spans="1:18" ht="12.75" customHeight="1" x14ac:dyDescent="0.2">
      <c r="A26" t="s">
        <v>82</v>
      </c>
      <c r="B26" s="4">
        <v>0</v>
      </c>
      <c r="C26" s="4">
        <v>0</v>
      </c>
      <c r="E26" t="s">
        <v>83</v>
      </c>
      <c r="F26" s="4" t="s">
        <v>51</v>
      </c>
      <c r="G26" s="4" t="s">
        <v>51</v>
      </c>
      <c r="I26" s="13" t="s">
        <v>86</v>
      </c>
      <c r="J26" s="14">
        <v>0</v>
      </c>
      <c r="K26" s="14">
        <v>0</v>
      </c>
      <c r="L26" s="7" t="s">
        <v>702</v>
      </c>
      <c r="M26" s="13"/>
      <c r="N26" s="7" t="s">
        <v>702</v>
      </c>
      <c r="O26" s="13"/>
      <c r="P26" s="3"/>
      <c r="Q26" s="3"/>
      <c r="R26" s="3"/>
    </row>
    <row r="27" spans="1:18" ht="12.75" customHeight="1" x14ac:dyDescent="0.2">
      <c r="A27" t="s">
        <v>87</v>
      </c>
      <c r="B27" s="7">
        <v>210</v>
      </c>
      <c r="C27" s="7">
        <v>210</v>
      </c>
      <c r="E27" t="s">
        <v>88</v>
      </c>
      <c r="F27" s="4" t="s">
        <v>51</v>
      </c>
      <c r="G27" s="4" t="s">
        <v>89</v>
      </c>
      <c r="I27" s="13" t="s">
        <v>90</v>
      </c>
      <c r="J27" s="14">
        <v>0</v>
      </c>
      <c r="K27" s="14">
        <v>0</v>
      </c>
      <c r="L27" s="7" t="s">
        <v>702</v>
      </c>
      <c r="M27" s="7">
        <v>25</v>
      </c>
      <c r="N27" s="7" t="s">
        <v>702</v>
      </c>
      <c r="O27" s="7">
        <v>25</v>
      </c>
      <c r="P27" s="3"/>
      <c r="Q27" s="3"/>
      <c r="R27" s="3"/>
    </row>
    <row r="28" spans="1:18" ht="12.75" customHeight="1" x14ac:dyDescent="0.2">
      <c r="A28" t="s">
        <v>91</v>
      </c>
      <c r="B28" s="2">
        <v>1</v>
      </c>
      <c r="C28" s="4">
        <v>1</v>
      </c>
      <c r="E28" t="s">
        <v>92</v>
      </c>
      <c r="F28" s="4" t="s">
        <v>51</v>
      </c>
      <c r="G28" s="4" t="s">
        <v>84</v>
      </c>
      <c r="I28" s="13" t="s">
        <v>94</v>
      </c>
      <c r="J28" s="14">
        <v>0</v>
      </c>
      <c r="K28" s="14">
        <v>0</v>
      </c>
      <c r="L28" s="7" t="s">
        <v>81</v>
      </c>
      <c r="M28" s="15">
        <f>M27</f>
        <v>25</v>
      </c>
      <c r="N28" s="7" t="s">
        <v>81</v>
      </c>
      <c r="O28" s="15">
        <f>O27</f>
        <v>25</v>
      </c>
      <c r="P28" s="3"/>
      <c r="Q28" s="3"/>
      <c r="R28" s="3"/>
    </row>
    <row r="29" spans="1:18" ht="12.75" customHeight="1" x14ac:dyDescent="0.2">
      <c r="I29" s="13" t="s">
        <v>95</v>
      </c>
      <c r="J29" s="14">
        <v>0</v>
      </c>
      <c r="K29" s="14">
        <v>0</v>
      </c>
      <c r="L29" s="7" t="s">
        <v>96</v>
      </c>
      <c r="M29" s="7">
        <v>25</v>
      </c>
      <c r="N29" s="7" t="s">
        <v>96</v>
      </c>
      <c r="O29" s="7">
        <v>25</v>
      </c>
      <c r="P29" s="3"/>
      <c r="Q29" s="3"/>
      <c r="R29" s="3"/>
    </row>
    <row r="30" spans="1:18" ht="12.75" customHeight="1" x14ac:dyDescent="0.2">
      <c r="A30" s="1" t="s">
        <v>97</v>
      </c>
      <c r="B30" s="1" t="s">
        <v>0</v>
      </c>
      <c r="C30" s="1" t="s">
        <v>1</v>
      </c>
      <c r="E30" s="1" t="s">
        <v>98</v>
      </c>
      <c r="F30" s="4">
        <v>0</v>
      </c>
      <c r="G30">
        <f>F30</f>
        <v>0</v>
      </c>
      <c r="I30" s="13" t="s">
        <v>99</v>
      </c>
      <c r="J30" s="14">
        <v>0</v>
      </c>
      <c r="K30" s="14">
        <v>0</v>
      </c>
      <c r="L30" s="7" t="s">
        <v>96</v>
      </c>
      <c r="M30" s="15">
        <f>M29</f>
        <v>25</v>
      </c>
      <c r="N30" s="7" t="s">
        <v>96</v>
      </c>
      <c r="O30" s="15">
        <f>O29</f>
        <v>25</v>
      </c>
      <c r="Q30" s="12"/>
      <c r="R30" s="12"/>
    </row>
    <row r="31" spans="1:18" ht="12.75" customHeight="1" x14ac:dyDescent="0.2">
      <c r="A31" t="s">
        <v>100</v>
      </c>
      <c r="B31" s="16">
        <f ca="1">Data!B225</f>
        <v>678.69303546770436</v>
      </c>
      <c r="C31" s="16">
        <f ca="1">Data!C225</f>
        <v>678.69303546770436</v>
      </c>
      <c r="E31" t="s">
        <v>101</v>
      </c>
      <c r="F31" s="17" t="s">
        <v>102</v>
      </c>
      <c r="G31" s="17" t="s">
        <v>102</v>
      </c>
      <c r="I31" s="13" t="s">
        <v>103</v>
      </c>
      <c r="J31" s="18">
        <f>J24</f>
        <v>0</v>
      </c>
      <c r="K31" s="18">
        <f>K24</f>
        <v>0</v>
      </c>
      <c r="L31" s="18" t="s">
        <v>77</v>
      </c>
      <c r="M31" s="18"/>
      <c r="N31" s="18" t="str">
        <f>N24</f>
        <v>“+4”</v>
      </c>
      <c r="O31" s="3"/>
    </row>
    <row r="32" spans="1:18" ht="12.75" customHeight="1" x14ac:dyDescent="0.2">
      <c r="A32" t="s">
        <v>104</v>
      </c>
      <c r="B32" s="12">
        <f ca="1">Data!B239</f>
        <v>111.03362543438926</v>
      </c>
      <c r="C32" s="12">
        <f ca="1">Data!C239</f>
        <v>111.03362543438926</v>
      </c>
      <c r="E32" t="s">
        <v>105</v>
      </c>
      <c r="F32" s="17" t="s">
        <v>102</v>
      </c>
      <c r="G32" s="17" t="s">
        <v>102</v>
      </c>
      <c r="I32" s="13" t="s">
        <v>106</v>
      </c>
      <c r="J32" s="18">
        <f>J24</f>
        <v>0</v>
      </c>
      <c r="K32" s="18">
        <f>K24</f>
        <v>0</v>
      </c>
      <c r="L32" s="18" t="s">
        <v>77</v>
      </c>
      <c r="M32" s="18"/>
      <c r="N32" s="18" t="str">
        <f>N24</f>
        <v>“+4”</v>
      </c>
      <c r="O32" s="3"/>
      <c r="Q32" s="12"/>
      <c r="R32" s="12"/>
    </row>
    <row r="33" spans="1:18" ht="12.75" customHeight="1" x14ac:dyDescent="0.2">
      <c r="E33" t="s">
        <v>107</v>
      </c>
      <c r="F33" s="17" t="s">
        <v>102</v>
      </c>
      <c r="G33" s="17" t="s">
        <v>102</v>
      </c>
      <c r="I33" s="13" t="s">
        <v>108</v>
      </c>
      <c r="J33" s="18">
        <f>J24</f>
        <v>0</v>
      </c>
      <c r="K33" s="18">
        <f>K24</f>
        <v>0</v>
      </c>
      <c r="L33" s="18" t="s">
        <v>77</v>
      </c>
      <c r="M33" s="18"/>
      <c r="N33" s="18" t="str">
        <f>N24</f>
        <v>“+4”</v>
      </c>
      <c r="O33" s="3"/>
    </row>
    <row r="34" spans="1:18" ht="12.75" customHeight="1" x14ac:dyDescent="0.2">
      <c r="A34" t="s">
        <v>109</v>
      </c>
      <c r="B34" s="19">
        <f ca="1">Data!D247</f>
        <v>3.3424309610985694</v>
      </c>
      <c r="C34" s="19">
        <f ca="1">Data!E247</f>
        <v>3.3424309610985694</v>
      </c>
      <c r="L34" s="3"/>
    </row>
    <row r="35" spans="1:18" ht="12.75" customHeight="1" x14ac:dyDescent="0.2">
      <c r="A35" s="3" t="s">
        <v>110</v>
      </c>
      <c r="B35" s="16">
        <f ca="1">Data!D246</f>
        <v>3280.5823627754135</v>
      </c>
      <c r="C35" s="16">
        <f ca="1">Data!E246</f>
        <v>3280.5823627754135</v>
      </c>
      <c r="E35" t="s">
        <v>111</v>
      </c>
      <c r="F35" s="4">
        <v>0</v>
      </c>
      <c r="G35" s="4">
        <v>0</v>
      </c>
    </row>
    <row r="36" spans="1:18" ht="12.75" customHeight="1" x14ac:dyDescent="0.2">
      <c r="I36" s="1" t="s">
        <v>112</v>
      </c>
      <c r="M36" s="1" t="s">
        <v>0</v>
      </c>
      <c r="N36" s="1" t="s">
        <v>1</v>
      </c>
      <c r="Q36" s="12"/>
      <c r="R36" s="12"/>
    </row>
    <row r="37" spans="1:18" ht="12.75" customHeight="1" x14ac:dyDescent="0.2">
      <c r="A37" t="s">
        <v>113</v>
      </c>
      <c r="B37" s="16">
        <f ca="1">Data!D249</f>
        <v>5549.0669776046379</v>
      </c>
      <c r="C37" s="16">
        <f ca="1">Data!E249</f>
        <v>5549.0669776046379</v>
      </c>
      <c r="E37" s="1" t="s">
        <v>114</v>
      </c>
      <c r="I37" t="s">
        <v>115</v>
      </c>
      <c r="J37" s="4">
        <v>0</v>
      </c>
      <c r="K37" s="4">
        <v>0</v>
      </c>
      <c r="L37" t="s">
        <v>116</v>
      </c>
      <c r="M37" s="11">
        <v>0.25</v>
      </c>
      <c r="N37" s="11">
        <v>0.25</v>
      </c>
    </row>
    <row r="38" spans="1:18" ht="12.75" customHeight="1" x14ac:dyDescent="0.2">
      <c r="A38" t="s">
        <v>117</v>
      </c>
      <c r="B38" s="16">
        <f ca="1">Data!D248</f>
        <v>1345.8365549829002</v>
      </c>
      <c r="C38" s="16">
        <f ca="1">Data!E248</f>
        <v>1345.8365549829002</v>
      </c>
      <c r="E38" s="3" t="s">
        <v>118</v>
      </c>
      <c r="F38" s="4">
        <v>0</v>
      </c>
      <c r="G38" s="4">
        <v>0</v>
      </c>
      <c r="I38" t="s">
        <v>119</v>
      </c>
      <c r="J38" s="4">
        <v>0</v>
      </c>
      <c r="K38" s="4">
        <v>0</v>
      </c>
      <c r="L38" t="s">
        <v>120</v>
      </c>
      <c r="M38" s="7">
        <v>40</v>
      </c>
      <c r="N38" s="7">
        <v>40</v>
      </c>
    </row>
    <row r="39" spans="1:18" ht="12.75" customHeight="1" x14ac:dyDescent="0.2">
      <c r="I39" t="s">
        <v>121</v>
      </c>
      <c r="J39" s="4">
        <v>0</v>
      </c>
      <c r="K39" s="4">
        <v>0</v>
      </c>
      <c r="L39" t="s">
        <v>122</v>
      </c>
      <c r="M39" s="11">
        <v>0.16</v>
      </c>
      <c r="N39" s="11">
        <v>0.16</v>
      </c>
    </row>
    <row r="40" spans="1:18" ht="12.75" customHeight="1" x14ac:dyDescent="0.2">
      <c r="A40" s="1" t="s">
        <v>123</v>
      </c>
      <c r="B40" s="20">
        <f ca="1">Data!D250</f>
        <v>247.38815231579778</v>
      </c>
      <c r="C40" s="20">
        <f ca="1">Data!E250</f>
        <v>247.38815231579778</v>
      </c>
      <c r="I40" t="s">
        <v>124</v>
      </c>
      <c r="J40" s="4">
        <v>0</v>
      </c>
      <c r="K40" s="4">
        <v>0</v>
      </c>
      <c r="L40" t="s">
        <v>125</v>
      </c>
      <c r="M40" s="11">
        <v>0.15</v>
      </c>
      <c r="N40" s="11">
        <v>0.15</v>
      </c>
    </row>
    <row r="41" spans="1:18" ht="12.75" customHeight="1" x14ac:dyDescent="0.2">
      <c r="A41" s="118" t="s">
        <v>883</v>
      </c>
      <c r="B41" s="119" t="str">
        <f ca="1">IF(B40=C40,"Tied!",IF(B40&gt;C40,"Set 1 Wins!",CONCATENATE(TRUNC((100*C40/B40)-100,2),"% Lead")))</f>
        <v>Tied!</v>
      </c>
      <c r="C41" s="119" t="str">
        <f ca="1">IF(B40=C40,"Tied!",IF(B40&gt;C40,CONCATENATE(TRUNC((100*B40/C40)-100,2),"% Lead"),"Set 2 Wins!"))</f>
        <v>Tied!</v>
      </c>
      <c r="E41" t="s">
        <v>126</v>
      </c>
      <c r="F41" s="4">
        <v>0</v>
      </c>
      <c r="G41" s="4">
        <v>0</v>
      </c>
      <c r="I41" t="s">
        <v>127</v>
      </c>
      <c r="J41" s="4">
        <v>0</v>
      </c>
      <c r="K41" s="4">
        <v>0</v>
      </c>
      <c r="L41" t="s">
        <v>128</v>
      </c>
      <c r="M41" s="7">
        <v>25</v>
      </c>
      <c r="N41" s="7">
        <v>25</v>
      </c>
    </row>
    <row r="42" spans="1:18" ht="12.75" customHeight="1" x14ac:dyDescent="0.2">
      <c r="A42" s="3"/>
      <c r="B42" s="16"/>
      <c r="C42" s="16"/>
      <c r="I42" t="s">
        <v>129</v>
      </c>
      <c r="J42" s="4">
        <v>0</v>
      </c>
      <c r="K42" s="4">
        <v>0</v>
      </c>
      <c r="L42" t="s">
        <v>130</v>
      </c>
      <c r="M42" s="7">
        <v>40</v>
      </c>
      <c r="N42" s="7">
        <v>40</v>
      </c>
    </row>
    <row r="43" spans="1:18" ht="12.75" customHeight="1" x14ac:dyDescent="0.2">
      <c r="A43" s="1" t="s">
        <v>97</v>
      </c>
      <c r="B43" s="1" t="s">
        <v>0</v>
      </c>
      <c r="C43" s="1" t="s">
        <v>1</v>
      </c>
      <c r="D43" t="s">
        <v>132</v>
      </c>
      <c r="E43" s="1" t="s">
        <v>133</v>
      </c>
      <c r="F43" s="4"/>
      <c r="G43" s="4"/>
      <c r="I43" t="s">
        <v>134</v>
      </c>
      <c r="J43" s="4">
        <v>0</v>
      </c>
      <c r="K43" s="4">
        <v>0</v>
      </c>
      <c r="L43" t="s">
        <v>135</v>
      </c>
      <c r="M43" s="7">
        <v>200</v>
      </c>
      <c r="N43" s="7">
        <v>200</v>
      </c>
    </row>
    <row r="44" spans="1:18" ht="12.75" customHeight="1" x14ac:dyDescent="0.2">
      <c r="A44" t="s">
        <v>131</v>
      </c>
      <c r="D44">
        <f>B45+C45</f>
        <v>140</v>
      </c>
      <c r="E44" t="s">
        <v>137</v>
      </c>
      <c r="F44" s="4">
        <v>0.5</v>
      </c>
      <c r="G44" s="4">
        <v>0.5</v>
      </c>
    </row>
    <row r="45" spans="1:18" ht="12.75" customHeight="1" x14ac:dyDescent="0.2">
      <c r="A45" t="s">
        <v>136</v>
      </c>
      <c r="B45" s="4">
        <v>70</v>
      </c>
      <c r="C45" s="4">
        <v>70</v>
      </c>
      <c r="E45" t="s">
        <v>139</v>
      </c>
      <c r="F45" s="4">
        <v>0</v>
      </c>
      <c r="G45" s="4">
        <v>0</v>
      </c>
    </row>
    <row r="46" spans="1:18" ht="12.75" customHeight="1" x14ac:dyDescent="0.2">
      <c r="A46" s="1" t="s">
        <v>138</v>
      </c>
      <c r="B46" s="12">
        <f ca="1">B40*B45/D44 + C40*C45/D44</f>
        <v>247.38815231579778</v>
      </c>
      <c r="C46" s="12"/>
      <c r="D46" s="4"/>
      <c r="E46" t="s">
        <v>140</v>
      </c>
      <c r="F46" s="4">
        <v>1000</v>
      </c>
      <c r="G46" s="2">
        <v>1000</v>
      </c>
    </row>
    <row r="47" spans="1:18" ht="12.75" customHeight="1" x14ac:dyDescent="0.2">
      <c r="E47" t="s">
        <v>141</v>
      </c>
      <c r="F47" s="4">
        <v>0</v>
      </c>
      <c r="G47" s="4">
        <v>0</v>
      </c>
    </row>
    <row r="48" spans="1:18" ht="12.75" customHeight="1" x14ac:dyDescent="0.2">
      <c r="D48" s="4"/>
    </row>
    <row r="49" spans="4:11" ht="12.75" customHeight="1" x14ac:dyDescent="0.2">
      <c r="D49" s="4"/>
    </row>
    <row r="50" spans="4:11" ht="12.75" customHeight="1" x14ac:dyDescent="0.2">
      <c r="I50" s="21" t="s">
        <v>142</v>
      </c>
      <c r="J50" s="21" t="s">
        <v>0</v>
      </c>
      <c r="K50" s="21" t="s">
        <v>1</v>
      </c>
    </row>
    <row r="51" spans="4:11" ht="12.75" customHeight="1" x14ac:dyDescent="0.2">
      <c r="I51" s="13" t="s">
        <v>143</v>
      </c>
      <c r="J51" s="7" t="s">
        <v>51</v>
      </c>
      <c r="K51" s="7" t="s">
        <v>51</v>
      </c>
    </row>
    <row r="52" spans="4:11" ht="12.75" customHeight="1" x14ac:dyDescent="0.2">
      <c r="I52" s="13" t="s">
        <v>145</v>
      </c>
      <c r="J52" s="7" t="s">
        <v>51</v>
      </c>
      <c r="K52" s="7" t="s">
        <v>51</v>
      </c>
    </row>
    <row r="53" spans="4:11" ht="12.75" customHeight="1" x14ac:dyDescent="0.2">
      <c r="I53" s="13" t="s">
        <v>147</v>
      </c>
      <c r="J53" s="7" t="s">
        <v>711</v>
      </c>
      <c r="K53" s="7" t="s">
        <v>711</v>
      </c>
    </row>
    <row r="54" spans="4:11" ht="12.75" customHeight="1" x14ac:dyDescent="0.2"/>
    <row r="55" spans="4:11" ht="12.75" customHeight="1" x14ac:dyDescent="0.2"/>
    <row r="56" spans="4:11" ht="12.75" customHeight="1" x14ac:dyDescent="0.2"/>
    <row r="57" spans="4:11" ht="12.75" customHeight="1" x14ac:dyDescent="0.2"/>
    <row r="58" spans="4:11" ht="12.75" customHeight="1" x14ac:dyDescent="0.2"/>
    <row r="59" spans="4:11" ht="12.75" customHeight="1" x14ac:dyDescent="0.2"/>
    <row r="60" spans="4:11" ht="12.75" customHeight="1" x14ac:dyDescent="0.2"/>
    <row r="61" spans="4:11" ht="12.75" customHeight="1" x14ac:dyDescent="0.2"/>
    <row r="62" spans="4:11" ht="12.75" customHeight="1" x14ac:dyDescent="0.2"/>
    <row r="63" spans="4:11" ht="12.75" customHeight="1" x14ac:dyDescent="0.2"/>
    <row r="64" spans="4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conditionalFormatting sqref="K15 K11 G25 K7 G12 C27 G16:G17 G5">
    <cfRule type="cellIs" dxfId="19" priority="1" operator="notEqual">
      <formula>INDIRECT(ADDRESS(ROW(), COLUMN()-1))</formula>
    </cfRule>
  </conditionalFormatting>
  <conditionalFormatting sqref="K21 K12 K16:K18 G44:G47 G24 G8:G11 G35 K4 G41 G13:G15 G18 G4 G38 K8">
    <cfRule type="cellIs" dxfId="18" priority="2" operator="notEqual">
      <formula>INDIRECT(ADDRESS(ROW(), COLUMN()-1))</formula>
    </cfRule>
  </conditionalFormatting>
  <conditionalFormatting sqref="G6">
    <cfRule type="expression" dxfId="17" priority="3">
      <formula>AND(#REF!=1, $G$6=1)</formula>
    </cfRule>
  </conditionalFormatting>
  <conditionalFormatting sqref="G6">
    <cfRule type="cellIs" dxfId="16" priority="4" operator="notEqual">
      <formula>F6</formula>
    </cfRule>
  </conditionalFormatting>
  <conditionalFormatting sqref="C26 C28">
    <cfRule type="expression" dxfId="15" priority="5">
      <formula>AND($C$26=1, $C$28=1)</formula>
    </cfRule>
  </conditionalFormatting>
  <conditionalFormatting sqref="C26 C28">
    <cfRule type="cellIs" dxfId="14" priority="6" operator="notEqual">
      <formula>B26</formula>
    </cfRule>
  </conditionalFormatting>
  <conditionalFormatting sqref="F6">
    <cfRule type="expression" dxfId="13" priority="7">
      <formula>AND(#REF!=1, $F$6=1)</formula>
    </cfRule>
  </conditionalFormatting>
  <conditionalFormatting sqref="B26 B28">
    <cfRule type="expression" dxfId="12" priority="8">
      <formula>AND($B$26=1, $B$28=1)</formula>
    </cfRule>
  </conditionalFormatting>
  <conditionalFormatting sqref="J8">
    <cfRule type="expression" dxfId="11" priority="9">
      <formula>AND($J$8=1,#REF!= 1)</formula>
    </cfRule>
  </conditionalFormatting>
  <conditionalFormatting sqref="N37:N43">
    <cfRule type="cellIs" dxfId="10" priority="10" operator="notEqual">
      <formula>INDIRECT(ADDRESS(ROW(), COLUMN()-1))</formula>
    </cfRule>
  </conditionalFormatting>
  <conditionalFormatting sqref="K37:K43">
    <cfRule type="cellIs" dxfId="9" priority="11" operator="notEqual">
      <formula>INDIRECT(ADDRESS(ROW(), COLUMN()-1))</formula>
    </cfRule>
  </conditionalFormatting>
  <conditionalFormatting sqref="K24:K26">
    <cfRule type="cellIs" dxfId="8" priority="12" operator="notEqual">
      <formula>INDIRECT(ADDRESS(ROW(), COLUMN()-1))</formula>
    </cfRule>
  </conditionalFormatting>
  <conditionalFormatting sqref="K27:K29">
    <cfRule type="cellIs" dxfId="7" priority="13" operator="notEqual">
      <formula>INDIRECT(ADDRESS(ROW(), COLUMN()-1))</formula>
    </cfRule>
  </conditionalFormatting>
  <conditionalFormatting sqref="K30">
    <cfRule type="cellIs" dxfId="6" priority="14" operator="notEqual">
      <formula>INDIRECT(ADDRESS(ROW(), COLUMN()-1))</formula>
    </cfRule>
  </conditionalFormatting>
  <conditionalFormatting sqref="K53">
    <cfRule type="cellIs" dxfId="5" priority="15" operator="notEqual">
      <formula>INDIRECT(ADDRESS(ROW(), COLUMN()-1))</formula>
    </cfRule>
  </conditionalFormatting>
  <conditionalFormatting sqref="K51:K52">
    <cfRule type="cellIs" dxfId="4" priority="16" operator="notEqual">
      <formula>INDIRECT(ADDRESS(ROW(), COLUMN()-1))</formula>
    </cfRule>
  </conditionalFormatting>
  <dataValidations disablePrompts="1" count="23">
    <dataValidation type="list" allowBlank="1" showErrorMessage="1" sqref="B5" xr:uid="{00000000-0002-0000-0000-000000000000}">
      <formula1>Subjobs</formula1>
    </dataValidation>
    <dataValidation type="list" allowBlank="1" showErrorMessage="1" sqref="C24" xr:uid="{00000000-0002-0000-0000-000001000000}">
      <formula1>INDIRECT($C$23&amp;"WS")</formula1>
    </dataValidation>
    <dataValidation type="decimal" allowBlank="1" showErrorMessage="1" sqref="B9:B10" xr:uid="{00000000-0002-0000-0000-000002000000}">
      <formula1>0</formula1>
      <formula2>15</formula2>
    </dataValidation>
    <dataValidation type="decimal" allowBlank="1" showErrorMessage="1" sqref="F46:G46" xr:uid="{00000000-0002-0000-0000-000003000000}">
      <formula1>1000</formula1>
      <formula2>3000</formula2>
    </dataValidation>
    <dataValidation type="list" allowBlank="1" showErrorMessage="1" sqref="F4:G4 J4:K4 J8:K8 F8:G11 J12:K12 F13:G14 F18:G18 J16:K18 J21:K21 F24:G24 B26:C26 B28:C28 F30 J24:K30 F35:G35 F38:G38 F41:G41 J37:K43 D46 D48" xr:uid="{00000000-0002-0000-0000-000004000000}">
      <formula1>Toggle</formula1>
    </dataValidation>
    <dataValidation type="decimal" allowBlank="1" showErrorMessage="1" sqref="B11" xr:uid="{00000000-0002-0000-0000-000005000000}">
      <formula1>0</formula1>
      <formula2>150</formula2>
    </dataValidation>
    <dataValidation type="list" allowBlank="1" showErrorMessage="1" sqref="N1" xr:uid="{00000000-0002-0000-0000-000006000000}">
      <formula1>MobList</formula1>
    </dataValidation>
    <dataValidation type="decimal" allowBlank="1" showErrorMessage="1" sqref="F5:G5" xr:uid="{00000000-0002-0000-0000-000007000000}">
      <formula1>0</formula1>
      <formula2>50</formula2>
    </dataValidation>
    <dataValidation type="decimal" allowBlank="1" showErrorMessage="1" sqref="J7:K7 J11:K11 J15:K15" xr:uid="{00000000-0002-0000-0000-000008000000}">
      <formula1>0</formula1>
      <formula2>500</formula2>
    </dataValidation>
    <dataValidation type="list" allowBlank="1" showErrorMessage="1" sqref="B24" xr:uid="{00000000-0002-0000-0000-000009000000}">
      <formula1>INDIRECT($B$23&amp;"WS")</formula1>
    </dataValidation>
    <dataValidation type="decimal" allowBlank="1" showErrorMessage="1" sqref="B27:C27" xr:uid="{00000000-0002-0000-0000-00000A000000}">
      <formula1>200</formula1>
      <formula2>299</formula2>
    </dataValidation>
    <dataValidation type="list" allowBlank="1" showErrorMessage="1" sqref="J53:K53" xr:uid="{00000000-0002-0000-0000-00000B000000}">
      <formula1>GeomancyBonuses</formula1>
    </dataValidation>
    <dataValidation type="list" allowBlank="1" showErrorMessage="1" sqref="B3" xr:uid="{00000000-0002-0000-0000-00000C000000}">
      <formula1>Races</formula1>
    </dataValidation>
    <dataValidation type="list" allowBlank="1" showErrorMessage="1" sqref="F15:G15" xr:uid="{00000000-0002-0000-0000-00000D000000}">
      <formula1>SouleaterOptions</formula1>
    </dataValidation>
    <dataValidation type="list" allowBlank="1" showErrorMessage="1" sqref="L29:L30 N29:N30" xr:uid="{00000000-0002-0000-0000-00000E000000}">
      <formula1>SongsMadrigalBonuses</formula1>
    </dataValidation>
    <dataValidation type="list" allowBlank="1" showErrorMessage="1" sqref="J51:K52" xr:uid="{00000000-0002-0000-0000-00000F000000}">
      <formula1>GeomancySpells</formula1>
    </dataValidation>
    <dataValidation type="decimal" allowBlank="1" showErrorMessage="1" sqref="B13:B14 B17:B20" xr:uid="{00000000-0002-0000-0000-000010000000}">
      <formula1>0</formula1>
      <formula2>16</formula2>
    </dataValidation>
    <dataValidation type="list" allowBlank="1" showErrorMessage="1" sqref="L25:L28 N25:N28" xr:uid="{00000000-0002-0000-0000-000011000000}">
      <formula1>SongsMinuetBonuses</formula1>
    </dataValidation>
    <dataValidation type="list" allowBlank="1" showErrorMessage="1" sqref="I4" xr:uid="{00000000-0002-0000-0000-000012000000}">
      <formula1>Hastes</formula1>
    </dataValidation>
    <dataValidation type="list" allowBlank="1" showErrorMessage="1" sqref="I8" xr:uid="{00000000-0002-0000-0000-000013000000}">
      <formula1>Boosts</formula1>
    </dataValidation>
    <dataValidation type="list" allowBlank="1" showErrorMessage="1" sqref="F26:G28" xr:uid="{00000000-0002-0000-0000-000014000000}">
      <formula1>Atmas</formula1>
    </dataValidation>
    <dataValidation type="decimal" allowBlank="1" showErrorMessage="1" sqref="B4" xr:uid="{00000000-0002-0000-0000-000015000000}">
      <formula1>75</formula1>
      <formula2>99</formula2>
    </dataValidation>
    <dataValidation type="list" allowBlank="1" showErrorMessage="1" sqref="B6" xr:uid="{00000000-0002-0000-0000-000016000000}">
      <formula1>FoodList</formula1>
    </dataValidation>
  </dataValidation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FFCC"/>
  </sheetPr>
  <dimension ref="A1:AX1001"/>
  <sheetViews>
    <sheetView tabSelected="1" workbookViewId="0">
      <selection activeCell="AB35" sqref="AB35"/>
    </sheetView>
  </sheetViews>
  <sheetFormatPr defaultColWidth="14.42578125" defaultRowHeight="15" customHeight="1" x14ac:dyDescent="0.2"/>
  <cols>
    <col min="1" max="1" width="15.28515625" customWidth="1"/>
    <col min="2" max="2" width="16.28515625" customWidth="1"/>
    <col min="3" max="3" width="6.5703125" customWidth="1"/>
    <col min="4" max="4" width="5.42578125" customWidth="1"/>
    <col min="5" max="10" width="4.28515625" customWidth="1"/>
    <col min="11" max="14" width="4.7109375" customWidth="1"/>
    <col min="15" max="15" width="5.140625" customWidth="1"/>
    <col min="16" max="18" width="4.7109375" customWidth="1"/>
    <col min="19" max="20" width="6.7109375" customWidth="1"/>
    <col min="21" max="23" width="5.5703125" customWidth="1"/>
    <col min="24" max="24" width="4.85546875" customWidth="1"/>
    <col min="25" max="25" width="3.28515625" customWidth="1"/>
    <col min="26" max="26" width="4.5703125" customWidth="1"/>
    <col min="27" max="27" width="13.28515625" customWidth="1"/>
    <col min="28" max="28" width="18.85546875" customWidth="1"/>
    <col min="29" max="29" width="4.85546875" customWidth="1"/>
    <col min="30" max="30" width="3.85546875" customWidth="1"/>
    <col min="31" max="36" width="4.28515625" customWidth="1"/>
    <col min="37" max="44" width="4.7109375" customWidth="1"/>
    <col min="45" max="46" width="6.7109375" customWidth="1"/>
    <col min="47" max="49" width="5.5703125" customWidth="1"/>
    <col min="50" max="50" width="4.42578125" customWidth="1"/>
  </cols>
  <sheetData>
    <row r="1" spans="1:50" ht="12.75" customHeight="1" x14ac:dyDescent="0.2">
      <c r="A1" t="s">
        <v>149</v>
      </c>
      <c r="V1" s="9"/>
      <c r="AA1" t="s">
        <v>150</v>
      </c>
    </row>
    <row r="2" spans="1:50" ht="12.75" customHeight="1" x14ac:dyDescent="0.2">
      <c r="A2" t="s">
        <v>151</v>
      </c>
      <c r="B2" t="s">
        <v>152</v>
      </c>
      <c r="C2" t="str">
        <f>VLOOKUP(A3, Skills, 2, 0)</f>
        <v>GSkill</v>
      </c>
      <c r="D2" t="str">
        <f>VLOOKUP(A4, Skills, 2, 0)</f>
        <v>None</v>
      </c>
      <c r="E2" t="s">
        <v>30</v>
      </c>
      <c r="F2" t="s">
        <v>33</v>
      </c>
      <c r="G2" t="s">
        <v>29</v>
      </c>
      <c r="H2" t="s">
        <v>153</v>
      </c>
      <c r="I2" t="s">
        <v>154</v>
      </c>
      <c r="J2" t="s">
        <v>37</v>
      </c>
      <c r="K2" t="s">
        <v>155</v>
      </c>
      <c r="L2" t="s">
        <v>156</v>
      </c>
      <c r="M2" t="s">
        <v>120</v>
      </c>
      <c r="N2" t="s">
        <v>157</v>
      </c>
      <c r="O2" t="s">
        <v>158</v>
      </c>
      <c r="P2" t="s">
        <v>159</v>
      </c>
      <c r="Q2" t="s">
        <v>160</v>
      </c>
      <c r="R2" t="s">
        <v>161</v>
      </c>
      <c r="S2" t="s">
        <v>162</v>
      </c>
      <c r="T2" t="s">
        <v>163</v>
      </c>
      <c r="U2" t="s">
        <v>164</v>
      </c>
      <c r="V2" s="9" t="s">
        <v>130</v>
      </c>
      <c r="W2" t="s">
        <v>165</v>
      </c>
      <c r="X2" t="s">
        <v>166</v>
      </c>
      <c r="AA2" t="s">
        <v>151</v>
      </c>
      <c r="AB2" t="s">
        <v>152</v>
      </c>
      <c r="AC2" t="str">
        <f>VLOOKUP(AA3, Skills, 2, 0)</f>
        <v>GSkill</v>
      </c>
      <c r="AD2" t="str">
        <f>VLOOKUP(AA4, Skills, 2, 0)</f>
        <v>None</v>
      </c>
      <c r="AE2" t="s">
        <v>30</v>
      </c>
      <c r="AF2" t="s">
        <v>33</v>
      </c>
      <c r="AG2" t="s">
        <v>29</v>
      </c>
      <c r="AH2" t="s">
        <v>153</v>
      </c>
      <c r="AI2" t="s">
        <v>154</v>
      </c>
      <c r="AJ2" t="s">
        <v>37</v>
      </c>
      <c r="AK2" t="s">
        <v>155</v>
      </c>
      <c r="AL2" t="s">
        <v>156</v>
      </c>
      <c r="AM2" t="s">
        <v>120</v>
      </c>
      <c r="AN2" t="s">
        <v>157</v>
      </c>
      <c r="AO2" t="s">
        <v>158</v>
      </c>
      <c r="AP2" t="s">
        <v>159</v>
      </c>
      <c r="AQ2" t="s">
        <v>160</v>
      </c>
      <c r="AR2" t="s">
        <v>161</v>
      </c>
      <c r="AS2" t="s">
        <v>162</v>
      </c>
      <c r="AT2" t="s">
        <v>163</v>
      </c>
      <c r="AU2" t="s">
        <v>164</v>
      </c>
      <c r="AV2" t="s">
        <v>130</v>
      </c>
      <c r="AW2" t="s">
        <v>165</v>
      </c>
      <c r="AX2" t="s">
        <v>166</v>
      </c>
    </row>
    <row r="3" spans="1:50" ht="12.75" customHeight="1" x14ac:dyDescent="0.2">
      <c r="A3" s="22" t="s">
        <v>167</v>
      </c>
      <c r="B3" s="23" t="s">
        <v>497</v>
      </c>
      <c r="C3">
        <f t="shared" ref="C3:L17" ca="1" si="0">IF(ISBLANK($B3), 0, VLOOKUP($B3, INDIRECT($A3), MATCH(C$2, StatHeader, 0), 0))</f>
        <v>0</v>
      </c>
      <c r="D3" s="24">
        <f t="shared" ca="1" si="0"/>
        <v>0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 s="25">
        <f t="shared" ca="1" si="0"/>
        <v>0</v>
      </c>
      <c r="K3" s="9">
        <f t="shared" ca="1" si="0"/>
        <v>0</v>
      </c>
      <c r="L3">
        <f t="shared" ca="1" si="0"/>
        <v>0</v>
      </c>
      <c r="M3">
        <f t="shared" ref="M3:X17" ca="1" si="1">IF(ISBLANK($B3), 0, VLOOKUP($B3, INDIRECT($A3), MATCH(M$2, StatHeader, 0), 0))</f>
        <v>0</v>
      </c>
      <c r="N3" s="9">
        <f t="shared" ca="1" si="1"/>
        <v>0</v>
      </c>
      <c r="O3" s="9">
        <f t="shared" ca="1" si="1"/>
        <v>0</v>
      </c>
      <c r="P3" s="9">
        <f t="shared" ca="1" si="1"/>
        <v>0</v>
      </c>
      <c r="Q3" s="9">
        <f t="shared" ca="1" si="1"/>
        <v>0</v>
      </c>
      <c r="R3" s="9">
        <f t="shared" ca="1" si="1"/>
        <v>0</v>
      </c>
      <c r="S3" s="9">
        <f t="shared" ca="1" si="1"/>
        <v>0</v>
      </c>
      <c r="T3" s="9">
        <f t="shared" ca="1" si="1"/>
        <v>0</v>
      </c>
      <c r="U3" s="3">
        <f t="shared" ca="1" si="1"/>
        <v>0</v>
      </c>
      <c r="V3" s="9">
        <f t="shared" ca="1" si="1"/>
        <v>0</v>
      </c>
      <c r="W3" s="9">
        <f t="shared" ca="1" si="1"/>
        <v>0</v>
      </c>
      <c r="X3" s="25">
        <f t="shared" ca="1" si="1"/>
        <v>0</v>
      </c>
      <c r="Z3" t="str">
        <f t="shared" ref="Z3:Z17" si="2">IF(B3=AB3, "=", "-")</f>
        <v>=</v>
      </c>
      <c r="AA3" s="22" t="s">
        <v>167</v>
      </c>
      <c r="AB3" s="23" t="s">
        <v>497</v>
      </c>
      <c r="AC3">
        <f t="shared" ref="AC3:AL17" ca="1" si="3">IF(ISBLANK($AB3), 0, VLOOKUP($AB3, INDIRECT($AA3), MATCH(AC$2, StatHeader, 0), 0))</f>
        <v>0</v>
      </c>
      <c r="AD3">
        <f t="shared" ca="1" si="3"/>
        <v>0</v>
      </c>
      <c r="AE3">
        <f t="shared" ca="1" si="3"/>
        <v>0</v>
      </c>
      <c r="AF3">
        <f t="shared" ca="1" si="3"/>
        <v>0</v>
      </c>
      <c r="AG3">
        <f t="shared" ca="1" si="3"/>
        <v>0</v>
      </c>
      <c r="AH3">
        <f t="shared" ca="1" si="3"/>
        <v>0</v>
      </c>
      <c r="AI3">
        <f t="shared" ca="1" si="3"/>
        <v>0</v>
      </c>
      <c r="AJ3">
        <f t="shared" ca="1" si="3"/>
        <v>0</v>
      </c>
      <c r="AK3" s="9">
        <f t="shared" ca="1" si="3"/>
        <v>0</v>
      </c>
      <c r="AL3">
        <f t="shared" ca="1" si="3"/>
        <v>0</v>
      </c>
      <c r="AM3">
        <f t="shared" ref="AM3:AX17" ca="1" si="4">IF(ISBLANK($AB3), 0, VLOOKUP($AB3, INDIRECT($AA3), MATCH(AM$2, StatHeader, 0), 0))</f>
        <v>0</v>
      </c>
      <c r="AN3" s="9">
        <f t="shared" ca="1" si="4"/>
        <v>0</v>
      </c>
      <c r="AO3" s="9">
        <f t="shared" ca="1" si="4"/>
        <v>0</v>
      </c>
      <c r="AP3" s="9">
        <f t="shared" ca="1" si="4"/>
        <v>0</v>
      </c>
      <c r="AQ3" s="9">
        <f t="shared" ca="1" si="4"/>
        <v>0</v>
      </c>
      <c r="AR3" s="9">
        <f t="shared" ca="1" si="4"/>
        <v>0</v>
      </c>
      <c r="AS3" s="9">
        <f t="shared" ca="1" si="4"/>
        <v>0</v>
      </c>
      <c r="AT3" s="9">
        <f t="shared" ca="1" si="4"/>
        <v>0</v>
      </c>
      <c r="AU3" s="3">
        <f t="shared" ca="1" si="4"/>
        <v>0</v>
      </c>
      <c r="AV3">
        <f t="shared" ca="1" si="4"/>
        <v>0</v>
      </c>
      <c r="AW3" s="9">
        <f t="shared" ca="1" si="4"/>
        <v>0</v>
      </c>
      <c r="AX3">
        <f t="shared" ca="1" si="4"/>
        <v>0</v>
      </c>
    </row>
    <row r="4" spans="1:50" ht="12.75" customHeight="1" x14ac:dyDescent="0.2">
      <c r="A4" s="22" t="s">
        <v>170</v>
      </c>
      <c r="B4" s="22" t="s">
        <v>506</v>
      </c>
      <c r="C4">
        <f t="shared" ca="1" si="0"/>
        <v>0</v>
      </c>
      <c r="D4">
        <f t="shared" ca="1" si="0"/>
        <v>0</v>
      </c>
      <c r="E4">
        <f t="shared" ca="1" si="0"/>
        <v>0</v>
      </c>
      <c r="F4">
        <f t="shared" ca="1" si="0"/>
        <v>0</v>
      </c>
      <c r="G4">
        <f t="shared" ca="1" si="0"/>
        <v>0</v>
      </c>
      <c r="H4">
        <f t="shared" ca="1" si="0"/>
        <v>0</v>
      </c>
      <c r="I4">
        <f t="shared" ca="1" si="0"/>
        <v>0</v>
      </c>
      <c r="J4" s="25">
        <f t="shared" ca="1" si="0"/>
        <v>0</v>
      </c>
      <c r="K4" s="24">
        <f t="shared" ca="1" si="0"/>
        <v>0</v>
      </c>
      <c r="L4">
        <f t="shared" ca="1" si="0"/>
        <v>0</v>
      </c>
      <c r="M4">
        <f t="shared" ca="1" si="1"/>
        <v>6</v>
      </c>
      <c r="N4" s="9">
        <f t="shared" ca="1" si="1"/>
        <v>0</v>
      </c>
      <c r="O4" s="9">
        <f t="shared" ca="1" si="1"/>
        <v>0</v>
      </c>
      <c r="P4" s="9">
        <f t="shared" ca="1" si="1"/>
        <v>0</v>
      </c>
      <c r="Q4" s="9">
        <f t="shared" ca="1" si="1"/>
        <v>0</v>
      </c>
      <c r="R4" s="9">
        <f t="shared" ca="1" si="1"/>
        <v>0</v>
      </c>
      <c r="S4" s="9">
        <f t="shared" ca="1" si="1"/>
        <v>0</v>
      </c>
      <c r="T4" s="9">
        <f t="shared" ca="1" si="1"/>
        <v>0</v>
      </c>
      <c r="U4">
        <f t="shared" ca="1" si="1"/>
        <v>0</v>
      </c>
      <c r="V4" s="9">
        <f t="shared" ca="1" si="1"/>
        <v>0</v>
      </c>
      <c r="W4" s="9">
        <f t="shared" ca="1" si="1"/>
        <v>0</v>
      </c>
      <c r="X4" s="25">
        <f t="shared" ca="1" si="1"/>
        <v>6</v>
      </c>
      <c r="Z4" t="str">
        <f t="shared" si="2"/>
        <v>=</v>
      </c>
      <c r="AA4" s="22" t="s">
        <v>170</v>
      </c>
      <c r="AB4" s="22" t="s">
        <v>506</v>
      </c>
      <c r="AC4">
        <f t="shared" ca="1" si="3"/>
        <v>0</v>
      </c>
      <c r="AD4">
        <f t="shared" ca="1" si="3"/>
        <v>0</v>
      </c>
      <c r="AE4">
        <f t="shared" ca="1" si="3"/>
        <v>0</v>
      </c>
      <c r="AF4">
        <f t="shared" ca="1" si="3"/>
        <v>0</v>
      </c>
      <c r="AG4">
        <f t="shared" ca="1" si="3"/>
        <v>0</v>
      </c>
      <c r="AH4">
        <f t="shared" ca="1" si="3"/>
        <v>0</v>
      </c>
      <c r="AI4">
        <f t="shared" ca="1" si="3"/>
        <v>0</v>
      </c>
      <c r="AJ4" s="25">
        <f t="shared" ca="1" si="3"/>
        <v>0</v>
      </c>
      <c r="AK4" s="9">
        <f t="shared" ca="1" si="3"/>
        <v>0</v>
      </c>
      <c r="AL4">
        <f t="shared" ca="1" si="3"/>
        <v>0</v>
      </c>
      <c r="AM4">
        <f t="shared" ca="1" si="4"/>
        <v>6</v>
      </c>
      <c r="AN4" s="9">
        <f t="shared" ca="1" si="4"/>
        <v>0</v>
      </c>
      <c r="AO4" s="9">
        <f t="shared" ca="1" si="4"/>
        <v>0</v>
      </c>
      <c r="AP4" s="9">
        <f t="shared" ca="1" si="4"/>
        <v>0</v>
      </c>
      <c r="AQ4" s="9">
        <f t="shared" ca="1" si="4"/>
        <v>0</v>
      </c>
      <c r="AR4" s="9">
        <f t="shared" ca="1" si="4"/>
        <v>0</v>
      </c>
      <c r="AS4" s="9">
        <f t="shared" ca="1" si="4"/>
        <v>0</v>
      </c>
      <c r="AT4" s="9">
        <f t="shared" ca="1" si="4"/>
        <v>0</v>
      </c>
      <c r="AU4" s="3">
        <f t="shared" ca="1" si="4"/>
        <v>0</v>
      </c>
      <c r="AV4" s="25">
        <f t="shared" ca="1" si="4"/>
        <v>0</v>
      </c>
      <c r="AW4" s="9">
        <f t="shared" ca="1" si="4"/>
        <v>0</v>
      </c>
      <c r="AX4" s="25">
        <f t="shared" ca="1" si="4"/>
        <v>6</v>
      </c>
    </row>
    <row r="5" spans="1:50" ht="12.75" customHeight="1" x14ac:dyDescent="0.2">
      <c r="A5" t="s">
        <v>172</v>
      </c>
      <c r="B5" s="23" t="s">
        <v>519</v>
      </c>
      <c r="C5">
        <f t="shared" ca="1" si="0"/>
        <v>0</v>
      </c>
      <c r="D5">
        <f t="shared" ca="1" si="0"/>
        <v>0</v>
      </c>
      <c r="E5">
        <f t="shared" ca="1" si="0"/>
        <v>0</v>
      </c>
      <c r="F5">
        <f t="shared" ca="1" si="0"/>
        <v>0</v>
      </c>
      <c r="G5">
        <f t="shared" ca="1" si="0"/>
        <v>0</v>
      </c>
      <c r="H5">
        <f t="shared" ca="1" si="0"/>
        <v>0</v>
      </c>
      <c r="I5">
        <f t="shared" ca="1" si="0"/>
        <v>0</v>
      </c>
      <c r="J5" s="24">
        <f t="shared" ca="1" si="0"/>
        <v>0</v>
      </c>
      <c r="K5" s="9">
        <f t="shared" ca="1" si="0"/>
        <v>0</v>
      </c>
      <c r="L5">
        <f t="shared" ca="1" si="0"/>
        <v>10</v>
      </c>
      <c r="M5">
        <f t="shared" ca="1" si="1"/>
        <v>5</v>
      </c>
      <c r="N5" s="9">
        <f t="shared" ca="1" si="1"/>
        <v>0</v>
      </c>
      <c r="O5" s="9">
        <f t="shared" ca="1" si="1"/>
        <v>0</v>
      </c>
      <c r="P5" s="9">
        <f t="shared" ca="1" si="1"/>
        <v>0</v>
      </c>
      <c r="Q5" s="9">
        <f t="shared" ca="1" si="1"/>
        <v>0</v>
      </c>
      <c r="R5" s="9">
        <f t="shared" ca="1" si="1"/>
        <v>0</v>
      </c>
      <c r="S5" s="9">
        <f t="shared" ca="1" si="1"/>
        <v>0</v>
      </c>
      <c r="T5" s="9">
        <f t="shared" ca="1" si="1"/>
        <v>0</v>
      </c>
      <c r="U5" s="3">
        <f t="shared" ca="1" si="1"/>
        <v>0</v>
      </c>
      <c r="V5" s="9">
        <f t="shared" ca="1" si="1"/>
        <v>0</v>
      </c>
      <c r="W5" s="9">
        <f t="shared" ca="1" si="1"/>
        <v>0</v>
      </c>
      <c r="X5">
        <f t="shared" ca="1" si="1"/>
        <v>3</v>
      </c>
      <c r="Z5" t="str">
        <f t="shared" si="2"/>
        <v>=</v>
      </c>
      <c r="AA5" t="s">
        <v>172</v>
      </c>
      <c r="AB5" s="23" t="s">
        <v>519</v>
      </c>
      <c r="AC5">
        <f t="shared" ca="1" si="3"/>
        <v>0</v>
      </c>
      <c r="AD5" s="24">
        <f t="shared" ca="1" si="3"/>
        <v>0</v>
      </c>
      <c r="AE5">
        <f t="shared" ca="1" si="3"/>
        <v>0</v>
      </c>
      <c r="AF5">
        <f t="shared" ca="1" si="3"/>
        <v>0</v>
      </c>
      <c r="AG5">
        <f t="shared" ca="1" si="3"/>
        <v>0</v>
      </c>
      <c r="AH5">
        <f t="shared" ca="1" si="3"/>
        <v>0</v>
      </c>
      <c r="AI5">
        <f t="shared" ca="1" si="3"/>
        <v>0</v>
      </c>
      <c r="AJ5" s="25">
        <f t="shared" ca="1" si="3"/>
        <v>0</v>
      </c>
      <c r="AK5" s="9">
        <f t="shared" ca="1" si="3"/>
        <v>0</v>
      </c>
      <c r="AL5">
        <f t="shared" ca="1" si="3"/>
        <v>10</v>
      </c>
      <c r="AM5">
        <f t="shared" ca="1" si="4"/>
        <v>5</v>
      </c>
      <c r="AN5" s="9">
        <f t="shared" ca="1" si="4"/>
        <v>0</v>
      </c>
      <c r="AO5" s="9">
        <f t="shared" ca="1" si="4"/>
        <v>0</v>
      </c>
      <c r="AP5" s="9">
        <f t="shared" ca="1" si="4"/>
        <v>0</v>
      </c>
      <c r="AQ5" s="9">
        <f t="shared" ca="1" si="4"/>
        <v>0</v>
      </c>
      <c r="AR5" s="9">
        <f t="shared" ca="1" si="4"/>
        <v>0</v>
      </c>
      <c r="AS5" s="9">
        <f t="shared" ca="1" si="4"/>
        <v>0</v>
      </c>
      <c r="AT5" s="9">
        <f t="shared" ca="1" si="4"/>
        <v>0</v>
      </c>
      <c r="AU5" s="3">
        <f t="shared" ca="1" si="4"/>
        <v>0</v>
      </c>
      <c r="AV5" s="25">
        <f t="shared" ca="1" si="4"/>
        <v>0</v>
      </c>
      <c r="AW5" s="9">
        <f t="shared" ca="1" si="4"/>
        <v>0</v>
      </c>
      <c r="AX5" s="25">
        <f t="shared" ca="1" si="4"/>
        <v>3</v>
      </c>
    </row>
    <row r="6" spans="1:50" ht="12.75" customHeight="1" x14ac:dyDescent="0.2">
      <c r="A6" t="s">
        <v>175</v>
      </c>
      <c r="B6" s="22" t="s">
        <v>881</v>
      </c>
      <c r="C6">
        <f t="shared" ca="1" si="0"/>
        <v>0</v>
      </c>
      <c r="D6">
        <f t="shared" ca="1" si="0"/>
        <v>0</v>
      </c>
      <c r="E6">
        <f t="shared" ca="1" si="0"/>
        <v>41</v>
      </c>
      <c r="F6">
        <f t="shared" ca="1" si="0"/>
        <v>41</v>
      </c>
      <c r="G6">
        <f t="shared" ca="1" si="0"/>
        <v>16</v>
      </c>
      <c r="H6">
        <f t="shared" ca="1" si="0"/>
        <v>16</v>
      </c>
      <c r="I6">
        <f t="shared" ca="1" si="0"/>
        <v>16</v>
      </c>
      <c r="J6" s="25">
        <f t="shared" ca="1" si="0"/>
        <v>0</v>
      </c>
      <c r="K6" s="9">
        <f t="shared" ca="1" si="0"/>
        <v>0</v>
      </c>
      <c r="L6">
        <f t="shared" ca="1" si="0"/>
        <v>0</v>
      </c>
      <c r="M6">
        <f t="shared" ca="1" si="1"/>
        <v>8</v>
      </c>
      <c r="N6" s="9">
        <f t="shared" ca="1" si="1"/>
        <v>0</v>
      </c>
      <c r="O6" s="9">
        <f t="shared" ca="1" si="1"/>
        <v>0.03</v>
      </c>
      <c r="P6" s="9">
        <f t="shared" ca="1" si="1"/>
        <v>0</v>
      </c>
      <c r="Q6" s="9">
        <f t="shared" ca="1" si="1"/>
        <v>0</v>
      </c>
      <c r="R6" s="9">
        <f t="shared" ca="1" si="1"/>
        <v>0</v>
      </c>
      <c r="S6" s="9">
        <f t="shared" ca="1" si="1"/>
        <v>0.1</v>
      </c>
      <c r="T6" s="9">
        <f t="shared" ca="1" si="1"/>
        <v>0</v>
      </c>
      <c r="U6" s="3">
        <f t="shared" ca="1" si="1"/>
        <v>81</v>
      </c>
      <c r="V6" s="9">
        <f t="shared" ca="1" si="1"/>
        <v>0</v>
      </c>
      <c r="W6" s="9">
        <f t="shared" ca="1" si="1"/>
        <v>0</v>
      </c>
      <c r="X6" s="25">
        <f t="shared" ca="1" si="1"/>
        <v>0</v>
      </c>
      <c r="Z6" t="str">
        <f t="shared" si="2"/>
        <v>=</v>
      </c>
      <c r="AA6" t="s">
        <v>175</v>
      </c>
      <c r="AB6" s="23" t="s">
        <v>881</v>
      </c>
      <c r="AC6">
        <f t="shared" ca="1" si="3"/>
        <v>0</v>
      </c>
      <c r="AD6">
        <f t="shared" ca="1" si="3"/>
        <v>0</v>
      </c>
      <c r="AE6">
        <f t="shared" ca="1" si="3"/>
        <v>41</v>
      </c>
      <c r="AF6">
        <f t="shared" ca="1" si="3"/>
        <v>41</v>
      </c>
      <c r="AG6">
        <f t="shared" ca="1" si="3"/>
        <v>16</v>
      </c>
      <c r="AH6">
        <f t="shared" ca="1" si="3"/>
        <v>16</v>
      </c>
      <c r="AI6">
        <f t="shared" ca="1" si="3"/>
        <v>16</v>
      </c>
      <c r="AJ6" s="25">
        <f t="shared" ca="1" si="3"/>
        <v>0</v>
      </c>
      <c r="AK6" s="9">
        <f t="shared" ca="1" si="3"/>
        <v>0</v>
      </c>
      <c r="AL6">
        <f t="shared" ca="1" si="3"/>
        <v>0</v>
      </c>
      <c r="AM6">
        <f t="shared" ca="1" si="4"/>
        <v>8</v>
      </c>
      <c r="AN6" s="9">
        <f t="shared" ca="1" si="4"/>
        <v>0</v>
      </c>
      <c r="AO6" s="9">
        <f t="shared" ca="1" si="4"/>
        <v>0.03</v>
      </c>
      <c r="AP6" s="9">
        <f t="shared" ca="1" si="4"/>
        <v>0</v>
      </c>
      <c r="AQ6" s="9">
        <f t="shared" ca="1" si="4"/>
        <v>0</v>
      </c>
      <c r="AR6" s="9">
        <f t="shared" ca="1" si="4"/>
        <v>0</v>
      </c>
      <c r="AS6" s="9">
        <f t="shared" ca="1" si="4"/>
        <v>0.1</v>
      </c>
      <c r="AT6" s="9">
        <f t="shared" ca="1" si="4"/>
        <v>0</v>
      </c>
      <c r="AU6" s="3">
        <f t="shared" ca="1" si="4"/>
        <v>81</v>
      </c>
      <c r="AV6" s="25">
        <f t="shared" ca="1" si="4"/>
        <v>0</v>
      </c>
      <c r="AW6" s="9">
        <f t="shared" ca="1" si="4"/>
        <v>0</v>
      </c>
      <c r="AX6" s="25">
        <f t="shared" ca="1" si="4"/>
        <v>0</v>
      </c>
    </row>
    <row r="7" spans="1:50" ht="12.75" customHeight="1" x14ac:dyDescent="0.2">
      <c r="A7" t="s">
        <v>177</v>
      </c>
      <c r="B7" s="22" t="s">
        <v>870</v>
      </c>
      <c r="C7">
        <f t="shared" ca="1" si="0"/>
        <v>0</v>
      </c>
      <c r="D7" s="24">
        <f t="shared" ca="1" si="0"/>
        <v>0</v>
      </c>
      <c r="E7">
        <f t="shared" ca="1" si="0"/>
        <v>0</v>
      </c>
      <c r="F7">
        <f t="shared" ca="1" si="0"/>
        <v>0</v>
      </c>
      <c r="G7">
        <f t="shared" ca="1" si="0"/>
        <v>0</v>
      </c>
      <c r="H7">
        <f t="shared" ca="1" si="0"/>
        <v>0</v>
      </c>
      <c r="I7">
        <f t="shared" ca="1" si="0"/>
        <v>0</v>
      </c>
      <c r="J7" s="25">
        <f t="shared" ca="1" si="0"/>
        <v>0</v>
      </c>
      <c r="K7" s="9">
        <f t="shared" ca="1" si="0"/>
        <v>0</v>
      </c>
      <c r="L7">
        <f t="shared" ca="1" si="0"/>
        <v>20</v>
      </c>
      <c r="M7">
        <f t="shared" ca="1" si="1"/>
        <v>0</v>
      </c>
      <c r="N7" s="9">
        <f t="shared" ca="1" si="1"/>
        <v>0</v>
      </c>
      <c r="O7" s="9">
        <f t="shared" ca="1" si="1"/>
        <v>0</v>
      </c>
      <c r="P7" s="9">
        <f t="shared" ca="1" si="1"/>
        <v>0</v>
      </c>
      <c r="Q7" s="9">
        <f t="shared" ca="1" si="1"/>
        <v>0</v>
      </c>
      <c r="R7" s="9">
        <f t="shared" ca="1" si="1"/>
        <v>0</v>
      </c>
      <c r="S7" s="9">
        <f t="shared" ca="1" si="1"/>
        <v>0</v>
      </c>
      <c r="T7" s="9">
        <f t="shared" ca="1" si="1"/>
        <v>0</v>
      </c>
      <c r="U7" s="3">
        <f t="shared" ca="1" si="1"/>
        <v>0</v>
      </c>
      <c r="V7" s="9">
        <f t="shared" ca="1" si="1"/>
        <v>0</v>
      </c>
      <c r="W7" s="9">
        <f t="shared" ca="1" si="1"/>
        <v>0</v>
      </c>
      <c r="X7" s="25">
        <f t="shared" ca="1" si="1"/>
        <v>7</v>
      </c>
      <c r="Z7" t="str">
        <f t="shared" si="2"/>
        <v>=</v>
      </c>
      <c r="AA7" t="s">
        <v>177</v>
      </c>
      <c r="AB7" s="23" t="s">
        <v>870</v>
      </c>
      <c r="AC7">
        <f t="shared" ca="1" si="3"/>
        <v>0</v>
      </c>
      <c r="AD7" s="24">
        <f t="shared" ca="1" si="3"/>
        <v>0</v>
      </c>
      <c r="AE7">
        <f t="shared" ca="1" si="3"/>
        <v>0</v>
      </c>
      <c r="AF7">
        <f t="shared" ca="1" si="3"/>
        <v>0</v>
      </c>
      <c r="AG7">
        <f t="shared" ca="1" si="3"/>
        <v>0</v>
      </c>
      <c r="AH7">
        <f t="shared" ca="1" si="3"/>
        <v>0</v>
      </c>
      <c r="AI7">
        <f t="shared" ca="1" si="3"/>
        <v>0</v>
      </c>
      <c r="AJ7" s="25">
        <f t="shared" ca="1" si="3"/>
        <v>0</v>
      </c>
      <c r="AK7" s="9">
        <f t="shared" ca="1" si="3"/>
        <v>0</v>
      </c>
      <c r="AL7">
        <f t="shared" ca="1" si="3"/>
        <v>20</v>
      </c>
      <c r="AM7">
        <f t="shared" ca="1" si="4"/>
        <v>0</v>
      </c>
      <c r="AN7" s="9">
        <f t="shared" ca="1" si="4"/>
        <v>0</v>
      </c>
      <c r="AO7" s="9">
        <f t="shared" ca="1" si="4"/>
        <v>0</v>
      </c>
      <c r="AP7" s="9">
        <f t="shared" ca="1" si="4"/>
        <v>0</v>
      </c>
      <c r="AQ7" s="9">
        <f t="shared" ca="1" si="4"/>
        <v>0</v>
      </c>
      <c r="AR7" s="9">
        <f t="shared" ca="1" si="4"/>
        <v>0</v>
      </c>
      <c r="AS7" s="9">
        <f t="shared" ca="1" si="4"/>
        <v>0</v>
      </c>
      <c r="AT7" s="9">
        <f t="shared" ca="1" si="4"/>
        <v>0</v>
      </c>
      <c r="AU7" s="3">
        <f t="shared" ca="1" si="4"/>
        <v>0</v>
      </c>
      <c r="AV7" s="25">
        <f t="shared" ca="1" si="4"/>
        <v>0</v>
      </c>
      <c r="AW7" s="9">
        <f t="shared" ca="1" si="4"/>
        <v>0</v>
      </c>
      <c r="AX7" s="25">
        <f t="shared" ca="1" si="4"/>
        <v>7</v>
      </c>
    </row>
    <row r="8" spans="1:50" ht="12.75" customHeight="1" x14ac:dyDescent="0.2">
      <c r="A8" t="s">
        <v>179</v>
      </c>
      <c r="B8" s="23" t="s">
        <v>568</v>
      </c>
      <c r="C8">
        <f t="shared" ca="1" si="0"/>
        <v>0</v>
      </c>
      <c r="D8" s="24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0</v>
      </c>
      <c r="H8">
        <f t="shared" ca="1" si="0"/>
        <v>0</v>
      </c>
      <c r="I8">
        <f t="shared" ca="1" si="0"/>
        <v>0</v>
      </c>
      <c r="J8" s="25">
        <f t="shared" ca="1" si="0"/>
        <v>0</v>
      </c>
      <c r="K8" s="9">
        <f t="shared" ca="1" si="0"/>
        <v>0</v>
      </c>
      <c r="L8">
        <f t="shared" ca="1" si="0"/>
        <v>0</v>
      </c>
      <c r="M8">
        <f t="shared" ca="1" si="1"/>
        <v>6</v>
      </c>
      <c r="N8" s="9">
        <f t="shared" ca="1" si="1"/>
        <v>0</v>
      </c>
      <c r="O8" s="9">
        <f t="shared" ca="1" si="1"/>
        <v>0.03</v>
      </c>
      <c r="P8" s="9">
        <f t="shared" ca="1" si="1"/>
        <v>0</v>
      </c>
      <c r="Q8" s="9">
        <f t="shared" ca="1" si="1"/>
        <v>0</v>
      </c>
      <c r="R8" s="9">
        <f t="shared" ca="1" si="1"/>
        <v>0</v>
      </c>
      <c r="S8" s="9">
        <f t="shared" ca="1" si="1"/>
        <v>0</v>
      </c>
      <c r="T8" s="9">
        <f t="shared" ca="1" si="1"/>
        <v>0</v>
      </c>
      <c r="U8" s="3">
        <f t="shared" ca="1" si="1"/>
        <v>0</v>
      </c>
      <c r="V8" s="9">
        <f t="shared" ca="1" si="1"/>
        <v>0</v>
      </c>
      <c r="W8" s="9">
        <f t="shared" ca="1" si="1"/>
        <v>0</v>
      </c>
      <c r="X8" s="25">
        <f t="shared" ca="1" si="1"/>
        <v>3</v>
      </c>
      <c r="Z8" t="str">
        <f t="shared" si="2"/>
        <v>=</v>
      </c>
      <c r="AA8" t="s">
        <v>179</v>
      </c>
      <c r="AB8" s="23" t="s">
        <v>568</v>
      </c>
      <c r="AC8">
        <f t="shared" ca="1" si="3"/>
        <v>0</v>
      </c>
      <c r="AD8" s="24">
        <f t="shared" ca="1" si="3"/>
        <v>0</v>
      </c>
      <c r="AE8">
        <f t="shared" ca="1" si="3"/>
        <v>0</v>
      </c>
      <c r="AF8">
        <f t="shared" ca="1" si="3"/>
        <v>0</v>
      </c>
      <c r="AG8">
        <f t="shared" ca="1" si="3"/>
        <v>0</v>
      </c>
      <c r="AH8">
        <f t="shared" ca="1" si="3"/>
        <v>0</v>
      </c>
      <c r="AI8">
        <f t="shared" ca="1" si="3"/>
        <v>0</v>
      </c>
      <c r="AJ8" s="25">
        <f t="shared" ca="1" si="3"/>
        <v>0</v>
      </c>
      <c r="AK8" s="9">
        <f t="shared" ca="1" si="3"/>
        <v>0</v>
      </c>
      <c r="AL8">
        <f t="shared" ca="1" si="3"/>
        <v>0</v>
      </c>
      <c r="AM8">
        <f t="shared" ca="1" si="4"/>
        <v>6</v>
      </c>
      <c r="AN8" s="9">
        <f t="shared" ca="1" si="4"/>
        <v>0</v>
      </c>
      <c r="AO8" s="9">
        <f t="shared" ca="1" si="4"/>
        <v>0.03</v>
      </c>
      <c r="AP8" s="9">
        <f t="shared" ca="1" si="4"/>
        <v>0</v>
      </c>
      <c r="AQ8" s="9">
        <f t="shared" ca="1" si="4"/>
        <v>0</v>
      </c>
      <c r="AR8" s="9">
        <f t="shared" ca="1" si="4"/>
        <v>0</v>
      </c>
      <c r="AS8" s="9">
        <f t="shared" ca="1" si="4"/>
        <v>0</v>
      </c>
      <c r="AT8" s="9">
        <f t="shared" ca="1" si="4"/>
        <v>0</v>
      </c>
      <c r="AU8" s="3">
        <f t="shared" ca="1" si="4"/>
        <v>0</v>
      </c>
      <c r="AV8" s="25">
        <f t="shared" ca="1" si="4"/>
        <v>0</v>
      </c>
      <c r="AW8" s="9">
        <f t="shared" ca="1" si="4"/>
        <v>0</v>
      </c>
      <c r="AX8" s="25">
        <f t="shared" ca="1" si="4"/>
        <v>3</v>
      </c>
    </row>
    <row r="9" spans="1:50" ht="12.75" customHeight="1" x14ac:dyDescent="0.2">
      <c r="A9" t="s">
        <v>179</v>
      </c>
      <c r="B9" s="23" t="s">
        <v>183</v>
      </c>
      <c r="C9">
        <f t="shared" ca="1" si="0"/>
        <v>0</v>
      </c>
      <c r="D9">
        <f t="shared" ca="1" si="0"/>
        <v>0</v>
      </c>
      <c r="E9">
        <f t="shared" ca="1" si="0"/>
        <v>5</v>
      </c>
      <c r="F9">
        <f t="shared" ca="1" si="0"/>
        <v>5</v>
      </c>
      <c r="G9">
        <f t="shared" ca="1" si="0"/>
        <v>0</v>
      </c>
      <c r="H9">
        <f t="shared" ca="1" si="0"/>
        <v>0</v>
      </c>
      <c r="I9">
        <f t="shared" ca="1" si="0"/>
        <v>0</v>
      </c>
      <c r="J9" s="25">
        <f t="shared" ca="1" si="0"/>
        <v>0</v>
      </c>
      <c r="K9" s="9">
        <f t="shared" ca="1" si="0"/>
        <v>0</v>
      </c>
      <c r="L9">
        <f t="shared" ca="1" si="0"/>
        <v>0</v>
      </c>
      <c r="M9">
        <f t="shared" ca="1" si="1"/>
        <v>0</v>
      </c>
      <c r="N9" s="9">
        <f t="shared" ca="1" si="1"/>
        <v>0</v>
      </c>
      <c r="O9" s="9">
        <f t="shared" ca="1" si="1"/>
        <v>0.05</v>
      </c>
      <c r="P9" s="9">
        <f t="shared" ca="1" si="1"/>
        <v>0</v>
      </c>
      <c r="Q9" s="9">
        <f t="shared" ca="1" si="1"/>
        <v>0</v>
      </c>
      <c r="R9" s="9">
        <f t="shared" ca="1" si="1"/>
        <v>0</v>
      </c>
      <c r="S9" s="9">
        <f t="shared" ca="1" si="1"/>
        <v>0</v>
      </c>
      <c r="T9" s="9">
        <f t="shared" ca="1" si="1"/>
        <v>0</v>
      </c>
      <c r="U9" s="3">
        <f t="shared" ca="1" si="1"/>
        <v>0</v>
      </c>
      <c r="V9" s="9">
        <f t="shared" ca="1" si="1"/>
        <v>0</v>
      </c>
      <c r="W9" s="9">
        <f t="shared" ca="1" si="1"/>
        <v>0</v>
      </c>
      <c r="X9" s="25">
        <f t="shared" ca="1" si="1"/>
        <v>5</v>
      </c>
      <c r="Z9" t="str">
        <f t="shared" si="2"/>
        <v>=</v>
      </c>
      <c r="AA9" t="s">
        <v>179</v>
      </c>
      <c r="AB9" s="23" t="s">
        <v>183</v>
      </c>
      <c r="AC9">
        <f t="shared" ca="1" si="3"/>
        <v>0</v>
      </c>
      <c r="AD9" s="24">
        <f t="shared" ca="1" si="3"/>
        <v>0</v>
      </c>
      <c r="AE9">
        <f t="shared" ca="1" si="3"/>
        <v>5</v>
      </c>
      <c r="AF9">
        <f t="shared" ca="1" si="3"/>
        <v>5</v>
      </c>
      <c r="AG9">
        <f t="shared" ca="1" si="3"/>
        <v>0</v>
      </c>
      <c r="AH9">
        <f t="shared" ca="1" si="3"/>
        <v>0</v>
      </c>
      <c r="AI9">
        <f t="shared" ca="1" si="3"/>
        <v>0</v>
      </c>
      <c r="AJ9" s="25">
        <f t="shared" ca="1" si="3"/>
        <v>0</v>
      </c>
      <c r="AK9" s="9">
        <f t="shared" ca="1" si="3"/>
        <v>0</v>
      </c>
      <c r="AL9">
        <f t="shared" ca="1" si="3"/>
        <v>0</v>
      </c>
      <c r="AM9">
        <f t="shared" ca="1" si="4"/>
        <v>0</v>
      </c>
      <c r="AN9" s="9">
        <f t="shared" ca="1" si="4"/>
        <v>0</v>
      </c>
      <c r="AO9" s="9">
        <f t="shared" ca="1" si="4"/>
        <v>0.05</v>
      </c>
      <c r="AP9" s="9">
        <f t="shared" ca="1" si="4"/>
        <v>0</v>
      </c>
      <c r="AQ9" s="9">
        <f t="shared" ca="1" si="4"/>
        <v>0</v>
      </c>
      <c r="AR9" s="9">
        <f t="shared" ca="1" si="4"/>
        <v>0</v>
      </c>
      <c r="AS9" s="9">
        <f t="shared" ca="1" si="4"/>
        <v>0</v>
      </c>
      <c r="AT9" s="9">
        <f t="shared" ca="1" si="4"/>
        <v>0</v>
      </c>
      <c r="AU9" s="3">
        <f t="shared" ca="1" si="4"/>
        <v>0</v>
      </c>
      <c r="AV9" s="25">
        <f t="shared" ca="1" si="4"/>
        <v>0</v>
      </c>
      <c r="AW9" s="9">
        <f t="shared" ca="1" si="4"/>
        <v>0</v>
      </c>
      <c r="AX9" s="25">
        <f t="shared" ca="1" si="4"/>
        <v>5</v>
      </c>
    </row>
    <row r="10" spans="1:50" ht="12.75" customHeight="1" x14ac:dyDescent="0.2">
      <c r="A10" t="s">
        <v>184</v>
      </c>
      <c r="B10" s="23" t="s">
        <v>213</v>
      </c>
      <c r="C10">
        <f t="shared" ca="1" si="0"/>
        <v>0</v>
      </c>
      <c r="D10" s="24">
        <f t="shared" ca="1" si="0"/>
        <v>0</v>
      </c>
      <c r="E10">
        <f t="shared" ca="1" si="0"/>
        <v>28</v>
      </c>
      <c r="F10">
        <f t="shared" ca="1" si="0"/>
        <v>48</v>
      </c>
      <c r="G10">
        <f t="shared" ca="1" si="0"/>
        <v>24</v>
      </c>
      <c r="H10">
        <f t="shared" ca="1" si="0"/>
        <v>21</v>
      </c>
      <c r="I10">
        <f t="shared" ca="1" si="0"/>
        <v>31</v>
      </c>
      <c r="J10" s="25">
        <f t="shared" ca="1" si="0"/>
        <v>0</v>
      </c>
      <c r="K10" s="9">
        <f t="shared" ca="1" si="0"/>
        <v>0</v>
      </c>
      <c r="L10">
        <f t="shared" ca="1" si="0"/>
        <v>0</v>
      </c>
      <c r="M10">
        <f t="shared" ca="1" si="1"/>
        <v>46</v>
      </c>
      <c r="N10" s="9">
        <f t="shared" ca="1" si="1"/>
        <v>0</v>
      </c>
      <c r="O10" s="9">
        <f t="shared" ca="1" si="1"/>
        <v>7.0000000000000007E-2</v>
      </c>
      <c r="P10" s="9">
        <f t="shared" ca="1" si="1"/>
        <v>0</v>
      </c>
      <c r="Q10" s="9">
        <f t="shared" ca="1" si="1"/>
        <v>0</v>
      </c>
      <c r="R10" s="9">
        <f t="shared" ca="1" si="1"/>
        <v>0</v>
      </c>
      <c r="S10" s="9">
        <f t="shared" ca="1" si="1"/>
        <v>0</v>
      </c>
      <c r="T10" s="9">
        <f t="shared" ca="1" si="1"/>
        <v>0</v>
      </c>
      <c r="U10" s="3">
        <f t="shared" ca="1" si="1"/>
        <v>40</v>
      </c>
      <c r="V10" s="9">
        <f t="shared" ca="1" si="1"/>
        <v>0</v>
      </c>
      <c r="W10" s="9">
        <f t="shared" ca="1" si="1"/>
        <v>0</v>
      </c>
      <c r="X10" s="25">
        <f t="shared" ca="1" si="1"/>
        <v>0</v>
      </c>
      <c r="Z10" t="str">
        <f t="shared" si="2"/>
        <v>=</v>
      </c>
      <c r="AA10" t="s">
        <v>184</v>
      </c>
      <c r="AB10" s="23" t="s">
        <v>213</v>
      </c>
      <c r="AC10">
        <f t="shared" ca="1" si="3"/>
        <v>0</v>
      </c>
      <c r="AD10" s="24">
        <f t="shared" ca="1" si="3"/>
        <v>0</v>
      </c>
      <c r="AE10">
        <f t="shared" ca="1" si="3"/>
        <v>28</v>
      </c>
      <c r="AF10">
        <f t="shared" ca="1" si="3"/>
        <v>48</v>
      </c>
      <c r="AG10">
        <f t="shared" ca="1" si="3"/>
        <v>24</v>
      </c>
      <c r="AH10">
        <f t="shared" ca="1" si="3"/>
        <v>21</v>
      </c>
      <c r="AI10">
        <f t="shared" ca="1" si="3"/>
        <v>31</v>
      </c>
      <c r="AJ10" s="25">
        <f t="shared" ca="1" si="3"/>
        <v>0</v>
      </c>
      <c r="AK10" s="9">
        <f t="shared" ca="1" si="3"/>
        <v>0</v>
      </c>
      <c r="AL10">
        <f t="shared" ca="1" si="3"/>
        <v>0</v>
      </c>
      <c r="AM10">
        <f t="shared" ca="1" si="4"/>
        <v>46</v>
      </c>
      <c r="AN10" s="9">
        <f t="shared" ca="1" si="4"/>
        <v>0</v>
      </c>
      <c r="AO10" s="9">
        <f t="shared" ca="1" si="4"/>
        <v>7.0000000000000007E-2</v>
      </c>
      <c r="AP10" s="9">
        <f t="shared" ca="1" si="4"/>
        <v>0</v>
      </c>
      <c r="AQ10" s="9">
        <f t="shared" ca="1" si="4"/>
        <v>0</v>
      </c>
      <c r="AR10" s="9">
        <f t="shared" ca="1" si="4"/>
        <v>0</v>
      </c>
      <c r="AS10" s="9">
        <f t="shared" ca="1" si="4"/>
        <v>0</v>
      </c>
      <c r="AT10" s="9">
        <f t="shared" ca="1" si="4"/>
        <v>0</v>
      </c>
      <c r="AU10" s="3">
        <f t="shared" ca="1" si="4"/>
        <v>40</v>
      </c>
      <c r="AV10" s="25">
        <f t="shared" ca="1" si="4"/>
        <v>0</v>
      </c>
      <c r="AW10" s="9">
        <f t="shared" ca="1" si="4"/>
        <v>0</v>
      </c>
      <c r="AX10" s="25">
        <f t="shared" ca="1" si="4"/>
        <v>0</v>
      </c>
    </row>
    <row r="11" spans="1:50" ht="12.75" customHeight="1" x14ac:dyDescent="0.2">
      <c r="A11" t="s">
        <v>186</v>
      </c>
      <c r="B11" s="22" t="s">
        <v>198</v>
      </c>
      <c r="C11">
        <f t="shared" ca="1" si="0"/>
        <v>0</v>
      </c>
      <c r="D11" s="24">
        <f t="shared" ca="1" si="0"/>
        <v>0</v>
      </c>
      <c r="E11">
        <f t="shared" ca="1" si="0"/>
        <v>17</v>
      </c>
      <c r="F11">
        <f t="shared" ca="1" si="0"/>
        <v>39</v>
      </c>
      <c r="G11">
        <f t="shared" ca="1" si="0"/>
        <v>30</v>
      </c>
      <c r="H11">
        <f t="shared" ca="1" si="0"/>
        <v>14</v>
      </c>
      <c r="I11">
        <f t="shared" ca="1" si="0"/>
        <v>26</v>
      </c>
      <c r="J11" s="25">
        <f t="shared" ca="1" si="0"/>
        <v>20</v>
      </c>
      <c r="K11" s="9">
        <f t="shared" ca="1" si="0"/>
        <v>0</v>
      </c>
      <c r="L11">
        <f t="shared" ca="1" si="0"/>
        <v>27</v>
      </c>
      <c r="M11">
        <f t="shared" ca="1" si="1"/>
        <v>31</v>
      </c>
      <c r="N11" s="9">
        <f t="shared" ca="1" si="1"/>
        <v>0</v>
      </c>
      <c r="O11" s="9">
        <f t="shared" ca="1" si="1"/>
        <v>0</v>
      </c>
      <c r="P11" s="9">
        <f t="shared" ca="1" si="1"/>
        <v>0.05</v>
      </c>
      <c r="Q11" s="9">
        <f t="shared" ca="1" si="1"/>
        <v>0</v>
      </c>
      <c r="R11" s="9">
        <f t="shared" ca="1" si="1"/>
        <v>0</v>
      </c>
      <c r="S11" s="9">
        <f t="shared" ca="1" si="1"/>
        <v>0</v>
      </c>
      <c r="T11" s="9">
        <f t="shared" ca="1" si="1"/>
        <v>0</v>
      </c>
      <c r="U11" s="3">
        <f t="shared" ca="1" si="1"/>
        <v>50</v>
      </c>
      <c r="V11" s="9">
        <f t="shared" ca="1" si="1"/>
        <v>0</v>
      </c>
      <c r="W11" s="9">
        <f t="shared" ca="1" si="1"/>
        <v>0</v>
      </c>
      <c r="X11" s="25">
        <f t="shared" ca="1" si="1"/>
        <v>0</v>
      </c>
      <c r="Z11" t="str">
        <f t="shared" si="2"/>
        <v>=</v>
      </c>
      <c r="AA11" t="s">
        <v>186</v>
      </c>
      <c r="AB11" s="23" t="s">
        <v>198</v>
      </c>
      <c r="AC11">
        <f t="shared" ca="1" si="3"/>
        <v>0</v>
      </c>
      <c r="AD11" s="24">
        <f t="shared" ca="1" si="3"/>
        <v>0</v>
      </c>
      <c r="AE11">
        <f t="shared" ca="1" si="3"/>
        <v>17</v>
      </c>
      <c r="AF11">
        <f t="shared" ca="1" si="3"/>
        <v>39</v>
      </c>
      <c r="AG11">
        <f t="shared" ca="1" si="3"/>
        <v>30</v>
      </c>
      <c r="AH11">
        <f t="shared" ca="1" si="3"/>
        <v>14</v>
      </c>
      <c r="AI11">
        <f t="shared" ca="1" si="3"/>
        <v>26</v>
      </c>
      <c r="AJ11" s="25">
        <f t="shared" ca="1" si="3"/>
        <v>20</v>
      </c>
      <c r="AK11" s="9">
        <f t="shared" ca="1" si="3"/>
        <v>0</v>
      </c>
      <c r="AL11">
        <f t="shared" ca="1" si="3"/>
        <v>27</v>
      </c>
      <c r="AM11">
        <f t="shared" ca="1" si="4"/>
        <v>31</v>
      </c>
      <c r="AN11" s="9">
        <f t="shared" ca="1" si="4"/>
        <v>0</v>
      </c>
      <c r="AO11" s="9">
        <f t="shared" ca="1" si="4"/>
        <v>0</v>
      </c>
      <c r="AP11" s="9">
        <f t="shared" ca="1" si="4"/>
        <v>0.05</v>
      </c>
      <c r="AQ11" s="9">
        <f t="shared" ca="1" si="4"/>
        <v>0</v>
      </c>
      <c r="AR11" s="9">
        <f t="shared" ca="1" si="4"/>
        <v>0</v>
      </c>
      <c r="AS11" s="9">
        <f t="shared" ca="1" si="4"/>
        <v>0</v>
      </c>
      <c r="AT11" s="9">
        <f t="shared" ca="1" si="4"/>
        <v>0</v>
      </c>
      <c r="AU11" s="3">
        <f t="shared" ca="1" si="4"/>
        <v>50</v>
      </c>
      <c r="AV11" s="25">
        <f t="shared" ca="1" si="4"/>
        <v>0</v>
      </c>
      <c r="AW11" s="9">
        <f t="shared" ca="1" si="4"/>
        <v>0</v>
      </c>
      <c r="AX11" s="25">
        <f t="shared" ca="1" si="4"/>
        <v>0</v>
      </c>
    </row>
    <row r="12" spans="1:50" ht="12.75" customHeight="1" x14ac:dyDescent="0.2">
      <c r="A12" t="s">
        <v>188</v>
      </c>
      <c r="B12" s="22" t="s">
        <v>616</v>
      </c>
      <c r="C12">
        <f t="shared" ca="1" si="0"/>
        <v>0</v>
      </c>
      <c r="D12" s="24">
        <f t="shared" ca="1" si="0"/>
        <v>0</v>
      </c>
      <c r="E12">
        <f t="shared" ca="1" si="0"/>
        <v>3</v>
      </c>
      <c r="F12">
        <f t="shared" ca="1" si="0"/>
        <v>3</v>
      </c>
      <c r="G12">
        <f t="shared" ca="1" si="0"/>
        <v>3</v>
      </c>
      <c r="H12">
        <f t="shared" ca="1" si="0"/>
        <v>0</v>
      </c>
      <c r="I12">
        <f t="shared" ca="1" si="0"/>
        <v>0</v>
      </c>
      <c r="J12" s="25">
        <f t="shared" ca="1" si="0"/>
        <v>0</v>
      </c>
      <c r="K12" s="9">
        <f t="shared" ca="1" si="0"/>
        <v>0</v>
      </c>
      <c r="L12">
        <f t="shared" ca="1" si="0"/>
        <v>0</v>
      </c>
      <c r="M12">
        <f t="shared" ca="1" si="1"/>
        <v>0</v>
      </c>
      <c r="N12" s="9">
        <f t="shared" ca="1" si="1"/>
        <v>0</v>
      </c>
      <c r="O12" s="9">
        <f t="shared" ca="1" si="1"/>
        <v>0.01</v>
      </c>
      <c r="P12" s="9">
        <f t="shared" ca="1" si="1"/>
        <v>0</v>
      </c>
      <c r="Q12" s="9">
        <f t="shared" ca="1" si="1"/>
        <v>0</v>
      </c>
      <c r="R12" s="9">
        <f t="shared" ca="1" si="1"/>
        <v>0</v>
      </c>
      <c r="S12" s="9">
        <f t="shared" ca="1" si="1"/>
        <v>0</v>
      </c>
      <c r="T12" s="9">
        <f t="shared" ca="1" si="1"/>
        <v>0</v>
      </c>
      <c r="U12" s="3">
        <f t="shared" ca="1" si="1"/>
        <v>0</v>
      </c>
      <c r="V12" s="9">
        <f t="shared" ca="1" si="1"/>
        <v>0</v>
      </c>
      <c r="W12" s="9">
        <f t="shared" ca="1" si="1"/>
        <v>0</v>
      </c>
      <c r="X12" s="25">
        <f t="shared" ca="1" si="1"/>
        <v>5</v>
      </c>
      <c r="Z12" t="str">
        <f t="shared" si="2"/>
        <v>=</v>
      </c>
      <c r="AA12" t="s">
        <v>188</v>
      </c>
      <c r="AB12" s="23" t="s">
        <v>616</v>
      </c>
      <c r="AC12">
        <f t="shared" ca="1" si="3"/>
        <v>0</v>
      </c>
      <c r="AD12" s="24">
        <f t="shared" ca="1" si="3"/>
        <v>0</v>
      </c>
      <c r="AE12">
        <f t="shared" ca="1" si="3"/>
        <v>3</v>
      </c>
      <c r="AF12">
        <f t="shared" ca="1" si="3"/>
        <v>3</v>
      </c>
      <c r="AG12">
        <f t="shared" ca="1" si="3"/>
        <v>3</v>
      </c>
      <c r="AH12">
        <f t="shared" ca="1" si="3"/>
        <v>0</v>
      </c>
      <c r="AI12">
        <f t="shared" ca="1" si="3"/>
        <v>0</v>
      </c>
      <c r="AJ12" s="25">
        <f t="shared" ca="1" si="3"/>
        <v>0</v>
      </c>
      <c r="AK12" s="9">
        <f t="shared" ca="1" si="3"/>
        <v>0</v>
      </c>
      <c r="AL12">
        <f t="shared" ca="1" si="3"/>
        <v>0</v>
      </c>
      <c r="AM12">
        <f t="shared" ca="1" si="4"/>
        <v>0</v>
      </c>
      <c r="AN12" s="9">
        <f t="shared" ca="1" si="4"/>
        <v>0</v>
      </c>
      <c r="AO12" s="9">
        <f t="shared" ca="1" si="4"/>
        <v>0.01</v>
      </c>
      <c r="AP12" s="9">
        <f t="shared" ca="1" si="4"/>
        <v>0</v>
      </c>
      <c r="AQ12" s="9">
        <f t="shared" ca="1" si="4"/>
        <v>0</v>
      </c>
      <c r="AR12" s="9">
        <f t="shared" ca="1" si="4"/>
        <v>0</v>
      </c>
      <c r="AS12" s="9">
        <f t="shared" ca="1" si="4"/>
        <v>0</v>
      </c>
      <c r="AT12" s="9">
        <f t="shared" ca="1" si="4"/>
        <v>0</v>
      </c>
      <c r="AU12" s="3">
        <f t="shared" ca="1" si="4"/>
        <v>0</v>
      </c>
      <c r="AV12" s="25">
        <f t="shared" ca="1" si="4"/>
        <v>0</v>
      </c>
      <c r="AW12" s="9">
        <f t="shared" ca="1" si="4"/>
        <v>0</v>
      </c>
      <c r="AX12" s="25">
        <f t="shared" ca="1" si="4"/>
        <v>5</v>
      </c>
    </row>
    <row r="13" spans="1:50" ht="12.75" customHeight="1" x14ac:dyDescent="0.2">
      <c r="A13" t="s">
        <v>188</v>
      </c>
      <c r="B13" s="22" t="s">
        <v>614</v>
      </c>
      <c r="C13">
        <f t="shared" ca="1" si="0"/>
        <v>0</v>
      </c>
      <c r="D13" s="24">
        <f t="shared" ca="1" si="0"/>
        <v>0</v>
      </c>
      <c r="E13">
        <f t="shared" ca="1" si="0"/>
        <v>10</v>
      </c>
      <c r="F13">
        <f t="shared" ca="1" si="0"/>
        <v>10</v>
      </c>
      <c r="G13">
        <f t="shared" ca="1" si="0"/>
        <v>10</v>
      </c>
      <c r="H13">
        <f t="shared" ca="1" si="0"/>
        <v>0</v>
      </c>
      <c r="I13">
        <f t="shared" ca="1" si="0"/>
        <v>0</v>
      </c>
      <c r="J13" s="25">
        <f t="shared" ca="1" si="0"/>
        <v>0</v>
      </c>
      <c r="K13" s="9">
        <f t="shared" ca="1" si="0"/>
        <v>0</v>
      </c>
      <c r="L13">
        <f t="shared" ca="1" si="0"/>
        <v>0</v>
      </c>
      <c r="M13">
        <f t="shared" ca="1" si="1"/>
        <v>0</v>
      </c>
      <c r="N13" s="9">
        <f t="shared" ca="1" si="1"/>
        <v>0</v>
      </c>
      <c r="O13" s="9">
        <f t="shared" ca="1" si="1"/>
        <v>0</v>
      </c>
      <c r="P13" s="9">
        <f t="shared" ca="1" si="1"/>
        <v>0</v>
      </c>
      <c r="Q13" s="9">
        <f t="shared" ca="1" si="1"/>
        <v>0.03</v>
      </c>
      <c r="R13" s="9">
        <f t="shared" ca="1" si="1"/>
        <v>0</v>
      </c>
      <c r="S13" s="9">
        <f t="shared" ca="1" si="1"/>
        <v>0</v>
      </c>
      <c r="T13" s="9">
        <f t="shared" ca="1" si="1"/>
        <v>0</v>
      </c>
      <c r="U13" s="3">
        <f t="shared" ca="1" si="1"/>
        <v>0</v>
      </c>
      <c r="V13" s="9">
        <f t="shared" ca="1" si="1"/>
        <v>0</v>
      </c>
      <c r="W13" s="9">
        <f t="shared" ca="1" si="1"/>
        <v>0</v>
      </c>
      <c r="X13" s="25">
        <f t="shared" ca="1" si="1"/>
        <v>0</v>
      </c>
      <c r="Z13" t="str">
        <f t="shared" si="2"/>
        <v>=</v>
      </c>
      <c r="AA13" t="s">
        <v>188</v>
      </c>
      <c r="AB13" s="23" t="s">
        <v>614</v>
      </c>
      <c r="AC13">
        <f t="shared" ca="1" si="3"/>
        <v>0</v>
      </c>
      <c r="AD13" s="24">
        <f t="shared" ca="1" si="3"/>
        <v>0</v>
      </c>
      <c r="AE13">
        <f t="shared" ca="1" si="3"/>
        <v>10</v>
      </c>
      <c r="AF13">
        <f t="shared" ca="1" si="3"/>
        <v>10</v>
      </c>
      <c r="AG13">
        <f t="shared" ca="1" si="3"/>
        <v>10</v>
      </c>
      <c r="AH13">
        <f t="shared" ca="1" si="3"/>
        <v>0</v>
      </c>
      <c r="AI13">
        <f t="shared" ca="1" si="3"/>
        <v>0</v>
      </c>
      <c r="AJ13" s="25">
        <f t="shared" ca="1" si="3"/>
        <v>0</v>
      </c>
      <c r="AK13" s="9">
        <f t="shared" ca="1" si="3"/>
        <v>0</v>
      </c>
      <c r="AL13">
        <f t="shared" ca="1" si="3"/>
        <v>0</v>
      </c>
      <c r="AM13">
        <f t="shared" ca="1" si="4"/>
        <v>0</v>
      </c>
      <c r="AN13" s="9">
        <f t="shared" ca="1" si="4"/>
        <v>0</v>
      </c>
      <c r="AO13" s="9">
        <f t="shared" ca="1" si="4"/>
        <v>0</v>
      </c>
      <c r="AP13" s="9">
        <f t="shared" ca="1" si="4"/>
        <v>0</v>
      </c>
      <c r="AQ13" s="9">
        <f t="shared" ca="1" si="4"/>
        <v>0.03</v>
      </c>
      <c r="AR13" s="9">
        <f t="shared" ca="1" si="4"/>
        <v>0</v>
      </c>
      <c r="AS13" s="9">
        <f t="shared" ca="1" si="4"/>
        <v>0</v>
      </c>
      <c r="AT13" s="9">
        <f t="shared" ca="1" si="4"/>
        <v>0</v>
      </c>
      <c r="AU13" s="3">
        <f t="shared" ca="1" si="4"/>
        <v>0</v>
      </c>
      <c r="AV13" s="25">
        <f t="shared" ca="1" si="4"/>
        <v>0</v>
      </c>
      <c r="AW13" s="9">
        <f t="shared" ca="1" si="4"/>
        <v>0</v>
      </c>
      <c r="AX13" s="25">
        <f t="shared" ca="1" si="4"/>
        <v>0</v>
      </c>
    </row>
    <row r="14" spans="1:50" ht="12.75" customHeight="1" x14ac:dyDescent="0.2">
      <c r="A14" t="s">
        <v>190</v>
      </c>
      <c r="B14" s="22" t="s">
        <v>871</v>
      </c>
      <c r="C14">
        <f t="shared" ca="1" si="0"/>
        <v>0</v>
      </c>
      <c r="D14" s="24">
        <f t="shared" ca="1" si="0"/>
        <v>0</v>
      </c>
      <c r="E14">
        <f t="shared" ca="1" si="0"/>
        <v>0</v>
      </c>
      <c r="F14">
        <f t="shared" ca="1" si="0"/>
        <v>30</v>
      </c>
      <c r="G14">
        <f t="shared" ca="1" si="0"/>
        <v>0</v>
      </c>
      <c r="H14">
        <f t="shared" ca="1" si="0"/>
        <v>0</v>
      </c>
      <c r="I14">
        <f t="shared" ca="1" si="0"/>
        <v>0</v>
      </c>
      <c r="J14" s="25">
        <f t="shared" ca="1" si="0"/>
        <v>0</v>
      </c>
      <c r="K14" s="9">
        <f t="shared" ca="1" si="0"/>
        <v>0</v>
      </c>
      <c r="L14">
        <f t="shared" ca="1" si="0"/>
        <v>20</v>
      </c>
      <c r="M14">
        <f t="shared" ca="1" si="1"/>
        <v>20</v>
      </c>
      <c r="N14" s="9">
        <f t="shared" ca="1" si="1"/>
        <v>0</v>
      </c>
      <c r="O14" s="9">
        <f t="shared" ca="1" si="1"/>
        <v>0</v>
      </c>
      <c r="P14" s="9">
        <f t="shared" ca="1" si="1"/>
        <v>0</v>
      </c>
      <c r="Q14" s="9">
        <f t="shared" ca="1" si="1"/>
        <v>0</v>
      </c>
      <c r="R14" s="9">
        <f t="shared" ca="1" si="1"/>
        <v>0</v>
      </c>
      <c r="S14" s="9">
        <f t="shared" ca="1" si="1"/>
        <v>0</v>
      </c>
      <c r="T14" s="9">
        <f t="shared" ca="1" si="1"/>
        <v>0</v>
      </c>
      <c r="U14" s="3">
        <f t="shared" ca="1" si="1"/>
        <v>0</v>
      </c>
      <c r="V14" s="9">
        <f t="shared" ca="1" si="1"/>
        <v>0</v>
      </c>
      <c r="W14" s="9">
        <f t="shared" ca="1" si="1"/>
        <v>0</v>
      </c>
      <c r="X14" s="25">
        <f t="shared" ca="1" si="1"/>
        <v>10</v>
      </c>
      <c r="Z14" t="str">
        <f t="shared" si="2"/>
        <v>=</v>
      </c>
      <c r="AA14" t="s">
        <v>190</v>
      </c>
      <c r="AB14" s="23" t="s">
        <v>871</v>
      </c>
      <c r="AC14">
        <f t="shared" ca="1" si="3"/>
        <v>0</v>
      </c>
      <c r="AD14" s="24">
        <f t="shared" ca="1" si="3"/>
        <v>0</v>
      </c>
      <c r="AE14">
        <f t="shared" ca="1" si="3"/>
        <v>0</v>
      </c>
      <c r="AF14">
        <f t="shared" ca="1" si="3"/>
        <v>30</v>
      </c>
      <c r="AG14">
        <f t="shared" ca="1" si="3"/>
        <v>0</v>
      </c>
      <c r="AH14">
        <f t="shared" ca="1" si="3"/>
        <v>0</v>
      </c>
      <c r="AI14">
        <f t="shared" ca="1" si="3"/>
        <v>0</v>
      </c>
      <c r="AJ14" s="25">
        <f t="shared" ca="1" si="3"/>
        <v>0</v>
      </c>
      <c r="AK14" s="9">
        <f t="shared" ca="1" si="3"/>
        <v>0</v>
      </c>
      <c r="AL14">
        <f t="shared" ca="1" si="3"/>
        <v>20</v>
      </c>
      <c r="AM14">
        <f t="shared" ca="1" si="4"/>
        <v>20</v>
      </c>
      <c r="AN14" s="9">
        <f t="shared" ca="1" si="4"/>
        <v>0</v>
      </c>
      <c r="AO14" s="9">
        <f t="shared" ca="1" si="4"/>
        <v>0</v>
      </c>
      <c r="AP14" s="9">
        <f t="shared" ca="1" si="4"/>
        <v>0</v>
      </c>
      <c r="AQ14" s="9">
        <f t="shared" ca="1" si="4"/>
        <v>0</v>
      </c>
      <c r="AR14" s="9">
        <f t="shared" ca="1" si="4"/>
        <v>0</v>
      </c>
      <c r="AS14" s="9">
        <f t="shared" ca="1" si="4"/>
        <v>0</v>
      </c>
      <c r="AT14" s="9">
        <f t="shared" ca="1" si="4"/>
        <v>0</v>
      </c>
      <c r="AU14" s="3">
        <f t="shared" ca="1" si="4"/>
        <v>0</v>
      </c>
      <c r="AV14" s="25">
        <f t="shared" ca="1" si="4"/>
        <v>0</v>
      </c>
      <c r="AW14" s="9">
        <f t="shared" ca="1" si="4"/>
        <v>0</v>
      </c>
      <c r="AX14" s="25">
        <f t="shared" ca="1" si="4"/>
        <v>10</v>
      </c>
    </row>
    <row r="15" spans="1:50" ht="12.75" customHeight="1" x14ac:dyDescent="0.2">
      <c r="A15" t="s">
        <v>192</v>
      </c>
      <c r="B15" s="22" t="s">
        <v>869</v>
      </c>
      <c r="C15">
        <f t="shared" ca="1" si="0"/>
        <v>0</v>
      </c>
      <c r="D15" s="24">
        <f t="shared" ca="1" si="0"/>
        <v>0</v>
      </c>
      <c r="E15">
        <f t="shared" ca="1" si="0"/>
        <v>15</v>
      </c>
      <c r="F15">
        <f t="shared" ca="1" si="0"/>
        <v>0</v>
      </c>
      <c r="G15">
        <f t="shared" ca="1" si="0"/>
        <v>0</v>
      </c>
      <c r="H15">
        <f t="shared" ca="1" si="0"/>
        <v>0</v>
      </c>
      <c r="I15">
        <f t="shared" ca="1" si="0"/>
        <v>0</v>
      </c>
      <c r="J15" s="25">
        <f t="shared" ca="1" si="0"/>
        <v>0</v>
      </c>
      <c r="K15" s="9">
        <f t="shared" ca="1" si="0"/>
        <v>0</v>
      </c>
      <c r="L15">
        <f t="shared" ca="1" si="0"/>
        <v>15</v>
      </c>
      <c r="M15">
        <f t="shared" ca="1" si="1"/>
        <v>0</v>
      </c>
      <c r="N15" s="9">
        <f t="shared" ca="1" si="1"/>
        <v>0</v>
      </c>
      <c r="O15" s="9">
        <f t="shared" ca="1" si="1"/>
        <v>0.05</v>
      </c>
      <c r="P15" s="9">
        <f t="shared" ca="1" si="1"/>
        <v>0.02</v>
      </c>
      <c r="Q15" s="9">
        <f t="shared" ca="1" si="1"/>
        <v>0</v>
      </c>
      <c r="R15" s="9">
        <f t="shared" ca="1" si="1"/>
        <v>0</v>
      </c>
      <c r="S15" s="9">
        <f t="shared" ca="1" si="1"/>
        <v>0</v>
      </c>
      <c r="T15" s="9">
        <f t="shared" ca="1" si="1"/>
        <v>0</v>
      </c>
      <c r="U15" s="3">
        <f t="shared" ca="1" si="1"/>
        <v>92</v>
      </c>
      <c r="V15" s="9">
        <f t="shared" ca="1" si="1"/>
        <v>0</v>
      </c>
      <c r="W15" s="9">
        <f t="shared" ca="1" si="1"/>
        <v>0</v>
      </c>
      <c r="X15" s="25">
        <f t="shared" ca="1" si="1"/>
        <v>0</v>
      </c>
      <c r="Z15" t="str">
        <f t="shared" si="2"/>
        <v>=</v>
      </c>
      <c r="AA15" t="s">
        <v>192</v>
      </c>
      <c r="AB15" s="23" t="s">
        <v>869</v>
      </c>
      <c r="AC15">
        <f t="shared" ca="1" si="3"/>
        <v>0</v>
      </c>
      <c r="AD15" s="24">
        <f t="shared" ca="1" si="3"/>
        <v>0</v>
      </c>
      <c r="AE15">
        <f t="shared" ca="1" si="3"/>
        <v>15</v>
      </c>
      <c r="AF15">
        <f t="shared" ca="1" si="3"/>
        <v>0</v>
      </c>
      <c r="AG15">
        <f t="shared" ca="1" si="3"/>
        <v>0</v>
      </c>
      <c r="AH15">
        <f t="shared" ca="1" si="3"/>
        <v>0</v>
      </c>
      <c r="AI15">
        <f t="shared" ca="1" si="3"/>
        <v>0</v>
      </c>
      <c r="AJ15" s="25">
        <f t="shared" ca="1" si="3"/>
        <v>0</v>
      </c>
      <c r="AK15" s="9">
        <f t="shared" ca="1" si="3"/>
        <v>0</v>
      </c>
      <c r="AL15">
        <f t="shared" ca="1" si="3"/>
        <v>15</v>
      </c>
      <c r="AM15">
        <f t="shared" ca="1" si="4"/>
        <v>0</v>
      </c>
      <c r="AN15" s="9">
        <f t="shared" ca="1" si="4"/>
        <v>0</v>
      </c>
      <c r="AO15" s="9">
        <f t="shared" ca="1" si="4"/>
        <v>0.05</v>
      </c>
      <c r="AP15" s="9">
        <f t="shared" ca="1" si="4"/>
        <v>0.02</v>
      </c>
      <c r="AQ15" s="9">
        <f t="shared" ca="1" si="4"/>
        <v>0</v>
      </c>
      <c r="AR15" s="9">
        <f t="shared" ca="1" si="4"/>
        <v>0</v>
      </c>
      <c r="AS15" s="9">
        <f t="shared" ca="1" si="4"/>
        <v>0</v>
      </c>
      <c r="AT15" s="9">
        <f t="shared" ca="1" si="4"/>
        <v>0</v>
      </c>
      <c r="AU15" s="3">
        <f t="shared" ca="1" si="4"/>
        <v>92</v>
      </c>
      <c r="AV15" s="25">
        <f t="shared" ca="1" si="4"/>
        <v>0</v>
      </c>
      <c r="AW15" s="9">
        <f t="shared" ca="1" si="4"/>
        <v>0</v>
      </c>
      <c r="AX15" s="25">
        <f t="shared" ca="1" si="4"/>
        <v>0</v>
      </c>
    </row>
    <row r="16" spans="1:50" ht="12.75" customHeight="1" x14ac:dyDescent="0.2">
      <c r="A16" t="s">
        <v>194</v>
      </c>
      <c r="B16" s="23" t="s">
        <v>196</v>
      </c>
      <c r="C16">
        <f t="shared" ca="1" si="0"/>
        <v>0</v>
      </c>
      <c r="D16" s="24">
        <f t="shared" ca="1" si="0"/>
        <v>0</v>
      </c>
      <c r="E16">
        <f t="shared" ca="1" si="0"/>
        <v>40</v>
      </c>
      <c r="F16">
        <f t="shared" ca="1" si="0"/>
        <v>0</v>
      </c>
      <c r="G16">
        <f t="shared" ca="1" si="0"/>
        <v>15</v>
      </c>
      <c r="H16">
        <f t="shared" ca="1" si="0"/>
        <v>26</v>
      </c>
      <c r="I16">
        <f t="shared" ca="1" si="0"/>
        <v>23</v>
      </c>
      <c r="J16" s="25">
        <f t="shared" ca="1" si="0"/>
        <v>0</v>
      </c>
      <c r="K16" s="9">
        <f t="shared" ca="1" si="0"/>
        <v>0</v>
      </c>
      <c r="L16">
        <f t="shared" ca="1" si="0"/>
        <v>45</v>
      </c>
      <c r="M16">
        <f t="shared" ca="1" si="1"/>
        <v>49</v>
      </c>
      <c r="N16" s="9">
        <f t="shared" ca="1" si="1"/>
        <v>0</v>
      </c>
      <c r="O16" s="9">
        <f t="shared" ca="1" si="1"/>
        <v>0</v>
      </c>
      <c r="P16" s="9">
        <f t="shared" ca="1" si="1"/>
        <v>0.05</v>
      </c>
      <c r="Q16" s="9">
        <f t="shared" ca="1" si="1"/>
        <v>0</v>
      </c>
      <c r="R16" s="9">
        <f t="shared" ca="1" si="1"/>
        <v>0</v>
      </c>
      <c r="S16" s="9">
        <f t="shared" ca="1" si="1"/>
        <v>0</v>
      </c>
      <c r="T16" s="9">
        <f t="shared" ca="1" si="1"/>
        <v>0</v>
      </c>
      <c r="U16" s="3">
        <f t="shared" ca="1" si="1"/>
        <v>40</v>
      </c>
      <c r="V16" s="9">
        <f t="shared" ca="1" si="1"/>
        <v>0</v>
      </c>
      <c r="W16" s="9">
        <f t="shared" ca="1" si="1"/>
        <v>0</v>
      </c>
      <c r="X16" s="25">
        <f t="shared" ca="1" si="1"/>
        <v>0</v>
      </c>
      <c r="Z16" t="str">
        <f t="shared" si="2"/>
        <v>=</v>
      </c>
      <c r="AA16" t="s">
        <v>194</v>
      </c>
      <c r="AB16" s="23" t="s">
        <v>196</v>
      </c>
      <c r="AC16">
        <f t="shared" ca="1" si="3"/>
        <v>0</v>
      </c>
      <c r="AD16" s="24">
        <f t="shared" ca="1" si="3"/>
        <v>0</v>
      </c>
      <c r="AE16">
        <f t="shared" ca="1" si="3"/>
        <v>40</v>
      </c>
      <c r="AF16">
        <f t="shared" ca="1" si="3"/>
        <v>0</v>
      </c>
      <c r="AG16">
        <f t="shared" ca="1" si="3"/>
        <v>15</v>
      </c>
      <c r="AH16">
        <f t="shared" ca="1" si="3"/>
        <v>26</v>
      </c>
      <c r="AI16">
        <f t="shared" ca="1" si="3"/>
        <v>23</v>
      </c>
      <c r="AJ16" s="25">
        <f t="shared" ca="1" si="3"/>
        <v>0</v>
      </c>
      <c r="AK16" s="9">
        <f t="shared" ca="1" si="3"/>
        <v>0</v>
      </c>
      <c r="AL16">
        <f t="shared" ca="1" si="3"/>
        <v>45</v>
      </c>
      <c r="AM16">
        <f t="shared" ca="1" si="4"/>
        <v>49</v>
      </c>
      <c r="AN16" s="9">
        <f t="shared" ca="1" si="4"/>
        <v>0</v>
      </c>
      <c r="AO16" s="9">
        <f t="shared" ca="1" si="4"/>
        <v>0</v>
      </c>
      <c r="AP16" s="9">
        <f t="shared" ca="1" si="4"/>
        <v>0.05</v>
      </c>
      <c r="AQ16" s="9">
        <f t="shared" ca="1" si="4"/>
        <v>0</v>
      </c>
      <c r="AR16" s="9">
        <f t="shared" ca="1" si="4"/>
        <v>0</v>
      </c>
      <c r="AS16" s="9">
        <f t="shared" ca="1" si="4"/>
        <v>0</v>
      </c>
      <c r="AT16" s="9">
        <f t="shared" ca="1" si="4"/>
        <v>0</v>
      </c>
      <c r="AU16" s="3">
        <f t="shared" ca="1" si="4"/>
        <v>40</v>
      </c>
      <c r="AV16" s="25">
        <f t="shared" ca="1" si="4"/>
        <v>0</v>
      </c>
      <c r="AW16" s="9">
        <f t="shared" ca="1" si="4"/>
        <v>0</v>
      </c>
      <c r="AX16" s="25">
        <f t="shared" ca="1" si="4"/>
        <v>0</v>
      </c>
    </row>
    <row r="17" spans="1:50" ht="12.75" customHeight="1" x14ac:dyDescent="0.2">
      <c r="A17" t="s">
        <v>197</v>
      </c>
      <c r="B17" s="23" t="s">
        <v>198</v>
      </c>
      <c r="C17">
        <f t="shared" ca="1" si="0"/>
        <v>0</v>
      </c>
      <c r="D17" s="24">
        <f t="shared" ca="1" si="0"/>
        <v>0</v>
      </c>
      <c r="E17">
        <f t="shared" ca="1" si="0"/>
        <v>16</v>
      </c>
      <c r="F17">
        <f t="shared" ca="1" si="0"/>
        <v>33</v>
      </c>
      <c r="G17">
        <f t="shared" ca="1" si="0"/>
        <v>10</v>
      </c>
      <c r="H17">
        <f t="shared" ca="1" si="0"/>
        <v>0</v>
      </c>
      <c r="I17">
        <f t="shared" ca="1" si="0"/>
        <v>11</v>
      </c>
      <c r="J17" s="25">
        <f t="shared" ca="1" si="0"/>
        <v>0</v>
      </c>
      <c r="K17" s="9">
        <f t="shared" ca="1" si="0"/>
        <v>0</v>
      </c>
      <c r="L17">
        <f t="shared" ca="1" si="0"/>
        <v>20</v>
      </c>
      <c r="M17">
        <f t="shared" ca="1" si="1"/>
        <v>24</v>
      </c>
      <c r="N17" s="9">
        <f t="shared" ca="1" si="1"/>
        <v>0</v>
      </c>
      <c r="O17" s="9">
        <f t="shared" ca="1" si="1"/>
        <v>0</v>
      </c>
      <c r="P17" s="9">
        <f t="shared" ca="1" si="1"/>
        <v>0.06</v>
      </c>
      <c r="Q17" s="9">
        <f t="shared" ca="1" si="1"/>
        <v>0</v>
      </c>
      <c r="R17" s="9">
        <f t="shared" ca="1" si="1"/>
        <v>0</v>
      </c>
      <c r="S17" s="9">
        <f t="shared" ca="1" si="1"/>
        <v>0</v>
      </c>
      <c r="T17" s="9">
        <f t="shared" ca="1" si="1"/>
        <v>0</v>
      </c>
      <c r="U17" s="3">
        <f t="shared" ca="1" si="1"/>
        <v>40</v>
      </c>
      <c r="V17" s="9">
        <f t="shared" ca="1" si="1"/>
        <v>0</v>
      </c>
      <c r="W17" s="9">
        <f t="shared" ca="1" si="1"/>
        <v>0</v>
      </c>
      <c r="X17" s="25">
        <f t="shared" ca="1" si="1"/>
        <v>0</v>
      </c>
      <c r="Z17" t="str">
        <f t="shared" si="2"/>
        <v>=</v>
      </c>
      <c r="AA17" t="s">
        <v>197</v>
      </c>
      <c r="AB17" s="23" t="s">
        <v>198</v>
      </c>
      <c r="AC17">
        <f t="shared" ca="1" si="3"/>
        <v>0</v>
      </c>
      <c r="AD17">
        <f t="shared" ca="1" si="3"/>
        <v>0</v>
      </c>
      <c r="AE17">
        <f t="shared" ca="1" si="3"/>
        <v>16</v>
      </c>
      <c r="AF17">
        <f t="shared" ca="1" si="3"/>
        <v>33</v>
      </c>
      <c r="AG17">
        <f t="shared" ca="1" si="3"/>
        <v>10</v>
      </c>
      <c r="AH17">
        <f t="shared" ca="1" si="3"/>
        <v>0</v>
      </c>
      <c r="AI17">
        <f t="shared" ca="1" si="3"/>
        <v>11</v>
      </c>
      <c r="AJ17" s="25">
        <f t="shared" ca="1" si="3"/>
        <v>0</v>
      </c>
      <c r="AK17" s="9">
        <f t="shared" ca="1" si="3"/>
        <v>0</v>
      </c>
      <c r="AL17">
        <f t="shared" ca="1" si="3"/>
        <v>20</v>
      </c>
      <c r="AM17">
        <f t="shared" ca="1" si="4"/>
        <v>24</v>
      </c>
      <c r="AN17" s="9">
        <f t="shared" ca="1" si="4"/>
        <v>0</v>
      </c>
      <c r="AO17" s="9">
        <f t="shared" ca="1" si="4"/>
        <v>0</v>
      </c>
      <c r="AP17" s="9">
        <f t="shared" ca="1" si="4"/>
        <v>0.06</v>
      </c>
      <c r="AQ17" s="9">
        <f t="shared" ca="1" si="4"/>
        <v>0</v>
      </c>
      <c r="AR17" s="9">
        <f t="shared" ca="1" si="4"/>
        <v>0</v>
      </c>
      <c r="AS17" s="9">
        <f t="shared" ca="1" si="4"/>
        <v>0</v>
      </c>
      <c r="AT17" s="9">
        <f t="shared" ca="1" si="4"/>
        <v>0</v>
      </c>
      <c r="AU17" s="3">
        <f t="shared" ca="1" si="4"/>
        <v>40</v>
      </c>
      <c r="AV17" s="25">
        <f t="shared" ca="1" si="4"/>
        <v>0</v>
      </c>
      <c r="AW17" s="9">
        <f t="shared" ca="1" si="4"/>
        <v>0</v>
      </c>
      <c r="AX17" s="25">
        <f t="shared" ca="1" si="4"/>
        <v>0</v>
      </c>
    </row>
    <row r="18" spans="1:50" ht="12.75" customHeight="1" x14ac:dyDescent="0.2">
      <c r="A18" t="s">
        <v>199</v>
      </c>
      <c r="B18" s="3"/>
      <c r="C18" s="25">
        <f>HLOOKUP(C2,'Other Lists'!$Y$89:$BN$93, 2, 0)</f>
        <v>0</v>
      </c>
      <c r="D18">
        <v>0</v>
      </c>
      <c r="E18" s="25">
        <f>HLOOKUP(E2,'Other Lists'!$Y$89:$BN$93, 2, 0)</f>
        <v>0</v>
      </c>
      <c r="F18" s="25">
        <f>HLOOKUP(F2,'Other Lists'!$Y$89:$BN$93, 2, 0)</f>
        <v>0</v>
      </c>
      <c r="G18" s="25">
        <f>HLOOKUP(G2,'Other Lists'!$Y$89:$BN$93, 2, 0)</f>
        <v>0</v>
      </c>
      <c r="H18" s="25">
        <f>HLOOKUP(H2,'Other Lists'!$Y$89:$BN$93, 2, 0)</f>
        <v>0</v>
      </c>
      <c r="I18" s="25">
        <f>HLOOKUP(I2,'Other Lists'!$Y$89:$BN$93, 2, 0)</f>
        <v>0</v>
      </c>
      <c r="J18" s="25">
        <f>HLOOKUP(J2,'Other Lists'!$Y$89:$BN$93, 2, 0)</f>
        <v>0</v>
      </c>
      <c r="K18" s="24">
        <f>HLOOKUP(K2,'Other Lists'!$Y$89:$BN$93, 2, 0)</f>
        <v>0</v>
      </c>
      <c r="L18" s="25">
        <f>HLOOKUP(L2,'Other Lists'!$Y$89:$BN$93, 2, 0)</f>
        <v>0</v>
      </c>
      <c r="M18" s="25">
        <f>HLOOKUP(M2,'Other Lists'!$Y$89:$BN$93, 2, 0)</f>
        <v>0</v>
      </c>
      <c r="N18" s="24">
        <f>HLOOKUP(N2,'Other Lists'!$Y$89:$BN$93, 2, 0)</f>
        <v>0</v>
      </c>
      <c r="O18" s="24">
        <f>HLOOKUP(O2,'Other Lists'!$Y$89:$BN$93, 2, 0)</f>
        <v>0</v>
      </c>
      <c r="P18" s="24">
        <f>HLOOKUP(P2,'Other Lists'!$Y$89:$BN$93, 2, 0)</f>
        <v>0</v>
      </c>
      <c r="Q18" s="24">
        <f>HLOOKUP(Q2,'Other Lists'!$Y$89:$BN$93, 2, 0)</f>
        <v>0</v>
      </c>
      <c r="R18" s="24">
        <f>HLOOKUP(R2,'Other Lists'!$Y$89:$BN$93, 2, 0)</f>
        <v>0</v>
      </c>
      <c r="S18" s="24">
        <f>HLOOKUP(S2,'Other Lists'!$Y$89:$BN$93, 2, 0)</f>
        <v>0</v>
      </c>
      <c r="T18" s="24">
        <f>HLOOKUP(T2,'Other Lists'!$Y$89:$BN$93, 2, 0)</f>
        <v>0</v>
      </c>
      <c r="U18" s="25">
        <f>HLOOKUP(U2,'Other Lists'!$Y$89:$BN$93, 2, 0)</f>
        <v>0</v>
      </c>
      <c r="V18" s="25">
        <f>HLOOKUP(V2,'Other Lists'!$Y$89:$BN$93, 2, 0)</f>
        <v>0</v>
      </c>
      <c r="W18" s="25">
        <f>HLOOKUP(W2,'Other Lists'!$Y$89:$BN$93, 2, 0)</f>
        <v>0</v>
      </c>
      <c r="X18" s="25">
        <f>HLOOKUP(X2,'Other Lists'!$Y$89:$BN$93, 2, 0)</f>
        <v>0</v>
      </c>
      <c r="Z18" t="str">
        <f>IF(AND(C18=AC18, E18=AE18, F18=AF18, G18=AG18, H18=AH18, I18=AI18, J18=AJ18, K18=AK18, L18=AL18, M18=AM18, N18=AN18, O18=AO18, P18=AP18, Q18=AQ18, R18=AR18, S18=AS18, T18=AT18, U18=AU18, V18=AV18, W18=AW18, X18=AX18), "=", "-")</f>
        <v>=</v>
      </c>
      <c r="AA18" t="s">
        <v>199</v>
      </c>
      <c r="AB18" s="3"/>
      <c r="AC18" s="25">
        <f>HLOOKUP(AC2,'Other Lists'!$Y$89:$BN$93, 3, 0)</f>
        <v>0</v>
      </c>
      <c r="AD18">
        <v>0</v>
      </c>
      <c r="AE18" s="25">
        <f>HLOOKUP(AE2,'Other Lists'!$Y$89:$BN$93, 3, 0)</f>
        <v>0</v>
      </c>
      <c r="AF18" s="25">
        <f>HLOOKUP(AF2,'Other Lists'!$Y$89:$BN$93, 3, 0)</f>
        <v>0</v>
      </c>
      <c r="AG18" s="25">
        <f>HLOOKUP(AG2,'Other Lists'!$Y$89:$BN$93, 3, 0)</f>
        <v>0</v>
      </c>
      <c r="AH18" s="25">
        <f>HLOOKUP(AH2,'Other Lists'!$Y$89:$BN$93, 3, 0)</f>
        <v>0</v>
      </c>
      <c r="AI18" s="25">
        <f>HLOOKUP(AI2,'Other Lists'!$Y$89:$BN$93, 3, 0)</f>
        <v>0</v>
      </c>
      <c r="AJ18" s="25">
        <f>HLOOKUP(AJ2,'Other Lists'!$Y$89:$BN$93, 3, 0)</f>
        <v>0</v>
      </c>
      <c r="AK18" s="24">
        <f>HLOOKUP(AK2,'Other Lists'!$Y$89:$BN$93, 3, 0)</f>
        <v>0</v>
      </c>
      <c r="AL18" s="25">
        <f>HLOOKUP(AL2,'Other Lists'!$Y$89:$BN$93, 3, 0)</f>
        <v>0</v>
      </c>
      <c r="AM18" s="25">
        <f>HLOOKUP(AM2,'Other Lists'!$Y$89:$BN$93, 3, 0)</f>
        <v>0</v>
      </c>
      <c r="AN18" s="24">
        <f>HLOOKUP(AN2,'Other Lists'!$Y$89:$BN$93, 3, 0)</f>
        <v>0</v>
      </c>
      <c r="AO18" s="24">
        <f>HLOOKUP(AO2,'Other Lists'!$Y$89:$BN$93, 3, 0)</f>
        <v>0</v>
      </c>
      <c r="AP18" s="24">
        <f>HLOOKUP(AP2,'Other Lists'!$Y$89:$BN$93, 3, 0)</f>
        <v>0</v>
      </c>
      <c r="AQ18" s="24">
        <f>HLOOKUP(AQ2,'Other Lists'!$Y$89:$BN$93, 3, 0)</f>
        <v>0</v>
      </c>
      <c r="AR18" s="24">
        <f>HLOOKUP(AR2,'Other Lists'!$Y$89:$BN$93, 3, 0)</f>
        <v>0</v>
      </c>
      <c r="AS18" s="24">
        <f>HLOOKUP(AS2,'Other Lists'!$Y$89:$BN$93, 3, 0)</f>
        <v>0</v>
      </c>
      <c r="AT18" s="24">
        <f>HLOOKUP(AT2,'Other Lists'!$Y$89:$BN$93, 3, 0)</f>
        <v>0</v>
      </c>
      <c r="AU18" s="25">
        <f>HLOOKUP(AU2,'Other Lists'!$Y$89:$BN$93, 3, 0)</f>
        <v>0</v>
      </c>
      <c r="AV18" s="25">
        <f>HLOOKUP(AV2,'Other Lists'!$Y$89:$BN$93, 3, 0)</f>
        <v>0</v>
      </c>
      <c r="AW18" s="25">
        <f>HLOOKUP(AW2,'Other Lists'!$Y$89:$BN$93, 3, 0)</f>
        <v>0</v>
      </c>
      <c r="AX18" s="25">
        <f>HLOOKUP(AX2,'Other Lists'!$Y$89:$BN$93, 3, 0)</f>
        <v>0</v>
      </c>
    </row>
    <row r="19" spans="1:50" ht="12.75" customHeight="1" x14ac:dyDescent="0.2">
      <c r="A19" t="s">
        <v>200</v>
      </c>
      <c r="C19" s="22"/>
      <c r="D19" s="22"/>
      <c r="E19" s="22"/>
      <c r="F19" s="22">
        <v>0</v>
      </c>
      <c r="G19" s="22"/>
      <c r="H19" s="22"/>
      <c r="I19" s="22"/>
      <c r="J19" s="22"/>
      <c r="K19" s="26"/>
      <c r="L19" s="22">
        <v>0</v>
      </c>
      <c r="M19" s="22">
        <v>0</v>
      </c>
      <c r="N19" s="22"/>
      <c r="O19" s="26">
        <v>0</v>
      </c>
      <c r="P19" s="26"/>
      <c r="Q19" s="26"/>
      <c r="R19" s="26"/>
      <c r="S19" s="26"/>
      <c r="T19" s="26"/>
      <c r="U19" s="22"/>
      <c r="V19" s="26"/>
      <c r="W19" s="22"/>
      <c r="X19" s="22"/>
      <c r="Z19" t="str">
        <f>IF(AND(C19=AC19, E19=AE19, F19=AF19, G19=AG19, H19=AH19, I19=AI19, J19=AJ19, K19=AK19, L19=AL19, M19=AM19, N19=AN19, O19=AO19, P19=AP19, Q19=AQ19, R19=AR19, S19=AS19, T19=AT19, U19=AU19, V19=AV19, W19=AW19, X19=AX19), "=", "-")</f>
        <v>=</v>
      </c>
      <c r="AA19" t="s">
        <v>200</v>
      </c>
      <c r="AC19" s="22"/>
      <c r="AD19" s="22"/>
      <c r="AE19" s="22"/>
      <c r="AF19" s="22">
        <v>0</v>
      </c>
      <c r="AG19" s="22"/>
      <c r="AH19" s="22"/>
      <c r="AI19" s="22"/>
      <c r="AJ19" s="22"/>
      <c r="AK19" s="26"/>
      <c r="AL19" s="22">
        <v>0</v>
      </c>
      <c r="AM19" s="22">
        <v>0</v>
      </c>
      <c r="AN19" s="22"/>
      <c r="AO19" s="26">
        <v>0</v>
      </c>
      <c r="AP19" s="26"/>
      <c r="AQ19" s="26"/>
      <c r="AR19" s="26"/>
      <c r="AS19" s="26"/>
      <c r="AT19" s="26"/>
      <c r="AU19" s="22"/>
      <c r="AV19" s="22"/>
      <c r="AW19" s="22"/>
      <c r="AX19" s="22"/>
    </row>
    <row r="20" spans="1:50" ht="12.75" customHeight="1" x14ac:dyDescent="0.2">
      <c r="K20" s="9"/>
      <c r="O20" s="9"/>
      <c r="P20" s="9"/>
      <c r="Q20" s="9"/>
      <c r="R20" s="9"/>
      <c r="S20" s="9"/>
      <c r="T20" s="9"/>
      <c r="U20" s="9"/>
      <c r="V20" s="9"/>
      <c r="W20" s="9"/>
      <c r="AK20" s="9"/>
      <c r="AO20" s="9"/>
      <c r="AP20" s="9"/>
      <c r="AQ20" s="9"/>
      <c r="AR20" s="9"/>
      <c r="AS20" s="9"/>
      <c r="AT20" s="9"/>
      <c r="AU20" s="9"/>
      <c r="AV20" s="9"/>
      <c r="AW20" s="9"/>
    </row>
    <row r="21" spans="1:50" ht="12.75" customHeight="1" x14ac:dyDescent="0.2">
      <c r="A21" t="s">
        <v>201</v>
      </c>
      <c r="C21">
        <f t="shared" ref="C21:T21" ca="1" si="5">SUM(C3:C19)</f>
        <v>0</v>
      </c>
      <c r="D21" s="24">
        <f t="shared" ca="1" si="5"/>
        <v>0</v>
      </c>
      <c r="E21">
        <f t="shared" ca="1" si="5"/>
        <v>175</v>
      </c>
      <c r="F21">
        <f t="shared" ca="1" si="5"/>
        <v>209</v>
      </c>
      <c r="G21">
        <f t="shared" ca="1" si="5"/>
        <v>108</v>
      </c>
      <c r="H21">
        <f t="shared" ca="1" si="5"/>
        <v>77</v>
      </c>
      <c r="I21">
        <f t="shared" ca="1" si="5"/>
        <v>107</v>
      </c>
      <c r="J21" s="25">
        <f t="shared" ca="1" si="5"/>
        <v>20</v>
      </c>
      <c r="K21" s="9">
        <f t="shared" ca="1" si="5"/>
        <v>0</v>
      </c>
      <c r="L21">
        <f t="shared" ca="1" si="5"/>
        <v>157</v>
      </c>
      <c r="M21">
        <f t="shared" ca="1" si="5"/>
        <v>195</v>
      </c>
      <c r="N21" s="9">
        <f t="shared" ca="1" si="5"/>
        <v>0</v>
      </c>
      <c r="O21" s="9">
        <f t="shared" ca="1" si="5"/>
        <v>0.24</v>
      </c>
      <c r="P21" s="9">
        <f t="shared" ca="1" si="5"/>
        <v>0.18</v>
      </c>
      <c r="Q21" s="9">
        <f t="shared" ca="1" si="5"/>
        <v>0.03</v>
      </c>
      <c r="R21" s="9">
        <f t="shared" ca="1" si="5"/>
        <v>0</v>
      </c>
      <c r="S21" s="9">
        <f t="shared" ca="1" si="5"/>
        <v>0.1</v>
      </c>
      <c r="T21" s="9">
        <f t="shared" ca="1" si="5"/>
        <v>0</v>
      </c>
      <c r="U21" s="9">
        <f ca="1">SUM(U3:U19)/1024</f>
        <v>0.3349609375</v>
      </c>
      <c r="V21" s="9">
        <f ca="1">SUM(V3:V19)</f>
        <v>0</v>
      </c>
      <c r="W21" s="9">
        <f ca="1">SUM(W3:W19)</f>
        <v>0</v>
      </c>
      <c r="X21" s="25">
        <f ca="1">SUM(X3:X19)</f>
        <v>39</v>
      </c>
      <c r="Z21" t="str">
        <f ca="1">IF(AND(C21=AC21, E21=AE21, F21=AF21, G21=AG21, H21=AH21, I21=AI21, J21=AJ21, K21=AK21, L21=AL21, M21=AM21, N21=AN21, O21=AO21, P21=AP21, Q21=AQ21, R21=AR21, S21=AS21, T21=AT21, U21=AU21, V21=AV21, W21=AW21, X21=AX21), "=", "-")</f>
        <v>=</v>
      </c>
      <c r="AA21" t="s">
        <v>201</v>
      </c>
      <c r="AC21">
        <f t="shared" ref="AC21:AT21" ca="1" si="6">SUM(AC3:AC19)</f>
        <v>0</v>
      </c>
      <c r="AD21">
        <f t="shared" ca="1" si="6"/>
        <v>0</v>
      </c>
      <c r="AE21">
        <f t="shared" ca="1" si="6"/>
        <v>175</v>
      </c>
      <c r="AF21">
        <f t="shared" ca="1" si="6"/>
        <v>209</v>
      </c>
      <c r="AG21">
        <f t="shared" ca="1" si="6"/>
        <v>108</v>
      </c>
      <c r="AH21">
        <f t="shared" ca="1" si="6"/>
        <v>77</v>
      </c>
      <c r="AI21">
        <f t="shared" ca="1" si="6"/>
        <v>107</v>
      </c>
      <c r="AJ21">
        <f t="shared" ca="1" si="6"/>
        <v>20</v>
      </c>
      <c r="AK21" s="9">
        <f t="shared" ca="1" si="6"/>
        <v>0</v>
      </c>
      <c r="AL21">
        <f t="shared" ca="1" si="6"/>
        <v>157</v>
      </c>
      <c r="AM21">
        <f t="shared" ca="1" si="6"/>
        <v>195</v>
      </c>
      <c r="AN21" s="9">
        <f t="shared" ca="1" si="6"/>
        <v>0</v>
      </c>
      <c r="AO21" s="9">
        <f t="shared" ca="1" si="6"/>
        <v>0.24</v>
      </c>
      <c r="AP21" s="9">
        <f t="shared" ca="1" si="6"/>
        <v>0.18</v>
      </c>
      <c r="AQ21" s="9">
        <f t="shared" ca="1" si="6"/>
        <v>0.03</v>
      </c>
      <c r="AR21" s="9">
        <f t="shared" ca="1" si="6"/>
        <v>0</v>
      </c>
      <c r="AS21" s="9">
        <f t="shared" ca="1" si="6"/>
        <v>0.1</v>
      </c>
      <c r="AT21" s="9">
        <f t="shared" ca="1" si="6"/>
        <v>0</v>
      </c>
      <c r="AU21" s="9">
        <f ca="1">SUM(AU3:AU19)/1024</f>
        <v>0.3349609375</v>
      </c>
      <c r="AV21">
        <f ca="1">SUM(AV3:AV19)</f>
        <v>0</v>
      </c>
      <c r="AW21" s="9">
        <f ca="1">SUM(AW3:AW19)</f>
        <v>0</v>
      </c>
      <c r="AX21">
        <f ca="1">SUM(AX3:AX19)</f>
        <v>39</v>
      </c>
    </row>
    <row r="22" spans="1:50" ht="12.75" customHeight="1" x14ac:dyDescent="0.2">
      <c r="A22" s="1" t="s">
        <v>202</v>
      </c>
      <c r="B22" s="20">
        <f ca="1">Setup!B40</f>
        <v>247.38815231579778</v>
      </c>
      <c r="V22" s="9"/>
      <c r="AA22" s="1" t="s">
        <v>202</v>
      </c>
      <c r="AB22" s="20">
        <f ca="1">Setup!C40</f>
        <v>247.38815231579778</v>
      </c>
    </row>
    <row r="23" spans="1:50" ht="12.75" customHeight="1" x14ac:dyDescent="0.2">
      <c r="V23" s="9"/>
    </row>
    <row r="24" spans="1:50" ht="12.75" customHeight="1" x14ac:dyDescent="0.2">
      <c r="A24" t="s">
        <v>203</v>
      </c>
      <c r="V24" s="9"/>
      <c r="AA24" t="s">
        <v>204</v>
      </c>
    </row>
    <row r="25" spans="1:50" ht="12.75" customHeight="1" x14ac:dyDescent="0.2">
      <c r="A25" t="s">
        <v>151</v>
      </c>
      <c r="B25" t="s">
        <v>152</v>
      </c>
      <c r="C25" t="str">
        <f>C2</f>
        <v>GSkill</v>
      </c>
      <c r="D25" t="str">
        <f>D2</f>
        <v>None</v>
      </c>
      <c r="E25" t="s">
        <v>30</v>
      </c>
      <c r="F25" t="s">
        <v>33</v>
      </c>
      <c r="G25" t="s">
        <v>29</v>
      </c>
      <c r="H25" t="s">
        <v>153</v>
      </c>
      <c r="I25" t="s">
        <v>154</v>
      </c>
      <c r="J25" t="s">
        <v>37</v>
      </c>
      <c r="K25" t="s">
        <v>155</v>
      </c>
      <c r="L25" t="s">
        <v>156</v>
      </c>
      <c r="M25" t="s">
        <v>120</v>
      </c>
      <c r="N25" t="s">
        <v>157</v>
      </c>
      <c r="O25" t="s">
        <v>158</v>
      </c>
      <c r="P25" t="s">
        <v>159</v>
      </c>
      <c r="Q25" t="s">
        <v>160</v>
      </c>
      <c r="R25" t="s">
        <v>162</v>
      </c>
      <c r="S25" t="s">
        <v>163</v>
      </c>
      <c r="T25" t="s">
        <v>205</v>
      </c>
      <c r="U25" t="s">
        <v>206</v>
      </c>
      <c r="V25" s="9" t="s">
        <v>207</v>
      </c>
      <c r="W25" t="s">
        <v>208</v>
      </c>
      <c r="X25" t="s">
        <v>166</v>
      </c>
      <c r="AA25" t="s">
        <v>151</v>
      </c>
      <c r="AB25" t="s">
        <v>152</v>
      </c>
      <c r="AC25" t="str">
        <f>AC2</f>
        <v>GSkill</v>
      </c>
      <c r="AD25" t="str">
        <f>AD2</f>
        <v>None</v>
      </c>
      <c r="AE25" t="s">
        <v>30</v>
      </c>
      <c r="AF25" t="s">
        <v>33</v>
      </c>
      <c r="AG25" t="s">
        <v>29</v>
      </c>
      <c r="AH25" t="s">
        <v>153</v>
      </c>
      <c r="AI25" t="s">
        <v>154</v>
      </c>
      <c r="AJ25" t="s">
        <v>37</v>
      </c>
      <c r="AK25" t="s">
        <v>155</v>
      </c>
      <c r="AL25" t="s">
        <v>156</v>
      </c>
      <c r="AM25" t="s">
        <v>120</v>
      </c>
      <c r="AN25" t="s">
        <v>157</v>
      </c>
      <c r="AO25" t="s">
        <v>158</v>
      </c>
      <c r="AP25" t="s">
        <v>159</v>
      </c>
      <c r="AQ25" t="s">
        <v>160</v>
      </c>
      <c r="AR25" t="s">
        <v>162</v>
      </c>
      <c r="AS25" t="s">
        <v>163</v>
      </c>
      <c r="AT25" t="s">
        <v>205</v>
      </c>
      <c r="AU25" t="s">
        <v>206</v>
      </c>
      <c r="AV25" t="s">
        <v>207</v>
      </c>
      <c r="AW25" t="s">
        <v>208</v>
      </c>
      <c r="AX25" t="s">
        <v>166</v>
      </c>
    </row>
    <row r="26" spans="1:50" ht="12.75" customHeight="1" x14ac:dyDescent="0.2">
      <c r="A26" t="str">
        <f>A3</f>
        <v>GreatSword</v>
      </c>
      <c r="B26" t="str">
        <f>B3</f>
        <v>Epeolatry III</v>
      </c>
      <c r="C26">
        <f t="shared" ref="C26:L40" ca="1" si="7">IF(ISBLANK($B26), 0, VLOOKUP($B26, INDIRECT($A26), MATCH(C$25, StatHeader, 0), 0))</f>
        <v>0</v>
      </c>
      <c r="D26" s="24">
        <f t="shared" ca="1" si="7"/>
        <v>0</v>
      </c>
      <c r="E26">
        <f t="shared" ca="1" si="7"/>
        <v>0</v>
      </c>
      <c r="F26">
        <f t="shared" ca="1" si="7"/>
        <v>0</v>
      </c>
      <c r="G26">
        <f t="shared" ca="1" si="7"/>
        <v>0</v>
      </c>
      <c r="H26">
        <f t="shared" ca="1" si="7"/>
        <v>0</v>
      </c>
      <c r="I26">
        <f t="shared" ca="1" si="7"/>
        <v>0</v>
      </c>
      <c r="J26" s="25">
        <f t="shared" ca="1" si="7"/>
        <v>0</v>
      </c>
      <c r="K26" s="9">
        <f t="shared" ca="1" si="7"/>
        <v>0</v>
      </c>
      <c r="L26">
        <f t="shared" ca="1" si="7"/>
        <v>0</v>
      </c>
      <c r="M26">
        <f t="shared" ref="M26:V40" ca="1" si="8">IF(ISBLANK($B26), 0, VLOOKUP($B26, INDIRECT($A26), MATCH(M$25, StatHeader, 0), 0))</f>
        <v>0</v>
      </c>
      <c r="N26" s="9">
        <f t="shared" ca="1" si="8"/>
        <v>0</v>
      </c>
      <c r="O26" s="9">
        <f t="shared" ca="1" si="8"/>
        <v>0</v>
      </c>
      <c r="P26" s="9">
        <f t="shared" ca="1" si="8"/>
        <v>0</v>
      </c>
      <c r="Q26" s="9">
        <f t="shared" ca="1" si="8"/>
        <v>0</v>
      </c>
      <c r="R26" s="9">
        <f t="shared" ca="1" si="8"/>
        <v>0</v>
      </c>
      <c r="S26" s="9">
        <f t="shared" ca="1" si="8"/>
        <v>0</v>
      </c>
      <c r="T26" s="8">
        <f t="shared" ca="1" si="8"/>
        <v>0</v>
      </c>
      <c r="U26" s="9">
        <f t="shared" ca="1" si="8"/>
        <v>0</v>
      </c>
      <c r="V26" s="9">
        <f t="shared" ca="1" si="8"/>
        <v>0</v>
      </c>
      <c r="W26" s="8">
        <f ca="1">IF(ISBLANK($B26), 0, IF(ISNUMBER(VLOOKUP($B26, INDIRECT($A26), MATCH("D"&amp;W$25, StatHeader, 0), 0)), IF(Setup!$F$41=1, VLOOKUP($B26, INDIRECT($A26), MATCH("D"&amp;W$25, StatHeader, 0), 0), 0), VLOOKUP($B26, INDIRECT($A26), MATCH(W$25, StatHeader, 0), 0)))</f>
        <v>0</v>
      </c>
      <c r="X26" s="25">
        <f t="shared" ref="X26:X40" ca="1" si="9">IF(ISBLANK($B26), 0, VLOOKUP($B26, INDIRECT($A26), MATCH(X$25, StatHeader, 0), 0))</f>
        <v>0</v>
      </c>
      <c r="AA26" t="str">
        <f>AA3</f>
        <v>GreatSword</v>
      </c>
      <c r="AB26" t="str">
        <f>AB3</f>
        <v>Epeolatry III</v>
      </c>
      <c r="AC26">
        <f t="shared" ref="AC26:AL40" ca="1" si="10">IF(ISBLANK($AB26), 0, VLOOKUP($AB26, INDIRECT($AA26), MATCH(AC$25, StatHeader, 0), 0))</f>
        <v>0</v>
      </c>
      <c r="AD26">
        <f t="shared" ca="1" si="10"/>
        <v>0</v>
      </c>
      <c r="AE26">
        <f t="shared" ca="1" si="10"/>
        <v>0</v>
      </c>
      <c r="AF26">
        <f t="shared" ca="1" si="10"/>
        <v>0</v>
      </c>
      <c r="AG26">
        <f t="shared" ca="1" si="10"/>
        <v>0</v>
      </c>
      <c r="AH26">
        <f t="shared" ca="1" si="10"/>
        <v>0</v>
      </c>
      <c r="AI26">
        <f t="shared" ca="1" si="10"/>
        <v>0</v>
      </c>
      <c r="AJ26">
        <f t="shared" ca="1" si="10"/>
        <v>0</v>
      </c>
      <c r="AK26" s="9">
        <f t="shared" ca="1" si="10"/>
        <v>0</v>
      </c>
      <c r="AL26">
        <f t="shared" ca="1" si="10"/>
        <v>0</v>
      </c>
      <c r="AM26">
        <f t="shared" ref="AM26:AV40" ca="1" si="11">IF(ISBLANK($AB26), 0, VLOOKUP($AB26, INDIRECT($AA26), MATCH(AM$25, StatHeader, 0), 0))</f>
        <v>0</v>
      </c>
      <c r="AN26" s="9">
        <f t="shared" ca="1" si="11"/>
        <v>0</v>
      </c>
      <c r="AO26" s="9">
        <f t="shared" ca="1" si="11"/>
        <v>0</v>
      </c>
      <c r="AP26" s="9">
        <f t="shared" ca="1" si="11"/>
        <v>0</v>
      </c>
      <c r="AQ26" s="9">
        <f t="shared" ca="1" si="11"/>
        <v>0</v>
      </c>
      <c r="AR26" s="9">
        <f t="shared" ca="1" si="11"/>
        <v>0</v>
      </c>
      <c r="AS26" s="9">
        <f t="shared" ca="1" si="11"/>
        <v>0</v>
      </c>
      <c r="AT26" s="3">
        <f t="shared" ca="1" si="11"/>
        <v>0</v>
      </c>
      <c r="AU26" s="9">
        <f t="shared" ca="1" si="11"/>
        <v>0</v>
      </c>
      <c r="AV26" s="9">
        <f t="shared" ca="1" si="11"/>
        <v>0</v>
      </c>
      <c r="AW26" s="3">
        <f ca="1">IF(ISBLANK($AB26), 0, IF(ISNUMBER(VLOOKUP($AB26, INDIRECT($AA26), MATCH("D"&amp;AW$25, StatHeader, 0), 0)), IF(Setup!$G$41=1, VLOOKUP($AB26, INDIRECT($AA26), MATCH("D"&amp;AW$25, StatHeader, 0), 0), 0), VLOOKUP($AB26, INDIRECT($AA26), MATCH(AW$25, StatHeader, 0), 0)))</f>
        <v>0</v>
      </c>
      <c r="AX26">
        <f t="shared" ref="AX26:AX40" ca="1" si="12">IF(ISBLANK($AB26), 0, VLOOKUP($AB26, INDIRECT($AA26), MATCH(AX$25, StatHeader, 0), 0))</f>
        <v>0</v>
      </c>
    </row>
    <row r="27" spans="1:50" ht="12.75" customHeight="1" x14ac:dyDescent="0.2">
      <c r="A27" t="str">
        <f>A4</f>
        <v>Grip</v>
      </c>
      <c r="B27" s="3" t="str">
        <f>B4</f>
        <v>Bloodrain</v>
      </c>
      <c r="C27">
        <f t="shared" ca="1" si="7"/>
        <v>0</v>
      </c>
      <c r="D27">
        <f t="shared" ca="1" si="7"/>
        <v>0</v>
      </c>
      <c r="E27">
        <f t="shared" ca="1" si="7"/>
        <v>0</v>
      </c>
      <c r="F27">
        <f t="shared" ca="1" si="7"/>
        <v>0</v>
      </c>
      <c r="G27">
        <f t="shared" ca="1" si="7"/>
        <v>0</v>
      </c>
      <c r="H27">
        <f t="shared" ca="1" si="7"/>
        <v>0</v>
      </c>
      <c r="I27">
        <f t="shared" ca="1" si="7"/>
        <v>0</v>
      </c>
      <c r="J27" s="25">
        <f t="shared" ca="1" si="7"/>
        <v>0</v>
      </c>
      <c r="K27" s="9">
        <f t="shared" ca="1" si="7"/>
        <v>0</v>
      </c>
      <c r="L27">
        <f t="shared" ca="1" si="7"/>
        <v>0</v>
      </c>
      <c r="M27">
        <f t="shared" ca="1" si="8"/>
        <v>6</v>
      </c>
      <c r="N27" s="9">
        <f t="shared" ca="1" si="8"/>
        <v>0</v>
      </c>
      <c r="O27" s="9">
        <f t="shared" ca="1" si="8"/>
        <v>0</v>
      </c>
      <c r="P27" s="9">
        <f t="shared" ca="1" si="8"/>
        <v>0</v>
      </c>
      <c r="Q27" s="9">
        <f t="shared" ca="1" si="8"/>
        <v>0</v>
      </c>
      <c r="R27" s="9">
        <f t="shared" ca="1" si="8"/>
        <v>0</v>
      </c>
      <c r="S27" s="9">
        <f t="shared" ca="1" si="8"/>
        <v>0</v>
      </c>
      <c r="T27" s="8">
        <f t="shared" ca="1" si="8"/>
        <v>0</v>
      </c>
      <c r="U27" s="9">
        <f t="shared" ca="1" si="8"/>
        <v>0</v>
      </c>
      <c r="V27" s="9">
        <f t="shared" ca="1" si="8"/>
        <v>0</v>
      </c>
      <c r="W27" s="8">
        <f ca="1">IF(ISBLANK($B27), 0, IF(ISNUMBER(VLOOKUP($B27, INDIRECT($A27), MATCH("D"&amp;W$25, StatHeader, 0), 0)), IF(Setup!$F$41=1, VLOOKUP($B27, INDIRECT($A27), MATCH("D"&amp;W$25, StatHeader, 0), 0), 0), VLOOKUP($B27, INDIRECT($A27), MATCH(W$25, StatHeader, 0), 0)))</f>
        <v>0</v>
      </c>
      <c r="X27" s="25">
        <f t="shared" ca="1" si="9"/>
        <v>6</v>
      </c>
      <c r="AA27" t="str">
        <f>AA4</f>
        <v>Grip</v>
      </c>
      <c r="AB27" s="3" t="str">
        <f>AB4</f>
        <v>Bloodrain</v>
      </c>
      <c r="AC27">
        <f t="shared" ca="1" si="10"/>
        <v>0</v>
      </c>
      <c r="AD27">
        <f t="shared" ca="1" si="10"/>
        <v>0</v>
      </c>
      <c r="AE27">
        <f t="shared" ca="1" si="10"/>
        <v>0</v>
      </c>
      <c r="AF27">
        <f t="shared" ca="1" si="10"/>
        <v>0</v>
      </c>
      <c r="AG27">
        <f t="shared" ca="1" si="10"/>
        <v>0</v>
      </c>
      <c r="AH27">
        <f t="shared" ca="1" si="10"/>
        <v>0</v>
      </c>
      <c r="AI27">
        <f t="shared" ca="1" si="10"/>
        <v>0</v>
      </c>
      <c r="AJ27" s="25">
        <f t="shared" ca="1" si="10"/>
        <v>0</v>
      </c>
      <c r="AK27" s="9">
        <f t="shared" ca="1" si="10"/>
        <v>0</v>
      </c>
      <c r="AL27">
        <f t="shared" ca="1" si="10"/>
        <v>0</v>
      </c>
      <c r="AM27">
        <f t="shared" ca="1" si="11"/>
        <v>6</v>
      </c>
      <c r="AN27" s="9">
        <f t="shared" ca="1" si="11"/>
        <v>0</v>
      </c>
      <c r="AO27" s="9">
        <f t="shared" ca="1" si="11"/>
        <v>0</v>
      </c>
      <c r="AP27" s="9">
        <f t="shared" ca="1" si="11"/>
        <v>0</v>
      </c>
      <c r="AQ27" s="9">
        <f t="shared" ca="1" si="11"/>
        <v>0</v>
      </c>
      <c r="AR27" s="9">
        <f t="shared" ca="1" si="11"/>
        <v>0</v>
      </c>
      <c r="AS27" s="9">
        <f t="shared" ca="1" si="11"/>
        <v>0</v>
      </c>
      <c r="AT27" s="8">
        <f t="shared" ca="1" si="11"/>
        <v>0</v>
      </c>
      <c r="AU27" s="9">
        <f t="shared" ca="1" si="11"/>
        <v>0</v>
      </c>
      <c r="AV27" s="9">
        <f t="shared" ca="1" si="11"/>
        <v>0</v>
      </c>
      <c r="AW27" s="8">
        <f ca="1">IF(ISBLANK($AB27), 0, IF(ISNUMBER(VLOOKUP($AB27, INDIRECT($AA27), MATCH("D"&amp;AW$25, StatHeader, 0), 0)), IF(Setup!$G$41=1, VLOOKUP($AB27, INDIRECT($AA27), MATCH("D"&amp;AW$25, StatHeader, 0), 0), 0), VLOOKUP($AB27, INDIRECT($AA27), MATCH(AW$25, StatHeader, 0), 0)))</f>
        <v>0</v>
      </c>
      <c r="AX27" s="25">
        <f t="shared" ca="1" si="12"/>
        <v>6</v>
      </c>
    </row>
    <row r="28" spans="1:50" ht="12.75" customHeight="1" x14ac:dyDescent="0.2">
      <c r="A28" t="s">
        <v>172</v>
      </c>
      <c r="B28" s="22" t="s">
        <v>209</v>
      </c>
      <c r="C28">
        <f t="shared" ca="1" si="7"/>
        <v>0</v>
      </c>
      <c r="D28">
        <f t="shared" ca="1" si="7"/>
        <v>0</v>
      </c>
      <c r="E28">
        <f t="shared" ca="1" si="7"/>
        <v>0</v>
      </c>
      <c r="F28">
        <f t="shared" ca="1" si="7"/>
        <v>0</v>
      </c>
      <c r="G28">
        <f t="shared" ca="1" si="7"/>
        <v>0</v>
      </c>
      <c r="H28">
        <f t="shared" ca="1" si="7"/>
        <v>0</v>
      </c>
      <c r="I28">
        <f t="shared" ca="1" si="7"/>
        <v>0</v>
      </c>
      <c r="J28" s="25">
        <f t="shared" ca="1" si="7"/>
        <v>0</v>
      </c>
      <c r="K28" s="9">
        <f t="shared" ca="1" si="7"/>
        <v>0</v>
      </c>
      <c r="L28">
        <f t="shared" ca="1" si="7"/>
        <v>23</v>
      </c>
      <c r="M28">
        <f t="shared" ca="1" si="8"/>
        <v>0</v>
      </c>
      <c r="N28" s="9">
        <f t="shared" ca="1" si="8"/>
        <v>0</v>
      </c>
      <c r="O28" s="9">
        <f t="shared" ca="1" si="8"/>
        <v>0</v>
      </c>
      <c r="P28" s="9">
        <f t="shared" ca="1" si="8"/>
        <v>0</v>
      </c>
      <c r="Q28" s="9">
        <f t="shared" ca="1" si="8"/>
        <v>0</v>
      </c>
      <c r="R28" s="9">
        <f t="shared" ca="1" si="8"/>
        <v>0</v>
      </c>
      <c r="S28" s="9">
        <f t="shared" ca="1" si="8"/>
        <v>0</v>
      </c>
      <c r="T28" s="8">
        <f t="shared" ca="1" si="8"/>
        <v>0</v>
      </c>
      <c r="U28" s="9">
        <f t="shared" ca="1" si="8"/>
        <v>0</v>
      </c>
      <c r="V28" s="9">
        <f t="shared" ca="1" si="8"/>
        <v>0.06</v>
      </c>
      <c r="W28" s="8">
        <f ca="1">IF(ISBLANK($B28), 0, IF(ISNUMBER(VLOOKUP($B28, INDIRECT($A28), MATCH("D"&amp;W$25, StatHeader, 0), 0)), IF(Setup!$F$41=1, VLOOKUP($B28, INDIRECT($A28), MATCH("D"&amp;W$25, StatHeader, 0), 0), 0), VLOOKUP($B28, INDIRECT($A28), MATCH(W$25, StatHeader, 0), 0)))</f>
        <v>0</v>
      </c>
      <c r="X28" s="25">
        <f t="shared" ca="1" si="9"/>
        <v>0</v>
      </c>
      <c r="Z28" t="str">
        <f t="shared" ref="Z28:Z40" si="13">IF(B28=AB28, "=", "-")</f>
        <v>=</v>
      </c>
      <c r="AA28" t="s">
        <v>172</v>
      </c>
      <c r="AB28" s="23" t="s">
        <v>209</v>
      </c>
      <c r="AC28">
        <f t="shared" ca="1" si="10"/>
        <v>0</v>
      </c>
      <c r="AD28">
        <f t="shared" ca="1" si="10"/>
        <v>0</v>
      </c>
      <c r="AE28">
        <f t="shared" ca="1" si="10"/>
        <v>0</v>
      </c>
      <c r="AF28">
        <f t="shared" ca="1" si="10"/>
        <v>0</v>
      </c>
      <c r="AG28">
        <f t="shared" ca="1" si="10"/>
        <v>0</v>
      </c>
      <c r="AH28">
        <f t="shared" ca="1" si="10"/>
        <v>0</v>
      </c>
      <c r="AI28">
        <f t="shared" ca="1" si="10"/>
        <v>0</v>
      </c>
      <c r="AJ28" s="25">
        <f t="shared" ca="1" si="10"/>
        <v>0</v>
      </c>
      <c r="AK28" s="9">
        <f t="shared" ca="1" si="10"/>
        <v>0</v>
      </c>
      <c r="AL28">
        <f t="shared" ca="1" si="10"/>
        <v>23</v>
      </c>
      <c r="AM28">
        <f t="shared" ca="1" si="11"/>
        <v>0</v>
      </c>
      <c r="AN28" s="9">
        <f t="shared" ca="1" si="11"/>
        <v>0</v>
      </c>
      <c r="AO28" s="9">
        <f t="shared" ca="1" si="11"/>
        <v>0</v>
      </c>
      <c r="AP28" s="9">
        <f t="shared" ca="1" si="11"/>
        <v>0</v>
      </c>
      <c r="AQ28" s="9">
        <f t="shared" ca="1" si="11"/>
        <v>0</v>
      </c>
      <c r="AR28" s="9">
        <f t="shared" ca="1" si="11"/>
        <v>0</v>
      </c>
      <c r="AS28" s="9">
        <f t="shared" ca="1" si="11"/>
        <v>0</v>
      </c>
      <c r="AT28" s="8">
        <f t="shared" ca="1" si="11"/>
        <v>0</v>
      </c>
      <c r="AU28" s="9">
        <f t="shared" ca="1" si="11"/>
        <v>0</v>
      </c>
      <c r="AV28" s="9">
        <f t="shared" ca="1" si="11"/>
        <v>0.06</v>
      </c>
      <c r="AW28" s="8">
        <f ca="1">IF(ISBLANK($AB28), 0, IF(ISNUMBER(VLOOKUP($AB28, INDIRECT($AA28), MATCH("D"&amp;AW$25, StatHeader, 0), 0)), IF(Setup!$G$41=1, VLOOKUP($AB28, INDIRECT($AA28), MATCH("D"&amp;AW$25, StatHeader, 0), 0), 0), VLOOKUP($AB28, INDIRECT($AA28), MATCH(AW$25, StatHeader, 0), 0)))</f>
        <v>0</v>
      </c>
      <c r="AX28" s="25">
        <f t="shared" ca="1" si="12"/>
        <v>0</v>
      </c>
    </row>
    <row r="29" spans="1:50" ht="12.75" customHeight="1" x14ac:dyDescent="0.2">
      <c r="A29" t="s">
        <v>175</v>
      </c>
      <c r="B29" s="22" t="s">
        <v>881</v>
      </c>
      <c r="C29">
        <f t="shared" ca="1" si="7"/>
        <v>0</v>
      </c>
      <c r="D29">
        <f t="shared" ca="1" si="7"/>
        <v>0</v>
      </c>
      <c r="E29">
        <f t="shared" ca="1" si="7"/>
        <v>41</v>
      </c>
      <c r="F29">
        <f t="shared" ca="1" si="7"/>
        <v>41</v>
      </c>
      <c r="G29">
        <f t="shared" ca="1" si="7"/>
        <v>16</v>
      </c>
      <c r="H29">
        <f t="shared" ca="1" si="7"/>
        <v>16</v>
      </c>
      <c r="I29">
        <f t="shared" ca="1" si="7"/>
        <v>16</v>
      </c>
      <c r="J29" s="25">
        <f t="shared" ca="1" si="7"/>
        <v>0</v>
      </c>
      <c r="K29" s="9">
        <f t="shared" ca="1" si="7"/>
        <v>0</v>
      </c>
      <c r="L29">
        <f t="shared" ca="1" si="7"/>
        <v>0</v>
      </c>
      <c r="M29">
        <f t="shared" ca="1" si="8"/>
        <v>8</v>
      </c>
      <c r="N29" s="9">
        <f t="shared" ca="1" si="8"/>
        <v>0</v>
      </c>
      <c r="O29" s="9">
        <f t="shared" ca="1" si="8"/>
        <v>0.03</v>
      </c>
      <c r="P29" s="9">
        <f t="shared" ca="1" si="8"/>
        <v>0</v>
      </c>
      <c r="Q29" s="9">
        <f t="shared" ca="1" si="8"/>
        <v>0</v>
      </c>
      <c r="R29" s="9">
        <f t="shared" ca="1" si="8"/>
        <v>0.1</v>
      </c>
      <c r="S29" s="9">
        <f t="shared" ca="1" si="8"/>
        <v>0</v>
      </c>
      <c r="T29" s="8">
        <f t="shared" ca="1" si="8"/>
        <v>0</v>
      </c>
      <c r="U29" s="9">
        <f t="shared" ca="1" si="8"/>
        <v>0</v>
      </c>
      <c r="V29" s="9">
        <f t="shared" ca="1" si="8"/>
        <v>0</v>
      </c>
      <c r="W29" s="8">
        <f ca="1">IF(ISBLANK($B29), 0, IF(ISNUMBER(VLOOKUP($B29, INDIRECT($A29), MATCH("D"&amp;W$25, StatHeader, 0), 0)), IF(Setup!$F$41=1, VLOOKUP($B29, INDIRECT($A29), MATCH("D"&amp;W$25, StatHeader, 0), 0), 0), VLOOKUP($B29, INDIRECT($A29), MATCH(W$25, StatHeader, 0), 0)))</f>
        <v>0</v>
      </c>
      <c r="X29" s="25">
        <f t="shared" ca="1" si="9"/>
        <v>0</v>
      </c>
      <c r="Z29" t="str">
        <f t="shared" si="13"/>
        <v>=</v>
      </c>
      <c r="AA29" t="s">
        <v>175</v>
      </c>
      <c r="AB29" s="23" t="s">
        <v>881</v>
      </c>
      <c r="AC29">
        <f t="shared" ca="1" si="10"/>
        <v>0</v>
      </c>
      <c r="AD29">
        <f t="shared" ca="1" si="10"/>
        <v>0</v>
      </c>
      <c r="AE29">
        <f t="shared" ca="1" si="10"/>
        <v>41</v>
      </c>
      <c r="AF29">
        <f t="shared" ca="1" si="10"/>
        <v>41</v>
      </c>
      <c r="AG29">
        <f t="shared" ca="1" si="10"/>
        <v>16</v>
      </c>
      <c r="AH29">
        <f t="shared" ca="1" si="10"/>
        <v>16</v>
      </c>
      <c r="AI29">
        <f t="shared" ca="1" si="10"/>
        <v>16</v>
      </c>
      <c r="AJ29" s="25">
        <f t="shared" ca="1" si="10"/>
        <v>0</v>
      </c>
      <c r="AK29" s="9">
        <f t="shared" ca="1" si="10"/>
        <v>0</v>
      </c>
      <c r="AL29">
        <f t="shared" ca="1" si="10"/>
        <v>0</v>
      </c>
      <c r="AM29">
        <f t="shared" ca="1" si="11"/>
        <v>8</v>
      </c>
      <c r="AN29" s="9">
        <f t="shared" ca="1" si="11"/>
        <v>0</v>
      </c>
      <c r="AO29" s="9">
        <f t="shared" ca="1" si="11"/>
        <v>0.03</v>
      </c>
      <c r="AP29" s="9">
        <f t="shared" ca="1" si="11"/>
        <v>0</v>
      </c>
      <c r="AQ29" s="9">
        <f t="shared" ca="1" si="11"/>
        <v>0</v>
      </c>
      <c r="AR29" s="9">
        <f t="shared" ca="1" si="11"/>
        <v>0.1</v>
      </c>
      <c r="AS29" s="9">
        <f t="shared" ca="1" si="11"/>
        <v>0</v>
      </c>
      <c r="AT29" s="8">
        <f t="shared" ca="1" si="11"/>
        <v>0</v>
      </c>
      <c r="AU29" s="9">
        <f t="shared" ca="1" si="11"/>
        <v>0</v>
      </c>
      <c r="AV29" s="9">
        <f t="shared" ca="1" si="11"/>
        <v>0</v>
      </c>
      <c r="AW29" s="8">
        <f ca="1">IF(ISBLANK($AB29), 0, IF(ISNUMBER(VLOOKUP($AB29, INDIRECT($AA29), MATCH("D"&amp;AW$25, StatHeader, 0), 0)), IF(Setup!$G$41=1, VLOOKUP($AB29, INDIRECT($AA29), MATCH("D"&amp;AW$25, StatHeader, 0), 0), 0), VLOOKUP($AB29, INDIRECT($AA29), MATCH(AW$25, StatHeader, 0), 0)))</f>
        <v>0</v>
      </c>
      <c r="AX29" s="25">
        <f t="shared" ca="1" si="12"/>
        <v>0</v>
      </c>
    </row>
    <row r="30" spans="1:50" ht="12.75" customHeight="1" x14ac:dyDescent="0.2">
      <c r="A30" t="s">
        <v>177</v>
      </c>
      <c r="B30" s="22" t="s">
        <v>547</v>
      </c>
      <c r="C30">
        <f t="shared" ca="1" si="7"/>
        <v>0</v>
      </c>
      <c r="D30" s="24">
        <f t="shared" ca="1" si="7"/>
        <v>0</v>
      </c>
      <c r="E30">
        <f t="shared" ca="1" si="7"/>
        <v>6</v>
      </c>
      <c r="F30">
        <f t="shared" ca="1" si="7"/>
        <v>6</v>
      </c>
      <c r="G30">
        <f t="shared" ca="1" si="7"/>
        <v>0</v>
      </c>
      <c r="H30">
        <f t="shared" ca="1" si="7"/>
        <v>0</v>
      </c>
      <c r="I30">
        <f t="shared" ca="1" si="7"/>
        <v>0</v>
      </c>
      <c r="J30" s="25">
        <f t="shared" ca="1" si="7"/>
        <v>0</v>
      </c>
      <c r="K30" s="9">
        <f t="shared" ca="1" si="7"/>
        <v>0</v>
      </c>
      <c r="L30">
        <f t="shared" ca="1" si="7"/>
        <v>10</v>
      </c>
      <c r="M30">
        <f t="shared" ca="1" si="8"/>
        <v>0</v>
      </c>
      <c r="N30" s="9">
        <f t="shared" ca="1" si="8"/>
        <v>0</v>
      </c>
      <c r="O30" s="9">
        <f t="shared" ca="1" si="8"/>
        <v>0</v>
      </c>
      <c r="P30" s="9">
        <f t="shared" ca="1" si="8"/>
        <v>0</v>
      </c>
      <c r="Q30" s="9">
        <f t="shared" ca="1" si="8"/>
        <v>0</v>
      </c>
      <c r="R30" s="9">
        <f t="shared" ca="1" si="8"/>
        <v>0</v>
      </c>
      <c r="S30" s="9">
        <f t="shared" ca="1" si="8"/>
        <v>0</v>
      </c>
      <c r="T30" s="8">
        <f t="shared" ca="1" si="8"/>
        <v>0</v>
      </c>
      <c r="U30" s="9">
        <f t="shared" ca="1" si="8"/>
        <v>0</v>
      </c>
      <c r="V30" s="9">
        <f t="shared" ca="1" si="8"/>
        <v>0</v>
      </c>
      <c r="W30" s="8">
        <f ca="1">IF(ISBLANK($B30), 0, IF(ISNUMBER(VLOOKUP($B30, INDIRECT($A30), MATCH("D"&amp;W$25, StatHeader, 0), 0)), IF(Setup!$F$41=1, VLOOKUP($B30, INDIRECT($A30), MATCH("D"&amp;W$25, StatHeader, 0), 0), 0), VLOOKUP($B30, INDIRECT($A30), MATCH(W$25, StatHeader, 0), 0)))</f>
        <v>0</v>
      </c>
      <c r="X30" s="25">
        <f t="shared" ca="1" si="9"/>
        <v>0</v>
      </c>
      <c r="Z30" t="str">
        <f t="shared" si="13"/>
        <v>=</v>
      </c>
      <c r="AA30" t="s">
        <v>177</v>
      </c>
      <c r="AB30" s="23" t="s">
        <v>547</v>
      </c>
      <c r="AC30">
        <f t="shared" ca="1" si="10"/>
        <v>0</v>
      </c>
      <c r="AD30" s="24">
        <f t="shared" ca="1" si="10"/>
        <v>0</v>
      </c>
      <c r="AE30">
        <f t="shared" ca="1" si="10"/>
        <v>6</v>
      </c>
      <c r="AF30">
        <f t="shared" ca="1" si="10"/>
        <v>6</v>
      </c>
      <c r="AG30">
        <f t="shared" ca="1" si="10"/>
        <v>0</v>
      </c>
      <c r="AH30">
        <f t="shared" ca="1" si="10"/>
        <v>0</v>
      </c>
      <c r="AI30">
        <f t="shared" ca="1" si="10"/>
        <v>0</v>
      </c>
      <c r="AJ30" s="25">
        <f t="shared" ca="1" si="10"/>
        <v>0</v>
      </c>
      <c r="AK30" s="9">
        <f t="shared" ca="1" si="10"/>
        <v>0</v>
      </c>
      <c r="AL30">
        <f t="shared" ca="1" si="10"/>
        <v>10</v>
      </c>
      <c r="AM30">
        <f t="shared" ca="1" si="11"/>
        <v>0</v>
      </c>
      <c r="AN30" s="9">
        <f t="shared" ca="1" si="11"/>
        <v>0</v>
      </c>
      <c r="AO30" s="9">
        <f t="shared" ca="1" si="11"/>
        <v>0</v>
      </c>
      <c r="AP30" s="9">
        <f t="shared" ca="1" si="11"/>
        <v>0</v>
      </c>
      <c r="AQ30" s="9">
        <f t="shared" ca="1" si="11"/>
        <v>0</v>
      </c>
      <c r="AR30" s="9">
        <f t="shared" ca="1" si="11"/>
        <v>0</v>
      </c>
      <c r="AS30" s="9">
        <f t="shared" ca="1" si="11"/>
        <v>0</v>
      </c>
      <c r="AT30" s="8">
        <f t="shared" ca="1" si="11"/>
        <v>0</v>
      </c>
      <c r="AU30" s="9">
        <f t="shared" ca="1" si="11"/>
        <v>0</v>
      </c>
      <c r="AV30" s="9">
        <f t="shared" ca="1" si="11"/>
        <v>0</v>
      </c>
      <c r="AW30" s="8">
        <f ca="1">IF(ISBLANK($AB30), 0, IF(ISNUMBER(VLOOKUP($AB30, INDIRECT($AA30), MATCH("D"&amp;AW$25, StatHeader, 0), 0)), IF(Setup!$G$41=1, VLOOKUP($AB30, INDIRECT($AA30), MATCH("D"&amp;AW$25, StatHeader, 0), 0), 0), VLOOKUP($AB30, INDIRECT($AA30), MATCH(AW$25, StatHeader, 0), 0)))</f>
        <v>0</v>
      </c>
      <c r="AX30" s="25">
        <f t="shared" ca="1" si="12"/>
        <v>0</v>
      </c>
    </row>
    <row r="31" spans="1:50" ht="12.75" customHeight="1" x14ac:dyDescent="0.2">
      <c r="A31" t="s">
        <v>179</v>
      </c>
      <c r="B31" s="22" t="s">
        <v>183</v>
      </c>
      <c r="C31">
        <f t="shared" ca="1" si="7"/>
        <v>0</v>
      </c>
      <c r="D31" s="24">
        <f t="shared" ca="1" si="7"/>
        <v>0</v>
      </c>
      <c r="E31">
        <f t="shared" ca="1" si="7"/>
        <v>5</v>
      </c>
      <c r="F31">
        <f t="shared" ca="1" si="7"/>
        <v>5</v>
      </c>
      <c r="G31">
        <f t="shared" ca="1" si="7"/>
        <v>0</v>
      </c>
      <c r="H31">
        <f t="shared" ca="1" si="7"/>
        <v>0</v>
      </c>
      <c r="I31">
        <f t="shared" ca="1" si="7"/>
        <v>0</v>
      </c>
      <c r="J31" s="25">
        <f t="shared" ca="1" si="7"/>
        <v>0</v>
      </c>
      <c r="K31" s="9">
        <f t="shared" ca="1" si="7"/>
        <v>0</v>
      </c>
      <c r="L31">
        <f t="shared" ca="1" si="7"/>
        <v>0</v>
      </c>
      <c r="M31">
        <f t="shared" ca="1" si="8"/>
        <v>0</v>
      </c>
      <c r="N31" s="9">
        <f t="shared" ca="1" si="8"/>
        <v>0</v>
      </c>
      <c r="O31" s="9">
        <f t="shared" ca="1" si="8"/>
        <v>0.05</v>
      </c>
      <c r="P31" s="9">
        <f t="shared" ca="1" si="8"/>
        <v>0</v>
      </c>
      <c r="Q31" s="9">
        <f t="shared" ca="1" si="8"/>
        <v>0</v>
      </c>
      <c r="R31" s="9">
        <f t="shared" ca="1" si="8"/>
        <v>0</v>
      </c>
      <c r="S31" s="9">
        <f t="shared" ca="1" si="8"/>
        <v>0</v>
      </c>
      <c r="T31" s="8">
        <f t="shared" ca="1" si="8"/>
        <v>0</v>
      </c>
      <c r="U31" s="9">
        <f t="shared" ca="1" si="8"/>
        <v>0</v>
      </c>
      <c r="V31" s="9">
        <f t="shared" ca="1" si="8"/>
        <v>0</v>
      </c>
      <c r="W31" s="8">
        <f ca="1">IF(ISBLANK($B31), 0, IF(ISNUMBER(VLOOKUP($B31, INDIRECT($A31), MATCH("D"&amp;W$25, StatHeader, 0), 0)), IF(Setup!$F$41=1, VLOOKUP($B31, INDIRECT($A31), MATCH("D"&amp;W$25, StatHeader, 0), 0), 0), VLOOKUP($B31, INDIRECT($A31), MATCH(W$25, StatHeader, 0), 0)))</f>
        <v>0</v>
      </c>
      <c r="X31" s="25">
        <f t="shared" ca="1" si="9"/>
        <v>5</v>
      </c>
      <c r="Z31" t="str">
        <f t="shared" si="13"/>
        <v>=</v>
      </c>
      <c r="AA31" t="s">
        <v>179</v>
      </c>
      <c r="AB31" s="23" t="s">
        <v>183</v>
      </c>
      <c r="AC31">
        <f t="shared" ca="1" si="10"/>
        <v>0</v>
      </c>
      <c r="AD31" s="24">
        <f t="shared" ca="1" si="10"/>
        <v>0</v>
      </c>
      <c r="AE31">
        <f t="shared" ca="1" si="10"/>
        <v>5</v>
      </c>
      <c r="AF31">
        <f t="shared" ca="1" si="10"/>
        <v>5</v>
      </c>
      <c r="AG31">
        <f t="shared" ca="1" si="10"/>
        <v>0</v>
      </c>
      <c r="AH31">
        <f t="shared" ca="1" si="10"/>
        <v>0</v>
      </c>
      <c r="AI31">
        <f t="shared" ca="1" si="10"/>
        <v>0</v>
      </c>
      <c r="AJ31" s="25">
        <f t="shared" ca="1" si="10"/>
        <v>0</v>
      </c>
      <c r="AK31" s="9">
        <f t="shared" ca="1" si="10"/>
        <v>0</v>
      </c>
      <c r="AL31">
        <f t="shared" ca="1" si="10"/>
        <v>0</v>
      </c>
      <c r="AM31">
        <f t="shared" ca="1" si="11"/>
        <v>0</v>
      </c>
      <c r="AN31" s="9">
        <f t="shared" ca="1" si="11"/>
        <v>0</v>
      </c>
      <c r="AO31" s="9">
        <f t="shared" ca="1" si="11"/>
        <v>0.05</v>
      </c>
      <c r="AP31" s="9">
        <f t="shared" ca="1" si="11"/>
        <v>0</v>
      </c>
      <c r="AQ31" s="9">
        <f t="shared" ca="1" si="11"/>
        <v>0</v>
      </c>
      <c r="AR31" s="9">
        <f t="shared" ca="1" si="11"/>
        <v>0</v>
      </c>
      <c r="AS31" s="9">
        <f t="shared" ca="1" si="11"/>
        <v>0</v>
      </c>
      <c r="AT31" s="8">
        <f t="shared" ca="1" si="11"/>
        <v>0</v>
      </c>
      <c r="AU31" s="9">
        <f t="shared" ca="1" si="11"/>
        <v>0</v>
      </c>
      <c r="AV31" s="9">
        <f t="shared" ca="1" si="11"/>
        <v>0</v>
      </c>
      <c r="AW31" s="8">
        <f ca="1">IF(ISBLANK($AB31), 0, IF(ISNUMBER(VLOOKUP($AB31, INDIRECT($AA31), MATCH("D"&amp;AW$25, StatHeader, 0), 0)), IF(Setup!$G$41=1, VLOOKUP($AB31, INDIRECT($AA31), MATCH("D"&amp;AW$25, StatHeader, 0), 0), 0), VLOOKUP($AB31, INDIRECT($AA31), MATCH(AW$25, StatHeader, 0), 0)))</f>
        <v>0</v>
      </c>
      <c r="AX31" s="25">
        <f t="shared" ca="1" si="12"/>
        <v>5</v>
      </c>
    </row>
    <row r="32" spans="1:50" ht="12.75" customHeight="1" x14ac:dyDescent="0.2">
      <c r="A32" t="s">
        <v>179</v>
      </c>
      <c r="B32" s="22" t="s">
        <v>211</v>
      </c>
      <c r="C32">
        <f t="shared" ca="1" si="7"/>
        <v>0</v>
      </c>
      <c r="D32" s="24">
        <f t="shared" ca="1" si="7"/>
        <v>0</v>
      </c>
      <c r="E32">
        <f t="shared" ca="1" si="7"/>
        <v>0</v>
      </c>
      <c r="F32">
        <f t="shared" ca="1" si="7"/>
        <v>0</v>
      </c>
      <c r="G32">
        <f t="shared" ca="1" si="7"/>
        <v>0</v>
      </c>
      <c r="H32">
        <f t="shared" ca="1" si="7"/>
        <v>0</v>
      </c>
      <c r="I32">
        <f t="shared" ca="1" si="7"/>
        <v>0</v>
      </c>
      <c r="J32" s="25">
        <f t="shared" ca="1" si="7"/>
        <v>0</v>
      </c>
      <c r="K32" s="9">
        <f t="shared" ca="1" si="7"/>
        <v>0</v>
      </c>
      <c r="L32">
        <f t="shared" ca="1" si="7"/>
        <v>4</v>
      </c>
      <c r="M32">
        <f t="shared" ca="1" si="8"/>
        <v>0</v>
      </c>
      <c r="N32" s="9">
        <f t="shared" ca="1" si="8"/>
        <v>0</v>
      </c>
      <c r="O32" s="9">
        <f t="shared" ca="1" si="8"/>
        <v>0</v>
      </c>
      <c r="P32" s="9">
        <f t="shared" ca="1" si="8"/>
        <v>0</v>
      </c>
      <c r="Q32" s="9">
        <f t="shared" ca="1" si="8"/>
        <v>0</v>
      </c>
      <c r="R32" s="9">
        <f t="shared" ca="1" si="8"/>
        <v>0</v>
      </c>
      <c r="S32" s="9">
        <f t="shared" ca="1" si="8"/>
        <v>0</v>
      </c>
      <c r="T32" s="8">
        <f t="shared" ca="1" si="8"/>
        <v>250</v>
      </c>
      <c r="U32" s="9">
        <f t="shared" ca="1" si="8"/>
        <v>0</v>
      </c>
      <c r="V32" s="9">
        <f t="shared" ca="1" si="8"/>
        <v>0</v>
      </c>
      <c r="W32" s="8">
        <f ca="1">IF(ISBLANK($B32), 0, IF(ISNUMBER(VLOOKUP($B32, INDIRECT($A32), MATCH("D"&amp;W$25, StatHeader, 0), 0)), IF(Setup!$F$41=1, VLOOKUP($B32, INDIRECT($A32), MATCH("D"&amp;W$25, StatHeader, 0), 0), 0), VLOOKUP($B32, INDIRECT($A32), MATCH(W$25, StatHeader, 0), 0)))</f>
        <v>0</v>
      </c>
      <c r="X32" s="25">
        <f t="shared" ca="1" si="9"/>
        <v>0</v>
      </c>
      <c r="Z32" t="str">
        <f t="shared" si="13"/>
        <v>=</v>
      </c>
      <c r="AA32" t="s">
        <v>179</v>
      </c>
      <c r="AB32" s="23" t="s">
        <v>211</v>
      </c>
      <c r="AC32">
        <f t="shared" ca="1" si="10"/>
        <v>0</v>
      </c>
      <c r="AD32" s="24">
        <f t="shared" ca="1" si="10"/>
        <v>0</v>
      </c>
      <c r="AE32">
        <f t="shared" ca="1" si="10"/>
        <v>0</v>
      </c>
      <c r="AF32">
        <f t="shared" ca="1" si="10"/>
        <v>0</v>
      </c>
      <c r="AG32">
        <f t="shared" ca="1" si="10"/>
        <v>0</v>
      </c>
      <c r="AH32">
        <f t="shared" ca="1" si="10"/>
        <v>0</v>
      </c>
      <c r="AI32">
        <f t="shared" ca="1" si="10"/>
        <v>0</v>
      </c>
      <c r="AJ32" s="25">
        <f t="shared" ca="1" si="10"/>
        <v>0</v>
      </c>
      <c r="AK32" s="9">
        <f t="shared" ca="1" si="10"/>
        <v>0</v>
      </c>
      <c r="AL32">
        <f t="shared" ca="1" si="10"/>
        <v>4</v>
      </c>
      <c r="AM32">
        <f t="shared" ca="1" si="11"/>
        <v>0</v>
      </c>
      <c r="AN32" s="9">
        <f t="shared" ca="1" si="11"/>
        <v>0</v>
      </c>
      <c r="AO32" s="9">
        <f t="shared" ca="1" si="11"/>
        <v>0</v>
      </c>
      <c r="AP32" s="9">
        <f t="shared" ca="1" si="11"/>
        <v>0</v>
      </c>
      <c r="AQ32" s="9">
        <f t="shared" ca="1" si="11"/>
        <v>0</v>
      </c>
      <c r="AR32" s="9">
        <f t="shared" ca="1" si="11"/>
        <v>0</v>
      </c>
      <c r="AS32" s="9">
        <f t="shared" ca="1" si="11"/>
        <v>0</v>
      </c>
      <c r="AT32" s="8">
        <f t="shared" ca="1" si="11"/>
        <v>250</v>
      </c>
      <c r="AU32" s="9">
        <f t="shared" ca="1" si="11"/>
        <v>0</v>
      </c>
      <c r="AV32" s="9">
        <f t="shared" ca="1" si="11"/>
        <v>0</v>
      </c>
      <c r="AW32" s="8">
        <f ca="1">IF(ISBLANK($AB32), 0, IF(ISNUMBER(VLOOKUP($AB32, INDIRECT($AA32), MATCH("D"&amp;AW$25, StatHeader, 0), 0)), IF(Setup!$G$41=1, VLOOKUP($AB32, INDIRECT($AA32), MATCH("D"&amp;AW$25, StatHeader, 0), 0), 0), VLOOKUP($AB32, INDIRECT($AA32), MATCH(AW$25, StatHeader, 0), 0)))</f>
        <v>0</v>
      </c>
      <c r="AX32" s="25">
        <f t="shared" ca="1" si="12"/>
        <v>0</v>
      </c>
    </row>
    <row r="33" spans="1:50" ht="12.75" customHeight="1" x14ac:dyDescent="0.2">
      <c r="A33" t="s">
        <v>184</v>
      </c>
      <c r="B33" s="23" t="s">
        <v>542</v>
      </c>
      <c r="C33">
        <f t="shared" ca="1" si="7"/>
        <v>0</v>
      </c>
      <c r="D33">
        <f t="shared" ca="1" si="7"/>
        <v>0</v>
      </c>
      <c r="E33">
        <f t="shared" ca="1" si="7"/>
        <v>31</v>
      </c>
      <c r="F33">
        <f t="shared" ca="1" si="7"/>
        <v>34</v>
      </c>
      <c r="G33">
        <f t="shared" ca="1" si="7"/>
        <v>24</v>
      </c>
      <c r="H33">
        <f t="shared" ca="1" si="7"/>
        <v>21</v>
      </c>
      <c r="I33">
        <f t="shared" ca="1" si="7"/>
        <v>20</v>
      </c>
      <c r="J33" s="25">
        <f t="shared" ca="1" si="7"/>
        <v>61</v>
      </c>
      <c r="K33" s="9">
        <f t="shared" ca="1" si="7"/>
        <v>0</v>
      </c>
      <c r="L33">
        <f t="shared" ca="1" si="7"/>
        <v>28</v>
      </c>
      <c r="M33">
        <f t="shared" ca="1" si="8"/>
        <v>15</v>
      </c>
      <c r="N33" s="9">
        <f t="shared" ca="1" si="8"/>
        <v>0</v>
      </c>
      <c r="O33" s="9">
        <f t="shared" ca="1" si="8"/>
        <v>0</v>
      </c>
      <c r="P33" s="9">
        <f t="shared" ca="1" si="8"/>
        <v>0</v>
      </c>
      <c r="Q33" s="9">
        <f t="shared" ca="1" si="8"/>
        <v>0</v>
      </c>
      <c r="R33" s="9">
        <f t="shared" ca="1" si="8"/>
        <v>0.03</v>
      </c>
      <c r="S33" s="9">
        <f t="shared" ca="1" si="8"/>
        <v>0</v>
      </c>
      <c r="T33" s="8">
        <f t="shared" ca="1" si="8"/>
        <v>0</v>
      </c>
      <c r="U33" s="9">
        <f t="shared" ca="1" si="8"/>
        <v>0</v>
      </c>
      <c r="V33" s="9">
        <f t="shared" ca="1" si="8"/>
        <v>0.04</v>
      </c>
      <c r="W33" s="8">
        <f ca="1">IF(ISBLANK($B33), 0, IF(ISNUMBER(VLOOKUP($B33, INDIRECT($A33), MATCH("D"&amp;W$25, StatHeader, 0), 0)), IF(Setup!$F$41=1, VLOOKUP($B33, INDIRECT($A33), MATCH("D"&amp;W$25, StatHeader, 0), 0), 0), VLOOKUP($B33, INDIRECT($A33), MATCH(W$25, StatHeader, 0), 0)))</f>
        <v>0</v>
      </c>
      <c r="X33" s="25">
        <f t="shared" ca="1" si="9"/>
        <v>3</v>
      </c>
      <c r="Z33" t="str">
        <f t="shared" si="13"/>
        <v>=</v>
      </c>
      <c r="AA33" t="s">
        <v>184</v>
      </c>
      <c r="AB33" s="23" t="s">
        <v>542</v>
      </c>
      <c r="AC33">
        <f t="shared" ca="1" si="10"/>
        <v>0</v>
      </c>
      <c r="AD33" s="24">
        <f t="shared" ca="1" si="10"/>
        <v>0</v>
      </c>
      <c r="AE33">
        <f t="shared" ca="1" si="10"/>
        <v>31</v>
      </c>
      <c r="AF33">
        <f t="shared" ca="1" si="10"/>
        <v>34</v>
      </c>
      <c r="AG33">
        <f t="shared" ca="1" si="10"/>
        <v>24</v>
      </c>
      <c r="AH33">
        <f t="shared" ca="1" si="10"/>
        <v>21</v>
      </c>
      <c r="AI33">
        <f t="shared" ca="1" si="10"/>
        <v>20</v>
      </c>
      <c r="AJ33" s="25">
        <f t="shared" ca="1" si="10"/>
        <v>61</v>
      </c>
      <c r="AK33" s="9">
        <f t="shared" ca="1" si="10"/>
        <v>0</v>
      </c>
      <c r="AL33">
        <f t="shared" ca="1" si="10"/>
        <v>28</v>
      </c>
      <c r="AM33">
        <f t="shared" ca="1" si="11"/>
        <v>15</v>
      </c>
      <c r="AN33" s="9">
        <f t="shared" ca="1" si="11"/>
        <v>0</v>
      </c>
      <c r="AO33" s="9">
        <f t="shared" ca="1" si="11"/>
        <v>0</v>
      </c>
      <c r="AP33" s="9">
        <f t="shared" ca="1" si="11"/>
        <v>0</v>
      </c>
      <c r="AQ33" s="9">
        <f t="shared" ca="1" si="11"/>
        <v>0</v>
      </c>
      <c r="AR33" s="9">
        <f t="shared" ca="1" si="11"/>
        <v>0.03</v>
      </c>
      <c r="AS33" s="9">
        <f t="shared" ca="1" si="11"/>
        <v>0</v>
      </c>
      <c r="AT33" s="8">
        <f t="shared" ca="1" si="11"/>
        <v>0</v>
      </c>
      <c r="AU33" s="9">
        <f t="shared" ca="1" si="11"/>
        <v>0</v>
      </c>
      <c r="AV33" s="9">
        <f t="shared" ca="1" si="11"/>
        <v>0.04</v>
      </c>
      <c r="AW33" s="8">
        <f ca="1">IF(ISBLANK($AB33), 0, IF(ISNUMBER(VLOOKUP($AB33, INDIRECT($AA33), MATCH("D"&amp;AW$25, StatHeader, 0), 0)), IF(Setup!$G$41=1, VLOOKUP($AB33, INDIRECT($AA33), MATCH("D"&amp;AW$25, StatHeader, 0), 0), 0), VLOOKUP($AB33, INDIRECT($AA33), MATCH(AW$25, StatHeader, 0), 0)))</f>
        <v>0</v>
      </c>
      <c r="AX33" s="25">
        <f t="shared" ca="1" si="12"/>
        <v>3</v>
      </c>
    </row>
    <row r="34" spans="1:50" ht="12.75" customHeight="1" x14ac:dyDescent="0.2">
      <c r="A34" t="s">
        <v>186</v>
      </c>
      <c r="B34" s="22" t="s">
        <v>196</v>
      </c>
      <c r="C34">
        <f t="shared" ca="1" si="7"/>
        <v>0</v>
      </c>
      <c r="D34" s="24">
        <f t="shared" ca="1" si="7"/>
        <v>0</v>
      </c>
      <c r="E34">
        <f t="shared" ca="1" si="7"/>
        <v>23</v>
      </c>
      <c r="F34">
        <f t="shared" ca="1" si="7"/>
        <v>50</v>
      </c>
      <c r="G34">
        <f t="shared" ca="1" si="7"/>
        <v>29</v>
      </c>
      <c r="H34">
        <f t="shared" ca="1" si="7"/>
        <v>11</v>
      </c>
      <c r="I34">
        <f t="shared" ca="1" si="7"/>
        <v>34</v>
      </c>
      <c r="J34" s="25">
        <f t="shared" ca="1" si="7"/>
        <v>0</v>
      </c>
      <c r="K34" s="9">
        <f t="shared" ca="1" si="7"/>
        <v>0</v>
      </c>
      <c r="L34">
        <f t="shared" ca="1" si="7"/>
        <v>43</v>
      </c>
      <c r="M34">
        <f t="shared" ca="1" si="8"/>
        <v>47</v>
      </c>
      <c r="N34" s="9">
        <f t="shared" ca="1" si="8"/>
        <v>0</v>
      </c>
      <c r="O34" s="9">
        <f t="shared" ca="1" si="8"/>
        <v>0</v>
      </c>
      <c r="P34" s="9">
        <f t="shared" ca="1" si="8"/>
        <v>0</v>
      </c>
      <c r="Q34" s="9">
        <f t="shared" ca="1" si="8"/>
        <v>0</v>
      </c>
      <c r="R34" s="9">
        <f t="shared" ca="1" si="8"/>
        <v>0</v>
      </c>
      <c r="S34" s="9">
        <f t="shared" ca="1" si="8"/>
        <v>0</v>
      </c>
      <c r="T34" s="8">
        <f t="shared" ca="1" si="8"/>
        <v>0</v>
      </c>
      <c r="U34" s="9">
        <f t="shared" ca="1" si="8"/>
        <v>0</v>
      </c>
      <c r="V34" s="9">
        <f t="shared" ca="1" si="8"/>
        <v>7.0000000000000007E-2</v>
      </c>
      <c r="W34" s="8">
        <f ca="1">IF(ISBLANK($B34), 0, IF(ISNUMBER(VLOOKUP($B34, INDIRECT($A34), MATCH("D"&amp;W$25, StatHeader, 0), 0)), IF(Setup!$F$41=1, VLOOKUP($B34, INDIRECT($A34), MATCH("D"&amp;W$25, StatHeader, 0), 0), 0), VLOOKUP($B34, INDIRECT($A34), MATCH(W$25, StatHeader, 0), 0)))</f>
        <v>0</v>
      </c>
      <c r="X34" s="25">
        <f t="shared" ca="1" si="9"/>
        <v>0</v>
      </c>
      <c r="Z34" t="str">
        <f t="shared" si="13"/>
        <v>=</v>
      </c>
      <c r="AA34" t="s">
        <v>186</v>
      </c>
      <c r="AB34" s="23" t="s">
        <v>196</v>
      </c>
      <c r="AC34">
        <f t="shared" ca="1" si="10"/>
        <v>0</v>
      </c>
      <c r="AD34" s="24">
        <f t="shared" ca="1" si="10"/>
        <v>0</v>
      </c>
      <c r="AE34">
        <f t="shared" ca="1" si="10"/>
        <v>23</v>
      </c>
      <c r="AF34">
        <f t="shared" ca="1" si="10"/>
        <v>50</v>
      </c>
      <c r="AG34">
        <f t="shared" ca="1" si="10"/>
        <v>29</v>
      </c>
      <c r="AH34">
        <f t="shared" ca="1" si="10"/>
        <v>11</v>
      </c>
      <c r="AI34">
        <f t="shared" ca="1" si="10"/>
        <v>34</v>
      </c>
      <c r="AJ34" s="25">
        <f t="shared" ca="1" si="10"/>
        <v>0</v>
      </c>
      <c r="AK34" s="9">
        <f t="shared" ca="1" si="10"/>
        <v>0</v>
      </c>
      <c r="AL34">
        <f t="shared" ca="1" si="10"/>
        <v>43</v>
      </c>
      <c r="AM34">
        <f t="shared" ca="1" si="11"/>
        <v>47</v>
      </c>
      <c r="AN34" s="9">
        <f t="shared" ca="1" si="11"/>
        <v>0</v>
      </c>
      <c r="AO34" s="9">
        <f t="shared" ca="1" si="11"/>
        <v>0</v>
      </c>
      <c r="AP34" s="9">
        <f t="shared" ca="1" si="11"/>
        <v>0</v>
      </c>
      <c r="AQ34" s="9">
        <f t="shared" ca="1" si="11"/>
        <v>0</v>
      </c>
      <c r="AR34" s="9">
        <f t="shared" ca="1" si="11"/>
        <v>0</v>
      </c>
      <c r="AS34" s="9">
        <f t="shared" ca="1" si="11"/>
        <v>0</v>
      </c>
      <c r="AT34" s="8">
        <f t="shared" ca="1" si="11"/>
        <v>0</v>
      </c>
      <c r="AU34" s="9">
        <f t="shared" ca="1" si="11"/>
        <v>0</v>
      </c>
      <c r="AV34" s="9">
        <f t="shared" ca="1" si="11"/>
        <v>7.0000000000000007E-2</v>
      </c>
      <c r="AW34" s="8">
        <f ca="1">IF(ISBLANK($AB34), 0, IF(ISNUMBER(VLOOKUP($AB34, INDIRECT($AA34), MATCH("D"&amp;AW$25, StatHeader, 0), 0)), IF(Setup!$G$41=1, VLOOKUP($AB34, INDIRECT($AA34), MATCH("D"&amp;AW$25, StatHeader, 0), 0), 0), VLOOKUP($AB34, INDIRECT($AA34), MATCH(AW$25, StatHeader, 0), 0)))</f>
        <v>0</v>
      </c>
      <c r="AX34" s="25">
        <f t="shared" ca="1" si="12"/>
        <v>0</v>
      </c>
    </row>
    <row r="35" spans="1:50" ht="12.75" customHeight="1" x14ac:dyDescent="0.2">
      <c r="A35" t="s">
        <v>188</v>
      </c>
      <c r="B35" s="23" t="s">
        <v>618</v>
      </c>
      <c r="C35">
        <f t="shared" ca="1" si="7"/>
        <v>0</v>
      </c>
      <c r="D35" s="24">
        <f t="shared" ca="1" si="7"/>
        <v>0</v>
      </c>
      <c r="E35">
        <f t="shared" ca="1" si="7"/>
        <v>5</v>
      </c>
      <c r="F35">
        <f t="shared" ca="1" si="7"/>
        <v>5</v>
      </c>
      <c r="G35">
        <f t="shared" ca="1" si="7"/>
        <v>0</v>
      </c>
      <c r="H35">
        <f t="shared" ca="1" si="7"/>
        <v>0</v>
      </c>
      <c r="I35">
        <f t="shared" ca="1" si="7"/>
        <v>0</v>
      </c>
      <c r="J35" s="25">
        <f t="shared" ca="1" si="7"/>
        <v>0</v>
      </c>
      <c r="K35" s="9">
        <f t="shared" ca="1" si="7"/>
        <v>0</v>
      </c>
      <c r="L35">
        <f t="shared" ca="1" si="7"/>
        <v>0</v>
      </c>
      <c r="M35">
        <f t="shared" ca="1" si="8"/>
        <v>0</v>
      </c>
      <c r="N35" s="9">
        <f t="shared" ca="1" si="8"/>
        <v>0</v>
      </c>
      <c r="O35" s="9">
        <f t="shared" ca="1" si="8"/>
        <v>0</v>
      </c>
      <c r="P35" s="9">
        <f t="shared" ca="1" si="8"/>
        <v>0</v>
      </c>
      <c r="Q35" s="9">
        <f t="shared" ca="1" si="8"/>
        <v>0</v>
      </c>
      <c r="R35" s="9">
        <f t="shared" ca="1" si="8"/>
        <v>0</v>
      </c>
      <c r="S35" s="9">
        <f t="shared" ca="1" si="8"/>
        <v>0</v>
      </c>
      <c r="T35" s="8">
        <f t="shared" ca="1" si="8"/>
        <v>0</v>
      </c>
      <c r="U35" s="9">
        <f t="shared" ca="1" si="8"/>
        <v>0</v>
      </c>
      <c r="V35" s="9">
        <f t="shared" ca="1" si="8"/>
        <v>0</v>
      </c>
      <c r="W35" s="8">
        <f ca="1">IF(ISBLANK($B35), 0, IF(ISNUMBER(VLOOKUP($B35, INDIRECT($A35), MATCH("D"&amp;W$25, StatHeader, 0), 0)), IF(Setup!$F$41=1, VLOOKUP($B35, INDIRECT($A35), MATCH("D"&amp;W$25, StatHeader, 0), 0), 0), VLOOKUP($B35, INDIRECT($A35), MATCH(W$25, StatHeader, 0), 0)))</f>
        <v>0</v>
      </c>
      <c r="X35" s="25">
        <f t="shared" ca="1" si="9"/>
        <v>5</v>
      </c>
      <c r="Z35" t="str">
        <f t="shared" si="13"/>
        <v>=</v>
      </c>
      <c r="AA35" t="s">
        <v>188</v>
      </c>
      <c r="AB35" s="23" t="s">
        <v>618</v>
      </c>
      <c r="AC35">
        <f t="shared" ca="1" si="10"/>
        <v>0</v>
      </c>
      <c r="AD35" s="24">
        <f t="shared" ca="1" si="10"/>
        <v>0</v>
      </c>
      <c r="AE35">
        <f t="shared" ca="1" si="10"/>
        <v>5</v>
      </c>
      <c r="AF35">
        <f t="shared" ca="1" si="10"/>
        <v>5</v>
      </c>
      <c r="AG35">
        <f t="shared" ca="1" si="10"/>
        <v>0</v>
      </c>
      <c r="AH35">
        <f t="shared" ca="1" si="10"/>
        <v>0</v>
      </c>
      <c r="AI35">
        <f t="shared" ca="1" si="10"/>
        <v>0</v>
      </c>
      <c r="AJ35" s="25">
        <f t="shared" ca="1" si="10"/>
        <v>0</v>
      </c>
      <c r="AK35" s="9">
        <f t="shared" ca="1" si="10"/>
        <v>0</v>
      </c>
      <c r="AL35">
        <f t="shared" ca="1" si="10"/>
        <v>0</v>
      </c>
      <c r="AM35">
        <f t="shared" ca="1" si="11"/>
        <v>0</v>
      </c>
      <c r="AN35" s="9">
        <f t="shared" ca="1" si="11"/>
        <v>0</v>
      </c>
      <c r="AO35" s="9">
        <f t="shared" ca="1" si="11"/>
        <v>0</v>
      </c>
      <c r="AP35" s="9">
        <f t="shared" ca="1" si="11"/>
        <v>0</v>
      </c>
      <c r="AQ35" s="9">
        <f t="shared" ca="1" si="11"/>
        <v>0</v>
      </c>
      <c r="AR35" s="9">
        <f t="shared" ca="1" si="11"/>
        <v>0</v>
      </c>
      <c r="AS35" s="9">
        <f t="shared" ca="1" si="11"/>
        <v>0</v>
      </c>
      <c r="AT35" s="8">
        <f t="shared" ca="1" si="11"/>
        <v>0</v>
      </c>
      <c r="AU35" s="9">
        <f t="shared" ca="1" si="11"/>
        <v>0</v>
      </c>
      <c r="AV35" s="9">
        <f t="shared" ca="1" si="11"/>
        <v>0</v>
      </c>
      <c r="AW35" s="8">
        <f ca="1">IF(ISBLANK($AB35), 0, IF(ISNUMBER(VLOOKUP($AB35, INDIRECT($AA35), MATCH("D"&amp;AW$25, StatHeader, 0), 0)), IF(Setup!$G$41=1, VLOOKUP($AB35, INDIRECT($AA35), MATCH("D"&amp;AW$25, StatHeader, 0), 0), 0), VLOOKUP($AB35, INDIRECT($AA35), MATCH(AW$25, StatHeader, 0), 0)))</f>
        <v>0</v>
      </c>
      <c r="AX35" s="25">
        <f t="shared" ca="1" si="12"/>
        <v>5</v>
      </c>
    </row>
    <row r="36" spans="1:50" ht="12.75" customHeight="1" x14ac:dyDescent="0.2">
      <c r="A36" t="s">
        <v>188</v>
      </c>
      <c r="B36" s="23" t="s">
        <v>614</v>
      </c>
      <c r="C36">
        <f t="shared" ca="1" si="7"/>
        <v>0</v>
      </c>
      <c r="D36">
        <f t="shared" ca="1" si="7"/>
        <v>0</v>
      </c>
      <c r="E36">
        <f t="shared" ca="1" si="7"/>
        <v>10</v>
      </c>
      <c r="F36">
        <f t="shared" ca="1" si="7"/>
        <v>10</v>
      </c>
      <c r="G36">
        <f t="shared" ca="1" si="7"/>
        <v>10</v>
      </c>
      <c r="H36">
        <f t="shared" ca="1" si="7"/>
        <v>0</v>
      </c>
      <c r="I36">
        <f t="shared" ca="1" si="7"/>
        <v>0</v>
      </c>
      <c r="J36" s="25">
        <f t="shared" ca="1" si="7"/>
        <v>0</v>
      </c>
      <c r="K36" s="9">
        <f t="shared" ca="1" si="7"/>
        <v>0</v>
      </c>
      <c r="L36">
        <f t="shared" ca="1" si="7"/>
        <v>0</v>
      </c>
      <c r="M36">
        <f t="shared" ca="1" si="8"/>
        <v>0</v>
      </c>
      <c r="N36" s="9">
        <f t="shared" ca="1" si="8"/>
        <v>0</v>
      </c>
      <c r="O36" s="9">
        <f t="shared" ca="1" si="8"/>
        <v>0</v>
      </c>
      <c r="P36" s="9">
        <f t="shared" ca="1" si="8"/>
        <v>0</v>
      </c>
      <c r="Q36" s="9">
        <f t="shared" ca="1" si="8"/>
        <v>0.03</v>
      </c>
      <c r="R36" s="9">
        <f t="shared" ca="1" si="8"/>
        <v>0</v>
      </c>
      <c r="S36" s="9">
        <f t="shared" ca="1" si="8"/>
        <v>0</v>
      </c>
      <c r="T36" s="8">
        <f t="shared" ca="1" si="8"/>
        <v>0</v>
      </c>
      <c r="U36" s="9">
        <f t="shared" ca="1" si="8"/>
        <v>0</v>
      </c>
      <c r="V36" s="9">
        <f t="shared" ca="1" si="8"/>
        <v>0</v>
      </c>
      <c r="W36" s="8">
        <f ca="1">IF(ISBLANK($B36), 0, IF(ISNUMBER(VLOOKUP($B36, INDIRECT($A36), MATCH("D"&amp;W$25, StatHeader, 0), 0)), IF(Setup!$F$41=1, VLOOKUP($B36, INDIRECT($A36), MATCH("D"&amp;W$25, StatHeader, 0), 0), 0), VLOOKUP($B36, INDIRECT($A36), MATCH(W$25, StatHeader, 0), 0)))</f>
        <v>0</v>
      </c>
      <c r="X36" s="25">
        <f t="shared" ca="1" si="9"/>
        <v>0</v>
      </c>
      <c r="Z36" t="str">
        <f t="shared" si="13"/>
        <v>=</v>
      </c>
      <c r="AA36" t="s">
        <v>188</v>
      </c>
      <c r="AB36" s="23" t="s">
        <v>614</v>
      </c>
      <c r="AC36">
        <f t="shared" ca="1" si="10"/>
        <v>0</v>
      </c>
      <c r="AD36">
        <f t="shared" ca="1" si="10"/>
        <v>0</v>
      </c>
      <c r="AE36">
        <f t="shared" ca="1" si="10"/>
        <v>10</v>
      </c>
      <c r="AF36">
        <f t="shared" ca="1" si="10"/>
        <v>10</v>
      </c>
      <c r="AG36">
        <f t="shared" ca="1" si="10"/>
        <v>10</v>
      </c>
      <c r="AH36">
        <f t="shared" ca="1" si="10"/>
        <v>0</v>
      </c>
      <c r="AI36">
        <f t="shared" ca="1" si="10"/>
        <v>0</v>
      </c>
      <c r="AJ36" s="25">
        <f t="shared" ca="1" si="10"/>
        <v>0</v>
      </c>
      <c r="AK36" s="9">
        <f t="shared" ca="1" si="10"/>
        <v>0</v>
      </c>
      <c r="AL36">
        <f t="shared" ca="1" si="10"/>
        <v>0</v>
      </c>
      <c r="AM36">
        <f t="shared" ca="1" si="11"/>
        <v>0</v>
      </c>
      <c r="AN36" s="9">
        <f t="shared" ca="1" si="11"/>
        <v>0</v>
      </c>
      <c r="AO36" s="9">
        <f t="shared" ca="1" si="11"/>
        <v>0</v>
      </c>
      <c r="AP36" s="9">
        <f t="shared" ca="1" si="11"/>
        <v>0</v>
      </c>
      <c r="AQ36" s="9">
        <f t="shared" ca="1" si="11"/>
        <v>0.03</v>
      </c>
      <c r="AR36" s="9">
        <f t="shared" ca="1" si="11"/>
        <v>0</v>
      </c>
      <c r="AS36" s="9">
        <f t="shared" ca="1" si="11"/>
        <v>0</v>
      </c>
      <c r="AT36" s="8">
        <f t="shared" ca="1" si="11"/>
        <v>0</v>
      </c>
      <c r="AU36" s="9">
        <f t="shared" ca="1" si="11"/>
        <v>0</v>
      </c>
      <c r="AV36" s="9">
        <f t="shared" ca="1" si="11"/>
        <v>0</v>
      </c>
      <c r="AW36" s="8">
        <f ca="1">IF(ISBLANK($AB36), 0, IF(ISNUMBER(VLOOKUP($AB36, INDIRECT($AA36), MATCH("D"&amp;AW$25, StatHeader, 0), 0)), IF(Setup!$G$41=1, VLOOKUP($AB36, INDIRECT($AA36), MATCH("D"&amp;AW$25, StatHeader, 0), 0), 0), VLOOKUP($AB36, INDIRECT($AA36), MATCH(AW$25, StatHeader, 0), 0)))</f>
        <v>0</v>
      </c>
      <c r="AX36" s="25">
        <f t="shared" ca="1" si="12"/>
        <v>0</v>
      </c>
    </row>
    <row r="37" spans="1:50" ht="12.75" customHeight="1" x14ac:dyDescent="0.2">
      <c r="A37" t="s">
        <v>190</v>
      </c>
      <c r="B37" s="22" t="s">
        <v>191</v>
      </c>
      <c r="C37">
        <f t="shared" ca="1" si="7"/>
        <v>0</v>
      </c>
      <c r="D37" s="24">
        <f t="shared" ca="1" si="7"/>
        <v>0</v>
      </c>
      <c r="E37">
        <f t="shared" ca="1" si="7"/>
        <v>30</v>
      </c>
      <c r="F37">
        <f t="shared" ca="1" si="7"/>
        <v>0</v>
      </c>
      <c r="G37">
        <f t="shared" ca="1" si="7"/>
        <v>0</v>
      </c>
      <c r="H37">
        <f t="shared" ca="1" si="7"/>
        <v>0</v>
      </c>
      <c r="I37">
        <f t="shared" ca="1" si="7"/>
        <v>0</v>
      </c>
      <c r="J37" s="25">
        <f t="shared" ca="1" si="7"/>
        <v>0</v>
      </c>
      <c r="K37" s="9">
        <f t="shared" ca="1" si="7"/>
        <v>0</v>
      </c>
      <c r="L37">
        <f t="shared" ca="1" si="7"/>
        <v>20</v>
      </c>
      <c r="M37">
        <f t="shared" ca="1" si="8"/>
        <v>20</v>
      </c>
      <c r="N37" s="9">
        <f t="shared" ca="1" si="8"/>
        <v>0</v>
      </c>
      <c r="O37" s="9">
        <f t="shared" ca="1" si="8"/>
        <v>0.1</v>
      </c>
      <c r="P37" s="9">
        <f t="shared" ca="1" si="8"/>
        <v>0</v>
      </c>
      <c r="Q37" s="9">
        <f t="shared" ca="1" si="8"/>
        <v>0</v>
      </c>
      <c r="R37" s="9">
        <f t="shared" ca="1" si="8"/>
        <v>0</v>
      </c>
      <c r="S37" s="9">
        <f t="shared" ca="1" si="8"/>
        <v>0</v>
      </c>
      <c r="T37" s="8">
        <f t="shared" ca="1" si="8"/>
        <v>0</v>
      </c>
      <c r="U37" s="9">
        <f t="shared" ca="1" si="8"/>
        <v>0</v>
      </c>
      <c r="V37" s="9">
        <f t="shared" ca="1" si="8"/>
        <v>0</v>
      </c>
      <c r="W37" s="8">
        <f ca="1">IF(ISBLANK($B37), 0, IF(ISNUMBER(VLOOKUP($B37, INDIRECT($A37), MATCH("D"&amp;W$25, StatHeader, 0), 0)), IF(Setup!$F$41=1, VLOOKUP($B37, INDIRECT($A37), MATCH("D"&amp;W$25, StatHeader, 0), 0), 0), VLOOKUP($B37, INDIRECT($A37), MATCH(W$25, StatHeader, 0), 0)))</f>
        <v>0</v>
      </c>
      <c r="X37" s="25">
        <f t="shared" ca="1" si="9"/>
        <v>0</v>
      </c>
      <c r="Z37" t="str">
        <f t="shared" si="13"/>
        <v>=</v>
      </c>
      <c r="AA37" t="s">
        <v>190</v>
      </c>
      <c r="AB37" s="23" t="s">
        <v>191</v>
      </c>
      <c r="AC37">
        <f t="shared" ca="1" si="10"/>
        <v>0</v>
      </c>
      <c r="AD37" s="24">
        <f t="shared" ca="1" si="10"/>
        <v>0</v>
      </c>
      <c r="AE37">
        <f t="shared" ca="1" si="10"/>
        <v>30</v>
      </c>
      <c r="AF37">
        <f t="shared" ca="1" si="10"/>
        <v>0</v>
      </c>
      <c r="AG37">
        <f t="shared" ca="1" si="10"/>
        <v>0</v>
      </c>
      <c r="AH37">
        <f t="shared" ca="1" si="10"/>
        <v>0</v>
      </c>
      <c r="AI37">
        <f t="shared" ca="1" si="10"/>
        <v>0</v>
      </c>
      <c r="AJ37" s="25">
        <f t="shared" ca="1" si="10"/>
        <v>0</v>
      </c>
      <c r="AK37" s="9">
        <f t="shared" ca="1" si="10"/>
        <v>0</v>
      </c>
      <c r="AL37">
        <f t="shared" ca="1" si="10"/>
        <v>20</v>
      </c>
      <c r="AM37">
        <f t="shared" ca="1" si="11"/>
        <v>20</v>
      </c>
      <c r="AN37" s="9">
        <f t="shared" ca="1" si="11"/>
        <v>0</v>
      </c>
      <c r="AO37" s="9">
        <f t="shared" ca="1" si="11"/>
        <v>0.1</v>
      </c>
      <c r="AP37" s="9">
        <f t="shared" ca="1" si="11"/>
        <v>0</v>
      </c>
      <c r="AQ37" s="9">
        <f t="shared" ca="1" si="11"/>
        <v>0</v>
      </c>
      <c r="AR37" s="9">
        <f t="shared" ca="1" si="11"/>
        <v>0</v>
      </c>
      <c r="AS37" s="9">
        <f t="shared" ca="1" si="11"/>
        <v>0</v>
      </c>
      <c r="AT37" s="8">
        <f t="shared" ca="1" si="11"/>
        <v>0</v>
      </c>
      <c r="AU37" s="9">
        <f t="shared" ca="1" si="11"/>
        <v>0</v>
      </c>
      <c r="AV37" s="9">
        <f t="shared" ca="1" si="11"/>
        <v>0</v>
      </c>
      <c r="AW37" s="8">
        <f ca="1">IF(ISBLANK($AB37), 0, IF(ISNUMBER(VLOOKUP($AB37, INDIRECT($AA37), MATCH("D"&amp;AW$25, StatHeader, 0), 0)), IF(Setup!$G$41=1, VLOOKUP($AB37, INDIRECT($AA37), MATCH("D"&amp;AW$25, StatHeader, 0), 0), 0), VLOOKUP($AB37, INDIRECT($AA37), MATCH(AW$25, StatHeader, 0), 0)))</f>
        <v>0</v>
      </c>
      <c r="AX37" s="25">
        <f t="shared" ca="1" si="12"/>
        <v>0</v>
      </c>
    </row>
    <row r="38" spans="1:50" ht="12.75" customHeight="1" x14ac:dyDescent="0.2">
      <c r="A38" t="s">
        <v>192</v>
      </c>
      <c r="B38" s="23" t="s">
        <v>869</v>
      </c>
      <c r="C38">
        <f t="shared" ca="1" si="7"/>
        <v>0</v>
      </c>
      <c r="D38">
        <f t="shared" ca="1" si="7"/>
        <v>0</v>
      </c>
      <c r="E38">
        <f t="shared" ca="1" si="7"/>
        <v>15</v>
      </c>
      <c r="F38">
        <f t="shared" ca="1" si="7"/>
        <v>0</v>
      </c>
      <c r="G38">
        <f t="shared" ca="1" si="7"/>
        <v>0</v>
      </c>
      <c r="H38">
        <f t="shared" ca="1" si="7"/>
        <v>0</v>
      </c>
      <c r="I38">
        <f t="shared" ca="1" si="7"/>
        <v>0</v>
      </c>
      <c r="J38" s="25">
        <f t="shared" ca="1" si="7"/>
        <v>0</v>
      </c>
      <c r="K38" s="9">
        <f t="shared" ca="1" si="7"/>
        <v>0</v>
      </c>
      <c r="L38">
        <f t="shared" ca="1" si="7"/>
        <v>15</v>
      </c>
      <c r="M38">
        <f t="shared" ca="1" si="8"/>
        <v>0</v>
      </c>
      <c r="N38" s="9">
        <f t="shared" ca="1" si="8"/>
        <v>0</v>
      </c>
      <c r="O38" s="9">
        <f t="shared" ca="1" si="8"/>
        <v>0.05</v>
      </c>
      <c r="P38" s="9">
        <f t="shared" ca="1" si="8"/>
        <v>0.02</v>
      </c>
      <c r="Q38" s="9">
        <f t="shared" ca="1" si="8"/>
        <v>0</v>
      </c>
      <c r="R38" s="9">
        <f t="shared" ca="1" si="8"/>
        <v>0</v>
      </c>
      <c r="S38" s="9">
        <f t="shared" ca="1" si="8"/>
        <v>0</v>
      </c>
      <c r="T38" s="8">
        <f t="shared" ca="1" si="8"/>
        <v>0</v>
      </c>
      <c r="U38" s="9">
        <f t="shared" ca="1" si="8"/>
        <v>0</v>
      </c>
      <c r="V38" s="9">
        <f t="shared" ca="1" si="8"/>
        <v>0</v>
      </c>
      <c r="W38" s="8">
        <f ca="1">IF(ISBLANK($B38), 0, IF(ISNUMBER(VLOOKUP($B38, INDIRECT($A38), MATCH("D"&amp;W$25, StatHeader, 0), 0)), IF(Setup!$F$41=1, VLOOKUP($B38, INDIRECT($A38), MATCH("D"&amp;W$25, StatHeader, 0), 0), 0), VLOOKUP($B38, INDIRECT($A38), MATCH(W$25, StatHeader, 0), 0)))</f>
        <v>0</v>
      </c>
      <c r="X38" s="25">
        <f t="shared" ca="1" si="9"/>
        <v>0</v>
      </c>
      <c r="Z38" t="str">
        <f t="shared" si="13"/>
        <v>=</v>
      </c>
      <c r="AA38" t="s">
        <v>192</v>
      </c>
      <c r="AB38" s="23" t="s">
        <v>869</v>
      </c>
      <c r="AC38">
        <f t="shared" ca="1" si="10"/>
        <v>0</v>
      </c>
      <c r="AD38" s="24">
        <f t="shared" ca="1" si="10"/>
        <v>0</v>
      </c>
      <c r="AE38">
        <f t="shared" ca="1" si="10"/>
        <v>15</v>
      </c>
      <c r="AF38">
        <f t="shared" ca="1" si="10"/>
        <v>0</v>
      </c>
      <c r="AG38">
        <f t="shared" ca="1" si="10"/>
        <v>0</v>
      </c>
      <c r="AH38">
        <f t="shared" ca="1" si="10"/>
        <v>0</v>
      </c>
      <c r="AI38">
        <f t="shared" ca="1" si="10"/>
        <v>0</v>
      </c>
      <c r="AJ38" s="25">
        <f t="shared" ca="1" si="10"/>
        <v>0</v>
      </c>
      <c r="AK38" s="9">
        <f t="shared" ca="1" si="10"/>
        <v>0</v>
      </c>
      <c r="AL38">
        <f t="shared" ca="1" si="10"/>
        <v>15</v>
      </c>
      <c r="AM38">
        <f t="shared" ca="1" si="11"/>
        <v>0</v>
      </c>
      <c r="AN38" s="9">
        <f t="shared" ca="1" si="11"/>
        <v>0</v>
      </c>
      <c r="AO38" s="9">
        <f t="shared" ca="1" si="11"/>
        <v>0.05</v>
      </c>
      <c r="AP38" s="9">
        <f t="shared" ca="1" si="11"/>
        <v>0.02</v>
      </c>
      <c r="AQ38" s="9">
        <f t="shared" ca="1" si="11"/>
        <v>0</v>
      </c>
      <c r="AR38" s="9">
        <f t="shared" ca="1" si="11"/>
        <v>0</v>
      </c>
      <c r="AS38" s="9">
        <f t="shared" ca="1" si="11"/>
        <v>0</v>
      </c>
      <c r="AT38" s="8">
        <f t="shared" ca="1" si="11"/>
        <v>0</v>
      </c>
      <c r="AU38" s="9">
        <f t="shared" ca="1" si="11"/>
        <v>0</v>
      </c>
      <c r="AV38" s="9">
        <f t="shared" ca="1" si="11"/>
        <v>0</v>
      </c>
      <c r="AW38" s="8">
        <f ca="1">IF(ISBLANK($AB38), 0, IF(ISNUMBER(VLOOKUP($AB38, INDIRECT($AA38), MATCH("D"&amp;AW$25, StatHeader, 0), 0)), IF(Setup!$G$41=1, VLOOKUP($AB38, INDIRECT($AA38), MATCH("D"&amp;AW$25, StatHeader, 0), 0), 0), VLOOKUP($AB38, INDIRECT($AA38), MATCH(AW$25, StatHeader, 0), 0)))</f>
        <v>0</v>
      </c>
      <c r="AX38" s="25">
        <f t="shared" ca="1" si="12"/>
        <v>0</v>
      </c>
    </row>
    <row r="39" spans="1:50" ht="12.75" customHeight="1" x14ac:dyDescent="0.2">
      <c r="A39" t="s">
        <v>194</v>
      </c>
      <c r="B39" s="22" t="s">
        <v>879</v>
      </c>
      <c r="C39">
        <f t="shared" ca="1" si="7"/>
        <v>0</v>
      </c>
      <c r="D39">
        <f t="shared" ca="1" si="7"/>
        <v>0</v>
      </c>
      <c r="E39">
        <f t="shared" ca="1" si="7"/>
        <v>0</v>
      </c>
      <c r="F39">
        <f t="shared" ca="1" si="7"/>
        <v>37</v>
      </c>
      <c r="G39">
        <f t="shared" ca="1" si="7"/>
        <v>0</v>
      </c>
      <c r="H39">
        <f t="shared" ca="1" si="7"/>
        <v>0</v>
      </c>
      <c r="I39">
        <f t="shared" ca="1" si="7"/>
        <v>0</v>
      </c>
      <c r="J39" s="25">
        <f t="shared" ca="1" si="7"/>
        <v>28</v>
      </c>
      <c r="K39" s="9">
        <f t="shared" ca="1" si="7"/>
        <v>0</v>
      </c>
      <c r="L39">
        <f t="shared" ca="1" si="7"/>
        <v>35</v>
      </c>
      <c r="M39">
        <f t="shared" ca="1" si="8"/>
        <v>15</v>
      </c>
      <c r="N39" s="9">
        <f t="shared" ca="1" si="8"/>
        <v>0</v>
      </c>
      <c r="O39" s="9">
        <f t="shared" ca="1" si="8"/>
        <v>0</v>
      </c>
      <c r="P39" s="9">
        <f t="shared" ca="1" si="8"/>
        <v>0</v>
      </c>
      <c r="Q39" s="9">
        <f t="shared" ca="1" si="8"/>
        <v>0</v>
      </c>
      <c r="R39" s="9">
        <f t="shared" ca="1" si="8"/>
        <v>0.02</v>
      </c>
      <c r="S39" s="9">
        <f t="shared" ca="1" si="8"/>
        <v>0</v>
      </c>
      <c r="T39" s="8">
        <f t="shared" ca="1" si="8"/>
        <v>0</v>
      </c>
      <c r="U39" s="9">
        <f t="shared" ca="1" si="8"/>
        <v>0</v>
      </c>
      <c r="V39" s="9">
        <f t="shared" ca="1" si="8"/>
        <v>0</v>
      </c>
      <c r="W39" s="8">
        <f ca="1">IF(ISBLANK($B39), 0, IF(ISNUMBER(VLOOKUP($B39, INDIRECT($A39), MATCH("D"&amp;W$25, StatHeader, 0), 0)), IF(Setup!$F$41=1, VLOOKUP($B39, INDIRECT($A39), MATCH("D"&amp;W$25, StatHeader, 0), 0), 0), VLOOKUP($B39, INDIRECT($A39), MATCH(W$25, StatHeader, 0), 0)))</f>
        <v>0</v>
      </c>
      <c r="X39" s="25">
        <f t="shared" ca="1" si="9"/>
        <v>0</v>
      </c>
      <c r="Z39" t="str">
        <f t="shared" si="13"/>
        <v>=</v>
      </c>
      <c r="AA39" t="s">
        <v>194</v>
      </c>
      <c r="AB39" s="23" t="s">
        <v>879</v>
      </c>
      <c r="AC39">
        <f t="shared" ca="1" si="10"/>
        <v>0</v>
      </c>
      <c r="AD39">
        <f t="shared" ca="1" si="10"/>
        <v>0</v>
      </c>
      <c r="AE39">
        <f t="shared" ca="1" si="10"/>
        <v>0</v>
      </c>
      <c r="AF39">
        <f t="shared" ca="1" si="10"/>
        <v>37</v>
      </c>
      <c r="AG39">
        <f t="shared" ca="1" si="10"/>
        <v>0</v>
      </c>
      <c r="AH39">
        <f t="shared" ca="1" si="10"/>
        <v>0</v>
      </c>
      <c r="AI39">
        <f t="shared" ca="1" si="10"/>
        <v>0</v>
      </c>
      <c r="AJ39" s="25">
        <f t="shared" ca="1" si="10"/>
        <v>28</v>
      </c>
      <c r="AK39" s="9">
        <f t="shared" ca="1" si="10"/>
        <v>0</v>
      </c>
      <c r="AL39">
        <f t="shared" ca="1" si="10"/>
        <v>35</v>
      </c>
      <c r="AM39">
        <f t="shared" ca="1" si="11"/>
        <v>15</v>
      </c>
      <c r="AN39" s="9">
        <f t="shared" ca="1" si="11"/>
        <v>0</v>
      </c>
      <c r="AO39" s="9">
        <f t="shared" ca="1" si="11"/>
        <v>0</v>
      </c>
      <c r="AP39" s="9">
        <f t="shared" ca="1" si="11"/>
        <v>0</v>
      </c>
      <c r="AQ39" s="9">
        <f t="shared" ca="1" si="11"/>
        <v>0</v>
      </c>
      <c r="AR39" s="9">
        <f t="shared" ca="1" si="11"/>
        <v>0.02</v>
      </c>
      <c r="AS39" s="9">
        <f t="shared" ca="1" si="11"/>
        <v>0</v>
      </c>
      <c r="AT39" s="8">
        <f t="shared" ca="1" si="11"/>
        <v>0</v>
      </c>
      <c r="AU39" s="9">
        <f t="shared" ca="1" si="11"/>
        <v>0</v>
      </c>
      <c r="AV39" s="9">
        <f t="shared" ca="1" si="11"/>
        <v>0</v>
      </c>
      <c r="AW39" s="8">
        <f ca="1">IF(ISBLANK($AB39), 0, IF(ISNUMBER(VLOOKUP($AB39, INDIRECT($AA39), MATCH("D"&amp;AW$25, StatHeader, 0), 0)), IF(Setup!$G$41=1, VLOOKUP($AB39, INDIRECT($AA39), MATCH("D"&amp;AW$25, StatHeader, 0), 0), 0), VLOOKUP($AB39, INDIRECT($AA39), MATCH(AW$25, StatHeader, 0), 0)))</f>
        <v>0</v>
      </c>
      <c r="AX39" s="25">
        <f t="shared" ca="1" si="12"/>
        <v>0</v>
      </c>
    </row>
    <row r="40" spans="1:50" ht="12.75" customHeight="1" x14ac:dyDescent="0.2">
      <c r="A40" t="s">
        <v>197</v>
      </c>
      <c r="B40" s="22" t="s">
        <v>542</v>
      </c>
      <c r="C40">
        <f t="shared" ca="1" si="7"/>
        <v>0</v>
      </c>
      <c r="D40">
        <f t="shared" ca="1" si="7"/>
        <v>0</v>
      </c>
      <c r="E40">
        <f t="shared" ca="1" si="7"/>
        <v>16</v>
      </c>
      <c r="F40">
        <f t="shared" ca="1" si="7"/>
        <v>33</v>
      </c>
      <c r="G40">
        <f t="shared" ca="1" si="7"/>
        <v>10</v>
      </c>
      <c r="H40">
        <f t="shared" ca="1" si="7"/>
        <v>0</v>
      </c>
      <c r="I40">
        <f t="shared" ca="1" si="7"/>
        <v>11</v>
      </c>
      <c r="J40" s="25">
        <f t="shared" ca="1" si="7"/>
        <v>0</v>
      </c>
      <c r="K40" s="9">
        <f t="shared" ca="1" si="7"/>
        <v>0</v>
      </c>
      <c r="L40">
        <f t="shared" ca="1" si="7"/>
        <v>25</v>
      </c>
      <c r="M40">
        <f t="shared" ca="1" si="8"/>
        <v>16</v>
      </c>
      <c r="N40" s="9">
        <f t="shared" ca="1" si="8"/>
        <v>0</v>
      </c>
      <c r="O40" s="9">
        <f t="shared" ca="1" si="8"/>
        <v>0</v>
      </c>
      <c r="P40" s="9">
        <f t="shared" ca="1" si="8"/>
        <v>0.02</v>
      </c>
      <c r="Q40" s="9">
        <f t="shared" ca="1" si="8"/>
        <v>0</v>
      </c>
      <c r="R40" s="9">
        <f t="shared" ca="1" si="8"/>
        <v>0</v>
      </c>
      <c r="S40" s="9">
        <f t="shared" ca="1" si="8"/>
        <v>0</v>
      </c>
      <c r="T40" s="8">
        <f t="shared" ca="1" si="8"/>
        <v>0</v>
      </c>
      <c r="U40" s="9">
        <f t="shared" ca="1" si="8"/>
        <v>0</v>
      </c>
      <c r="V40" s="9">
        <f t="shared" ca="1" si="8"/>
        <v>0.08</v>
      </c>
      <c r="W40" s="8">
        <f ca="1">IF(ISBLANK($B40), 0, IF(ISNUMBER(VLOOKUP($B40, INDIRECT($A40), MATCH("D"&amp;W$25, StatHeader, 0), 0)), IF(Setup!$F$41=1, VLOOKUP($B40, INDIRECT($A40), MATCH("D"&amp;W$25, StatHeader, 0), 0), 0), VLOOKUP($B40, INDIRECT($A40), MATCH(W$25, StatHeader, 0), 0)))</f>
        <v>0</v>
      </c>
      <c r="X40" s="25">
        <f t="shared" ca="1" si="9"/>
        <v>0</v>
      </c>
      <c r="Z40" t="str">
        <f t="shared" si="13"/>
        <v>=</v>
      </c>
      <c r="AA40" t="s">
        <v>197</v>
      </c>
      <c r="AB40" s="23" t="s">
        <v>542</v>
      </c>
      <c r="AC40">
        <f t="shared" ca="1" si="10"/>
        <v>0</v>
      </c>
      <c r="AD40">
        <f t="shared" ca="1" si="10"/>
        <v>0</v>
      </c>
      <c r="AE40">
        <f t="shared" ca="1" si="10"/>
        <v>16</v>
      </c>
      <c r="AF40">
        <f t="shared" ca="1" si="10"/>
        <v>33</v>
      </c>
      <c r="AG40">
        <f t="shared" ca="1" si="10"/>
        <v>10</v>
      </c>
      <c r="AH40">
        <f t="shared" ca="1" si="10"/>
        <v>0</v>
      </c>
      <c r="AI40">
        <f t="shared" ca="1" si="10"/>
        <v>11</v>
      </c>
      <c r="AJ40" s="25">
        <f t="shared" ca="1" si="10"/>
        <v>0</v>
      </c>
      <c r="AK40" s="9">
        <f t="shared" ca="1" si="10"/>
        <v>0</v>
      </c>
      <c r="AL40">
        <f t="shared" ca="1" si="10"/>
        <v>25</v>
      </c>
      <c r="AM40">
        <f t="shared" ca="1" si="11"/>
        <v>16</v>
      </c>
      <c r="AN40" s="9">
        <f t="shared" ca="1" si="11"/>
        <v>0</v>
      </c>
      <c r="AO40" s="9">
        <f t="shared" ca="1" si="11"/>
        <v>0</v>
      </c>
      <c r="AP40" s="9">
        <f t="shared" ca="1" si="11"/>
        <v>0.02</v>
      </c>
      <c r="AQ40" s="9">
        <f t="shared" ca="1" si="11"/>
        <v>0</v>
      </c>
      <c r="AR40" s="9">
        <f t="shared" ca="1" si="11"/>
        <v>0</v>
      </c>
      <c r="AS40" s="9">
        <f t="shared" ca="1" si="11"/>
        <v>0</v>
      </c>
      <c r="AT40" s="8">
        <f t="shared" ca="1" si="11"/>
        <v>0</v>
      </c>
      <c r="AU40" s="9">
        <f t="shared" ca="1" si="11"/>
        <v>0</v>
      </c>
      <c r="AV40" s="9">
        <f t="shared" ca="1" si="11"/>
        <v>0.08</v>
      </c>
      <c r="AW40" s="8">
        <f ca="1">IF(ISBLANK($AB40), 0, IF(ISNUMBER(VLOOKUP($AB40, INDIRECT($AA40), MATCH("D"&amp;AW$25, StatHeader, 0), 0)), IF(Setup!$G$41=1, VLOOKUP($AB40, INDIRECT($AA40), MATCH("D"&amp;AW$25, StatHeader, 0), 0), 0), VLOOKUP($AB40, INDIRECT($AA40), MATCH(AW$25, StatHeader, 0), 0)))</f>
        <v>0</v>
      </c>
      <c r="AX40" s="25">
        <f t="shared" ca="1" si="12"/>
        <v>0</v>
      </c>
    </row>
    <row r="41" spans="1:50" ht="12.75" customHeight="1" x14ac:dyDescent="0.2">
      <c r="A41" t="s">
        <v>199</v>
      </c>
      <c r="B41" s="3"/>
      <c r="C41" s="25">
        <f>HLOOKUP(C25,'Other Lists'!$Y$89:$BN$93, 4, 0)</f>
        <v>0</v>
      </c>
      <c r="D41">
        <v>0</v>
      </c>
      <c r="E41" s="25">
        <f>HLOOKUP(E25,'Other Lists'!$Y$89:$BN$93, 4, 0)</f>
        <v>0</v>
      </c>
      <c r="F41" s="25">
        <f>HLOOKUP(F25,'Other Lists'!$Y$89:$BN$93, 4, 0)</f>
        <v>0</v>
      </c>
      <c r="G41" s="25">
        <f>HLOOKUP(G25,'Other Lists'!$Y$89:$BN$93, 4, 0)</f>
        <v>0</v>
      </c>
      <c r="H41" s="25">
        <f>HLOOKUP(H25,'Other Lists'!$Y$89:$BN$93, 4, 0)</f>
        <v>0</v>
      </c>
      <c r="I41" s="25">
        <f>HLOOKUP(I25,'Other Lists'!$Y$89:$BN$93, 4, 0)</f>
        <v>0</v>
      </c>
      <c r="J41" s="25">
        <f>HLOOKUP(J25,'Other Lists'!$Y$89:$BN$93, 4, 0)</f>
        <v>0</v>
      </c>
      <c r="K41" s="24">
        <f>HLOOKUP(K25,'Other Lists'!$Y$89:$BN$93, 4, 0)</f>
        <v>0</v>
      </c>
      <c r="L41" s="25">
        <f>HLOOKUP(L25,'Other Lists'!$Y$89:$BN$93, 4, 0)</f>
        <v>0</v>
      </c>
      <c r="M41" s="25">
        <f>HLOOKUP(M25,'Other Lists'!$Y$89:$BN$93, 4, 0)</f>
        <v>0</v>
      </c>
      <c r="N41" s="24">
        <f>HLOOKUP(N25,'Other Lists'!$Y$89:$BN$93, 4, 0)</f>
        <v>0</v>
      </c>
      <c r="O41" s="24">
        <f>HLOOKUP(O25,'Other Lists'!$Y$89:$BN$93, 4, 0)</f>
        <v>0</v>
      </c>
      <c r="P41" s="24">
        <f>HLOOKUP(P25,'Other Lists'!$Y$89:$BN$93, 4, 0)</f>
        <v>0</v>
      </c>
      <c r="Q41" s="24">
        <f>HLOOKUP(Q25,'Other Lists'!$Y$89:$BN$93, 4, 0)</f>
        <v>0</v>
      </c>
      <c r="R41" s="24">
        <f>HLOOKUP(R25,'Other Lists'!$Y$89:$BN$93, 4, 0)</f>
        <v>0</v>
      </c>
      <c r="S41" s="24">
        <f>HLOOKUP(S25,'Other Lists'!$Y$89:$BN$93, 4, 0)</f>
        <v>0</v>
      </c>
      <c r="T41" s="25">
        <f>HLOOKUP(T25,'Other Lists'!$Y$89:$BN$93, 4, 0)</f>
        <v>0</v>
      </c>
      <c r="U41" s="25">
        <f>HLOOKUP(U25,'Other Lists'!$Y$89:$BN$93, 4, 0)</f>
        <v>0</v>
      </c>
      <c r="V41" s="9">
        <f>HLOOKUP(V25,'Other Lists'!$Y$89:$BN$93, 4, 0)</f>
        <v>0</v>
      </c>
      <c r="W41" s="25">
        <f>HLOOKUP(W25,'Other Lists'!$Y$89:$BN$93, 4, 0)</f>
        <v>0</v>
      </c>
      <c r="X41" s="25">
        <f>HLOOKUP(X25,'Other Lists'!$Y$89:$BN$93, 4, 0)</f>
        <v>0</v>
      </c>
      <c r="Z41" t="str">
        <f>IF(AND(C41=AC41, E41=AE41, F41=AF41, G41=AG41, H41=AH41, I41=AI41, J41=AJ41, K41=AK41, L41=AL41, M41=AM41, N41=AN41, O41=AO41, P41=AP41, Q41=AQ41, R41=AR41, S41=AS41, T41=AT41, U41=AU41, V41=AV41, W41=AW41, X41=AX41), "=", "-")</f>
        <v>=</v>
      </c>
      <c r="AA41" t="s">
        <v>199</v>
      </c>
      <c r="AB41" s="3"/>
      <c r="AC41" s="25">
        <f>HLOOKUP(AC25,'Other Lists'!$Y$89:$BN$93, 5, 0)</f>
        <v>0</v>
      </c>
      <c r="AD41">
        <v>0</v>
      </c>
      <c r="AE41" s="25">
        <f>HLOOKUP(AE25,'Other Lists'!$Y$89:$BN$93, 5, 0)</f>
        <v>0</v>
      </c>
      <c r="AF41" s="25">
        <f>HLOOKUP(AF25,'Other Lists'!$Y$89:$BN$93, 5, 0)</f>
        <v>0</v>
      </c>
      <c r="AG41" s="25">
        <f>HLOOKUP(AG25,'Other Lists'!$Y$89:$BN$93, 5, 0)</f>
        <v>0</v>
      </c>
      <c r="AH41" s="25">
        <f>HLOOKUP(AH25,'Other Lists'!$Y$89:$BN$93, 5, 0)</f>
        <v>0</v>
      </c>
      <c r="AI41" s="25">
        <f>HLOOKUP(AI25,'Other Lists'!$Y$89:$BN$93, 5, 0)</f>
        <v>0</v>
      </c>
      <c r="AJ41" s="25">
        <f>HLOOKUP(AJ25,'Other Lists'!$Y$89:$BN$93, 5, 0)</f>
        <v>0</v>
      </c>
      <c r="AK41" s="24">
        <f>HLOOKUP(AK25,'Other Lists'!$Y$89:$BN$93, 5, 0)</f>
        <v>0</v>
      </c>
      <c r="AL41" s="25">
        <f>HLOOKUP(AL25,'Other Lists'!$Y$89:$BN$93, 5, 0)</f>
        <v>0</v>
      </c>
      <c r="AM41" s="25">
        <f>HLOOKUP(AM25,'Other Lists'!$Y$89:$BN$93, 5, 0)</f>
        <v>0</v>
      </c>
      <c r="AN41" s="24">
        <f>HLOOKUP(AN25,'Other Lists'!$Y$89:$BN$93, 5, 0)</f>
        <v>0</v>
      </c>
      <c r="AO41" s="24">
        <f>HLOOKUP(AO25,'Other Lists'!$Y$89:$BN$93, 5, 0)</f>
        <v>0</v>
      </c>
      <c r="AP41" s="24">
        <f>HLOOKUP(AP25,'Other Lists'!$Y$89:$BN$93, 5, 0)</f>
        <v>0</v>
      </c>
      <c r="AQ41" s="24">
        <f>HLOOKUP(AQ25,'Other Lists'!$Y$89:$BN$93, 5, 0)</f>
        <v>0</v>
      </c>
      <c r="AR41" s="24">
        <f>HLOOKUP(AR25,'Other Lists'!$Y$89:$BN$93, 5, 0)</f>
        <v>0</v>
      </c>
      <c r="AS41" s="24">
        <f>HLOOKUP(AS25,'Other Lists'!$Y$89:$BN$93, 5, 0)</f>
        <v>0</v>
      </c>
      <c r="AT41" s="25">
        <f>HLOOKUP(AT25,'Other Lists'!$Y$89:$BN$93, 5, 0)</f>
        <v>0</v>
      </c>
      <c r="AU41" s="25">
        <f>HLOOKUP(AU25,'Other Lists'!$Y$89:$BN$93, 5, 0)</f>
        <v>0</v>
      </c>
      <c r="AV41" s="24">
        <f>HLOOKUP(AV25,'Other Lists'!$Y$89:$BN$93, 5, 0)</f>
        <v>0</v>
      </c>
      <c r="AW41" s="25">
        <f>HLOOKUP(AW25,'Other Lists'!$Y$89:$BN$93, 5, 0)</f>
        <v>0</v>
      </c>
      <c r="AX41" s="25">
        <f>HLOOKUP(AX25,'Other Lists'!$Y$89:$BN$93, 5, 0)</f>
        <v>0</v>
      </c>
    </row>
    <row r="42" spans="1:50" ht="12.75" customHeight="1" x14ac:dyDescent="0.2">
      <c r="A42" t="s">
        <v>200</v>
      </c>
      <c r="C42" s="22"/>
      <c r="D42" s="22"/>
      <c r="E42" s="22"/>
      <c r="F42" s="22">
        <v>0</v>
      </c>
      <c r="G42" s="22"/>
      <c r="H42" s="22"/>
      <c r="I42" s="22"/>
      <c r="J42" s="22"/>
      <c r="K42" s="26"/>
      <c r="L42" s="22">
        <v>0</v>
      </c>
      <c r="M42" s="22">
        <v>0</v>
      </c>
      <c r="N42" s="22"/>
      <c r="O42" s="26"/>
      <c r="P42" s="26"/>
      <c r="Q42" s="26"/>
      <c r="R42" s="26"/>
      <c r="S42" s="26"/>
      <c r="T42" s="22"/>
      <c r="U42" s="22"/>
      <c r="V42" s="26">
        <v>0</v>
      </c>
      <c r="W42" s="22"/>
      <c r="X42" s="22"/>
      <c r="Z42" t="str">
        <f>IF(AND(C42=AC42, E42=AE42, F42=AF42, G42=AG42, H42=AH42, I42=AI42, J42=AJ42, K42=AK42, L42=AL42, M42=AM42, N42=AN42, O42=AO42, P42=AP42, Q42=AQ42, R42=AR42, S42=AS42, T42=AT42, U42=AU42, V42=AV42, W42=AW42, X42=AX42), "=", "-")</f>
        <v>=</v>
      </c>
      <c r="AA42" t="s">
        <v>200</v>
      </c>
      <c r="AC42" s="22"/>
      <c r="AD42" s="22"/>
      <c r="AE42" s="22">
        <v>0</v>
      </c>
      <c r="AF42" s="22"/>
      <c r="AG42" s="22"/>
      <c r="AH42" s="22"/>
      <c r="AI42" s="22"/>
      <c r="AJ42" s="22"/>
      <c r="AK42" s="26"/>
      <c r="AL42" s="22">
        <v>0</v>
      </c>
      <c r="AM42" s="22">
        <v>0</v>
      </c>
      <c r="AN42" s="22"/>
      <c r="AO42" s="26"/>
      <c r="AP42" s="26"/>
      <c r="AQ42" s="26"/>
      <c r="AR42" s="26"/>
      <c r="AS42" s="26"/>
      <c r="AT42" s="22"/>
      <c r="AU42" s="22"/>
      <c r="AV42" s="26">
        <v>0</v>
      </c>
      <c r="AW42" s="22"/>
      <c r="AX42" s="22"/>
    </row>
    <row r="43" spans="1:50" ht="12.75" customHeight="1" x14ac:dyDescent="0.2">
      <c r="K43" s="9"/>
      <c r="O43" s="9"/>
      <c r="P43" s="9"/>
      <c r="Q43" s="9"/>
      <c r="R43" s="9"/>
      <c r="S43" s="9"/>
      <c r="T43" s="9"/>
      <c r="U43" s="9"/>
      <c r="V43" s="9"/>
      <c r="AK43" s="9"/>
      <c r="AO43" s="9"/>
      <c r="AP43" s="9"/>
      <c r="AQ43" s="9"/>
      <c r="AR43" s="9"/>
      <c r="AS43" s="9"/>
      <c r="AT43" s="9"/>
      <c r="AU43" s="9"/>
      <c r="AV43" s="9"/>
    </row>
    <row r="44" spans="1:50" ht="12.75" customHeight="1" x14ac:dyDescent="0.2">
      <c r="A44" t="s">
        <v>201</v>
      </c>
      <c r="C44">
        <f t="shared" ref="C44:V44" ca="1" si="14">SUM(C26:C42)</f>
        <v>0</v>
      </c>
      <c r="D44" s="24">
        <f t="shared" ca="1" si="14"/>
        <v>0</v>
      </c>
      <c r="E44">
        <f t="shared" ca="1" si="14"/>
        <v>182</v>
      </c>
      <c r="F44">
        <f t="shared" ca="1" si="14"/>
        <v>221</v>
      </c>
      <c r="G44">
        <f t="shared" ca="1" si="14"/>
        <v>89</v>
      </c>
      <c r="H44">
        <f t="shared" ca="1" si="14"/>
        <v>48</v>
      </c>
      <c r="I44">
        <f t="shared" ca="1" si="14"/>
        <v>81</v>
      </c>
      <c r="J44" s="25">
        <f t="shared" ca="1" si="14"/>
        <v>89</v>
      </c>
      <c r="K44" s="9">
        <f t="shared" ca="1" si="14"/>
        <v>0</v>
      </c>
      <c r="L44">
        <f t="shared" ca="1" si="14"/>
        <v>203</v>
      </c>
      <c r="M44">
        <f t="shared" ca="1" si="14"/>
        <v>127</v>
      </c>
      <c r="N44" s="9">
        <f t="shared" ca="1" si="14"/>
        <v>0</v>
      </c>
      <c r="O44" s="9">
        <f t="shared" ca="1" si="14"/>
        <v>0.22999999999999998</v>
      </c>
      <c r="P44" s="9">
        <f t="shared" ca="1" si="14"/>
        <v>0.04</v>
      </c>
      <c r="Q44" s="9">
        <f t="shared" ca="1" si="14"/>
        <v>0.03</v>
      </c>
      <c r="R44" s="9">
        <f t="shared" ca="1" si="14"/>
        <v>0.15</v>
      </c>
      <c r="S44" s="9">
        <f t="shared" ca="1" si="14"/>
        <v>0</v>
      </c>
      <c r="T44" s="25">
        <f t="shared" ca="1" si="14"/>
        <v>250</v>
      </c>
      <c r="U44" s="9">
        <f t="shared" ca="1" si="14"/>
        <v>0</v>
      </c>
      <c r="V44" s="9">
        <f t="shared" ca="1" si="14"/>
        <v>0.25</v>
      </c>
      <c r="W44" s="19">
        <f ca="1">SUM(W26:W42)/1024</f>
        <v>0</v>
      </c>
      <c r="X44" s="25">
        <f ca="1">SUM(X26:X42)</f>
        <v>19</v>
      </c>
      <c r="Z44" t="str">
        <f ca="1">IF(AND(C44=AC44, E44=AE44, F44=AF44, G44=AG44, H44=AH44, I44=AI44, J44=AJ44, K44=AK44, L44=AL44, M44=AM44, N44=AN44, O44=AO44, P44=AP44, Q44=AQ44, R44=AR44, S44=AS44, T44=AT44, U44=AU44, V44=AV44, W44=AW44, X44=AX44), "=", "-")</f>
        <v>=</v>
      </c>
      <c r="AA44" t="s">
        <v>201</v>
      </c>
      <c r="AC44">
        <f t="shared" ref="AC44:AV44" ca="1" si="15">SUM(AC26:AC42)</f>
        <v>0</v>
      </c>
      <c r="AD44">
        <f t="shared" ca="1" si="15"/>
        <v>0</v>
      </c>
      <c r="AE44">
        <f t="shared" ca="1" si="15"/>
        <v>182</v>
      </c>
      <c r="AF44">
        <f t="shared" ca="1" si="15"/>
        <v>221</v>
      </c>
      <c r="AG44">
        <f t="shared" ca="1" si="15"/>
        <v>89</v>
      </c>
      <c r="AH44">
        <f t="shared" ca="1" si="15"/>
        <v>48</v>
      </c>
      <c r="AI44">
        <f t="shared" ca="1" si="15"/>
        <v>81</v>
      </c>
      <c r="AJ44">
        <f t="shared" ca="1" si="15"/>
        <v>89</v>
      </c>
      <c r="AK44" s="9">
        <f t="shared" ca="1" si="15"/>
        <v>0</v>
      </c>
      <c r="AL44">
        <f t="shared" ca="1" si="15"/>
        <v>203</v>
      </c>
      <c r="AM44">
        <f t="shared" ca="1" si="15"/>
        <v>127</v>
      </c>
      <c r="AN44" s="9">
        <f t="shared" ca="1" si="15"/>
        <v>0</v>
      </c>
      <c r="AO44" s="9">
        <f t="shared" ca="1" si="15"/>
        <v>0.22999999999999998</v>
      </c>
      <c r="AP44" s="9">
        <f t="shared" ca="1" si="15"/>
        <v>0.04</v>
      </c>
      <c r="AQ44" s="9">
        <f t="shared" ca="1" si="15"/>
        <v>0.03</v>
      </c>
      <c r="AR44" s="9">
        <f t="shared" ca="1" si="15"/>
        <v>0.15</v>
      </c>
      <c r="AS44" s="9">
        <f t="shared" ca="1" si="15"/>
        <v>0</v>
      </c>
      <c r="AT44">
        <f t="shared" ca="1" si="15"/>
        <v>250</v>
      </c>
      <c r="AU44" s="9">
        <f t="shared" ca="1" si="15"/>
        <v>0</v>
      </c>
      <c r="AV44" s="9">
        <f t="shared" ca="1" si="15"/>
        <v>0.25</v>
      </c>
      <c r="AW44" s="19">
        <f ca="1">SUM(AW26:AW42)/1024</f>
        <v>0</v>
      </c>
      <c r="AX44">
        <f ca="1">SUM(AX26:AX42)</f>
        <v>19</v>
      </c>
    </row>
    <row r="45" spans="1:50" ht="12.75" customHeight="1" x14ac:dyDescent="0.2">
      <c r="A45" s="1" t="s">
        <v>220</v>
      </c>
      <c r="B45" s="27">
        <f ca="1">Setup!B35</f>
        <v>3280.5823627754135</v>
      </c>
      <c r="V45" s="9"/>
      <c r="AA45" s="1" t="s">
        <v>220</v>
      </c>
      <c r="AB45" s="27">
        <f ca="1">Setup!C35</f>
        <v>3280.5823627754135</v>
      </c>
    </row>
    <row r="46" spans="1:50" ht="12.75" customHeight="1" x14ac:dyDescent="0.2">
      <c r="A46" s="3" t="s">
        <v>221</v>
      </c>
      <c r="B46" s="19">
        <f ca="1">Data!D247</f>
        <v>3.3424309610985694</v>
      </c>
      <c r="V46" s="9"/>
      <c r="AA46" s="3" t="s">
        <v>221</v>
      </c>
      <c r="AB46" s="19">
        <f ca="1">Data!E247</f>
        <v>3.3424309610985694</v>
      </c>
    </row>
    <row r="47" spans="1:50" ht="12.75" customHeight="1" x14ac:dyDescent="0.2">
      <c r="V47" s="9"/>
    </row>
    <row r="48" spans="1:50" ht="12.75" customHeight="1" x14ac:dyDescent="0.25">
      <c r="A48" s="110" t="s">
        <v>302</v>
      </c>
      <c r="B48" s="120">
        <f ca="1">MAX(B45,AB45)</f>
        <v>3280.5823627754135</v>
      </c>
      <c r="V48" s="9"/>
    </row>
    <row r="49" spans="1:22" ht="12.75" customHeight="1" x14ac:dyDescent="0.2">
      <c r="A49" s="110" t="s">
        <v>884</v>
      </c>
      <c r="B49" s="112">
        <v>3278</v>
      </c>
      <c r="V49" s="9"/>
    </row>
    <row r="50" spans="1:22" s="30" customFormat="1" ht="12.75" customHeight="1" x14ac:dyDescent="0.2">
      <c r="A50" s="110" t="s">
        <v>885</v>
      </c>
      <c r="B50" s="112"/>
      <c r="V50" s="103"/>
    </row>
    <row r="51" spans="1:22" ht="12.75" customHeight="1" x14ac:dyDescent="0.2">
      <c r="V51" s="9"/>
    </row>
    <row r="52" spans="1:22" ht="12.75" customHeight="1" x14ac:dyDescent="0.2">
      <c r="A52" s="110" t="s">
        <v>877</v>
      </c>
      <c r="V52" s="9"/>
    </row>
    <row r="53" spans="1:22" ht="12.75" customHeight="1" x14ac:dyDescent="0.2">
      <c r="A53" s="110" t="s">
        <v>875</v>
      </c>
      <c r="B53">
        <v>164</v>
      </c>
      <c r="V53" s="9"/>
    </row>
    <row r="54" spans="1:22" ht="12.75" customHeight="1" x14ac:dyDescent="0.2">
      <c r="A54" s="110" t="s">
        <v>876</v>
      </c>
      <c r="B54">
        <v>175</v>
      </c>
      <c r="V54" s="9"/>
    </row>
    <row r="55" spans="1:22" ht="12.75" customHeight="1" x14ac:dyDescent="0.2">
      <c r="A55" s="110" t="s">
        <v>878</v>
      </c>
      <c r="B55">
        <f>B54/B53</f>
        <v>1.0670731707317074</v>
      </c>
      <c r="V55" s="9"/>
    </row>
    <row r="56" spans="1:22" ht="12.75" customHeight="1" x14ac:dyDescent="0.2">
      <c r="V56" s="9"/>
    </row>
    <row r="57" spans="1:22" ht="12.75" customHeight="1" x14ac:dyDescent="0.2">
      <c r="V57" s="9"/>
    </row>
    <row r="58" spans="1:22" ht="12.75" customHeight="1" x14ac:dyDescent="0.2">
      <c r="V58" s="9"/>
    </row>
    <row r="59" spans="1:22" ht="12.75" customHeight="1" x14ac:dyDescent="0.2">
      <c r="V59" s="9"/>
    </row>
    <row r="60" spans="1:22" ht="12.75" customHeight="1" x14ac:dyDescent="0.2">
      <c r="V60" s="9"/>
    </row>
    <row r="61" spans="1:22" ht="12.75" customHeight="1" x14ac:dyDescent="0.2">
      <c r="V61" s="9"/>
    </row>
    <row r="62" spans="1:22" ht="12.75" customHeight="1" x14ac:dyDescent="0.2">
      <c r="V62" s="9"/>
    </row>
    <row r="63" spans="1:22" ht="12.75" customHeight="1" x14ac:dyDescent="0.2">
      <c r="V63" s="9"/>
    </row>
    <row r="64" spans="1:22" ht="12.75" customHeight="1" x14ac:dyDescent="0.2">
      <c r="V64" s="9"/>
    </row>
    <row r="65" spans="22:22" ht="12.75" customHeight="1" x14ac:dyDescent="0.2">
      <c r="V65" s="9"/>
    </row>
    <row r="66" spans="22:22" ht="12.75" customHeight="1" x14ac:dyDescent="0.2">
      <c r="V66" s="9"/>
    </row>
    <row r="67" spans="22:22" ht="12.75" customHeight="1" x14ac:dyDescent="0.2">
      <c r="V67" s="9"/>
    </row>
    <row r="68" spans="22:22" ht="12.75" customHeight="1" x14ac:dyDescent="0.2">
      <c r="V68" s="9"/>
    </row>
    <row r="69" spans="22:22" ht="12.75" customHeight="1" x14ac:dyDescent="0.2">
      <c r="V69" s="9"/>
    </row>
    <row r="70" spans="22:22" ht="12.75" customHeight="1" x14ac:dyDescent="0.2">
      <c r="V70" s="9"/>
    </row>
    <row r="71" spans="22:22" ht="12.75" customHeight="1" x14ac:dyDescent="0.2">
      <c r="V71" s="9"/>
    </row>
    <row r="72" spans="22:22" ht="12.75" customHeight="1" x14ac:dyDescent="0.2">
      <c r="V72" s="9"/>
    </row>
    <row r="73" spans="22:22" ht="12.75" customHeight="1" x14ac:dyDescent="0.2">
      <c r="V73" s="9"/>
    </row>
    <row r="74" spans="22:22" ht="12.75" customHeight="1" x14ac:dyDescent="0.2">
      <c r="V74" s="9"/>
    </row>
    <row r="75" spans="22:22" ht="12.75" customHeight="1" x14ac:dyDescent="0.2">
      <c r="V75" s="9"/>
    </row>
    <row r="76" spans="22:22" ht="12.75" customHeight="1" x14ac:dyDescent="0.2">
      <c r="V76" s="9"/>
    </row>
    <row r="77" spans="22:22" ht="12.75" customHeight="1" x14ac:dyDescent="0.2">
      <c r="V77" s="9"/>
    </row>
    <row r="78" spans="22:22" ht="12.75" customHeight="1" x14ac:dyDescent="0.2">
      <c r="V78" s="9"/>
    </row>
    <row r="79" spans="22:22" ht="12.75" customHeight="1" x14ac:dyDescent="0.2">
      <c r="V79" s="9"/>
    </row>
    <row r="80" spans="22:22" ht="12.75" customHeight="1" x14ac:dyDescent="0.2">
      <c r="V80" s="9"/>
    </row>
    <row r="81" spans="22:22" ht="12.75" customHeight="1" x14ac:dyDescent="0.2">
      <c r="V81" s="9"/>
    </row>
    <row r="82" spans="22:22" ht="12.75" customHeight="1" x14ac:dyDescent="0.2">
      <c r="V82" s="9"/>
    </row>
    <row r="83" spans="22:22" ht="12.75" customHeight="1" x14ac:dyDescent="0.2">
      <c r="V83" s="9"/>
    </row>
    <row r="84" spans="22:22" ht="12.75" customHeight="1" x14ac:dyDescent="0.2">
      <c r="V84" s="9"/>
    </row>
    <row r="85" spans="22:22" ht="12.75" customHeight="1" x14ac:dyDescent="0.2">
      <c r="V85" s="9"/>
    </row>
    <row r="86" spans="22:22" ht="12.75" customHeight="1" x14ac:dyDescent="0.2">
      <c r="V86" s="9"/>
    </row>
    <row r="87" spans="22:22" ht="12.75" customHeight="1" x14ac:dyDescent="0.2">
      <c r="V87" s="9"/>
    </row>
    <row r="88" spans="22:22" ht="12.75" customHeight="1" x14ac:dyDescent="0.2">
      <c r="V88" s="9"/>
    </row>
    <row r="89" spans="22:22" ht="12.75" customHeight="1" x14ac:dyDescent="0.2">
      <c r="V89" s="9"/>
    </row>
    <row r="90" spans="22:22" ht="12.75" customHeight="1" x14ac:dyDescent="0.2">
      <c r="V90" s="9"/>
    </row>
    <row r="91" spans="22:22" ht="12.75" customHeight="1" x14ac:dyDescent="0.2">
      <c r="V91" s="9"/>
    </row>
    <row r="92" spans="22:22" ht="12.75" customHeight="1" x14ac:dyDescent="0.2">
      <c r="V92" s="9"/>
    </row>
    <row r="93" spans="22:22" ht="12.75" customHeight="1" x14ac:dyDescent="0.2">
      <c r="V93" s="9"/>
    </row>
    <row r="94" spans="22:22" ht="12.75" customHeight="1" x14ac:dyDescent="0.2">
      <c r="V94" s="9"/>
    </row>
    <row r="95" spans="22:22" ht="12.75" customHeight="1" x14ac:dyDescent="0.2">
      <c r="V95" s="9"/>
    </row>
    <row r="96" spans="22:22" ht="12.75" customHeight="1" x14ac:dyDescent="0.2">
      <c r="V96" s="9"/>
    </row>
    <row r="97" spans="22:22" ht="12.75" customHeight="1" x14ac:dyDescent="0.2">
      <c r="V97" s="9"/>
    </row>
    <row r="98" spans="22:22" ht="12.75" customHeight="1" x14ac:dyDescent="0.2">
      <c r="V98" s="9"/>
    </row>
    <row r="99" spans="22:22" ht="12.75" customHeight="1" x14ac:dyDescent="0.2">
      <c r="V99" s="9"/>
    </row>
    <row r="100" spans="22:22" ht="12.75" customHeight="1" x14ac:dyDescent="0.2">
      <c r="V100" s="9"/>
    </row>
    <row r="101" spans="22:22" ht="12.75" customHeight="1" x14ac:dyDescent="0.2">
      <c r="V101" s="9"/>
    </row>
    <row r="102" spans="22:22" ht="12.75" customHeight="1" x14ac:dyDescent="0.2">
      <c r="V102" s="9"/>
    </row>
    <row r="103" spans="22:22" ht="12.75" customHeight="1" x14ac:dyDescent="0.2">
      <c r="V103" s="9"/>
    </row>
    <row r="104" spans="22:22" ht="12.75" customHeight="1" x14ac:dyDescent="0.2">
      <c r="V104" s="9"/>
    </row>
    <row r="105" spans="22:22" ht="12.75" customHeight="1" x14ac:dyDescent="0.2">
      <c r="V105" s="9"/>
    </row>
    <row r="106" spans="22:22" ht="12.75" customHeight="1" x14ac:dyDescent="0.2">
      <c r="V106" s="9"/>
    </row>
    <row r="107" spans="22:22" ht="12.75" customHeight="1" x14ac:dyDescent="0.2">
      <c r="V107" s="9"/>
    </row>
    <row r="108" spans="22:22" ht="12.75" customHeight="1" x14ac:dyDescent="0.2">
      <c r="V108" s="9"/>
    </row>
    <row r="109" spans="22:22" ht="12.75" customHeight="1" x14ac:dyDescent="0.2">
      <c r="V109" s="9"/>
    </row>
    <row r="110" spans="22:22" ht="12.75" customHeight="1" x14ac:dyDescent="0.2">
      <c r="V110" s="9"/>
    </row>
    <row r="111" spans="22:22" ht="12.75" customHeight="1" x14ac:dyDescent="0.2">
      <c r="V111" s="9"/>
    </row>
    <row r="112" spans="22:22" ht="12.75" customHeight="1" x14ac:dyDescent="0.2">
      <c r="V112" s="9"/>
    </row>
    <row r="113" spans="22:22" ht="12.75" customHeight="1" x14ac:dyDescent="0.2">
      <c r="V113" s="9"/>
    </row>
    <row r="114" spans="22:22" ht="12.75" customHeight="1" x14ac:dyDescent="0.2">
      <c r="V114" s="9"/>
    </row>
    <row r="115" spans="22:22" ht="12.75" customHeight="1" x14ac:dyDescent="0.2">
      <c r="V115" s="9"/>
    </row>
    <row r="116" spans="22:22" ht="12.75" customHeight="1" x14ac:dyDescent="0.2">
      <c r="V116" s="9"/>
    </row>
    <row r="117" spans="22:22" ht="12.75" customHeight="1" x14ac:dyDescent="0.2">
      <c r="V117" s="9"/>
    </row>
    <row r="118" spans="22:22" ht="12.75" customHeight="1" x14ac:dyDescent="0.2">
      <c r="V118" s="9"/>
    </row>
    <row r="119" spans="22:22" ht="12.75" customHeight="1" x14ac:dyDescent="0.2">
      <c r="V119" s="9"/>
    </row>
    <row r="120" spans="22:22" ht="12.75" customHeight="1" x14ac:dyDescent="0.2">
      <c r="V120" s="9"/>
    </row>
    <row r="121" spans="22:22" ht="12.75" customHeight="1" x14ac:dyDescent="0.2">
      <c r="V121" s="9"/>
    </row>
    <row r="122" spans="22:22" ht="12.75" customHeight="1" x14ac:dyDescent="0.2">
      <c r="V122" s="9"/>
    </row>
    <row r="123" spans="22:22" ht="12.75" customHeight="1" x14ac:dyDescent="0.2">
      <c r="V123" s="9"/>
    </row>
    <row r="124" spans="22:22" ht="12.75" customHeight="1" x14ac:dyDescent="0.2">
      <c r="V124" s="9"/>
    </row>
    <row r="125" spans="22:22" ht="12.75" customHeight="1" x14ac:dyDescent="0.2">
      <c r="V125" s="9"/>
    </row>
    <row r="126" spans="22:22" ht="12.75" customHeight="1" x14ac:dyDescent="0.2">
      <c r="V126" s="9"/>
    </row>
    <row r="127" spans="22:22" ht="12.75" customHeight="1" x14ac:dyDescent="0.2">
      <c r="V127" s="9"/>
    </row>
    <row r="128" spans="22:22" ht="12.75" customHeight="1" x14ac:dyDescent="0.2">
      <c r="V128" s="9"/>
    </row>
    <row r="129" spans="22:22" ht="12.75" customHeight="1" x14ac:dyDescent="0.2">
      <c r="V129" s="9"/>
    </row>
    <row r="130" spans="22:22" ht="12.75" customHeight="1" x14ac:dyDescent="0.2">
      <c r="V130" s="9"/>
    </row>
    <row r="131" spans="22:22" ht="12.75" customHeight="1" x14ac:dyDescent="0.2">
      <c r="V131" s="9"/>
    </row>
    <row r="132" spans="22:22" ht="12.75" customHeight="1" x14ac:dyDescent="0.2">
      <c r="V132" s="9"/>
    </row>
    <row r="133" spans="22:22" ht="12.75" customHeight="1" x14ac:dyDescent="0.2">
      <c r="V133" s="9"/>
    </row>
    <row r="134" spans="22:22" ht="12.75" customHeight="1" x14ac:dyDescent="0.2">
      <c r="V134" s="9"/>
    </row>
    <row r="135" spans="22:22" ht="12.75" customHeight="1" x14ac:dyDescent="0.2">
      <c r="V135" s="9"/>
    </row>
    <row r="136" spans="22:22" ht="12.75" customHeight="1" x14ac:dyDescent="0.2">
      <c r="V136" s="9"/>
    </row>
    <row r="137" spans="22:22" ht="12.75" customHeight="1" x14ac:dyDescent="0.2">
      <c r="V137" s="9"/>
    </row>
    <row r="138" spans="22:22" ht="12.75" customHeight="1" x14ac:dyDescent="0.2">
      <c r="V138" s="9"/>
    </row>
    <row r="139" spans="22:22" ht="12.75" customHeight="1" x14ac:dyDescent="0.2">
      <c r="V139" s="9"/>
    </row>
    <row r="140" spans="22:22" ht="12.75" customHeight="1" x14ac:dyDescent="0.2">
      <c r="V140" s="9"/>
    </row>
    <row r="141" spans="22:22" ht="12.75" customHeight="1" x14ac:dyDescent="0.2">
      <c r="V141" s="9"/>
    </row>
    <row r="142" spans="22:22" ht="12.75" customHeight="1" x14ac:dyDescent="0.2">
      <c r="V142" s="9"/>
    </row>
    <row r="143" spans="22:22" ht="12.75" customHeight="1" x14ac:dyDescent="0.2">
      <c r="V143" s="9"/>
    </row>
    <row r="144" spans="22:22" ht="12.75" customHeight="1" x14ac:dyDescent="0.2">
      <c r="V144" s="9"/>
    </row>
    <row r="145" spans="22:22" ht="12.75" customHeight="1" x14ac:dyDescent="0.2">
      <c r="V145" s="9"/>
    </row>
    <row r="146" spans="22:22" ht="12.75" customHeight="1" x14ac:dyDescent="0.2">
      <c r="V146" s="9"/>
    </row>
    <row r="147" spans="22:22" ht="12.75" customHeight="1" x14ac:dyDescent="0.2">
      <c r="V147" s="9"/>
    </row>
    <row r="148" spans="22:22" ht="12.75" customHeight="1" x14ac:dyDescent="0.2">
      <c r="V148" s="9"/>
    </row>
    <row r="149" spans="22:22" ht="12.75" customHeight="1" x14ac:dyDescent="0.2">
      <c r="V149" s="9"/>
    </row>
    <row r="150" spans="22:22" ht="12.75" customHeight="1" x14ac:dyDescent="0.2">
      <c r="V150" s="9"/>
    </row>
    <row r="151" spans="22:22" ht="12.75" customHeight="1" x14ac:dyDescent="0.2">
      <c r="V151" s="9"/>
    </row>
    <row r="152" spans="22:22" ht="12.75" customHeight="1" x14ac:dyDescent="0.2">
      <c r="V152" s="9"/>
    </row>
    <row r="153" spans="22:22" ht="12.75" customHeight="1" x14ac:dyDescent="0.2">
      <c r="V153" s="9"/>
    </row>
    <row r="154" spans="22:22" ht="12.75" customHeight="1" x14ac:dyDescent="0.2">
      <c r="V154" s="9"/>
    </row>
    <row r="155" spans="22:22" ht="12.75" customHeight="1" x14ac:dyDescent="0.2">
      <c r="V155" s="9"/>
    </row>
    <row r="156" spans="22:22" ht="12.75" customHeight="1" x14ac:dyDescent="0.2">
      <c r="V156" s="9"/>
    </row>
    <row r="157" spans="22:22" ht="12.75" customHeight="1" x14ac:dyDescent="0.2">
      <c r="V157" s="9"/>
    </row>
    <row r="158" spans="22:22" ht="12.75" customHeight="1" x14ac:dyDescent="0.2">
      <c r="V158" s="9"/>
    </row>
    <row r="159" spans="22:22" ht="12.75" customHeight="1" x14ac:dyDescent="0.2">
      <c r="V159" s="9"/>
    </row>
    <row r="160" spans="22:22" ht="12.75" customHeight="1" x14ac:dyDescent="0.2">
      <c r="V160" s="9"/>
    </row>
    <row r="161" spans="22:22" ht="12.75" customHeight="1" x14ac:dyDescent="0.2">
      <c r="V161" s="9"/>
    </row>
    <row r="162" spans="22:22" ht="12.75" customHeight="1" x14ac:dyDescent="0.2">
      <c r="V162" s="9"/>
    </row>
    <row r="163" spans="22:22" ht="12.75" customHeight="1" x14ac:dyDescent="0.2">
      <c r="V163" s="9"/>
    </row>
    <row r="164" spans="22:22" ht="12.75" customHeight="1" x14ac:dyDescent="0.2">
      <c r="V164" s="9"/>
    </row>
    <row r="165" spans="22:22" ht="12.75" customHeight="1" x14ac:dyDescent="0.2">
      <c r="V165" s="9"/>
    </row>
    <row r="166" spans="22:22" ht="12.75" customHeight="1" x14ac:dyDescent="0.2">
      <c r="V166" s="9"/>
    </row>
    <row r="167" spans="22:22" ht="12.75" customHeight="1" x14ac:dyDescent="0.2">
      <c r="V167" s="9"/>
    </row>
    <row r="168" spans="22:22" ht="12.75" customHeight="1" x14ac:dyDescent="0.2">
      <c r="V168" s="9"/>
    </row>
    <row r="169" spans="22:22" ht="12.75" customHeight="1" x14ac:dyDescent="0.2">
      <c r="V169" s="9"/>
    </row>
    <row r="170" spans="22:22" ht="12.75" customHeight="1" x14ac:dyDescent="0.2">
      <c r="V170" s="9"/>
    </row>
    <row r="171" spans="22:22" ht="12.75" customHeight="1" x14ac:dyDescent="0.2">
      <c r="V171" s="9"/>
    </row>
    <row r="172" spans="22:22" ht="12.75" customHeight="1" x14ac:dyDescent="0.2">
      <c r="V172" s="9"/>
    </row>
    <row r="173" spans="22:22" ht="12.75" customHeight="1" x14ac:dyDescent="0.2">
      <c r="V173" s="9"/>
    </row>
    <row r="174" spans="22:22" ht="12.75" customHeight="1" x14ac:dyDescent="0.2">
      <c r="V174" s="9"/>
    </row>
    <row r="175" spans="22:22" ht="12.75" customHeight="1" x14ac:dyDescent="0.2">
      <c r="V175" s="9"/>
    </row>
    <row r="176" spans="22:22" ht="12.75" customHeight="1" x14ac:dyDescent="0.2">
      <c r="V176" s="9"/>
    </row>
    <row r="177" spans="22:22" ht="12.75" customHeight="1" x14ac:dyDescent="0.2">
      <c r="V177" s="9"/>
    </row>
    <row r="178" spans="22:22" ht="12.75" customHeight="1" x14ac:dyDescent="0.2">
      <c r="V178" s="9"/>
    </row>
    <row r="179" spans="22:22" ht="12.75" customHeight="1" x14ac:dyDescent="0.2">
      <c r="V179" s="9"/>
    </row>
    <row r="180" spans="22:22" ht="12.75" customHeight="1" x14ac:dyDescent="0.2">
      <c r="V180" s="9"/>
    </row>
    <row r="181" spans="22:22" ht="12.75" customHeight="1" x14ac:dyDescent="0.2">
      <c r="V181" s="9"/>
    </row>
    <row r="182" spans="22:22" ht="12.75" customHeight="1" x14ac:dyDescent="0.2">
      <c r="V182" s="9"/>
    </row>
    <row r="183" spans="22:22" ht="12.75" customHeight="1" x14ac:dyDescent="0.2">
      <c r="V183" s="9"/>
    </row>
    <row r="184" spans="22:22" ht="12.75" customHeight="1" x14ac:dyDescent="0.2">
      <c r="V184" s="9"/>
    </row>
    <row r="185" spans="22:22" ht="12.75" customHeight="1" x14ac:dyDescent="0.2">
      <c r="V185" s="9"/>
    </row>
    <row r="186" spans="22:22" ht="12.75" customHeight="1" x14ac:dyDescent="0.2">
      <c r="V186" s="9"/>
    </row>
    <row r="187" spans="22:22" ht="12.75" customHeight="1" x14ac:dyDescent="0.2">
      <c r="V187" s="9"/>
    </row>
    <row r="188" spans="22:22" ht="12.75" customHeight="1" x14ac:dyDescent="0.2">
      <c r="V188" s="9"/>
    </row>
    <row r="189" spans="22:22" ht="12.75" customHeight="1" x14ac:dyDescent="0.2">
      <c r="V189" s="9"/>
    </row>
    <row r="190" spans="22:22" ht="12.75" customHeight="1" x14ac:dyDescent="0.2">
      <c r="V190" s="9"/>
    </row>
    <row r="191" spans="22:22" ht="12.75" customHeight="1" x14ac:dyDescent="0.2">
      <c r="V191" s="9"/>
    </row>
    <row r="192" spans="22:22" ht="12.75" customHeight="1" x14ac:dyDescent="0.2">
      <c r="V192" s="9"/>
    </row>
    <row r="193" spans="22:22" ht="12.75" customHeight="1" x14ac:dyDescent="0.2">
      <c r="V193" s="9"/>
    </row>
    <row r="194" spans="22:22" ht="12.75" customHeight="1" x14ac:dyDescent="0.2">
      <c r="V194" s="9"/>
    </row>
    <row r="195" spans="22:22" ht="12.75" customHeight="1" x14ac:dyDescent="0.2">
      <c r="V195" s="9"/>
    </row>
    <row r="196" spans="22:22" ht="12.75" customHeight="1" x14ac:dyDescent="0.2">
      <c r="V196" s="9"/>
    </row>
    <row r="197" spans="22:22" ht="12.75" customHeight="1" x14ac:dyDescent="0.2">
      <c r="V197" s="9"/>
    </row>
    <row r="198" spans="22:22" ht="12.75" customHeight="1" x14ac:dyDescent="0.2">
      <c r="V198" s="9"/>
    </row>
    <row r="199" spans="22:22" ht="12.75" customHeight="1" x14ac:dyDescent="0.2">
      <c r="V199" s="9"/>
    </row>
    <row r="200" spans="22:22" ht="12.75" customHeight="1" x14ac:dyDescent="0.2">
      <c r="V200" s="9"/>
    </row>
    <row r="201" spans="22:22" ht="12.75" customHeight="1" x14ac:dyDescent="0.2">
      <c r="V201" s="9"/>
    </row>
    <row r="202" spans="22:22" ht="12.75" customHeight="1" x14ac:dyDescent="0.2">
      <c r="V202" s="9"/>
    </row>
    <row r="203" spans="22:22" ht="12.75" customHeight="1" x14ac:dyDescent="0.2">
      <c r="V203" s="9"/>
    </row>
    <row r="204" spans="22:22" ht="12.75" customHeight="1" x14ac:dyDescent="0.2">
      <c r="V204" s="9"/>
    </row>
    <row r="205" spans="22:22" ht="12.75" customHeight="1" x14ac:dyDescent="0.2">
      <c r="V205" s="9"/>
    </row>
    <row r="206" spans="22:22" ht="12.75" customHeight="1" x14ac:dyDescent="0.2">
      <c r="V206" s="9"/>
    </row>
    <row r="207" spans="22:22" ht="12.75" customHeight="1" x14ac:dyDescent="0.2">
      <c r="V207" s="9"/>
    </row>
    <row r="208" spans="22:22" ht="12.75" customHeight="1" x14ac:dyDescent="0.2">
      <c r="V208" s="9"/>
    </row>
    <row r="209" spans="22:22" ht="12.75" customHeight="1" x14ac:dyDescent="0.2">
      <c r="V209" s="9"/>
    </row>
    <row r="210" spans="22:22" ht="12.75" customHeight="1" x14ac:dyDescent="0.2">
      <c r="V210" s="9"/>
    </row>
    <row r="211" spans="22:22" ht="12.75" customHeight="1" x14ac:dyDescent="0.2">
      <c r="V211" s="9"/>
    </row>
    <row r="212" spans="22:22" ht="12.75" customHeight="1" x14ac:dyDescent="0.2">
      <c r="V212" s="9"/>
    </row>
    <row r="213" spans="22:22" ht="12.75" customHeight="1" x14ac:dyDescent="0.2">
      <c r="V213" s="9"/>
    </row>
    <row r="214" spans="22:22" ht="12.75" customHeight="1" x14ac:dyDescent="0.2">
      <c r="V214" s="9"/>
    </row>
    <row r="215" spans="22:22" ht="12.75" customHeight="1" x14ac:dyDescent="0.2">
      <c r="V215" s="9"/>
    </row>
    <row r="216" spans="22:22" ht="12.75" customHeight="1" x14ac:dyDescent="0.2">
      <c r="V216" s="9"/>
    </row>
    <row r="217" spans="22:22" ht="12.75" customHeight="1" x14ac:dyDescent="0.2">
      <c r="V217" s="9"/>
    </row>
    <row r="218" spans="22:22" ht="12.75" customHeight="1" x14ac:dyDescent="0.2">
      <c r="V218" s="9"/>
    </row>
    <row r="219" spans="22:22" ht="12.75" customHeight="1" x14ac:dyDescent="0.2">
      <c r="V219" s="9"/>
    </row>
    <row r="220" spans="22:22" ht="12.75" customHeight="1" x14ac:dyDescent="0.2">
      <c r="V220" s="9"/>
    </row>
    <row r="221" spans="22:22" ht="12.75" customHeight="1" x14ac:dyDescent="0.2">
      <c r="V221" s="9"/>
    </row>
    <row r="222" spans="22:22" ht="12.75" customHeight="1" x14ac:dyDescent="0.2">
      <c r="V222" s="9"/>
    </row>
    <row r="223" spans="22:22" ht="12.75" customHeight="1" x14ac:dyDescent="0.2">
      <c r="V223" s="9"/>
    </row>
    <row r="224" spans="22:22" ht="12.75" customHeight="1" x14ac:dyDescent="0.2">
      <c r="V224" s="9"/>
    </row>
    <row r="225" spans="22:22" ht="12.75" customHeight="1" x14ac:dyDescent="0.2">
      <c r="V225" s="9"/>
    </row>
    <row r="226" spans="22:22" ht="12.75" customHeight="1" x14ac:dyDescent="0.2">
      <c r="V226" s="9"/>
    </row>
    <row r="227" spans="22:22" ht="12.75" customHeight="1" x14ac:dyDescent="0.2">
      <c r="V227" s="9"/>
    </row>
    <row r="228" spans="22:22" ht="12.75" customHeight="1" x14ac:dyDescent="0.2">
      <c r="V228" s="9"/>
    </row>
    <row r="229" spans="22:22" ht="12.75" customHeight="1" x14ac:dyDescent="0.2">
      <c r="V229" s="9"/>
    </row>
    <row r="230" spans="22:22" ht="12.75" customHeight="1" x14ac:dyDescent="0.2">
      <c r="V230" s="9"/>
    </row>
    <row r="231" spans="22:22" ht="12.75" customHeight="1" x14ac:dyDescent="0.2">
      <c r="V231" s="9"/>
    </row>
    <row r="232" spans="22:22" ht="12.75" customHeight="1" x14ac:dyDescent="0.2">
      <c r="V232" s="9"/>
    </row>
    <row r="233" spans="22:22" ht="12.75" customHeight="1" x14ac:dyDescent="0.2">
      <c r="V233" s="9"/>
    </row>
    <row r="234" spans="22:22" ht="12.75" customHeight="1" x14ac:dyDescent="0.2">
      <c r="V234" s="9"/>
    </row>
    <row r="235" spans="22:22" ht="12.75" customHeight="1" x14ac:dyDescent="0.2">
      <c r="V235" s="9"/>
    </row>
    <row r="236" spans="22:22" ht="12.75" customHeight="1" x14ac:dyDescent="0.2">
      <c r="V236" s="9"/>
    </row>
    <row r="237" spans="22:22" ht="12.75" customHeight="1" x14ac:dyDescent="0.2">
      <c r="V237" s="9"/>
    </row>
    <row r="238" spans="22:22" ht="12.75" customHeight="1" x14ac:dyDescent="0.2">
      <c r="V238" s="9"/>
    </row>
    <row r="239" spans="22:22" ht="12.75" customHeight="1" x14ac:dyDescent="0.2">
      <c r="V239" s="9"/>
    </row>
    <row r="240" spans="22:22" ht="12.75" customHeight="1" x14ac:dyDescent="0.2">
      <c r="V240" s="9"/>
    </row>
    <row r="241" spans="22:22" ht="12.75" customHeight="1" x14ac:dyDescent="0.2">
      <c r="V241" s="9"/>
    </row>
    <row r="242" spans="22:22" ht="12.75" customHeight="1" x14ac:dyDescent="0.2">
      <c r="V242" s="9"/>
    </row>
    <row r="243" spans="22:22" ht="12.75" customHeight="1" x14ac:dyDescent="0.2">
      <c r="V243" s="9"/>
    </row>
    <row r="244" spans="22:22" ht="12.75" customHeight="1" x14ac:dyDescent="0.2">
      <c r="V244" s="9"/>
    </row>
    <row r="245" spans="22:22" ht="12.75" customHeight="1" x14ac:dyDescent="0.2">
      <c r="V245" s="9"/>
    </row>
    <row r="246" spans="22:22" ht="12.75" customHeight="1" x14ac:dyDescent="0.2">
      <c r="V246" s="9"/>
    </row>
    <row r="247" spans="22:22" ht="12.75" customHeight="1" x14ac:dyDescent="0.2">
      <c r="V247" s="9"/>
    </row>
    <row r="248" spans="22:22" ht="12.75" customHeight="1" x14ac:dyDescent="0.2">
      <c r="V248" s="9"/>
    </row>
    <row r="249" spans="22:22" ht="12.75" customHeight="1" x14ac:dyDescent="0.2">
      <c r="V249" s="9"/>
    </row>
    <row r="250" spans="22:22" ht="12.75" customHeight="1" x14ac:dyDescent="0.2">
      <c r="V250" s="9"/>
    </row>
    <row r="251" spans="22:22" ht="12.75" customHeight="1" x14ac:dyDescent="0.2">
      <c r="V251" s="9"/>
    </row>
    <row r="252" spans="22:22" ht="12.75" customHeight="1" x14ac:dyDescent="0.2">
      <c r="V252" s="9"/>
    </row>
    <row r="253" spans="22:22" ht="12.75" customHeight="1" x14ac:dyDescent="0.2">
      <c r="V253" s="9"/>
    </row>
    <row r="254" spans="22:22" ht="12.75" customHeight="1" x14ac:dyDescent="0.2">
      <c r="V254" s="9"/>
    </row>
    <row r="255" spans="22:22" ht="12.75" customHeight="1" x14ac:dyDescent="0.2">
      <c r="V255" s="9"/>
    </row>
    <row r="256" spans="22:22" ht="12.75" customHeight="1" x14ac:dyDescent="0.2">
      <c r="V256" s="9"/>
    </row>
    <row r="257" spans="22:22" ht="12.75" customHeight="1" x14ac:dyDescent="0.2">
      <c r="V257" s="9"/>
    </row>
    <row r="258" spans="22:22" ht="12.75" customHeight="1" x14ac:dyDescent="0.2">
      <c r="V258" s="9"/>
    </row>
    <row r="259" spans="22:22" ht="12.75" customHeight="1" x14ac:dyDescent="0.2">
      <c r="V259" s="9"/>
    </row>
    <row r="260" spans="22:22" ht="12.75" customHeight="1" x14ac:dyDescent="0.2">
      <c r="V260" s="9"/>
    </row>
    <row r="261" spans="22:22" ht="12.75" customHeight="1" x14ac:dyDescent="0.2">
      <c r="V261" s="9"/>
    </row>
    <row r="262" spans="22:22" ht="12.75" customHeight="1" x14ac:dyDescent="0.2">
      <c r="V262" s="9"/>
    </row>
    <row r="263" spans="22:22" ht="12.75" customHeight="1" x14ac:dyDescent="0.2">
      <c r="V263" s="9"/>
    </row>
    <row r="264" spans="22:22" ht="12.75" customHeight="1" x14ac:dyDescent="0.2">
      <c r="V264" s="9"/>
    </row>
    <row r="265" spans="22:22" ht="12.75" customHeight="1" x14ac:dyDescent="0.2">
      <c r="V265" s="9"/>
    </row>
    <row r="266" spans="22:22" ht="12.75" customHeight="1" x14ac:dyDescent="0.2">
      <c r="V266" s="9"/>
    </row>
    <row r="267" spans="22:22" ht="12.75" customHeight="1" x14ac:dyDescent="0.2">
      <c r="V267" s="9"/>
    </row>
    <row r="268" spans="22:22" ht="12.75" customHeight="1" x14ac:dyDescent="0.2">
      <c r="V268" s="9"/>
    </row>
    <row r="269" spans="22:22" ht="12.75" customHeight="1" x14ac:dyDescent="0.2">
      <c r="V269" s="9"/>
    </row>
    <row r="270" spans="22:22" ht="12.75" customHeight="1" x14ac:dyDescent="0.2">
      <c r="V270" s="9"/>
    </row>
    <row r="271" spans="22:22" ht="12.75" customHeight="1" x14ac:dyDescent="0.2">
      <c r="V271" s="9"/>
    </row>
    <row r="272" spans="22:22" ht="12.75" customHeight="1" x14ac:dyDescent="0.2">
      <c r="V272" s="9"/>
    </row>
    <row r="273" spans="22:22" ht="12.75" customHeight="1" x14ac:dyDescent="0.2">
      <c r="V273" s="9"/>
    </row>
    <row r="274" spans="22:22" ht="12.75" customHeight="1" x14ac:dyDescent="0.2">
      <c r="V274" s="9"/>
    </row>
    <row r="275" spans="22:22" ht="12.75" customHeight="1" x14ac:dyDescent="0.2">
      <c r="V275" s="9"/>
    </row>
    <row r="276" spans="22:22" ht="12.75" customHeight="1" x14ac:dyDescent="0.2">
      <c r="V276" s="9"/>
    </row>
    <row r="277" spans="22:22" ht="12.75" customHeight="1" x14ac:dyDescent="0.2">
      <c r="V277" s="9"/>
    </row>
    <row r="278" spans="22:22" ht="12.75" customHeight="1" x14ac:dyDescent="0.2">
      <c r="V278" s="9"/>
    </row>
    <row r="279" spans="22:22" ht="12.75" customHeight="1" x14ac:dyDescent="0.2">
      <c r="V279" s="9"/>
    </row>
    <row r="280" spans="22:22" ht="12.75" customHeight="1" x14ac:dyDescent="0.2">
      <c r="V280" s="9"/>
    </row>
    <row r="281" spans="22:22" ht="12.75" customHeight="1" x14ac:dyDescent="0.2">
      <c r="V281" s="9"/>
    </row>
    <row r="282" spans="22:22" ht="12.75" customHeight="1" x14ac:dyDescent="0.2">
      <c r="V282" s="9"/>
    </row>
    <row r="283" spans="22:22" ht="12.75" customHeight="1" x14ac:dyDescent="0.2">
      <c r="V283" s="9"/>
    </row>
    <row r="284" spans="22:22" ht="12.75" customHeight="1" x14ac:dyDescent="0.2">
      <c r="V284" s="9"/>
    </row>
    <row r="285" spans="22:22" ht="12.75" customHeight="1" x14ac:dyDescent="0.2">
      <c r="V285" s="9"/>
    </row>
    <row r="286" spans="22:22" ht="12.75" customHeight="1" x14ac:dyDescent="0.2">
      <c r="V286" s="9"/>
    </row>
    <row r="287" spans="22:22" ht="12.75" customHeight="1" x14ac:dyDescent="0.2">
      <c r="V287" s="9"/>
    </row>
    <row r="288" spans="22:22" ht="12.75" customHeight="1" x14ac:dyDescent="0.2">
      <c r="V288" s="9"/>
    </row>
    <row r="289" spans="22:22" ht="12.75" customHeight="1" x14ac:dyDescent="0.2">
      <c r="V289" s="9"/>
    </row>
    <row r="290" spans="22:22" ht="12.75" customHeight="1" x14ac:dyDescent="0.2">
      <c r="V290" s="9"/>
    </row>
    <row r="291" spans="22:22" ht="12.75" customHeight="1" x14ac:dyDescent="0.2">
      <c r="V291" s="9"/>
    </row>
    <row r="292" spans="22:22" ht="12.75" customHeight="1" x14ac:dyDescent="0.2">
      <c r="V292" s="9"/>
    </row>
    <row r="293" spans="22:22" ht="12.75" customHeight="1" x14ac:dyDescent="0.2">
      <c r="V293" s="9"/>
    </row>
    <row r="294" spans="22:22" ht="12.75" customHeight="1" x14ac:dyDescent="0.2">
      <c r="V294" s="9"/>
    </row>
    <row r="295" spans="22:22" ht="12.75" customHeight="1" x14ac:dyDescent="0.2">
      <c r="V295" s="9"/>
    </row>
    <row r="296" spans="22:22" ht="12.75" customHeight="1" x14ac:dyDescent="0.2">
      <c r="V296" s="9"/>
    </row>
    <row r="297" spans="22:22" ht="12.75" customHeight="1" x14ac:dyDescent="0.2">
      <c r="V297" s="9"/>
    </row>
    <row r="298" spans="22:22" ht="12.75" customHeight="1" x14ac:dyDescent="0.2">
      <c r="V298" s="9"/>
    </row>
    <row r="299" spans="22:22" ht="12.75" customHeight="1" x14ac:dyDescent="0.2">
      <c r="V299" s="9"/>
    </row>
    <row r="300" spans="22:22" ht="12.75" customHeight="1" x14ac:dyDescent="0.2">
      <c r="V300" s="9"/>
    </row>
    <row r="301" spans="22:22" ht="12.75" customHeight="1" x14ac:dyDescent="0.2">
      <c r="V301" s="9"/>
    </row>
    <row r="302" spans="22:22" ht="12.75" customHeight="1" x14ac:dyDescent="0.2">
      <c r="V302" s="9"/>
    </row>
    <row r="303" spans="22:22" ht="12.75" customHeight="1" x14ac:dyDescent="0.2">
      <c r="V303" s="9"/>
    </row>
    <row r="304" spans="22:22" ht="12.75" customHeight="1" x14ac:dyDescent="0.2">
      <c r="V304" s="9"/>
    </row>
    <row r="305" spans="22:22" ht="12.75" customHeight="1" x14ac:dyDescent="0.2">
      <c r="V305" s="9"/>
    </row>
    <row r="306" spans="22:22" ht="12.75" customHeight="1" x14ac:dyDescent="0.2">
      <c r="V306" s="9"/>
    </row>
    <row r="307" spans="22:22" ht="12.75" customHeight="1" x14ac:dyDescent="0.2">
      <c r="V307" s="9"/>
    </row>
    <row r="308" spans="22:22" ht="12.75" customHeight="1" x14ac:dyDescent="0.2">
      <c r="V308" s="9"/>
    </row>
    <row r="309" spans="22:22" ht="12.75" customHeight="1" x14ac:dyDescent="0.2">
      <c r="V309" s="9"/>
    </row>
    <row r="310" spans="22:22" ht="12.75" customHeight="1" x14ac:dyDescent="0.2">
      <c r="V310" s="9"/>
    </row>
    <row r="311" spans="22:22" ht="12.75" customHeight="1" x14ac:dyDescent="0.2">
      <c r="V311" s="9"/>
    </row>
    <row r="312" spans="22:22" ht="12.75" customHeight="1" x14ac:dyDescent="0.2">
      <c r="V312" s="9"/>
    </row>
    <row r="313" spans="22:22" ht="12.75" customHeight="1" x14ac:dyDescent="0.2">
      <c r="V313" s="9"/>
    </row>
    <row r="314" spans="22:22" ht="12.75" customHeight="1" x14ac:dyDescent="0.2">
      <c r="V314" s="9"/>
    </row>
    <row r="315" spans="22:22" ht="12.75" customHeight="1" x14ac:dyDescent="0.2">
      <c r="V315" s="9"/>
    </row>
    <row r="316" spans="22:22" ht="12.75" customHeight="1" x14ac:dyDescent="0.2">
      <c r="V316" s="9"/>
    </row>
    <row r="317" spans="22:22" ht="12.75" customHeight="1" x14ac:dyDescent="0.2">
      <c r="V317" s="9"/>
    </row>
    <row r="318" spans="22:22" ht="12.75" customHeight="1" x14ac:dyDescent="0.2">
      <c r="V318" s="9"/>
    </row>
    <row r="319" spans="22:22" ht="12.75" customHeight="1" x14ac:dyDescent="0.2">
      <c r="V319" s="9"/>
    </row>
    <row r="320" spans="22:22" ht="12.75" customHeight="1" x14ac:dyDescent="0.2">
      <c r="V320" s="9"/>
    </row>
    <row r="321" spans="22:22" ht="12.75" customHeight="1" x14ac:dyDescent="0.2">
      <c r="V321" s="9"/>
    </row>
    <row r="322" spans="22:22" ht="12.75" customHeight="1" x14ac:dyDescent="0.2">
      <c r="V322" s="9"/>
    </row>
    <row r="323" spans="22:22" ht="12.75" customHeight="1" x14ac:dyDescent="0.2">
      <c r="V323" s="9"/>
    </row>
    <row r="324" spans="22:22" ht="12.75" customHeight="1" x14ac:dyDescent="0.2">
      <c r="V324" s="9"/>
    </row>
    <row r="325" spans="22:22" ht="12.75" customHeight="1" x14ac:dyDescent="0.2">
      <c r="V325" s="9"/>
    </row>
    <row r="326" spans="22:22" ht="12.75" customHeight="1" x14ac:dyDescent="0.2">
      <c r="V326" s="9"/>
    </row>
    <row r="327" spans="22:22" ht="12.75" customHeight="1" x14ac:dyDescent="0.2">
      <c r="V327" s="9"/>
    </row>
    <row r="328" spans="22:22" ht="12.75" customHeight="1" x14ac:dyDescent="0.2">
      <c r="V328" s="9"/>
    </row>
    <row r="329" spans="22:22" ht="12.75" customHeight="1" x14ac:dyDescent="0.2">
      <c r="V329" s="9"/>
    </row>
    <row r="330" spans="22:22" ht="12.75" customHeight="1" x14ac:dyDescent="0.2">
      <c r="V330" s="9"/>
    </row>
    <row r="331" spans="22:22" ht="12.75" customHeight="1" x14ac:dyDescent="0.2">
      <c r="V331" s="9"/>
    </row>
    <row r="332" spans="22:22" ht="12.75" customHeight="1" x14ac:dyDescent="0.2">
      <c r="V332" s="9"/>
    </row>
    <row r="333" spans="22:22" ht="12.75" customHeight="1" x14ac:dyDescent="0.2">
      <c r="V333" s="9"/>
    </row>
    <row r="334" spans="22:22" ht="12.75" customHeight="1" x14ac:dyDescent="0.2">
      <c r="V334" s="9"/>
    </row>
    <row r="335" spans="22:22" ht="12.75" customHeight="1" x14ac:dyDescent="0.2">
      <c r="V335" s="9"/>
    </row>
    <row r="336" spans="22:22" ht="12.75" customHeight="1" x14ac:dyDescent="0.2">
      <c r="V336" s="9"/>
    </row>
    <row r="337" spans="22:22" ht="12.75" customHeight="1" x14ac:dyDescent="0.2">
      <c r="V337" s="9"/>
    </row>
    <row r="338" spans="22:22" ht="12.75" customHeight="1" x14ac:dyDescent="0.2">
      <c r="V338" s="9"/>
    </row>
    <row r="339" spans="22:22" ht="12.75" customHeight="1" x14ac:dyDescent="0.2">
      <c r="V339" s="9"/>
    </row>
    <row r="340" spans="22:22" ht="12.75" customHeight="1" x14ac:dyDescent="0.2">
      <c r="V340" s="9"/>
    </row>
    <row r="341" spans="22:22" ht="12.75" customHeight="1" x14ac:dyDescent="0.2">
      <c r="V341" s="9"/>
    </row>
    <row r="342" spans="22:22" ht="12.75" customHeight="1" x14ac:dyDescent="0.2">
      <c r="V342" s="9"/>
    </row>
    <row r="343" spans="22:22" ht="12.75" customHeight="1" x14ac:dyDescent="0.2">
      <c r="V343" s="9"/>
    </row>
    <row r="344" spans="22:22" ht="12.75" customHeight="1" x14ac:dyDescent="0.2">
      <c r="V344" s="9"/>
    </row>
    <row r="345" spans="22:22" ht="12.75" customHeight="1" x14ac:dyDescent="0.2">
      <c r="V345" s="9"/>
    </row>
    <row r="346" spans="22:22" ht="12.75" customHeight="1" x14ac:dyDescent="0.2">
      <c r="V346" s="9"/>
    </row>
    <row r="347" spans="22:22" ht="12.75" customHeight="1" x14ac:dyDescent="0.2">
      <c r="V347" s="9"/>
    </row>
    <row r="348" spans="22:22" ht="12.75" customHeight="1" x14ac:dyDescent="0.2">
      <c r="V348" s="9"/>
    </row>
    <row r="349" spans="22:22" ht="12.75" customHeight="1" x14ac:dyDescent="0.2">
      <c r="V349" s="9"/>
    </row>
    <row r="350" spans="22:22" ht="12.75" customHeight="1" x14ac:dyDescent="0.2">
      <c r="V350" s="9"/>
    </row>
    <row r="351" spans="22:22" ht="12.75" customHeight="1" x14ac:dyDescent="0.2">
      <c r="V351" s="9"/>
    </row>
    <row r="352" spans="22:22" ht="12.75" customHeight="1" x14ac:dyDescent="0.2">
      <c r="V352" s="9"/>
    </row>
    <row r="353" spans="22:22" ht="12.75" customHeight="1" x14ac:dyDescent="0.2">
      <c r="V353" s="9"/>
    </row>
    <row r="354" spans="22:22" ht="12.75" customHeight="1" x14ac:dyDescent="0.2">
      <c r="V354" s="9"/>
    </row>
    <row r="355" spans="22:22" ht="12.75" customHeight="1" x14ac:dyDescent="0.2">
      <c r="V355" s="9"/>
    </row>
    <row r="356" spans="22:22" ht="12.75" customHeight="1" x14ac:dyDescent="0.2">
      <c r="V356" s="9"/>
    </row>
    <row r="357" spans="22:22" ht="12.75" customHeight="1" x14ac:dyDescent="0.2">
      <c r="V357" s="9"/>
    </row>
    <row r="358" spans="22:22" ht="12.75" customHeight="1" x14ac:dyDescent="0.2">
      <c r="V358" s="9"/>
    </row>
    <row r="359" spans="22:22" ht="12.75" customHeight="1" x14ac:dyDescent="0.2">
      <c r="V359" s="9"/>
    </row>
    <row r="360" spans="22:22" ht="12.75" customHeight="1" x14ac:dyDescent="0.2">
      <c r="V360" s="9"/>
    </row>
    <row r="361" spans="22:22" ht="12.75" customHeight="1" x14ac:dyDescent="0.2">
      <c r="V361" s="9"/>
    </row>
    <row r="362" spans="22:22" ht="12.75" customHeight="1" x14ac:dyDescent="0.2">
      <c r="V362" s="9"/>
    </row>
    <row r="363" spans="22:22" ht="12.75" customHeight="1" x14ac:dyDescent="0.2">
      <c r="V363" s="9"/>
    </row>
    <row r="364" spans="22:22" ht="12.75" customHeight="1" x14ac:dyDescent="0.2">
      <c r="V364" s="9"/>
    </row>
    <row r="365" spans="22:22" ht="12.75" customHeight="1" x14ac:dyDescent="0.2">
      <c r="V365" s="9"/>
    </row>
    <row r="366" spans="22:22" ht="12.75" customHeight="1" x14ac:dyDescent="0.2">
      <c r="V366" s="9"/>
    </row>
    <row r="367" spans="22:22" ht="12.75" customHeight="1" x14ac:dyDescent="0.2">
      <c r="V367" s="9"/>
    </row>
    <row r="368" spans="22:22" ht="12.75" customHeight="1" x14ac:dyDescent="0.2">
      <c r="V368" s="9"/>
    </row>
    <row r="369" spans="22:22" ht="12.75" customHeight="1" x14ac:dyDescent="0.2">
      <c r="V369" s="9"/>
    </row>
    <row r="370" spans="22:22" ht="12.75" customHeight="1" x14ac:dyDescent="0.2">
      <c r="V370" s="9"/>
    </row>
    <row r="371" spans="22:22" ht="12.75" customHeight="1" x14ac:dyDescent="0.2">
      <c r="V371" s="9"/>
    </row>
    <row r="372" spans="22:22" ht="12.75" customHeight="1" x14ac:dyDescent="0.2">
      <c r="V372" s="9"/>
    </row>
    <row r="373" spans="22:22" ht="12.75" customHeight="1" x14ac:dyDescent="0.2">
      <c r="V373" s="9"/>
    </row>
    <row r="374" spans="22:22" ht="12.75" customHeight="1" x14ac:dyDescent="0.2">
      <c r="V374" s="9"/>
    </row>
    <row r="375" spans="22:22" ht="12.75" customHeight="1" x14ac:dyDescent="0.2">
      <c r="V375" s="9"/>
    </row>
    <row r="376" spans="22:22" ht="12.75" customHeight="1" x14ac:dyDescent="0.2">
      <c r="V376" s="9"/>
    </row>
    <row r="377" spans="22:22" ht="12.75" customHeight="1" x14ac:dyDescent="0.2">
      <c r="V377" s="9"/>
    </row>
    <row r="378" spans="22:22" ht="12.75" customHeight="1" x14ac:dyDescent="0.2">
      <c r="V378" s="9"/>
    </row>
    <row r="379" spans="22:22" ht="12.75" customHeight="1" x14ac:dyDescent="0.2">
      <c r="V379" s="9"/>
    </row>
    <row r="380" spans="22:22" ht="12.75" customHeight="1" x14ac:dyDescent="0.2">
      <c r="V380" s="9"/>
    </row>
    <row r="381" spans="22:22" ht="12.75" customHeight="1" x14ac:dyDescent="0.2">
      <c r="V381" s="9"/>
    </row>
    <row r="382" spans="22:22" ht="12.75" customHeight="1" x14ac:dyDescent="0.2">
      <c r="V382" s="9"/>
    </row>
    <row r="383" spans="22:22" ht="12.75" customHeight="1" x14ac:dyDescent="0.2">
      <c r="V383" s="9"/>
    </row>
    <row r="384" spans="22:22" ht="12.75" customHeight="1" x14ac:dyDescent="0.2">
      <c r="V384" s="9"/>
    </row>
    <row r="385" spans="22:22" ht="12.75" customHeight="1" x14ac:dyDescent="0.2">
      <c r="V385" s="9"/>
    </row>
    <row r="386" spans="22:22" ht="12.75" customHeight="1" x14ac:dyDescent="0.2">
      <c r="V386" s="9"/>
    </row>
    <row r="387" spans="22:22" ht="12.75" customHeight="1" x14ac:dyDescent="0.2">
      <c r="V387" s="9"/>
    </row>
    <row r="388" spans="22:22" ht="12.75" customHeight="1" x14ac:dyDescent="0.2">
      <c r="V388" s="9"/>
    </row>
    <row r="389" spans="22:22" ht="12.75" customHeight="1" x14ac:dyDescent="0.2">
      <c r="V389" s="9"/>
    </row>
    <row r="390" spans="22:22" ht="12.75" customHeight="1" x14ac:dyDescent="0.2">
      <c r="V390" s="9"/>
    </row>
    <row r="391" spans="22:22" ht="12.75" customHeight="1" x14ac:dyDescent="0.2">
      <c r="V391" s="9"/>
    </row>
    <row r="392" spans="22:22" ht="12.75" customHeight="1" x14ac:dyDescent="0.2">
      <c r="V392" s="9"/>
    </row>
    <row r="393" spans="22:22" ht="12.75" customHeight="1" x14ac:dyDescent="0.2">
      <c r="V393" s="9"/>
    </row>
    <row r="394" spans="22:22" ht="12.75" customHeight="1" x14ac:dyDescent="0.2">
      <c r="V394" s="9"/>
    </row>
    <row r="395" spans="22:22" ht="12.75" customHeight="1" x14ac:dyDescent="0.2">
      <c r="V395" s="9"/>
    </row>
    <row r="396" spans="22:22" ht="12.75" customHeight="1" x14ac:dyDescent="0.2">
      <c r="V396" s="9"/>
    </row>
    <row r="397" spans="22:22" ht="12.75" customHeight="1" x14ac:dyDescent="0.2">
      <c r="V397" s="9"/>
    </row>
    <row r="398" spans="22:22" ht="12.75" customHeight="1" x14ac:dyDescent="0.2">
      <c r="V398" s="9"/>
    </row>
    <row r="399" spans="22:22" ht="12.75" customHeight="1" x14ac:dyDescent="0.2">
      <c r="V399" s="9"/>
    </row>
    <row r="400" spans="22:22" ht="12.75" customHeight="1" x14ac:dyDescent="0.2">
      <c r="V400" s="9"/>
    </row>
    <row r="401" spans="22:22" ht="12.75" customHeight="1" x14ac:dyDescent="0.2">
      <c r="V401" s="9"/>
    </row>
    <row r="402" spans="22:22" ht="12.75" customHeight="1" x14ac:dyDescent="0.2">
      <c r="V402" s="9"/>
    </row>
    <row r="403" spans="22:22" ht="12.75" customHeight="1" x14ac:dyDescent="0.2">
      <c r="V403" s="9"/>
    </row>
    <row r="404" spans="22:22" ht="12.75" customHeight="1" x14ac:dyDescent="0.2">
      <c r="V404" s="9"/>
    </row>
    <row r="405" spans="22:22" ht="12.75" customHeight="1" x14ac:dyDescent="0.2">
      <c r="V405" s="9"/>
    </row>
    <row r="406" spans="22:22" ht="12.75" customHeight="1" x14ac:dyDescent="0.2">
      <c r="V406" s="9"/>
    </row>
    <row r="407" spans="22:22" ht="12.75" customHeight="1" x14ac:dyDescent="0.2">
      <c r="V407" s="9"/>
    </row>
    <row r="408" spans="22:22" ht="12.75" customHeight="1" x14ac:dyDescent="0.2">
      <c r="V408" s="9"/>
    </row>
    <row r="409" spans="22:22" ht="12.75" customHeight="1" x14ac:dyDescent="0.2">
      <c r="V409" s="9"/>
    </row>
    <row r="410" spans="22:22" ht="12.75" customHeight="1" x14ac:dyDescent="0.2">
      <c r="V410" s="9"/>
    </row>
    <row r="411" spans="22:22" ht="12.75" customHeight="1" x14ac:dyDescent="0.2">
      <c r="V411" s="9"/>
    </row>
    <row r="412" spans="22:22" ht="12.75" customHeight="1" x14ac:dyDescent="0.2">
      <c r="V412" s="9"/>
    </row>
    <row r="413" spans="22:22" ht="12.75" customHeight="1" x14ac:dyDescent="0.2">
      <c r="V413" s="9"/>
    </row>
    <row r="414" spans="22:22" ht="12.75" customHeight="1" x14ac:dyDescent="0.2">
      <c r="V414" s="9"/>
    </row>
    <row r="415" spans="22:22" ht="12.75" customHeight="1" x14ac:dyDescent="0.2">
      <c r="V415" s="9"/>
    </row>
    <row r="416" spans="22:22" ht="12.75" customHeight="1" x14ac:dyDescent="0.2">
      <c r="V416" s="9"/>
    </row>
    <row r="417" spans="22:22" ht="12.75" customHeight="1" x14ac:dyDescent="0.2">
      <c r="V417" s="9"/>
    </row>
    <row r="418" spans="22:22" ht="12.75" customHeight="1" x14ac:dyDescent="0.2">
      <c r="V418" s="9"/>
    </row>
    <row r="419" spans="22:22" ht="12.75" customHeight="1" x14ac:dyDescent="0.2">
      <c r="V419" s="9"/>
    </row>
    <row r="420" spans="22:22" ht="12.75" customHeight="1" x14ac:dyDescent="0.2">
      <c r="V420" s="9"/>
    </row>
    <row r="421" spans="22:22" ht="12.75" customHeight="1" x14ac:dyDescent="0.2">
      <c r="V421" s="9"/>
    </row>
    <row r="422" spans="22:22" ht="12.75" customHeight="1" x14ac:dyDescent="0.2">
      <c r="V422" s="9"/>
    </row>
    <row r="423" spans="22:22" ht="12.75" customHeight="1" x14ac:dyDescent="0.2">
      <c r="V423" s="9"/>
    </row>
    <row r="424" spans="22:22" ht="12.75" customHeight="1" x14ac:dyDescent="0.2">
      <c r="V424" s="9"/>
    </row>
    <row r="425" spans="22:22" ht="12.75" customHeight="1" x14ac:dyDescent="0.2">
      <c r="V425" s="9"/>
    </row>
    <row r="426" spans="22:22" ht="12.75" customHeight="1" x14ac:dyDescent="0.2">
      <c r="V426" s="9"/>
    </row>
    <row r="427" spans="22:22" ht="12.75" customHeight="1" x14ac:dyDescent="0.2">
      <c r="V427" s="9"/>
    </row>
    <row r="428" spans="22:22" ht="12.75" customHeight="1" x14ac:dyDescent="0.2">
      <c r="V428" s="9"/>
    </row>
    <row r="429" spans="22:22" ht="12.75" customHeight="1" x14ac:dyDescent="0.2">
      <c r="V429" s="9"/>
    </row>
    <row r="430" spans="22:22" ht="12.75" customHeight="1" x14ac:dyDescent="0.2">
      <c r="V430" s="9"/>
    </row>
    <row r="431" spans="22:22" ht="12.75" customHeight="1" x14ac:dyDescent="0.2">
      <c r="V431" s="9"/>
    </row>
    <row r="432" spans="22:22" ht="12.75" customHeight="1" x14ac:dyDescent="0.2">
      <c r="V432" s="9"/>
    </row>
    <row r="433" spans="22:22" ht="12.75" customHeight="1" x14ac:dyDescent="0.2">
      <c r="V433" s="9"/>
    </row>
    <row r="434" spans="22:22" ht="12.75" customHeight="1" x14ac:dyDescent="0.2">
      <c r="V434" s="9"/>
    </row>
    <row r="435" spans="22:22" ht="12.75" customHeight="1" x14ac:dyDescent="0.2">
      <c r="V435" s="9"/>
    </row>
    <row r="436" spans="22:22" ht="12.75" customHeight="1" x14ac:dyDescent="0.2">
      <c r="V436" s="9"/>
    </row>
    <row r="437" spans="22:22" ht="12.75" customHeight="1" x14ac:dyDescent="0.2">
      <c r="V437" s="9"/>
    </row>
    <row r="438" spans="22:22" ht="12.75" customHeight="1" x14ac:dyDescent="0.2">
      <c r="V438" s="9"/>
    </row>
    <row r="439" spans="22:22" ht="12.75" customHeight="1" x14ac:dyDescent="0.2">
      <c r="V439" s="9"/>
    </row>
    <row r="440" spans="22:22" ht="12.75" customHeight="1" x14ac:dyDescent="0.2">
      <c r="V440" s="9"/>
    </row>
    <row r="441" spans="22:22" ht="12.75" customHeight="1" x14ac:dyDescent="0.2">
      <c r="V441" s="9"/>
    </row>
    <row r="442" spans="22:22" ht="12.75" customHeight="1" x14ac:dyDescent="0.2">
      <c r="V442" s="9"/>
    </row>
    <row r="443" spans="22:22" ht="12.75" customHeight="1" x14ac:dyDescent="0.2">
      <c r="V443" s="9"/>
    </row>
    <row r="444" spans="22:22" ht="12.75" customHeight="1" x14ac:dyDescent="0.2">
      <c r="V444" s="9"/>
    </row>
    <row r="445" spans="22:22" ht="12.75" customHeight="1" x14ac:dyDescent="0.2">
      <c r="V445" s="9"/>
    </row>
    <row r="446" spans="22:22" ht="12.75" customHeight="1" x14ac:dyDescent="0.2">
      <c r="V446" s="9"/>
    </row>
    <row r="447" spans="22:22" ht="12.75" customHeight="1" x14ac:dyDescent="0.2">
      <c r="V447" s="9"/>
    </row>
    <row r="448" spans="22:22" ht="12.75" customHeight="1" x14ac:dyDescent="0.2">
      <c r="V448" s="9"/>
    </row>
    <row r="449" spans="22:22" ht="12.75" customHeight="1" x14ac:dyDescent="0.2">
      <c r="V449" s="9"/>
    </row>
    <row r="450" spans="22:22" ht="12.75" customHeight="1" x14ac:dyDescent="0.2">
      <c r="V450" s="9"/>
    </row>
    <row r="451" spans="22:22" ht="12.75" customHeight="1" x14ac:dyDescent="0.2">
      <c r="V451" s="9"/>
    </row>
    <row r="452" spans="22:22" ht="12.75" customHeight="1" x14ac:dyDescent="0.2">
      <c r="V452" s="9"/>
    </row>
    <row r="453" spans="22:22" ht="12.75" customHeight="1" x14ac:dyDescent="0.2">
      <c r="V453" s="9"/>
    </row>
    <row r="454" spans="22:22" ht="12.75" customHeight="1" x14ac:dyDescent="0.2">
      <c r="V454" s="9"/>
    </row>
    <row r="455" spans="22:22" ht="12.75" customHeight="1" x14ac:dyDescent="0.2">
      <c r="V455" s="9"/>
    </row>
    <row r="456" spans="22:22" ht="12.75" customHeight="1" x14ac:dyDescent="0.2">
      <c r="V456" s="9"/>
    </row>
    <row r="457" spans="22:22" ht="12.75" customHeight="1" x14ac:dyDescent="0.2">
      <c r="V457" s="9"/>
    </row>
    <row r="458" spans="22:22" ht="12.75" customHeight="1" x14ac:dyDescent="0.2">
      <c r="V458" s="9"/>
    </row>
    <row r="459" spans="22:22" ht="12.75" customHeight="1" x14ac:dyDescent="0.2">
      <c r="V459" s="9"/>
    </row>
    <row r="460" spans="22:22" ht="12.75" customHeight="1" x14ac:dyDescent="0.2">
      <c r="V460" s="9"/>
    </row>
    <row r="461" spans="22:22" ht="12.75" customHeight="1" x14ac:dyDescent="0.2">
      <c r="V461" s="9"/>
    </row>
    <row r="462" spans="22:22" ht="12.75" customHeight="1" x14ac:dyDescent="0.2">
      <c r="V462" s="9"/>
    </row>
    <row r="463" spans="22:22" ht="12.75" customHeight="1" x14ac:dyDescent="0.2">
      <c r="V463" s="9"/>
    </row>
    <row r="464" spans="22:22" ht="12.75" customHeight="1" x14ac:dyDescent="0.2">
      <c r="V464" s="9"/>
    </row>
    <row r="465" spans="22:22" ht="12.75" customHeight="1" x14ac:dyDescent="0.2">
      <c r="V465" s="9"/>
    </row>
    <row r="466" spans="22:22" ht="12.75" customHeight="1" x14ac:dyDescent="0.2">
      <c r="V466" s="9"/>
    </row>
    <row r="467" spans="22:22" ht="12.75" customHeight="1" x14ac:dyDescent="0.2">
      <c r="V467" s="9"/>
    </row>
    <row r="468" spans="22:22" ht="12.75" customHeight="1" x14ac:dyDescent="0.2">
      <c r="V468" s="9"/>
    </row>
    <row r="469" spans="22:22" ht="12.75" customHeight="1" x14ac:dyDescent="0.2">
      <c r="V469" s="9"/>
    </row>
    <row r="470" spans="22:22" ht="12.75" customHeight="1" x14ac:dyDescent="0.2">
      <c r="V470" s="9"/>
    </row>
    <row r="471" spans="22:22" ht="12.75" customHeight="1" x14ac:dyDescent="0.2">
      <c r="V471" s="9"/>
    </row>
    <row r="472" spans="22:22" ht="12.75" customHeight="1" x14ac:dyDescent="0.2">
      <c r="V472" s="9"/>
    </row>
    <row r="473" spans="22:22" ht="12.75" customHeight="1" x14ac:dyDescent="0.2">
      <c r="V473" s="9"/>
    </row>
    <row r="474" spans="22:22" ht="12.75" customHeight="1" x14ac:dyDescent="0.2">
      <c r="V474" s="9"/>
    </row>
    <row r="475" spans="22:22" ht="12.75" customHeight="1" x14ac:dyDescent="0.2">
      <c r="V475" s="9"/>
    </row>
    <row r="476" spans="22:22" ht="12.75" customHeight="1" x14ac:dyDescent="0.2">
      <c r="V476" s="9"/>
    </row>
    <row r="477" spans="22:22" ht="12.75" customHeight="1" x14ac:dyDescent="0.2">
      <c r="V477" s="9"/>
    </row>
    <row r="478" spans="22:22" ht="12.75" customHeight="1" x14ac:dyDescent="0.2">
      <c r="V478" s="9"/>
    </row>
    <row r="479" spans="22:22" ht="12.75" customHeight="1" x14ac:dyDescent="0.2">
      <c r="V479" s="9"/>
    </row>
    <row r="480" spans="22:22" ht="12.75" customHeight="1" x14ac:dyDescent="0.2">
      <c r="V480" s="9"/>
    </row>
    <row r="481" spans="22:22" ht="12.75" customHeight="1" x14ac:dyDescent="0.2">
      <c r="V481" s="9"/>
    </row>
    <row r="482" spans="22:22" ht="12.75" customHeight="1" x14ac:dyDescent="0.2">
      <c r="V482" s="9"/>
    </row>
    <row r="483" spans="22:22" ht="12.75" customHeight="1" x14ac:dyDescent="0.2">
      <c r="V483" s="9"/>
    </row>
    <row r="484" spans="22:22" ht="12.75" customHeight="1" x14ac:dyDescent="0.2">
      <c r="V484" s="9"/>
    </row>
    <row r="485" spans="22:22" ht="12.75" customHeight="1" x14ac:dyDescent="0.2">
      <c r="V485" s="9"/>
    </row>
    <row r="486" spans="22:22" ht="12.75" customHeight="1" x14ac:dyDescent="0.2">
      <c r="V486" s="9"/>
    </row>
    <row r="487" spans="22:22" ht="12.75" customHeight="1" x14ac:dyDescent="0.2">
      <c r="V487" s="9"/>
    </row>
    <row r="488" spans="22:22" ht="12.75" customHeight="1" x14ac:dyDescent="0.2">
      <c r="V488" s="9"/>
    </row>
    <row r="489" spans="22:22" ht="12.75" customHeight="1" x14ac:dyDescent="0.2">
      <c r="V489" s="9"/>
    </row>
    <row r="490" spans="22:22" ht="12.75" customHeight="1" x14ac:dyDescent="0.2">
      <c r="V490" s="9"/>
    </row>
    <row r="491" spans="22:22" ht="12.75" customHeight="1" x14ac:dyDescent="0.2">
      <c r="V491" s="9"/>
    </row>
    <row r="492" spans="22:22" ht="12.75" customHeight="1" x14ac:dyDescent="0.2">
      <c r="V492" s="9"/>
    </row>
    <row r="493" spans="22:22" ht="12.75" customHeight="1" x14ac:dyDescent="0.2">
      <c r="V493" s="9"/>
    </row>
    <row r="494" spans="22:22" ht="12.75" customHeight="1" x14ac:dyDescent="0.2">
      <c r="V494" s="9"/>
    </row>
    <row r="495" spans="22:22" ht="12.75" customHeight="1" x14ac:dyDescent="0.2">
      <c r="V495" s="9"/>
    </row>
    <row r="496" spans="22:22" ht="12.75" customHeight="1" x14ac:dyDescent="0.2">
      <c r="V496" s="9"/>
    </row>
    <row r="497" spans="22:22" ht="12.75" customHeight="1" x14ac:dyDescent="0.2">
      <c r="V497" s="9"/>
    </row>
    <row r="498" spans="22:22" ht="12.75" customHeight="1" x14ac:dyDescent="0.2">
      <c r="V498" s="9"/>
    </row>
    <row r="499" spans="22:22" ht="12.75" customHeight="1" x14ac:dyDescent="0.2">
      <c r="V499" s="9"/>
    </row>
    <row r="500" spans="22:22" ht="12.75" customHeight="1" x14ac:dyDescent="0.2">
      <c r="V500" s="9"/>
    </row>
    <row r="501" spans="22:22" ht="12.75" customHeight="1" x14ac:dyDescent="0.2">
      <c r="V501" s="9"/>
    </row>
    <row r="502" spans="22:22" ht="12.75" customHeight="1" x14ac:dyDescent="0.2">
      <c r="V502" s="9"/>
    </row>
    <row r="503" spans="22:22" ht="12.75" customHeight="1" x14ac:dyDescent="0.2">
      <c r="V503" s="9"/>
    </row>
    <row r="504" spans="22:22" ht="12.75" customHeight="1" x14ac:dyDescent="0.2">
      <c r="V504" s="9"/>
    </row>
    <row r="505" spans="22:22" ht="12.75" customHeight="1" x14ac:dyDescent="0.2">
      <c r="V505" s="9"/>
    </row>
    <row r="506" spans="22:22" ht="12.75" customHeight="1" x14ac:dyDescent="0.2">
      <c r="V506" s="9"/>
    </row>
    <row r="507" spans="22:22" ht="12.75" customHeight="1" x14ac:dyDescent="0.2">
      <c r="V507" s="9"/>
    </row>
    <row r="508" spans="22:22" ht="12.75" customHeight="1" x14ac:dyDescent="0.2">
      <c r="V508" s="9"/>
    </row>
    <row r="509" spans="22:22" ht="12.75" customHeight="1" x14ac:dyDescent="0.2">
      <c r="V509" s="9"/>
    </row>
    <row r="510" spans="22:22" ht="12.75" customHeight="1" x14ac:dyDescent="0.2">
      <c r="V510" s="9"/>
    </row>
    <row r="511" spans="22:22" ht="12.75" customHeight="1" x14ac:dyDescent="0.2">
      <c r="V511" s="9"/>
    </row>
    <row r="512" spans="22:22" ht="12.75" customHeight="1" x14ac:dyDescent="0.2">
      <c r="V512" s="9"/>
    </row>
    <row r="513" spans="22:22" ht="12.75" customHeight="1" x14ac:dyDescent="0.2">
      <c r="V513" s="9"/>
    </row>
    <row r="514" spans="22:22" ht="12.75" customHeight="1" x14ac:dyDescent="0.2">
      <c r="V514" s="9"/>
    </row>
    <row r="515" spans="22:22" ht="12.75" customHeight="1" x14ac:dyDescent="0.2">
      <c r="V515" s="9"/>
    </row>
    <row r="516" spans="22:22" ht="12.75" customHeight="1" x14ac:dyDescent="0.2">
      <c r="V516" s="9"/>
    </row>
    <row r="517" spans="22:22" ht="12.75" customHeight="1" x14ac:dyDescent="0.2">
      <c r="V517" s="9"/>
    </row>
    <row r="518" spans="22:22" ht="12.75" customHeight="1" x14ac:dyDescent="0.2">
      <c r="V518" s="9"/>
    </row>
    <row r="519" spans="22:22" ht="12.75" customHeight="1" x14ac:dyDescent="0.2">
      <c r="V519" s="9"/>
    </row>
    <row r="520" spans="22:22" ht="12.75" customHeight="1" x14ac:dyDescent="0.2">
      <c r="V520" s="9"/>
    </row>
    <row r="521" spans="22:22" ht="12.75" customHeight="1" x14ac:dyDescent="0.2">
      <c r="V521" s="9"/>
    </row>
    <row r="522" spans="22:22" ht="12.75" customHeight="1" x14ac:dyDescent="0.2">
      <c r="V522" s="9"/>
    </row>
    <row r="523" spans="22:22" ht="12.75" customHeight="1" x14ac:dyDescent="0.2">
      <c r="V523" s="9"/>
    </row>
    <row r="524" spans="22:22" ht="12.75" customHeight="1" x14ac:dyDescent="0.2">
      <c r="V524" s="9"/>
    </row>
    <row r="525" spans="22:22" ht="12.75" customHeight="1" x14ac:dyDescent="0.2">
      <c r="V525" s="9"/>
    </row>
    <row r="526" spans="22:22" ht="12.75" customHeight="1" x14ac:dyDescent="0.2">
      <c r="V526" s="9"/>
    </row>
    <row r="527" spans="22:22" ht="12.75" customHeight="1" x14ac:dyDescent="0.2">
      <c r="V527" s="9"/>
    </row>
    <row r="528" spans="22:22" ht="12.75" customHeight="1" x14ac:dyDescent="0.2">
      <c r="V528" s="9"/>
    </row>
    <row r="529" spans="22:22" ht="12.75" customHeight="1" x14ac:dyDescent="0.2">
      <c r="V529" s="9"/>
    </row>
    <row r="530" spans="22:22" ht="12.75" customHeight="1" x14ac:dyDescent="0.2">
      <c r="V530" s="9"/>
    </row>
    <row r="531" spans="22:22" ht="12.75" customHeight="1" x14ac:dyDescent="0.2">
      <c r="V531" s="9"/>
    </row>
    <row r="532" spans="22:22" ht="12.75" customHeight="1" x14ac:dyDescent="0.2">
      <c r="V532" s="9"/>
    </row>
    <row r="533" spans="22:22" ht="12.75" customHeight="1" x14ac:dyDescent="0.2">
      <c r="V533" s="9"/>
    </row>
    <row r="534" spans="22:22" ht="12.75" customHeight="1" x14ac:dyDescent="0.2">
      <c r="V534" s="9"/>
    </row>
    <row r="535" spans="22:22" ht="12.75" customHeight="1" x14ac:dyDescent="0.2">
      <c r="V535" s="9"/>
    </row>
    <row r="536" spans="22:22" ht="12.75" customHeight="1" x14ac:dyDescent="0.2">
      <c r="V536" s="9"/>
    </row>
    <row r="537" spans="22:22" ht="12.75" customHeight="1" x14ac:dyDescent="0.2">
      <c r="V537" s="9"/>
    </row>
    <row r="538" spans="22:22" ht="12.75" customHeight="1" x14ac:dyDescent="0.2">
      <c r="V538" s="9"/>
    </row>
    <row r="539" spans="22:22" ht="12.75" customHeight="1" x14ac:dyDescent="0.2">
      <c r="V539" s="9"/>
    </row>
    <row r="540" spans="22:22" ht="12.75" customHeight="1" x14ac:dyDescent="0.2">
      <c r="V540" s="9"/>
    </row>
    <row r="541" spans="22:22" ht="12.75" customHeight="1" x14ac:dyDescent="0.2">
      <c r="V541" s="9"/>
    </row>
    <row r="542" spans="22:22" ht="12.75" customHeight="1" x14ac:dyDescent="0.2">
      <c r="V542" s="9"/>
    </row>
    <row r="543" spans="22:22" ht="12.75" customHeight="1" x14ac:dyDescent="0.2">
      <c r="V543" s="9"/>
    </row>
    <row r="544" spans="22:22" ht="12.75" customHeight="1" x14ac:dyDescent="0.2">
      <c r="V544" s="9"/>
    </row>
    <row r="545" spans="22:22" ht="12.75" customHeight="1" x14ac:dyDescent="0.2">
      <c r="V545" s="9"/>
    </row>
    <row r="546" spans="22:22" ht="12.75" customHeight="1" x14ac:dyDescent="0.2">
      <c r="V546" s="9"/>
    </row>
    <row r="547" spans="22:22" ht="12.75" customHeight="1" x14ac:dyDescent="0.2">
      <c r="V547" s="9"/>
    </row>
    <row r="548" spans="22:22" ht="12.75" customHeight="1" x14ac:dyDescent="0.2">
      <c r="V548" s="9"/>
    </row>
    <row r="549" spans="22:22" ht="12.75" customHeight="1" x14ac:dyDescent="0.2">
      <c r="V549" s="9"/>
    </row>
    <row r="550" spans="22:22" ht="12.75" customHeight="1" x14ac:dyDescent="0.2">
      <c r="V550" s="9"/>
    </row>
    <row r="551" spans="22:22" ht="12.75" customHeight="1" x14ac:dyDescent="0.2">
      <c r="V551" s="9"/>
    </row>
    <row r="552" spans="22:22" ht="12.75" customHeight="1" x14ac:dyDescent="0.2">
      <c r="V552" s="9"/>
    </row>
    <row r="553" spans="22:22" ht="12.75" customHeight="1" x14ac:dyDescent="0.2">
      <c r="V553" s="9"/>
    </row>
    <row r="554" spans="22:22" ht="12.75" customHeight="1" x14ac:dyDescent="0.2">
      <c r="V554" s="9"/>
    </row>
    <row r="555" spans="22:22" ht="12.75" customHeight="1" x14ac:dyDescent="0.2">
      <c r="V555" s="9"/>
    </row>
    <row r="556" spans="22:22" ht="12.75" customHeight="1" x14ac:dyDescent="0.2">
      <c r="V556" s="9"/>
    </row>
    <row r="557" spans="22:22" ht="12.75" customHeight="1" x14ac:dyDescent="0.2">
      <c r="V557" s="9"/>
    </row>
    <row r="558" spans="22:22" ht="12.75" customHeight="1" x14ac:dyDescent="0.2">
      <c r="V558" s="9"/>
    </row>
    <row r="559" spans="22:22" ht="12.75" customHeight="1" x14ac:dyDescent="0.2">
      <c r="V559" s="9"/>
    </row>
    <row r="560" spans="22:22" ht="12.75" customHeight="1" x14ac:dyDescent="0.2">
      <c r="V560" s="9"/>
    </row>
    <row r="561" spans="22:22" ht="12.75" customHeight="1" x14ac:dyDescent="0.2">
      <c r="V561" s="9"/>
    </row>
    <row r="562" spans="22:22" ht="12.75" customHeight="1" x14ac:dyDescent="0.2">
      <c r="V562" s="9"/>
    </row>
    <row r="563" spans="22:22" ht="12.75" customHeight="1" x14ac:dyDescent="0.2">
      <c r="V563" s="9"/>
    </row>
    <row r="564" spans="22:22" ht="12.75" customHeight="1" x14ac:dyDescent="0.2">
      <c r="V564" s="9"/>
    </row>
    <row r="565" spans="22:22" ht="12.75" customHeight="1" x14ac:dyDescent="0.2">
      <c r="V565" s="9"/>
    </row>
    <row r="566" spans="22:22" ht="12.75" customHeight="1" x14ac:dyDescent="0.2">
      <c r="V566" s="9"/>
    </row>
    <row r="567" spans="22:22" ht="12.75" customHeight="1" x14ac:dyDescent="0.2">
      <c r="V567" s="9"/>
    </row>
    <row r="568" spans="22:22" ht="12.75" customHeight="1" x14ac:dyDescent="0.2">
      <c r="V568" s="9"/>
    </row>
    <row r="569" spans="22:22" ht="12.75" customHeight="1" x14ac:dyDescent="0.2">
      <c r="V569" s="9"/>
    </row>
    <row r="570" spans="22:22" ht="12.75" customHeight="1" x14ac:dyDescent="0.2">
      <c r="V570" s="9"/>
    </row>
    <row r="571" spans="22:22" ht="12.75" customHeight="1" x14ac:dyDescent="0.2">
      <c r="V571" s="9"/>
    </row>
    <row r="572" spans="22:22" ht="12.75" customHeight="1" x14ac:dyDescent="0.2">
      <c r="V572" s="9"/>
    </row>
    <row r="573" spans="22:22" ht="12.75" customHeight="1" x14ac:dyDescent="0.2">
      <c r="V573" s="9"/>
    </row>
    <row r="574" spans="22:22" ht="12.75" customHeight="1" x14ac:dyDescent="0.2">
      <c r="V574" s="9"/>
    </row>
    <row r="575" spans="22:22" ht="12.75" customHeight="1" x14ac:dyDescent="0.2">
      <c r="V575" s="9"/>
    </row>
    <row r="576" spans="22:22" ht="12.75" customHeight="1" x14ac:dyDescent="0.2">
      <c r="V576" s="9"/>
    </row>
    <row r="577" spans="22:22" ht="12.75" customHeight="1" x14ac:dyDescent="0.2">
      <c r="V577" s="9"/>
    </row>
    <row r="578" spans="22:22" ht="12.75" customHeight="1" x14ac:dyDescent="0.2">
      <c r="V578" s="9"/>
    </row>
    <row r="579" spans="22:22" ht="12.75" customHeight="1" x14ac:dyDescent="0.2">
      <c r="V579" s="9"/>
    </row>
    <row r="580" spans="22:22" ht="12.75" customHeight="1" x14ac:dyDescent="0.2">
      <c r="V580" s="9"/>
    </row>
    <row r="581" spans="22:22" ht="12.75" customHeight="1" x14ac:dyDescent="0.2">
      <c r="V581" s="9"/>
    </row>
    <row r="582" spans="22:22" ht="12.75" customHeight="1" x14ac:dyDescent="0.2">
      <c r="V582" s="9"/>
    </row>
    <row r="583" spans="22:22" ht="12.75" customHeight="1" x14ac:dyDescent="0.2">
      <c r="V583" s="9"/>
    </row>
    <row r="584" spans="22:22" ht="12.75" customHeight="1" x14ac:dyDescent="0.2">
      <c r="V584" s="9"/>
    </row>
    <row r="585" spans="22:22" ht="12.75" customHeight="1" x14ac:dyDescent="0.2">
      <c r="V585" s="9"/>
    </row>
    <row r="586" spans="22:22" ht="12.75" customHeight="1" x14ac:dyDescent="0.2">
      <c r="V586" s="9"/>
    </row>
    <row r="587" spans="22:22" ht="12.75" customHeight="1" x14ac:dyDescent="0.2">
      <c r="V587" s="9"/>
    </row>
    <row r="588" spans="22:22" ht="12.75" customHeight="1" x14ac:dyDescent="0.2">
      <c r="V588" s="9"/>
    </row>
    <row r="589" spans="22:22" ht="12.75" customHeight="1" x14ac:dyDescent="0.2">
      <c r="V589" s="9"/>
    </row>
    <row r="590" spans="22:22" ht="12.75" customHeight="1" x14ac:dyDescent="0.2">
      <c r="V590" s="9"/>
    </row>
    <row r="591" spans="22:22" ht="12.75" customHeight="1" x14ac:dyDescent="0.2">
      <c r="V591" s="9"/>
    </row>
    <row r="592" spans="22:22" ht="12.75" customHeight="1" x14ac:dyDescent="0.2">
      <c r="V592" s="9"/>
    </row>
    <row r="593" spans="22:22" ht="12.75" customHeight="1" x14ac:dyDescent="0.2">
      <c r="V593" s="9"/>
    </row>
    <row r="594" spans="22:22" ht="12.75" customHeight="1" x14ac:dyDescent="0.2">
      <c r="V594" s="9"/>
    </row>
    <row r="595" spans="22:22" ht="12.75" customHeight="1" x14ac:dyDescent="0.2">
      <c r="V595" s="9"/>
    </row>
    <row r="596" spans="22:22" ht="12.75" customHeight="1" x14ac:dyDescent="0.2">
      <c r="V596" s="9"/>
    </row>
    <row r="597" spans="22:22" ht="12.75" customHeight="1" x14ac:dyDescent="0.2">
      <c r="V597" s="9"/>
    </row>
    <row r="598" spans="22:22" ht="12.75" customHeight="1" x14ac:dyDescent="0.2">
      <c r="V598" s="9"/>
    </row>
    <row r="599" spans="22:22" ht="12.75" customHeight="1" x14ac:dyDescent="0.2">
      <c r="V599" s="9"/>
    </row>
    <row r="600" spans="22:22" ht="12.75" customHeight="1" x14ac:dyDescent="0.2">
      <c r="V600" s="9"/>
    </row>
    <row r="601" spans="22:22" ht="12.75" customHeight="1" x14ac:dyDescent="0.2">
      <c r="V601" s="9"/>
    </row>
    <row r="602" spans="22:22" ht="12.75" customHeight="1" x14ac:dyDescent="0.2">
      <c r="V602" s="9"/>
    </row>
    <row r="603" spans="22:22" ht="12.75" customHeight="1" x14ac:dyDescent="0.2">
      <c r="V603" s="9"/>
    </row>
    <row r="604" spans="22:22" ht="12.75" customHeight="1" x14ac:dyDescent="0.2">
      <c r="V604" s="9"/>
    </row>
    <row r="605" spans="22:22" ht="12.75" customHeight="1" x14ac:dyDescent="0.2">
      <c r="V605" s="9"/>
    </row>
    <row r="606" spans="22:22" ht="12.75" customHeight="1" x14ac:dyDescent="0.2">
      <c r="V606" s="9"/>
    </row>
    <row r="607" spans="22:22" ht="12.75" customHeight="1" x14ac:dyDescent="0.2">
      <c r="V607" s="9"/>
    </row>
    <row r="608" spans="22:22" ht="12.75" customHeight="1" x14ac:dyDescent="0.2">
      <c r="V608" s="9"/>
    </row>
    <row r="609" spans="22:22" ht="12.75" customHeight="1" x14ac:dyDescent="0.2">
      <c r="V609" s="9"/>
    </row>
    <row r="610" spans="22:22" ht="12.75" customHeight="1" x14ac:dyDescent="0.2">
      <c r="V610" s="9"/>
    </row>
    <row r="611" spans="22:22" ht="12.75" customHeight="1" x14ac:dyDescent="0.2">
      <c r="V611" s="9"/>
    </row>
    <row r="612" spans="22:22" ht="12.75" customHeight="1" x14ac:dyDescent="0.2">
      <c r="V612" s="9"/>
    </row>
    <row r="613" spans="22:22" ht="12.75" customHeight="1" x14ac:dyDescent="0.2">
      <c r="V613" s="9"/>
    </row>
    <row r="614" spans="22:22" ht="12.75" customHeight="1" x14ac:dyDescent="0.2">
      <c r="V614" s="9"/>
    </row>
    <row r="615" spans="22:22" ht="12.75" customHeight="1" x14ac:dyDescent="0.2">
      <c r="V615" s="9"/>
    </row>
    <row r="616" spans="22:22" ht="12.75" customHeight="1" x14ac:dyDescent="0.2">
      <c r="V616" s="9"/>
    </row>
    <row r="617" spans="22:22" ht="12.75" customHeight="1" x14ac:dyDescent="0.2">
      <c r="V617" s="9"/>
    </row>
    <row r="618" spans="22:22" ht="12.75" customHeight="1" x14ac:dyDescent="0.2">
      <c r="V618" s="9"/>
    </row>
    <row r="619" spans="22:22" ht="12.75" customHeight="1" x14ac:dyDescent="0.2">
      <c r="V619" s="9"/>
    </row>
    <row r="620" spans="22:22" ht="12.75" customHeight="1" x14ac:dyDescent="0.2">
      <c r="V620" s="9"/>
    </row>
    <row r="621" spans="22:22" ht="12.75" customHeight="1" x14ac:dyDescent="0.2">
      <c r="V621" s="9"/>
    </row>
    <row r="622" spans="22:22" ht="12.75" customHeight="1" x14ac:dyDescent="0.2">
      <c r="V622" s="9"/>
    </row>
    <row r="623" spans="22:22" ht="12.75" customHeight="1" x14ac:dyDescent="0.2">
      <c r="V623" s="9"/>
    </row>
    <row r="624" spans="22:22" ht="12.75" customHeight="1" x14ac:dyDescent="0.2">
      <c r="V624" s="9"/>
    </row>
    <row r="625" spans="22:22" ht="12.75" customHeight="1" x14ac:dyDescent="0.2">
      <c r="V625" s="9"/>
    </row>
    <row r="626" spans="22:22" ht="12.75" customHeight="1" x14ac:dyDescent="0.2">
      <c r="V626" s="9"/>
    </row>
    <row r="627" spans="22:22" ht="12.75" customHeight="1" x14ac:dyDescent="0.2">
      <c r="V627" s="9"/>
    </row>
    <row r="628" spans="22:22" ht="12.75" customHeight="1" x14ac:dyDescent="0.2">
      <c r="V628" s="9"/>
    </row>
    <row r="629" spans="22:22" ht="12.75" customHeight="1" x14ac:dyDescent="0.2">
      <c r="V629" s="9"/>
    </row>
    <row r="630" spans="22:22" ht="12.75" customHeight="1" x14ac:dyDescent="0.2">
      <c r="V630" s="9"/>
    </row>
    <row r="631" spans="22:22" ht="12.75" customHeight="1" x14ac:dyDescent="0.2">
      <c r="V631" s="9"/>
    </row>
    <row r="632" spans="22:22" ht="12.75" customHeight="1" x14ac:dyDescent="0.2">
      <c r="V632" s="9"/>
    </row>
    <row r="633" spans="22:22" ht="12.75" customHeight="1" x14ac:dyDescent="0.2">
      <c r="V633" s="9"/>
    </row>
    <row r="634" spans="22:22" ht="12.75" customHeight="1" x14ac:dyDescent="0.2">
      <c r="V634" s="9"/>
    </row>
    <row r="635" spans="22:22" ht="12.75" customHeight="1" x14ac:dyDescent="0.2">
      <c r="V635" s="9"/>
    </row>
    <row r="636" spans="22:22" ht="12.75" customHeight="1" x14ac:dyDescent="0.2">
      <c r="V636" s="9"/>
    </row>
    <row r="637" spans="22:22" ht="12.75" customHeight="1" x14ac:dyDescent="0.2">
      <c r="V637" s="9"/>
    </row>
    <row r="638" spans="22:22" ht="12.75" customHeight="1" x14ac:dyDescent="0.2">
      <c r="V638" s="9"/>
    </row>
    <row r="639" spans="22:22" ht="12.75" customHeight="1" x14ac:dyDescent="0.2">
      <c r="V639" s="9"/>
    </row>
    <row r="640" spans="22:22" ht="12.75" customHeight="1" x14ac:dyDescent="0.2">
      <c r="V640" s="9"/>
    </row>
    <row r="641" spans="22:22" ht="12.75" customHeight="1" x14ac:dyDescent="0.2">
      <c r="V641" s="9"/>
    </row>
    <row r="642" spans="22:22" ht="12.75" customHeight="1" x14ac:dyDescent="0.2">
      <c r="V642" s="9"/>
    </row>
    <row r="643" spans="22:22" ht="12.75" customHeight="1" x14ac:dyDescent="0.2">
      <c r="V643" s="9"/>
    </row>
    <row r="644" spans="22:22" ht="12.75" customHeight="1" x14ac:dyDescent="0.2">
      <c r="V644" s="9"/>
    </row>
    <row r="645" spans="22:22" ht="12.75" customHeight="1" x14ac:dyDescent="0.2">
      <c r="V645" s="9"/>
    </row>
    <row r="646" spans="22:22" ht="12.75" customHeight="1" x14ac:dyDescent="0.2">
      <c r="V646" s="9"/>
    </row>
    <row r="647" spans="22:22" ht="12.75" customHeight="1" x14ac:dyDescent="0.2">
      <c r="V647" s="9"/>
    </row>
    <row r="648" spans="22:22" ht="12.75" customHeight="1" x14ac:dyDescent="0.2">
      <c r="V648" s="9"/>
    </row>
    <row r="649" spans="22:22" ht="12.75" customHeight="1" x14ac:dyDescent="0.2">
      <c r="V649" s="9"/>
    </row>
    <row r="650" spans="22:22" ht="12.75" customHeight="1" x14ac:dyDescent="0.2">
      <c r="V650" s="9"/>
    </row>
    <row r="651" spans="22:22" ht="12.75" customHeight="1" x14ac:dyDescent="0.2">
      <c r="V651" s="9"/>
    </row>
    <row r="652" spans="22:22" ht="12.75" customHeight="1" x14ac:dyDescent="0.2">
      <c r="V652" s="9"/>
    </row>
    <row r="653" spans="22:22" ht="12.75" customHeight="1" x14ac:dyDescent="0.2">
      <c r="V653" s="9"/>
    </row>
    <row r="654" spans="22:22" ht="12.75" customHeight="1" x14ac:dyDescent="0.2">
      <c r="V654" s="9"/>
    </row>
    <row r="655" spans="22:22" ht="12.75" customHeight="1" x14ac:dyDescent="0.2">
      <c r="V655" s="9"/>
    </row>
    <row r="656" spans="22:22" ht="12.75" customHeight="1" x14ac:dyDescent="0.2">
      <c r="V656" s="9"/>
    </row>
    <row r="657" spans="22:22" ht="12.75" customHeight="1" x14ac:dyDescent="0.2">
      <c r="V657" s="9"/>
    </row>
    <row r="658" spans="22:22" ht="12.75" customHeight="1" x14ac:dyDescent="0.2">
      <c r="V658" s="9"/>
    </row>
    <row r="659" spans="22:22" ht="12.75" customHeight="1" x14ac:dyDescent="0.2">
      <c r="V659" s="9"/>
    </row>
    <row r="660" spans="22:22" ht="12.75" customHeight="1" x14ac:dyDescent="0.2">
      <c r="V660" s="9"/>
    </row>
    <row r="661" spans="22:22" ht="12.75" customHeight="1" x14ac:dyDescent="0.2">
      <c r="V661" s="9"/>
    </row>
    <row r="662" spans="22:22" ht="12.75" customHeight="1" x14ac:dyDescent="0.2">
      <c r="V662" s="9"/>
    </row>
    <row r="663" spans="22:22" ht="12.75" customHeight="1" x14ac:dyDescent="0.2">
      <c r="V663" s="9"/>
    </row>
    <row r="664" spans="22:22" ht="12.75" customHeight="1" x14ac:dyDescent="0.2">
      <c r="V664" s="9"/>
    </row>
    <row r="665" spans="22:22" ht="12.75" customHeight="1" x14ac:dyDescent="0.2">
      <c r="V665" s="9"/>
    </row>
    <row r="666" spans="22:22" ht="12.75" customHeight="1" x14ac:dyDescent="0.2">
      <c r="V666" s="9"/>
    </row>
    <row r="667" spans="22:22" ht="12.75" customHeight="1" x14ac:dyDescent="0.2">
      <c r="V667" s="9"/>
    </row>
    <row r="668" spans="22:22" ht="12.75" customHeight="1" x14ac:dyDescent="0.2">
      <c r="V668" s="9"/>
    </row>
    <row r="669" spans="22:22" ht="12.75" customHeight="1" x14ac:dyDescent="0.2">
      <c r="V669" s="9"/>
    </row>
    <row r="670" spans="22:22" ht="12.75" customHeight="1" x14ac:dyDescent="0.2">
      <c r="V670" s="9"/>
    </row>
    <row r="671" spans="22:22" ht="12.75" customHeight="1" x14ac:dyDescent="0.2">
      <c r="V671" s="9"/>
    </row>
    <row r="672" spans="22:22" ht="12.75" customHeight="1" x14ac:dyDescent="0.2">
      <c r="V672" s="9"/>
    </row>
    <row r="673" spans="22:22" ht="12.75" customHeight="1" x14ac:dyDescent="0.2">
      <c r="V673" s="9"/>
    </row>
    <row r="674" spans="22:22" ht="12.75" customHeight="1" x14ac:dyDescent="0.2">
      <c r="V674" s="9"/>
    </row>
    <row r="675" spans="22:22" ht="12.75" customHeight="1" x14ac:dyDescent="0.2">
      <c r="V675" s="9"/>
    </row>
    <row r="676" spans="22:22" ht="12.75" customHeight="1" x14ac:dyDescent="0.2">
      <c r="V676" s="9"/>
    </row>
    <row r="677" spans="22:22" ht="12.75" customHeight="1" x14ac:dyDescent="0.2">
      <c r="V677" s="9"/>
    </row>
    <row r="678" spans="22:22" ht="12.75" customHeight="1" x14ac:dyDescent="0.2">
      <c r="V678" s="9"/>
    </row>
    <row r="679" spans="22:22" ht="12.75" customHeight="1" x14ac:dyDescent="0.2">
      <c r="V679" s="9"/>
    </row>
    <row r="680" spans="22:22" ht="12.75" customHeight="1" x14ac:dyDescent="0.2">
      <c r="V680" s="9"/>
    </row>
    <row r="681" spans="22:22" ht="12.75" customHeight="1" x14ac:dyDescent="0.2">
      <c r="V681" s="9"/>
    </row>
    <row r="682" spans="22:22" ht="12.75" customHeight="1" x14ac:dyDescent="0.2">
      <c r="V682" s="9"/>
    </row>
    <row r="683" spans="22:22" ht="12.75" customHeight="1" x14ac:dyDescent="0.2">
      <c r="V683" s="9"/>
    </row>
    <row r="684" spans="22:22" ht="12.75" customHeight="1" x14ac:dyDescent="0.2">
      <c r="V684" s="9"/>
    </row>
    <row r="685" spans="22:22" ht="12.75" customHeight="1" x14ac:dyDescent="0.2">
      <c r="V685" s="9"/>
    </row>
    <row r="686" spans="22:22" ht="12.75" customHeight="1" x14ac:dyDescent="0.2">
      <c r="V686" s="9"/>
    </row>
    <row r="687" spans="22:22" ht="12.75" customHeight="1" x14ac:dyDescent="0.2">
      <c r="V687" s="9"/>
    </row>
    <row r="688" spans="22:22" ht="12.75" customHeight="1" x14ac:dyDescent="0.2">
      <c r="V688" s="9"/>
    </row>
    <row r="689" spans="22:22" ht="12.75" customHeight="1" x14ac:dyDescent="0.2">
      <c r="V689" s="9"/>
    </row>
    <row r="690" spans="22:22" ht="12.75" customHeight="1" x14ac:dyDescent="0.2">
      <c r="V690" s="9"/>
    </row>
    <row r="691" spans="22:22" ht="12.75" customHeight="1" x14ac:dyDescent="0.2">
      <c r="V691" s="9"/>
    </row>
    <row r="692" spans="22:22" ht="12.75" customHeight="1" x14ac:dyDescent="0.2">
      <c r="V692" s="9"/>
    </row>
    <row r="693" spans="22:22" ht="12.75" customHeight="1" x14ac:dyDescent="0.2">
      <c r="V693" s="9"/>
    </row>
    <row r="694" spans="22:22" ht="12.75" customHeight="1" x14ac:dyDescent="0.2">
      <c r="V694" s="9"/>
    </row>
    <row r="695" spans="22:22" ht="12.75" customHeight="1" x14ac:dyDescent="0.2">
      <c r="V695" s="9"/>
    </row>
    <row r="696" spans="22:22" ht="12.75" customHeight="1" x14ac:dyDescent="0.2">
      <c r="V696" s="9"/>
    </row>
    <row r="697" spans="22:22" ht="12.75" customHeight="1" x14ac:dyDescent="0.2">
      <c r="V697" s="9"/>
    </row>
    <row r="698" spans="22:22" ht="12.75" customHeight="1" x14ac:dyDescent="0.2">
      <c r="V698" s="9"/>
    </row>
    <row r="699" spans="22:22" ht="12.75" customHeight="1" x14ac:dyDescent="0.2">
      <c r="V699" s="9"/>
    </row>
    <row r="700" spans="22:22" ht="12.75" customHeight="1" x14ac:dyDescent="0.2">
      <c r="V700" s="9"/>
    </row>
    <row r="701" spans="22:22" ht="12.75" customHeight="1" x14ac:dyDescent="0.2">
      <c r="V701" s="9"/>
    </row>
    <row r="702" spans="22:22" ht="12.75" customHeight="1" x14ac:dyDescent="0.2">
      <c r="V702" s="9"/>
    </row>
    <row r="703" spans="22:22" ht="12.75" customHeight="1" x14ac:dyDescent="0.2">
      <c r="V703" s="9"/>
    </row>
    <row r="704" spans="22:22" ht="12.75" customHeight="1" x14ac:dyDescent="0.2">
      <c r="V704" s="9"/>
    </row>
    <row r="705" spans="22:22" ht="12.75" customHeight="1" x14ac:dyDescent="0.2">
      <c r="V705" s="9"/>
    </row>
    <row r="706" spans="22:22" ht="12.75" customHeight="1" x14ac:dyDescent="0.2">
      <c r="V706" s="9"/>
    </row>
    <row r="707" spans="22:22" ht="12.75" customHeight="1" x14ac:dyDescent="0.2">
      <c r="V707" s="9"/>
    </row>
    <row r="708" spans="22:22" ht="12.75" customHeight="1" x14ac:dyDescent="0.2">
      <c r="V708" s="9"/>
    </row>
    <row r="709" spans="22:22" ht="12.75" customHeight="1" x14ac:dyDescent="0.2">
      <c r="V709" s="9"/>
    </row>
    <row r="710" spans="22:22" ht="12.75" customHeight="1" x14ac:dyDescent="0.2">
      <c r="V710" s="9"/>
    </row>
    <row r="711" spans="22:22" ht="12.75" customHeight="1" x14ac:dyDescent="0.2">
      <c r="V711" s="9"/>
    </row>
    <row r="712" spans="22:22" ht="12.75" customHeight="1" x14ac:dyDescent="0.2">
      <c r="V712" s="9"/>
    </row>
    <row r="713" spans="22:22" ht="12.75" customHeight="1" x14ac:dyDescent="0.2">
      <c r="V713" s="9"/>
    </row>
    <row r="714" spans="22:22" ht="12.75" customHeight="1" x14ac:dyDescent="0.2">
      <c r="V714" s="9"/>
    </row>
    <row r="715" spans="22:22" ht="12.75" customHeight="1" x14ac:dyDescent="0.2">
      <c r="V715" s="9"/>
    </row>
    <row r="716" spans="22:22" ht="12.75" customHeight="1" x14ac:dyDescent="0.2">
      <c r="V716" s="9"/>
    </row>
    <row r="717" spans="22:22" ht="12.75" customHeight="1" x14ac:dyDescent="0.2">
      <c r="V717" s="9"/>
    </row>
    <row r="718" spans="22:22" ht="12.75" customHeight="1" x14ac:dyDescent="0.2">
      <c r="V718" s="9"/>
    </row>
    <row r="719" spans="22:22" ht="12.75" customHeight="1" x14ac:dyDescent="0.2">
      <c r="V719" s="9"/>
    </row>
    <row r="720" spans="22:22" ht="12.75" customHeight="1" x14ac:dyDescent="0.2">
      <c r="V720" s="9"/>
    </row>
    <row r="721" spans="22:22" ht="12.75" customHeight="1" x14ac:dyDescent="0.2">
      <c r="V721" s="9"/>
    </row>
    <row r="722" spans="22:22" ht="12.75" customHeight="1" x14ac:dyDescent="0.2">
      <c r="V722" s="9"/>
    </row>
    <row r="723" spans="22:22" ht="12.75" customHeight="1" x14ac:dyDescent="0.2">
      <c r="V723" s="9"/>
    </row>
    <row r="724" spans="22:22" ht="12.75" customHeight="1" x14ac:dyDescent="0.2">
      <c r="V724" s="9"/>
    </row>
    <row r="725" spans="22:22" ht="12.75" customHeight="1" x14ac:dyDescent="0.2">
      <c r="V725" s="9"/>
    </row>
    <row r="726" spans="22:22" ht="12.75" customHeight="1" x14ac:dyDescent="0.2">
      <c r="V726" s="9"/>
    </row>
    <row r="727" spans="22:22" ht="12.75" customHeight="1" x14ac:dyDescent="0.2">
      <c r="V727" s="9"/>
    </row>
    <row r="728" spans="22:22" ht="12.75" customHeight="1" x14ac:dyDescent="0.2">
      <c r="V728" s="9"/>
    </row>
    <row r="729" spans="22:22" ht="12.75" customHeight="1" x14ac:dyDescent="0.2">
      <c r="V729" s="9"/>
    </row>
    <row r="730" spans="22:22" ht="12.75" customHeight="1" x14ac:dyDescent="0.2">
      <c r="V730" s="9"/>
    </row>
    <row r="731" spans="22:22" ht="12.75" customHeight="1" x14ac:dyDescent="0.2">
      <c r="V731" s="9"/>
    </row>
    <row r="732" spans="22:22" ht="12.75" customHeight="1" x14ac:dyDescent="0.2">
      <c r="V732" s="9"/>
    </row>
    <row r="733" spans="22:22" ht="12.75" customHeight="1" x14ac:dyDescent="0.2">
      <c r="V733" s="9"/>
    </row>
    <row r="734" spans="22:22" ht="12.75" customHeight="1" x14ac:dyDescent="0.2">
      <c r="V734" s="9"/>
    </row>
    <row r="735" spans="22:22" ht="12.75" customHeight="1" x14ac:dyDescent="0.2">
      <c r="V735" s="9"/>
    </row>
    <row r="736" spans="22:22" ht="12.75" customHeight="1" x14ac:dyDescent="0.2">
      <c r="V736" s="9"/>
    </row>
    <row r="737" spans="22:22" ht="12.75" customHeight="1" x14ac:dyDescent="0.2">
      <c r="V737" s="9"/>
    </row>
    <row r="738" spans="22:22" ht="12.75" customHeight="1" x14ac:dyDescent="0.2">
      <c r="V738" s="9"/>
    </row>
    <row r="739" spans="22:22" ht="12.75" customHeight="1" x14ac:dyDescent="0.2">
      <c r="V739" s="9"/>
    </row>
    <row r="740" spans="22:22" ht="12.75" customHeight="1" x14ac:dyDescent="0.2">
      <c r="V740" s="9"/>
    </row>
    <row r="741" spans="22:22" ht="12.75" customHeight="1" x14ac:dyDescent="0.2">
      <c r="V741" s="9"/>
    </row>
    <row r="742" spans="22:22" ht="12.75" customHeight="1" x14ac:dyDescent="0.2">
      <c r="V742" s="9"/>
    </row>
    <row r="743" spans="22:22" ht="12.75" customHeight="1" x14ac:dyDescent="0.2">
      <c r="V743" s="9"/>
    </row>
    <row r="744" spans="22:22" ht="12.75" customHeight="1" x14ac:dyDescent="0.2">
      <c r="V744" s="9"/>
    </row>
    <row r="745" spans="22:22" ht="12.75" customHeight="1" x14ac:dyDescent="0.2">
      <c r="V745" s="9"/>
    </row>
    <row r="746" spans="22:22" ht="12.75" customHeight="1" x14ac:dyDescent="0.2">
      <c r="V746" s="9"/>
    </row>
    <row r="747" spans="22:22" ht="12.75" customHeight="1" x14ac:dyDescent="0.2">
      <c r="V747" s="9"/>
    </row>
    <row r="748" spans="22:22" ht="12.75" customHeight="1" x14ac:dyDescent="0.2">
      <c r="V748" s="9"/>
    </row>
    <row r="749" spans="22:22" ht="12.75" customHeight="1" x14ac:dyDescent="0.2">
      <c r="V749" s="9"/>
    </row>
    <row r="750" spans="22:22" ht="12.75" customHeight="1" x14ac:dyDescent="0.2">
      <c r="V750" s="9"/>
    </row>
    <row r="751" spans="22:22" ht="12.75" customHeight="1" x14ac:dyDescent="0.2">
      <c r="V751" s="9"/>
    </row>
    <row r="752" spans="22:22" ht="12.75" customHeight="1" x14ac:dyDescent="0.2">
      <c r="V752" s="9"/>
    </row>
    <row r="753" spans="22:22" ht="12.75" customHeight="1" x14ac:dyDescent="0.2">
      <c r="V753" s="9"/>
    </row>
    <row r="754" spans="22:22" ht="12.75" customHeight="1" x14ac:dyDescent="0.2">
      <c r="V754" s="9"/>
    </row>
    <row r="755" spans="22:22" ht="12.75" customHeight="1" x14ac:dyDescent="0.2">
      <c r="V755" s="9"/>
    </row>
    <row r="756" spans="22:22" ht="12.75" customHeight="1" x14ac:dyDescent="0.2">
      <c r="V756" s="9"/>
    </row>
    <row r="757" spans="22:22" ht="12.75" customHeight="1" x14ac:dyDescent="0.2">
      <c r="V757" s="9"/>
    </row>
    <row r="758" spans="22:22" ht="12.75" customHeight="1" x14ac:dyDescent="0.2">
      <c r="V758" s="9"/>
    </row>
    <row r="759" spans="22:22" ht="12.75" customHeight="1" x14ac:dyDescent="0.2">
      <c r="V759" s="9"/>
    </row>
    <row r="760" spans="22:22" ht="12.75" customHeight="1" x14ac:dyDescent="0.2">
      <c r="V760" s="9"/>
    </row>
    <row r="761" spans="22:22" ht="12.75" customHeight="1" x14ac:dyDescent="0.2">
      <c r="V761" s="9"/>
    </row>
    <row r="762" spans="22:22" ht="12.75" customHeight="1" x14ac:dyDescent="0.2">
      <c r="V762" s="9"/>
    </row>
    <row r="763" spans="22:22" ht="12.75" customHeight="1" x14ac:dyDescent="0.2">
      <c r="V763" s="9"/>
    </row>
    <row r="764" spans="22:22" ht="12.75" customHeight="1" x14ac:dyDescent="0.2">
      <c r="V764" s="9"/>
    </row>
    <row r="765" spans="22:22" ht="12.75" customHeight="1" x14ac:dyDescent="0.2">
      <c r="V765" s="9"/>
    </row>
    <row r="766" spans="22:22" ht="12.75" customHeight="1" x14ac:dyDescent="0.2">
      <c r="V766" s="9"/>
    </row>
    <row r="767" spans="22:22" ht="12.75" customHeight="1" x14ac:dyDescent="0.2">
      <c r="V767" s="9"/>
    </row>
    <row r="768" spans="22:22" ht="12.75" customHeight="1" x14ac:dyDescent="0.2">
      <c r="V768" s="9"/>
    </row>
    <row r="769" spans="22:22" ht="12.75" customHeight="1" x14ac:dyDescent="0.2">
      <c r="V769" s="9"/>
    </row>
    <row r="770" spans="22:22" ht="12.75" customHeight="1" x14ac:dyDescent="0.2">
      <c r="V770" s="9"/>
    </row>
    <row r="771" spans="22:22" ht="12.75" customHeight="1" x14ac:dyDescent="0.2">
      <c r="V771" s="9"/>
    </row>
    <row r="772" spans="22:22" ht="12.75" customHeight="1" x14ac:dyDescent="0.2">
      <c r="V772" s="9"/>
    </row>
    <row r="773" spans="22:22" ht="12.75" customHeight="1" x14ac:dyDescent="0.2">
      <c r="V773" s="9"/>
    </row>
    <row r="774" spans="22:22" ht="12.75" customHeight="1" x14ac:dyDescent="0.2">
      <c r="V774" s="9"/>
    </row>
    <row r="775" spans="22:22" ht="12.75" customHeight="1" x14ac:dyDescent="0.2">
      <c r="V775" s="9"/>
    </row>
    <row r="776" spans="22:22" ht="12.75" customHeight="1" x14ac:dyDescent="0.2">
      <c r="V776" s="9"/>
    </row>
    <row r="777" spans="22:22" ht="12.75" customHeight="1" x14ac:dyDescent="0.2">
      <c r="V777" s="9"/>
    </row>
    <row r="778" spans="22:22" ht="12.75" customHeight="1" x14ac:dyDescent="0.2">
      <c r="V778" s="9"/>
    </row>
    <row r="779" spans="22:22" ht="12.75" customHeight="1" x14ac:dyDescent="0.2">
      <c r="V779" s="9"/>
    </row>
    <row r="780" spans="22:22" ht="12.75" customHeight="1" x14ac:dyDescent="0.2">
      <c r="V780" s="9"/>
    </row>
    <row r="781" spans="22:22" ht="12.75" customHeight="1" x14ac:dyDescent="0.2">
      <c r="V781" s="9"/>
    </row>
    <row r="782" spans="22:22" ht="12.75" customHeight="1" x14ac:dyDescent="0.2">
      <c r="V782" s="9"/>
    </row>
    <row r="783" spans="22:22" ht="12.75" customHeight="1" x14ac:dyDescent="0.2">
      <c r="V783" s="9"/>
    </row>
    <row r="784" spans="22:22" ht="12.75" customHeight="1" x14ac:dyDescent="0.2">
      <c r="V784" s="9"/>
    </row>
    <row r="785" spans="22:22" ht="12.75" customHeight="1" x14ac:dyDescent="0.2">
      <c r="V785" s="9"/>
    </row>
    <row r="786" spans="22:22" ht="12.75" customHeight="1" x14ac:dyDescent="0.2">
      <c r="V786" s="9"/>
    </row>
    <row r="787" spans="22:22" ht="12.75" customHeight="1" x14ac:dyDescent="0.2">
      <c r="V787" s="9"/>
    </row>
    <row r="788" spans="22:22" ht="12.75" customHeight="1" x14ac:dyDescent="0.2">
      <c r="V788" s="9"/>
    </row>
    <row r="789" spans="22:22" ht="12.75" customHeight="1" x14ac:dyDescent="0.2">
      <c r="V789" s="9"/>
    </row>
    <row r="790" spans="22:22" ht="12.75" customHeight="1" x14ac:dyDescent="0.2">
      <c r="V790" s="9"/>
    </row>
    <row r="791" spans="22:22" ht="12.75" customHeight="1" x14ac:dyDescent="0.2">
      <c r="V791" s="9"/>
    </row>
    <row r="792" spans="22:22" ht="12.75" customHeight="1" x14ac:dyDescent="0.2">
      <c r="V792" s="9"/>
    </row>
    <row r="793" spans="22:22" ht="12.75" customHeight="1" x14ac:dyDescent="0.2">
      <c r="V793" s="9"/>
    </row>
    <row r="794" spans="22:22" ht="12.75" customHeight="1" x14ac:dyDescent="0.2">
      <c r="V794" s="9"/>
    </row>
    <row r="795" spans="22:22" ht="12.75" customHeight="1" x14ac:dyDescent="0.2">
      <c r="V795" s="9"/>
    </row>
    <row r="796" spans="22:22" ht="12.75" customHeight="1" x14ac:dyDescent="0.2">
      <c r="V796" s="9"/>
    </row>
    <row r="797" spans="22:22" ht="12.75" customHeight="1" x14ac:dyDescent="0.2">
      <c r="V797" s="9"/>
    </row>
    <row r="798" spans="22:22" ht="12.75" customHeight="1" x14ac:dyDescent="0.2">
      <c r="V798" s="9"/>
    </row>
    <row r="799" spans="22:22" ht="12.75" customHeight="1" x14ac:dyDescent="0.2">
      <c r="V799" s="9"/>
    </row>
    <row r="800" spans="22:22" ht="12.75" customHeight="1" x14ac:dyDescent="0.2">
      <c r="V800" s="9"/>
    </row>
    <row r="801" spans="22:22" ht="12.75" customHeight="1" x14ac:dyDescent="0.2">
      <c r="V801" s="9"/>
    </row>
    <row r="802" spans="22:22" ht="12.75" customHeight="1" x14ac:dyDescent="0.2">
      <c r="V802" s="9"/>
    </row>
    <row r="803" spans="22:22" ht="12.75" customHeight="1" x14ac:dyDescent="0.2">
      <c r="V803" s="9"/>
    </row>
    <row r="804" spans="22:22" ht="12.75" customHeight="1" x14ac:dyDescent="0.2">
      <c r="V804" s="9"/>
    </row>
    <row r="805" spans="22:22" ht="12.75" customHeight="1" x14ac:dyDescent="0.2">
      <c r="V805" s="9"/>
    </row>
    <row r="806" spans="22:22" ht="12.75" customHeight="1" x14ac:dyDescent="0.2">
      <c r="V806" s="9"/>
    </row>
    <row r="807" spans="22:22" ht="12.75" customHeight="1" x14ac:dyDescent="0.2">
      <c r="V807" s="9"/>
    </row>
    <row r="808" spans="22:22" ht="12.75" customHeight="1" x14ac:dyDescent="0.2">
      <c r="V808" s="9"/>
    </row>
    <row r="809" spans="22:22" ht="12.75" customHeight="1" x14ac:dyDescent="0.2">
      <c r="V809" s="9"/>
    </row>
    <row r="810" spans="22:22" ht="12.75" customHeight="1" x14ac:dyDescent="0.2">
      <c r="V810" s="9"/>
    </row>
    <row r="811" spans="22:22" ht="12.75" customHeight="1" x14ac:dyDescent="0.2">
      <c r="V811" s="9"/>
    </row>
    <row r="812" spans="22:22" ht="12.75" customHeight="1" x14ac:dyDescent="0.2">
      <c r="V812" s="9"/>
    </row>
    <row r="813" spans="22:22" ht="12.75" customHeight="1" x14ac:dyDescent="0.2">
      <c r="V813" s="9"/>
    </row>
    <row r="814" spans="22:22" ht="12.75" customHeight="1" x14ac:dyDescent="0.2">
      <c r="V814" s="9"/>
    </row>
    <row r="815" spans="22:22" ht="12.75" customHeight="1" x14ac:dyDescent="0.2">
      <c r="V815" s="9"/>
    </row>
    <row r="816" spans="22:22" ht="12.75" customHeight="1" x14ac:dyDescent="0.2">
      <c r="V816" s="9"/>
    </row>
    <row r="817" spans="22:22" ht="12.75" customHeight="1" x14ac:dyDescent="0.2">
      <c r="V817" s="9"/>
    </row>
    <row r="818" spans="22:22" ht="12.75" customHeight="1" x14ac:dyDescent="0.2">
      <c r="V818" s="9"/>
    </row>
    <row r="819" spans="22:22" ht="12.75" customHeight="1" x14ac:dyDescent="0.2">
      <c r="V819" s="9"/>
    </row>
    <row r="820" spans="22:22" ht="12.75" customHeight="1" x14ac:dyDescent="0.2">
      <c r="V820" s="9"/>
    </row>
    <row r="821" spans="22:22" ht="12.75" customHeight="1" x14ac:dyDescent="0.2">
      <c r="V821" s="9"/>
    </row>
    <row r="822" spans="22:22" ht="12.75" customHeight="1" x14ac:dyDescent="0.2">
      <c r="V822" s="9"/>
    </row>
    <row r="823" spans="22:22" ht="12.75" customHeight="1" x14ac:dyDescent="0.2">
      <c r="V823" s="9"/>
    </row>
    <row r="824" spans="22:22" ht="12.75" customHeight="1" x14ac:dyDescent="0.2">
      <c r="V824" s="9"/>
    </row>
    <row r="825" spans="22:22" ht="12.75" customHeight="1" x14ac:dyDescent="0.2">
      <c r="V825" s="9"/>
    </row>
    <row r="826" spans="22:22" ht="12.75" customHeight="1" x14ac:dyDescent="0.2">
      <c r="V826" s="9"/>
    </row>
    <row r="827" spans="22:22" ht="12.75" customHeight="1" x14ac:dyDescent="0.2">
      <c r="V827" s="9"/>
    </row>
    <row r="828" spans="22:22" ht="12.75" customHeight="1" x14ac:dyDescent="0.2">
      <c r="V828" s="9"/>
    </row>
    <row r="829" spans="22:22" ht="12.75" customHeight="1" x14ac:dyDescent="0.2">
      <c r="V829" s="9"/>
    </row>
    <row r="830" spans="22:22" ht="12.75" customHeight="1" x14ac:dyDescent="0.2">
      <c r="V830" s="9"/>
    </row>
    <row r="831" spans="22:22" ht="12.75" customHeight="1" x14ac:dyDescent="0.2">
      <c r="V831" s="9"/>
    </row>
    <row r="832" spans="22:22" ht="12.75" customHeight="1" x14ac:dyDescent="0.2">
      <c r="V832" s="9"/>
    </row>
    <row r="833" spans="22:22" ht="12.75" customHeight="1" x14ac:dyDescent="0.2">
      <c r="V833" s="9"/>
    </row>
    <row r="834" spans="22:22" ht="12.75" customHeight="1" x14ac:dyDescent="0.2">
      <c r="V834" s="9"/>
    </row>
    <row r="835" spans="22:22" ht="12.75" customHeight="1" x14ac:dyDescent="0.2">
      <c r="V835" s="9"/>
    </row>
    <row r="836" spans="22:22" ht="12.75" customHeight="1" x14ac:dyDescent="0.2">
      <c r="V836" s="9"/>
    </row>
    <row r="837" spans="22:22" ht="12.75" customHeight="1" x14ac:dyDescent="0.2">
      <c r="V837" s="9"/>
    </row>
    <row r="838" spans="22:22" ht="12.75" customHeight="1" x14ac:dyDescent="0.2">
      <c r="V838" s="9"/>
    </row>
    <row r="839" spans="22:22" ht="12.75" customHeight="1" x14ac:dyDescent="0.2">
      <c r="V839" s="9"/>
    </row>
    <row r="840" spans="22:22" ht="12.75" customHeight="1" x14ac:dyDescent="0.2">
      <c r="V840" s="9"/>
    </row>
    <row r="841" spans="22:22" ht="12.75" customHeight="1" x14ac:dyDescent="0.2">
      <c r="V841" s="9"/>
    </row>
    <row r="842" spans="22:22" ht="12.75" customHeight="1" x14ac:dyDescent="0.2">
      <c r="V842" s="9"/>
    </row>
    <row r="843" spans="22:22" ht="12.75" customHeight="1" x14ac:dyDescent="0.2">
      <c r="V843" s="9"/>
    </row>
    <row r="844" spans="22:22" ht="12.75" customHeight="1" x14ac:dyDescent="0.2">
      <c r="V844" s="9"/>
    </row>
    <row r="845" spans="22:22" ht="12.75" customHeight="1" x14ac:dyDescent="0.2">
      <c r="V845" s="9"/>
    </row>
    <row r="846" spans="22:22" ht="12.75" customHeight="1" x14ac:dyDescent="0.2">
      <c r="V846" s="9"/>
    </row>
    <row r="847" spans="22:22" ht="12.75" customHeight="1" x14ac:dyDescent="0.2">
      <c r="V847" s="9"/>
    </row>
    <row r="848" spans="22:22" ht="12.75" customHeight="1" x14ac:dyDescent="0.2">
      <c r="V848" s="9"/>
    </row>
    <row r="849" spans="22:22" ht="12.75" customHeight="1" x14ac:dyDescent="0.2">
      <c r="V849" s="9"/>
    </row>
    <row r="850" spans="22:22" ht="12.75" customHeight="1" x14ac:dyDescent="0.2">
      <c r="V850" s="9"/>
    </row>
    <row r="851" spans="22:22" ht="12.75" customHeight="1" x14ac:dyDescent="0.2">
      <c r="V851" s="9"/>
    </row>
    <row r="852" spans="22:22" ht="12.75" customHeight="1" x14ac:dyDescent="0.2">
      <c r="V852" s="9"/>
    </row>
    <row r="853" spans="22:22" ht="12.75" customHeight="1" x14ac:dyDescent="0.2">
      <c r="V853" s="9"/>
    </row>
    <row r="854" spans="22:22" ht="12.75" customHeight="1" x14ac:dyDescent="0.2">
      <c r="V854" s="9"/>
    </row>
    <row r="855" spans="22:22" ht="12.75" customHeight="1" x14ac:dyDescent="0.2">
      <c r="V855" s="9"/>
    </row>
    <row r="856" spans="22:22" ht="12.75" customHeight="1" x14ac:dyDescent="0.2">
      <c r="V856" s="9"/>
    </row>
    <row r="857" spans="22:22" ht="12.75" customHeight="1" x14ac:dyDescent="0.2">
      <c r="V857" s="9"/>
    </row>
    <row r="858" spans="22:22" ht="12.75" customHeight="1" x14ac:dyDescent="0.2">
      <c r="V858" s="9"/>
    </row>
    <row r="859" spans="22:22" ht="12.75" customHeight="1" x14ac:dyDescent="0.2">
      <c r="V859" s="9"/>
    </row>
    <row r="860" spans="22:22" ht="12.75" customHeight="1" x14ac:dyDescent="0.2">
      <c r="V860" s="9"/>
    </row>
    <row r="861" spans="22:22" ht="12.75" customHeight="1" x14ac:dyDescent="0.2">
      <c r="V861" s="9"/>
    </row>
    <row r="862" spans="22:22" ht="12.75" customHeight="1" x14ac:dyDescent="0.2">
      <c r="V862" s="9"/>
    </row>
    <row r="863" spans="22:22" ht="12.75" customHeight="1" x14ac:dyDescent="0.2">
      <c r="V863" s="9"/>
    </row>
    <row r="864" spans="22:22" ht="12.75" customHeight="1" x14ac:dyDescent="0.2">
      <c r="V864" s="9"/>
    </row>
    <row r="865" spans="22:22" ht="12.75" customHeight="1" x14ac:dyDescent="0.2">
      <c r="V865" s="9"/>
    </row>
    <row r="866" spans="22:22" ht="12.75" customHeight="1" x14ac:dyDescent="0.2">
      <c r="V866" s="9"/>
    </row>
    <row r="867" spans="22:22" ht="12.75" customHeight="1" x14ac:dyDescent="0.2">
      <c r="V867" s="9"/>
    </row>
    <row r="868" spans="22:22" ht="12.75" customHeight="1" x14ac:dyDescent="0.2">
      <c r="V868" s="9"/>
    </row>
    <row r="869" spans="22:22" ht="12.75" customHeight="1" x14ac:dyDescent="0.2">
      <c r="V869" s="9"/>
    </row>
    <row r="870" spans="22:22" ht="12.75" customHeight="1" x14ac:dyDescent="0.2">
      <c r="V870" s="9"/>
    </row>
    <row r="871" spans="22:22" ht="12.75" customHeight="1" x14ac:dyDescent="0.2">
      <c r="V871" s="9"/>
    </row>
    <row r="872" spans="22:22" ht="12.75" customHeight="1" x14ac:dyDescent="0.2">
      <c r="V872" s="9"/>
    </row>
    <row r="873" spans="22:22" ht="12.75" customHeight="1" x14ac:dyDescent="0.2">
      <c r="V873" s="9"/>
    </row>
    <row r="874" spans="22:22" ht="12.75" customHeight="1" x14ac:dyDescent="0.2">
      <c r="V874" s="9"/>
    </row>
    <row r="875" spans="22:22" ht="12.75" customHeight="1" x14ac:dyDescent="0.2">
      <c r="V875" s="9"/>
    </row>
    <row r="876" spans="22:22" ht="12.75" customHeight="1" x14ac:dyDescent="0.2">
      <c r="V876" s="9"/>
    </row>
    <row r="877" spans="22:22" ht="12.75" customHeight="1" x14ac:dyDescent="0.2">
      <c r="V877" s="9"/>
    </row>
    <row r="878" spans="22:22" ht="12.75" customHeight="1" x14ac:dyDescent="0.2">
      <c r="V878" s="9"/>
    </row>
    <row r="879" spans="22:22" ht="12.75" customHeight="1" x14ac:dyDescent="0.2">
      <c r="V879" s="9"/>
    </row>
    <row r="880" spans="22:22" ht="12.75" customHeight="1" x14ac:dyDescent="0.2">
      <c r="V880" s="9"/>
    </row>
    <row r="881" spans="22:22" ht="12.75" customHeight="1" x14ac:dyDescent="0.2">
      <c r="V881" s="9"/>
    </row>
    <row r="882" spans="22:22" ht="12.75" customHeight="1" x14ac:dyDescent="0.2">
      <c r="V882" s="9"/>
    </row>
    <row r="883" spans="22:22" ht="12.75" customHeight="1" x14ac:dyDescent="0.2">
      <c r="V883" s="9"/>
    </row>
    <row r="884" spans="22:22" ht="12.75" customHeight="1" x14ac:dyDescent="0.2">
      <c r="V884" s="9"/>
    </row>
    <row r="885" spans="22:22" ht="12.75" customHeight="1" x14ac:dyDescent="0.2">
      <c r="V885" s="9"/>
    </row>
    <row r="886" spans="22:22" ht="12.75" customHeight="1" x14ac:dyDescent="0.2">
      <c r="V886" s="9"/>
    </row>
    <row r="887" spans="22:22" ht="12.75" customHeight="1" x14ac:dyDescent="0.2">
      <c r="V887" s="9"/>
    </row>
    <row r="888" spans="22:22" ht="12.75" customHeight="1" x14ac:dyDescent="0.2">
      <c r="V888" s="9"/>
    </row>
    <row r="889" spans="22:22" ht="12.75" customHeight="1" x14ac:dyDescent="0.2">
      <c r="V889" s="9"/>
    </row>
    <row r="890" spans="22:22" ht="12.75" customHeight="1" x14ac:dyDescent="0.2">
      <c r="V890" s="9"/>
    </row>
    <row r="891" spans="22:22" ht="12.75" customHeight="1" x14ac:dyDescent="0.2">
      <c r="V891" s="9"/>
    </row>
    <row r="892" spans="22:22" ht="12.75" customHeight="1" x14ac:dyDescent="0.2">
      <c r="V892" s="9"/>
    </row>
    <row r="893" spans="22:22" ht="12.75" customHeight="1" x14ac:dyDescent="0.2">
      <c r="V893" s="9"/>
    </row>
    <row r="894" spans="22:22" ht="12.75" customHeight="1" x14ac:dyDescent="0.2">
      <c r="V894" s="9"/>
    </row>
    <row r="895" spans="22:22" ht="12.75" customHeight="1" x14ac:dyDescent="0.2">
      <c r="V895" s="9"/>
    </row>
    <row r="896" spans="22:22" ht="12.75" customHeight="1" x14ac:dyDescent="0.2">
      <c r="V896" s="9"/>
    </row>
    <row r="897" spans="22:22" ht="12.75" customHeight="1" x14ac:dyDescent="0.2">
      <c r="V897" s="9"/>
    </row>
    <row r="898" spans="22:22" ht="12.75" customHeight="1" x14ac:dyDescent="0.2">
      <c r="V898" s="9"/>
    </row>
    <row r="899" spans="22:22" ht="12.75" customHeight="1" x14ac:dyDescent="0.2">
      <c r="V899" s="9"/>
    </row>
    <row r="900" spans="22:22" ht="12.75" customHeight="1" x14ac:dyDescent="0.2">
      <c r="V900" s="9"/>
    </row>
    <row r="901" spans="22:22" ht="12.75" customHeight="1" x14ac:dyDescent="0.2">
      <c r="V901" s="9"/>
    </row>
    <row r="902" spans="22:22" ht="12.75" customHeight="1" x14ac:dyDescent="0.2">
      <c r="V902" s="9"/>
    </row>
    <row r="903" spans="22:22" ht="12.75" customHeight="1" x14ac:dyDescent="0.2">
      <c r="V903" s="9"/>
    </row>
    <row r="904" spans="22:22" ht="12.75" customHeight="1" x14ac:dyDescent="0.2">
      <c r="V904" s="9"/>
    </row>
    <row r="905" spans="22:22" ht="12.75" customHeight="1" x14ac:dyDescent="0.2">
      <c r="V905" s="9"/>
    </row>
    <row r="906" spans="22:22" ht="12.75" customHeight="1" x14ac:dyDescent="0.2">
      <c r="V906" s="9"/>
    </row>
    <row r="907" spans="22:22" ht="12.75" customHeight="1" x14ac:dyDescent="0.2">
      <c r="V907" s="9"/>
    </row>
    <row r="908" spans="22:22" ht="12.75" customHeight="1" x14ac:dyDescent="0.2">
      <c r="V908" s="9"/>
    </row>
    <row r="909" spans="22:22" ht="12.75" customHeight="1" x14ac:dyDescent="0.2">
      <c r="V909" s="9"/>
    </row>
    <row r="910" spans="22:22" ht="12.75" customHeight="1" x14ac:dyDescent="0.2">
      <c r="V910" s="9"/>
    </row>
    <row r="911" spans="22:22" ht="12.75" customHeight="1" x14ac:dyDescent="0.2">
      <c r="V911" s="9"/>
    </row>
    <row r="912" spans="22:22" ht="12.75" customHeight="1" x14ac:dyDescent="0.2">
      <c r="V912" s="9"/>
    </row>
    <row r="913" spans="22:22" ht="12.75" customHeight="1" x14ac:dyDescent="0.2">
      <c r="V913" s="9"/>
    </row>
    <row r="914" spans="22:22" ht="12.75" customHeight="1" x14ac:dyDescent="0.2">
      <c r="V914" s="9"/>
    </row>
    <row r="915" spans="22:22" ht="12.75" customHeight="1" x14ac:dyDescent="0.2">
      <c r="V915" s="9"/>
    </row>
    <row r="916" spans="22:22" ht="12.75" customHeight="1" x14ac:dyDescent="0.2">
      <c r="V916" s="9"/>
    </row>
    <row r="917" spans="22:22" ht="12.75" customHeight="1" x14ac:dyDescent="0.2">
      <c r="V917" s="9"/>
    </row>
    <row r="918" spans="22:22" ht="12.75" customHeight="1" x14ac:dyDescent="0.2">
      <c r="V918" s="9"/>
    </row>
    <row r="919" spans="22:22" ht="12.75" customHeight="1" x14ac:dyDescent="0.2">
      <c r="V919" s="9"/>
    </row>
    <row r="920" spans="22:22" ht="12.75" customHeight="1" x14ac:dyDescent="0.2">
      <c r="V920" s="9"/>
    </row>
    <row r="921" spans="22:22" ht="12.75" customHeight="1" x14ac:dyDescent="0.2">
      <c r="V921" s="9"/>
    </row>
    <row r="922" spans="22:22" ht="12.75" customHeight="1" x14ac:dyDescent="0.2">
      <c r="V922" s="9"/>
    </row>
    <row r="923" spans="22:22" ht="12.75" customHeight="1" x14ac:dyDescent="0.2">
      <c r="V923" s="9"/>
    </row>
    <row r="924" spans="22:22" ht="12.75" customHeight="1" x14ac:dyDescent="0.2">
      <c r="V924" s="9"/>
    </row>
    <row r="925" spans="22:22" ht="12.75" customHeight="1" x14ac:dyDescent="0.2">
      <c r="V925" s="9"/>
    </row>
    <row r="926" spans="22:22" ht="12.75" customHeight="1" x14ac:dyDescent="0.2">
      <c r="V926" s="9"/>
    </row>
    <row r="927" spans="22:22" ht="12.75" customHeight="1" x14ac:dyDescent="0.2">
      <c r="V927" s="9"/>
    </row>
    <row r="928" spans="22:22" ht="12.75" customHeight="1" x14ac:dyDescent="0.2">
      <c r="V928" s="9"/>
    </row>
    <row r="929" spans="22:22" ht="12.75" customHeight="1" x14ac:dyDescent="0.2">
      <c r="V929" s="9"/>
    </row>
    <row r="930" spans="22:22" ht="12.75" customHeight="1" x14ac:dyDescent="0.2">
      <c r="V930" s="9"/>
    </row>
    <row r="931" spans="22:22" ht="12.75" customHeight="1" x14ac:dyDescent="0.2">
      <c r="V931" s="9"/>
    </row>
    <row r="932" spans="22:22" ht="12.75" customHeight="1" x14ac:dyDescent="0.2">
      <c r="V932" s="9"/>
    </row>
    <row r="933" spans="22:22" ht="12.75" customHeight="1" x14ac:dyDescent="0.2">
      <c r="V933" s="9"/>
    </row>
    <row r="934" spans="22:22" ht="12.75" customHeight="1" x14ac:dyDescent="0.2">
      <c r="V934" s="9"/>
    </row>
    <row r="935" spans="22:22" ht="12.75" customHeight="1" x14ac:dyDescent="0.2">
      <c r="V935" s="9"/>
    </row>
    <row r="936" spans="22:22" ht="12.75" customHeight="1" x14ac:dyDescent="0.2">
      <c r="V936" s="9"/>
    </row>
    <row r="937" spans="22:22" ht="12.75" customHeight="1" x14ac:dyDescent="0.2">
      <c r="V937" s="9"/>
    </row>
    <row r="938" spans="22:22" ht="12.75" customHeight="1" x14ac:dyDescent="0.2">
      <c r="V938" s="9"/>
    </row>
    <row r="939" spans="22:22" ht="12.75" customHeight="1" x14ac:dyDescent="0.2">
      <c r="V939" s="9"/>
    </row>
    <row r="940" spans="22:22" ht="12.75" customHeight="1" x14ac:dyDescent="0.2">
      <c r="V940" s="9"/>
    </row>
    <row r="941" spans="22:22" ht="12.75" customHeight="1" x14ac:dyDescent="0.2">
      <c r="V941" s="9"/>
    </row>
    <row r="942" spans="22:22" ht="12.75" customHeight="1" x14ac:dyDescent="0.2">
      <c r="V942" s="9"/>
    </row>
    <row r="943" spans="22:22" ht="12.75" customHeight="1" x14ac:dyDescent="0.2">
      <c r="V943" s="9"/>
    </row>
    <row r="944" spans="22:22" ht="12.75" customHeight="1" x14ac:dyDescent="0.2">
      <c r="V944" s="9"/>
    </row>
    <row r="945" spans="22:22" ht="12.75" customHeight="1" x14ac:dyDescent="0.2">
      <c r="V945" s="9"/>
    </row>
    <row r="946" spans="22:22" ht="12.75" customHeight="1" x14ac:dyDescent="0.2">
      <c r="V946" s="9"/>
    </row>
    <row r="947" spans="22:22" ht="12.75" customHeight="1" x14ac:dyDescent="0.2">
      <c r="V947" s="9"/>
    </row>
    <row r="948" spans="22:22" ht="12.75" customHeight="1" x14ac:dyDescent="0.2">
      <c r="V948" s="9"/>
    </row>
    <row r="949" spans="22:22" ht="12.75" customHeight="1" x14ac:dyDescent="0.2">
      <c r="V949" s="9"/>
    </row>
    <row r="950" spans="22:22" ht="12.75" customHeight="1" x14ac:dyDescent="0.2">
      <c r="V950" s="9"/>
    </row>
    <row r="951" spans="22:22" ht="12.75" customHeight="1" x14ac:dyDescent="0.2">
      <c r="V951" s="9"/>
    </row>
    <row r="952" spans="22:22" ht="12.75" customHeight="1" x14ac:dyDescent="0.2">
      <c r="V952" s="9"/>
    </row>
    <row r="953" spans="22:22" ht="12.75" customHeight="1" x14ac:dyDescent="0.2">
      <c r="V953" s="9"/>
    </row>
    <row r="954" spans="22:22" ht="12.75" customHeight="1" x14ac:dyDescent="0.2">
      <c r="V954" s="9"/>
    </row>
    <row r="955" spans="22:22" ht="12.75" customHeight="1" x14ac:dyDescent="0.2">
      <c r="V955" s="9"/>
    </row>
    <row r="956" spans="22:22" ht="12.75" customHeight="1" x14ac:dyDescent="0.2">
      <c r="V956" s="9"/>
    </row>
    <row r="957" spans="22:22" ht="12.75" customHeight="1" x14ac:dyDescent="0.2">
      <c r="V957" s="9"/>
    </row>
    <row r="958" spans="22:22" ht="12.75" customHeight="1" x14ac:dyDescent="0.2">
      <c r="V958" s="9"/>
    </row>
    <row r="959" spans="22:22" ht="12.75" customHeight="1" x14ac:dyDescent="0.2">
      <c r="V959" s="9"/>
    </row>
    <row r="960" spans="22:22" ht="12.75" customHeight="1" x14ac:dyDescent="0.2">
      <c r="V960" s="9"/>
    </row>
    <row r="961" spans="22:22" ht="12.75" customHeight="1" x14ac:dyDescent="0.2">
      <c r="V961" s="9"/>
    </row>
    <row r="962" spans="22:22" ht="12.75" customHeight="1" x14ac:dyDescent="0.2">
      <c r="V962" s="9"/>
    </row>
    <row r="963" spans="22:22" ht="12.75" customHeight="1" x14ac:dyDescent="0.2">
      <c r="V963" s="9"/>
    </row>
    <row r="964" spans="22:22" ht="12.75" customHeight="1" x14ac:dyDescent="0.2">
      <c r="V964" s="9"/>
    </row>
    <row r="965" spans="22:22" ht="12.75" customHeight="1" x14ac:dyDescent="0.2">
      <c r="V965" s="9"/>
    </row>
    <row r="966" spans="22:22" ht="12.75" customHeight="1" x14ac:dyDescent="0.2">
      <c r="V966" s="9"/>
    </row>
    <row r="967" spans="22:22" ht="12.75" customHeight="1" x14ac:dyDescent="0.2">
      <c r="V967" s="9"/>
    </row>
    <row r="968" spans="22:22" ht="12.75" customHeight="1" x14ac:dyDescent="0.2">
      <c r="V968" s="9"/>
    </row>
    <row r="969" spans="22:22" ht="12.75" customHeight="1" x14ac:dyDescent="0.2">
      <c r="V969" s="9"/>
    </row>
    <row r="970" spans="22:22" ht="12.75" customHeight="1" x14ac:dyDescent="0.2">
      <c r="V970" s="9"/>
    </row>
    <row r="971" spans="22:22" ht="12.75" customHeight="1" x14ac:dyDescent="0.2">
      <c r="V971" s="9"/>
    </row>
    <row r="972" spans="22:22" ht="12.75" customHeight="1" x14ac:dyDescent="0.2">
      <c r="V972" s="9"/>
    </row>
    <row r="973" spans="22:22" ht="12.75" customHeight="1" x14ac:dyDescent="0.2">
      <c r="V973" s="9"/>
    </row>
    <row r="974" spans="22:22" ht="12.75" customHeight="1" x14ac:dyDescent="0.2">
      <c r="V974" s="9"/>
    </row>
    <row r="975" spans="22:22" ht="12.75" customHeight="1" x14ac:dyDescent="0.2">
      <c r="V975" s="9"/>
    </row>
    <row r="976" spans="22:22" ht="12.75" customHeight="1" x14ac:dyDescent="0.2">
      <c r="V976" s="9"/>
    </row>
    <row r="977" spans="22:22" ht="12.75" customHeight="1" x14ac:dyDescent="0.2">
      <c r="V977" s="9"/>
    </row>
    <row r="978" spans="22:22" ht="12.75" customHeight="1" x14ac:dyDescent="0.2">
      <c r="V978" s="9"/>
    </row>
    <row r="979" spans="22:22" ht="12.75" customHeight="1" x14ac:dyDescent="0.2">
      <c r="V979" s="9"/>
    </row>
    <row r="980" spans="22:22" ht="12.75" customHeight="1" x14ac:dyDescent="0.2">
      <c r="V980" s="9"/>
    </row>
    <row r="981" spans="22:22" ht="12.75" customHeight="1" x14ac:dyDescent="0.2">
      <c r="V981" s="9"/>
    </row>
    <row r="982" spans="22:22" ht="12.75" customHeight="1" x14ac:dyDescent="0.2">
      <c r="V982" s="9"/>
    </row>
    <row r="983" spans="22:22" ht="12.75" customHeight="1" x14ac:dyDescent="0.2">
      <c r="V983" s="9"/>
    </row>
    <row r="984" spans="22:22" ht="12.75" customHeight="1" x14ac:dyDescent="0.2">
      <c r="V984" s="9"/>
    </row>
    <row r="985" spans="22:22" ht="12.75" customHeight="1" x14ac:dyDescent="0.2">
      <c r="V985" s="9"/>
    </row>
    <row r="986" spans="22:22" ht="12.75" customHeight="1" x14ac:dyDescent="0.2">
      <c r="V986" s="9"/>
    </row>
    <row r="987" spans="22:22" ht="12.75" customHeight="1" x14ac:dyDescent="0.2">
      <c r="V987" s="9"/>
    </row>
    <row r="988" spans="22:22" ht="12.75" customHeight="1" x14ac:dyDescent="0.2">
      <c r="V988" s="9"/>
    </row>
    <row r="989" spans="22:22" ht="12.75" customHeight="1" x14ac:dyDescent="0.2">
      <c r="V989" s="9"/>
    </row>
    <row r="990" spans="22:22" ht="12.75" customHeight="1" x14ac:dyDescent="0.2">
      <c r="V990" s="9"/>
    </row>
    <row r="991" spans="22:22" ht="12.75" customHeight="1" x14ac:dyDescent="0.2">
      <c r="V991" s="9"/>
    </row>
    <row r="992" spans="22:22" ht="12.75" customHeight="1" x14ac:dyDescent="0.2">
      <c r="V992" s="9"/>
    </row>
    <row r="993" spans="22:22" ht="12.75" customHeight="1" x14ac:dyDescent="0.2">
      <c r="V993" s="9"/>
    </row>
    <row r="994" spans="22:22" ht="12.75" customHeight="1" x14ac:dyDescent="0.2">
      <c r="V994" s="9"/>
    </row>
    <row r="995" spans="22:22" ht="12.75" customHeight="1" x14ac:dyDescent="0.2">
      <c r="V995" s="9"/>
    </row>
    <row r="996" spans="22:22" ht="12.75" customHeight="1" x14ac:dyDescent="0.2">
      <c r="V996" s="9"/>
    </row>
    <row r="997" spans="22:22" ht="12.75" customHeight="1" x14ac:dyDescent="0.2">
      <c r="V997" s="9"/>
    </row>
    <row r="998" spans="22:22" ht="12.75" customHeight="1" x14ac:dyDescent="0.2">
      <c r="V998" s="9"/>
    </row>
    <row r="999" spans="22:22" ht="12.75" customHeight="1" x14ac:dyDescent="0.2">
      <c r="V999" s="9"/>
    </row>
    <row r="1000" spans="22:22" ht="12.75" customHeight="1" x14ac:dyDescent="0.2">
      <c r="V1000" s="9"/>
    </row>
    <row r="1001" spans="22:22" ht="12.75" customHeight="1" x14ac:dyDescent="0.2">
      <c r="V1001" s="9"/>
    </row>
  </sheetData>
  <conditionalFormatting sqref="Z3:Z19 Z21 Z28:Z42 Z44">
    <cfRule type="cellIs" dxfId="3" priority="3" operator="equal">
      <formula>"="</formula>
    </cfRule>
  </conditionalFormatting>
  <conditionalFormatting sqref="Z3:Z19 Z21 Z28:Z42 Z44">
    <cfRule type="cellIs" dxfId="2" priority="4" operator="equal">
      <formula>"-"</formula>
    </cfRule>
  </conditionalFormatting>
  <conditionalFormatting sqref="B45 AB45">
    <cfRule type="iconSet" priority="1">
      <iconSet iconSet="3Arrows">
        <cfvo type="percent" val="0"/>
        <cfvo type="percent" val="33"/>
        <cfvo type="percent" val="67"/>
      </iconSet>
    </cfRule>
  </conditionalFormatting>
  <dataValidations count="16">
    <dataValidation type="list" allowBlank="1" showErrorMessage="1" sqref="B5 AB5 B28 AB28" xr:uid="{00000000-0002-0000-0100-000000000000}">
      <formula1>AmmoList</formula1>
    </dataValidation>
    <dataValidation type="list" allowBlank="1" showErrorMessage="1" sqref="B7 AB7 B30 AB30" xr:uid="{00000000-0002-0000-0100-000001000000}">
      <formula1>NeckList</formula1>
    </dataValidation>
    <dataValidation type="list" allowBlank="1" showErrorMessage="1" sqref="B3 AB3" xr:uid="{00000000-0002-0000-0100-000002000000}">
      <formula1>MainList1</formula1>
    </dataValidation>
    <dataValidation type="list" allowBlank="1" showErrorMessage="1" sqref="B6 AB6 B29 AB29" xr:uid="{00000000-0002-0000-0100-000003000000}">
      <formula1>HeadList</formula1>
    </dataValidation>
    <dataValidation type="list" allowBlank="1" showErrorMessage="1" sqref="B11 AB11 B34 AB34" xr:uid="{00000000-0002-0000-0100-000004000000}">
      <formula1>HandsList</formula1>
    </dataValidation>
    <dataValidation type="list" allowBlank="1" showErrorMessage="1" sqref="AA4" xr:uid="{00000000-0002-0000-0100-000005000000}">
      <formula1>INDIRECT("Sub"&amp;VLOOKUP($AA$3, MainWeaponGroup, 2, 0)&amp;"Weapons")</formula1>
    </dataValidation>
    <dataValidation type="list" allowBlank="1" showErrorMessage="1" sqref="B8:B9 AB8:AB9 B31:B32 AB31:AB32" xr:uid="{00000000-0002-0000-0100-000006000000}">
      <formula1>EarringList</formula1>
    </dataValidation>
    <dataValidation type="list" allowBlank="1" showErrorMessage="1" sqref="A3 AA3" xr:uid="{00000000-0002-0000-0100-000007000000}">
      <formula1>MainWeapons</formula1>
    </dataValidation>
    <dataValidation type="list" allowBlank="1" showErrorMessage="1" sqref="B16 AB16 B39 AB39" xr:uid="{00000000-0002-0000-0100-000008000000}">
      <formula1>LegsList</formula1>
    </dataValidation>
    <dataValidation type="list" allowBlank="1" showErrorMessage="1" sqref="B14 AB14 B37 AB37" xr:uid="{00000000-0002-0000-0100-000009000000}">
      <formula1>BackList</formula1>
    </dataValidation>
    <dataValidation type="list" allowBlank="1" showErrorMessage="1" sqref="B12:B13 AB12:AB13 B35:B36 AB35:AB36" xr:uid="{00000000-0002-0000-0100-00000A000000}">
      <formula1>RingList</formula1>
    </dataValidation>
    <dataValidation type="list" allowBlank="1" showErrorMessage="1" sqref="A4" xr:uid="{00000000-0002-0000-0100-00000B000000}">
      <formula1>INDIRECT("Sub"&amp;VLOOKUP($A$3, MainWeaponGroup, 2, 0)&amp;"Weapons")</formula1>
    </dataValidation>
    <dataValidation type="list" allowBlank="1" showErrorMessage="1" sqref="B4 AB4" xr:uid="{00000000-0002-0000-0100-00000C000000}">
      <formula1>SubList1</formula1>
    </dataValidation>
    <dataValidation type="list" allowBlank="1" showErrorMessage="1" sqref="B10 AB10 B33 AB33" xr:uid="{00000000-0002-0000-0100-00000D000000}">
      <formula1>BodyList</formula1>
    </dataValidation>
    <dataValidation type="list" allowBlank="1" showErrorMessage="1" sqref="B15 AB15 B38 AB38" xr:uid="{00000000-0002-0000-0100-00000E000000}">
      <formula1>WaistList</formula1>
    </dataValidation>
    <dataValidation type="list" allowBlank="1" showErrorMessage="1" sqref="B17 AB17 B40 AB40" xr:uid="{00000000-0002-0000-0100-00000F000000}">
      <formula1>FeetList</formula1>
    </dataValidation>
  </dataValidation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CFFFF"/>
  </sheetPr>
  <dimension ref="A1:P1000"/>
  <sheetViews>
    <sheetView workbookViewId="0">
      <selection activeCell="P8" sqref="P8"/>
    </sheetView>
  </sheetViews>
  <sheetFormatPr defaultColWidth="14.42578125" defaultRowHeight="15" customHeight="1" x14ac:dyDescent="0.2"/>
  <cols>
    <col min="1" max="1" width="18.7109375" customWidth="1"/>
    <col min="2" max="4" width="10.7109375" customWidth="1"/>
    <col min="5" max="5" width="11.42578125" customWidth="1"/>
    <col min="6" max="6" width="10.7109375" customWidth="1"/>
    <col min="7" max="7" width="11.5703125" customWidth="1"/>
    <col min="8" max="8" width="11.7109375" customWidth="1"/>
    <col min="9" max="9" width="10.7109375" customWidth="1"/>
    <col min="10" max="10" width="17.85546875" customWidth="1"/>
    <col min="11" max="12" width="16.42578125" customWidth="1"/>
    <col min="13" max="13" width="13" customWidth="1"/>
    <col min="14" max="14" width="19.42578125" customWidth="1"/>
    <col min="15" max="15" width="16.28515625" customWidth="1"/>
    <col min="16" max="26" width="8.7109375" customWidth="1"/>
  </cols>
  <sheetData>
    <row r="1" spans="1:16" ht="12.75" customHeight="1" x14ac:dyDescent="0.2">
      <c r="A1" t="str">
        <f>Setup!B3</f>
        <v>Hume</v>
      </c>
      <c r="B1">
        <f>Setup!B4</f>
        <v>99</v>
      </c>
      <c r="C1" s="1" t="s">
        <v>222</v>
      </c>
      <c r="D1" t="str">
        <f>Setup!B5</f>
        <v>Drk</v>
      </c>
      <c r="E1" t="str">
        <f>Setup!B6</f>
        <v>None</v>
      </c>
      <c r="K1" t="s">
        <v>4</v>
      </c>
      <c r="L1" t="str">
        <f>Setup!N1</f>
        <v>NM iLvl 140 (Theorized)</v>
      </c>
      <c r="O1" s="1" t="s">
        <v>0</v>
      </c>
      <c r="P1" s="1" t="s">
        <v>1</v>
      </c>
    </row>
    <row r="2" spans="1:16" ht="12.75" customHeight="1" x14ac:dyDescent="0.2">
      <c r="B2" t="s">
        <v>223</v>
      </c>
      <c r="C2" t="s">
        <v>19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  <c r="K2" t="s">
        <v>11</v>
      </c>
      <c r="L2">
        <f>Setup!N3</f>
        <v>140</v>
      </c>
      <c r="N2" t="s">
        <v>230</v>
      </c>
      <c r="O2" s="10">
        <v>-0.1</v>
      </c>
      <c r="P2" s="10">
        <v>-0.1</v>
      </c>
    </row>
    <row r="3" spans="1:16" ht="12.75" customHeight="1" x14ac:dyDescent="0.2">
      <c r="A3" t="s">
        <v>30</v>
      </c>
      <c r="B3">
        <f>HLOOKUP(A3, PlayerStats, 2, 0) + Setup!B9</f>
        <v>106</v>
      </c>
      <c r="C3" s="16">
        <f t="shared" ref="C3:C9" si="0">IF(ISBLANK($E$1), 0, VLOOKUP($E$1, Food, MATCH(A3, FoodHeader, 0), 0))</f>
        <v>0</v>
      </c>
      <c r="D3">
        <f>IF(Setup!F$24=1, Setup!F$25, 0)</f>
        <v>0</v>
      </c>
      <c r="E3">
        <f>IF(Setup!G$24=1, Setup!G$25, 0)</f>
        <v>0</v>
      </c>
      <c r="F3" s="16">
        <f>IF(Setup!F$24=1, IF(ISBLANK($K$16),0,VLOOKUP($K$16,AtmaList,MATCH($A3,AtmaHeader,0), 0))+IF(ISBLANK($K$17),0,VLOOKUP($K$17,AtmaList,MATCH($A3,AtmaHeader,0), 0))+IF(ISBLANK($K$18),0,VLOOKUP($K$18,AtmaList,MATCH($A3,AtmaHeader,0), 0)), 0)</f>
        <v>0</v>
      </c>
      <c r="G3" s="16">
        <f>IF(Setup!G$24=1, IF(ISBLANK($L$16),0,VLOOKUP($L$16,AtmaList,MATCH($A3,AtmaHeader,0), 0))+IF(ISBLANK($L$17),0,VLOOKUP($L$17,AtmaList,MATCH($A3,AtmaHeader,0), 0))+IF(ISBLANK($L$18),0,VLOOKUP($L$18,AtmaList,MATCH($A3,AtmaHeader,0), 0)), 0)</f>
        <v>0</v>
      </c>
      <c r="H3" s="16">
        <f t="shared" ref="H3:H9" si="1">B3+C3+D3+F3</f>
        <v>106</v>
      </c>
      <c r="I3" s="16">
        <f t="shared" ref="I3:I9" si="2">B3+C3+E3+G3</f>
        <v>106</v>
      </c>
      <c r="K3" t="s">
        <v>14</v>
      </c>
      <c r="L3">
        <f>Setup!N4</f>
        <v>1800</v>
      </c>
      <c r="N3" t="s">
        <v>231</v>
      </c>
      <c r="O3" s="28">
        <f>_xlfn.FLOOR.MATH(Setup!$N$4*O2)</f>
        <v>-180</v>
      </c>
      <c r="P3" s="28">
        <f>_xlfn.FLOOR.MATH(Setup!$N$4*P2)</f>
        <v>-180</v>
      </c>
    </row>
    <row r="4" spans="1:16" ht="12.75" customHeight="1" x14ac:dyDescent="0.2">
      <c r="A4" t="s">
        <v>33</v>
      </c>
      <c r="B4">
        <f>HLOOKUP(A4, PlayerStats, 2, 0) + Setup!B10</f>
        <v>98</v>
      </c>
      <c r="C4" s="16">
        <f t="shared" si="0"/>
        <v>0</v>
      </c>
      <c r="D4">
        <f>IF(Setup!F$24=1, Setup!F$25, 0)</f>
        <v>0</v>
      </c>
      <c r="E4">
        <f>IF(Setup!G$24=1, Setup!G$25, 0)</f>
        <v>0</v>
      </c>
      <c r="F4" s="16">
        <f>IF(Setup!F$24=1, IF(ISBLANK($K$16),0,VLOOKUP($K$16,AtmaList,MATCH($A4,AtmaHeader,0), 0))+IF(ISBLANK($K$17),0,VLOOKUP($K$17,AtmaList,MATCH($A4,AtmaHeader,0), 0))+IF(ISBLANK($K$18),0,VLOOKUP($K$18,AtmaList,MATCH($A4,AtmaHeader,0), 0)), 0)</f>
        <v>0</v>
      </c>
      <c r="G4" s="16">
        <f>IF(Setup!G$24=1, IF(ISBLANK($L$16),0,VLOOKUP($L$16,AtmaList,MATCH($A4,AtmaHeader,0), 0))+IF(ISBLANK($L$17),0,VLOOKUP($L$17,AtmaList,MATCH($A4,AtmaHeader,0), 0))+IF(ISBLANK($L$18),0,VLOOKUP($L$18,AtmaList,MATCH($A4,AtmaHeader,0), 0)), 0)</f>
        <v>0</v>
      </c>
      <c r="H4" s="16">
        <f t="shared" si="1"/>
        <v>98</v>
      </c>
      <c r="I4" s="16">
        <f t="shared" si="2"/>
        <v>98</v>
      </c>
      <c r="K4" t="s">
        <v>22</v>
      </c>
      <c r="L4">
        <f>Setup!N6</f>
        <v>1500</v>
      </c>
      <c r="N4" s="13" t="s">
        <v>146</v>
      </c>
      <c r="O4" s="29">
        <f>IF(OR(Setup!J$51=$N4,Setup!J$52=$N4),VLOOKUP($N4, Geomancy, MATCH(VLOOKUP("Geomancy+", Geo, 2, 0), GeomancyHeaders, 0), 0),0)</f>
        <v>0</v>
      </c>
      <c r="P4" s="29">
        <f>IF(OR(Setup!K$51=$N4,Setup!K$52=$N4),VLOOKUP($N4, Geomancy, MATCH(VLOOKUP("Geomancy+", Geo, 3, 0), GeomancyHeaders, 0), 0),0)</f>
        <v>0</v>
      </c>
    </row>
    <row r="5" spans="1:16" ht="12.75" customHeight="1" x14ac:dyDescent="0.2">
      <c r="A5" t="s">
        <v>32</v>
      </c>
      <c r="B5">
        <f>HLOOKUP(A5, PlayerStats, 2, 0)</f>
        <v>87</v>
      </c>
      <c r="C5" s="16">
        <f t="shared" si="0"/>
        <v>0</v>
      </c>
      <c r="D5">
        <f>IF(Setup!F$24=1, Setup!F$25, 0)</f>
        <v>0</v>
      </c>
      <c r="E5">
        <f>IF(Setup!G$24=1, Setup!G$25, 0)</f>
        <v>0</v>
      </c>
      <c r="F5" s="16">
        <f>IF(Setup!F$24=1, IF(ISBLANK($K$16),0,VLOOKUP($K$16,AtmaList,MATCH($A5,AtmaHeader,0), 0))+IF(ISBLANK($K$17),0,VLOOKUP($K$17,AtmaList,MATCH($A5,AtmaHeader,0), 0))+IF(ISBLANK($K$18),0,VLOOKUP($K$18,AtmaList,MATCH($A5,AtmaHeader,0), 0)), 0)</f>
        <v>0</v>
      </c>
      <c r="G5" s="16">
        <f>IF(Setup!G$24=1, IF(ISBLANK($L$16),0,VLOOKUP($L$16,AtmaList,MATCH($A5,AtmaHeader,0), 0))+IF(ISBLANK($L$17),0,VLOOKUP($L$17,AtmaList,MATCH($A5,AtmaHeader,0), 0))+IF(ISBLANK($L$18),0,VLOOKUP($L$18,AtmaList,MATCH($A5,AtmaHeader,0), 0)), 0)</f>
        <v>0</v>
      </c>
      <c r="H5" s="16">
        <f t="shared" si="1"/>
        <v>87</v>
      </c>
      <c r="I5" s="16">
        <f t="shared" si="2"/>
        <v>87</v>
      </c>
      <c r="K5" t="s">
        <v>32</v>
      </c>
      <c r="L5">
        <f>Setup!N9</f>
        <v>325</v>
      </c>
      <c r="N5" t="s">
        <v>232</v>
      </c>
      <c r="O5" s="28">
        <f>_xlfn.FLOOR.MATH((Setup!$N$4+O3)*O4)</f>
        <v>0</v>
      </c>
      <c r="P5" s="28">
        <f>_xlfn.FLOOR.MATH((Setup!$N$4+P3)*P4)</f>
        <v>0</v>
      </c>
    </row>
    <row r="6" spans="1:16" ht="12.75" customHeight="1" x14ac:dyDescent="0.2">
      <c r="A6" t="s">
        <v>29</v>
      </c>
      <c r="B6">
        <f>HLOOKUP(A6, PlayerStats, 2, 0)</f>
        <v>83</v>
      </c>
      <c r="C6" s="16">
        <f t="shared" si="0"/>
        <v>0</v>
      </c>
      <c r="D6">
        <f>IF(Setup!F$24=1, Setup!F$25, 0)</f>
        <v>0</v>
      </c>
      <c r="E6">
        <f>IF(Setup!G$24=1, Setup!G$25, 0)</f>
        <v>0</v>
      </c>
      <c r="F6" s="16">
        <f>IF(Setup!F$24=1, IF(ISBLANK($K$16),0,VLOOKUP($K$16,AtmaList,MATCH($A6,AtmaHeader,0), 0))+IF(ISBLANK($K$17),0,VLOOKUP($K$17,AtmaList,MATCH($A6,AtmaHeader,0), 0))+IF(ISBLANK($K$18),0,VLOOKUP($K$18,AtmaList,MATCH($A6,AtmaHeader,0), 0)), 0)</f>
        <v>0</v>
      </c>
      <c r="G6" s="16">
        <f>IF(Setup!G$24=1, IF(ISBLANK($L$16),0,VLOOKUP($L$16,AtmaList,MATCH($A6,AtmaHeader,0), 0))+IF(ISBLANK($L$17),0,VLOOKUP($L$17,AtmaList,MATCH($A6,AtmaHeader,0), 0))+IF(ISBLANK($L$18),0,VLOOKUP($L$18,AtmaList,MATCH($A6,AtmaHeader,0), 0)), 0)</f>
        <v>0</v>
      </c>
      <c r="H6" s="16">
        <f t="shared" si="1"/>
        <v>83</v>
      </c>
      <c r="I6" s="16">
        <f t="shared" si="2"/>
        <v>83</v>
      </c>
      <c r="K6" t="s">
        <v>29</v>
      </c>
      <c r="L6">
        <f>Setup!N8</f>
        <v>325</v>
      </c>
      <c r="N6" t="s">
        <v>18</v>
      </c>
      <c r="O6" s="3">
        <f>Setup!$N$4+O3+O5</f>
        <v>1620</v>
      </c>
      <c r="P6" s="3">
        <f>Setup!$N$4+P3+P5</f>
        <v>1620</v>
      </c>
    </row>
    <row r="7" spans="1:16" ht="12.75" customHeight="1" x14ac:dyDescent="0.2">
      <c r="A7" t="s">
        <v>153</v>
      </c>
      <c r="B7">
        <f>HLOOKUP(A7, PlayerStats, 2, 0)</f>
        <v>89</v>
      </c>
      <c r="C7" s="16">
        <f t="shared" si="0"/>
        <v>0</v>
      </c>
      <c r="D7">
        <f>IF(Setup!F$24=1, Setup!F$25, 0)</f>
        <v>0</v>
      </c>
      <c r="E7">
        <f>IF(Setup!G$24=1, Setup!G$25, 0)</f>
        <v>0</v>
      </c>
      <c r="F7" s="16">
        <f>IF(Setup!F$24=1, IF(ISBLANK($K$16),0,VLOOKUP($K$16,AtmaList,MATCH($A7,AtmaHeader,0), 0))+IF(ISBLANK($K$17),0,VLOOKUP($K$17,AtmaList,MATCH($A7,AtmaHeader,0), 0))+IF(ISBLANK($K$18),0,VLOOKUP($K$18,AtmaList,MATCH($A7,AtmaHeader,0), 0)), 0)</f>
        <v>0</v>
      </c>
      <c r="G7" s="16">
        <f>IF(Setup!G$24=1, IF(ISBLANK($L$16),0,VLOOKUP($L$16,AtmaList,MATCH($A7,AtmaHeader,0), 0))+IF(ISBLANK($L$17),0,VLOOKUP($L$17,AtmaList,MATCH($A7,AtmaHeader,0), 0))+IF(ISBLANK($L$18),0,VLOOKUP($L$18,AtmaList,MATCH($A7,AtmaHeader,0), 0)), 0)</f>
        <v>0</v>
      </c>
      <c r="H7" s="16">
        <f t="shared" si="1"/>
        <v>89</v>
      </c>
      <c r="I7" s="16">
        <f t="shared" si="2"/>
        <v>89</v>
      </c>
      <c r="K7" t="s">
        <v>36</v>
      </c>
      <c r="L7" s="9">
        <f>Setup!N10</f>
        <v>0</v>
      </c>
      <c r="N7" s="30" t="s">
        <v>233</v>
      </c>
      <c r="O7" s="31">
        <f>IF(OR(Setup!J$51=$N7,Setup!J$52=$N7),VLOOKUP($N7, Geomancy, MATCH(VLOOKUP("Geomancy+", Geo, 2, 0), GeomancyHeaders, 0), 0),0)</f>
        <v>0</v>
      </c>
      <c r="P7" s="31">
        <f>IF(OR(Setup!K$51=$N7,Setup!K$52=$N7),VLOOKUP($N7, Geomancy, MATCH(VLOOKUP("Geomancy+", Geo, 3, 0), GeomancyHeaders, 0), 0),0)</f>
        <v>0</v>
      </c>
    </row>
    <row r="8" spans="1:16" ht="12.75" customHeight="1" x14ac:dyDescent="0.2">
      <c r="A8" t="s">
        <v>154</v>
      </c>
      <c r="B8">
        <f>HLOOKUP(A8, PlayerStats, 2, 0)</f>
        <v>83</v>
      </c>
      <c r="C8" s="16">
        <f t="shared" si="0"/>
        <v>0</v>
      </c>
      <c r="D8">
        <f>IF(Setup!F$24=1, Setup!F$25, 0)</f>
        <v>0</v>
      </c>
      <c r="E8">
        <f>IF(Setup!G$24=1, Setup!G$25, 0)</f>
        <v>0</v>
      </c>
      <c r="F8" s="16">
        <f>IF(Setup!F$24=1, IF(ISBLANK($K$16),0,VLOOKUP($K$16,AtmaList,MATCH($A8,AtmaHeader,0), 0))+IF(ISBLANK($K$17),0,VLOOKUP($K$17,AtmaList,MATCH($A8,AtmaHeader,0), 0))+IF(ISBLANK($K$18),0,VLOOKUP($K$18,AtmaList,MATCH($A8,AtmaHeader,0), 0)), 0)</f>
        <v>0</v>
      </c>
      <c r="G8" s="16">
        <f>IF(Setup!G$24=1, IF(ISBLANK($L$16),0,VLOOKUP($L$16,AtmaList,MATCH($A8,AtmaHeader,0), 0))+IF(ISBLANK($L$17),0,VLOOKUP($L$17,AtmaList,MATCH($A8,AtmaHeader,0), 0))+IF(ISBLANK($L$18),0,VLOOKUP($L$18,AtmaList,MATCH($A8,AtmaHeader,0), 0)), 0)</f>
        <v>0</v>
      </c>
      <c r="H8" s="16">
        <f t="shared" si="1"/>
        <v>83</v>
      </c>
      <c r="I8" s="16">
        <f t="shared" si="2"/>
        <v>83</v>
      </c>
      <c r="K8" t="s">
        <v>40</v>
      </c>
      <c r="L8" s="9">
        <f>Setup!N11</f>
        <v>0</v>
      </c>
      <c r="N8" t="s">
        <v>25</v>
      </c>
      <c r="O8" s="8">
        <f>Setup!$N$8+O7</f>
        <v>325</v>
      </c>
      <c r="P8" s="8">
        <f>Setup!$N$5+P7</f>
        <v>1620</v>
      </c>
    </row>
    <row r="9" spans="1:16" ht="12.75" customHeight="1" x14ac:dyDescent="0.2">
      <c r="A9" t="s">
        <v>37</v>
      </c>
      <c r="B9">
        <f>HLOOKUP(A9, PlayerStats, 2, 0) + Setup!B11</f>
        <v>1754</v>
      </c>
      <c r="C9" s="16">
        <f t="shared" si="0"/>
        <v>0</v>
      </c>
      <c r="D9">
        <f>IF(Setup!F$24=1, Setup!F$25, 0)</f>
        <v>0</v>
      </c>
      <c r="E9">
        <f>IF(Setup!G$24=1, Setup!G$25, 0)</f>
        <v>0</v>
      </c>
      <c r="F9" s="16">
        <f>IF(Setup!F$24=1, IF(ISBLANK($K$16),0,VLOOKUP($K$16,AtmaList,MATCH($A9,AtmaHeader,0), 0))+IF(ISBLANK($K$17),0,VLOOKUP($K$17,AtmaList,MATCH($A9,AtmaHeader,0), 0))+IF(ISBLANK($K$18),0,VLOOKUP($K$18,AtmaList,MATCH($A9,AtmaHeader,0), 0)), 0)</f>
        <v>0</v>
      </c>
      <c r="G9" s="16">
        <f>IF(Setup!G$24=1, IF(ISBLANK($L$16),0,VLOOKUP($L$16,AtmaList,MATCH($A9,AtmaHeader,0), 0))+IF(ISBLANK($L$17),0,VLOOKUP($L$17,AtmaList,MATCH($A9,AtmaHeader,0), 0))+IF(ISBLANK($L$18),0,VLOOKUP($L$18,AtmaList,MATCH($A9,AtmaHeader,0), 0)), 0)</f>
        <v>0</v>
      </c>
      <c r="H9" s="16">
        <f t="shared" si="1"/>
        <v>1754</v>
      </c>
      <c r="I9" s="16">
        <f t="shared" si="2"/>
        <v>1754</v>
      </c>
    </row>
    <row r="10" spans="1:16" ht="12.75" customHeight="1" x14ac:dyDescent="0.2"/>
    <row r="11" spans="1:16" ht="12.75" customHeight="1" x14ac:dyDescent="0.2">
      <c r="A11" t="s">
        <v>19</v>
      </c>
      <c r="B11" s="3" t="s">
        <v>234</v>
      </c>
      <c r="C11" t="s">
        <v>235</v>
      </c>
      <c r="D11" t="s">
        <v>236</v>
      </c>
      <c r="E11" t="s">
        <v>226</v>
      </c>
      <c r="F11" t="s">
        <v>227</v>
      </c>
      <c r="K11" t="s">
        <v>237</v>
      </c>
      <c r="L11" s="9">
        <f>IF(D1="Nin", 25%, IF(D1="Dnc", 15%, 0))</f>
        <v>0</v>
      </c>
    </row>
    <row r="12" spans="1:16" ht="12.75" customHeight="1" x14ac:dyDescent="0.2">
      <c r="A12" t="s">
        <v>156</v>
      </c>
      <c r="B12" s="9">
        <f>IF(ISBLANK($E$1), 0, VLOOKUP($E$1, Food, MATCH("Att Mult", FoodHeader, 0), 0))</f>
        <v>0</v>
      </c>
      <c r="C12" s="3">
        <f>IF(ISBLANK($E$1), 0, VLOOKUP($E$1, Food, MATCH("Att Mult Cap", FoodHeader, 0), 0))</f>
        <v>0</v>
      </c>
      <c r="D12" s="3">
        <f>IF(ISBLANK($E$1), 0, VLOOKUP($E$1, Food, MATCH("Att Add", FoodHeader, 0), 0))</f>
        <v>0</v>
      </c>
      <c r="E12" s="16">
        <f>IF(Setup!F$24=1, IF(ISBLANK($K$16),0,VLOOKUP($K$16,AtmaList,MATCH($A12,AtmaHeader,0), 0))+IF(ISBLANK($K$17),0,VLOOKUP($K$17,AtmaList,MATCH($A12,AtmaHeader,0), 0))+IF(ISBLANK($K$18),0,VLOOKUP($K$18,AtmaList,MATCH($A12,AtmaHeader,0), 0)), 0)</f>
        <v>0</v>
      </c>
      <c r="F12" s="16">
        <f>IF(Setup!G$24=1, IF(ISBLANK($K$16),0,VLOOKUP($K$16,AtmaList,MATCH($A12,AtmaHeader,0), 0))+IF(ISBLANK($K$17),0,VLOOKUP($K$17,AtmaList,MATCH($A12,AtmaHeader,0), 0))+IF(ISBLANK($K$18),0,VLOOKUP($K$18,AtmaList,MATCH($A12,AtmaHeader,0), 0)), 0)</f>
        <v>0</v>
      </c>
      <c r="G12" t="s">
        <v>238</v>
      </c>
      <c r="H12">
        <f>IF(D1="War", 10, IF(D1="Drk", 22, 0))</f>
        <v>22</v>
      </c>
      <c r="L12" s="9"/>
    </row>
    <row r="13" spans="1:16" ht="12.75" customHeight="1" x14ac:dyDescent="0.2">
      <c r="A13" t="s">
        <v>120</v>
      </c>
      <c r="B13" s="9">
        <f>IF(ISBLANK($E$1), 0, VLOOKUP($E$1, Food, MATCH("Acc Mult", FoodHeader, 0), 0))</f>
        <v>0</v>
      </c>
      <c r="C13" s="3">
        <f>IF(ISBLANK($E$1), 0, VLOOKUP($E$1, Food, MATCH("Acc Mult Cap", FoodHeader, 0), 0))</f>
        <v>0</v>
      </c>
      <c r="D13" s="3">
        <f>IF(ISBLANK($E$1), 0, VLOOKUP($E$1, Food, MATCH("Acc Add", FoodHeader, 0), 0))</f>
        <v>0</v>
      </c>
      <c r="E13" s="16">
        <f>IF(Setup!F$24=1, IF(ISBLANK($K$16),0,VLOOKUP($K$16,AtmaList,MATCH($A13,AtmaHeader,0), 0))+IF(ISBLANK($K$17),0,VLOOKUP($K$17,AtmaList,MATCH($A13,AtmaHeader,0), 0))+IF(ISBLANK($K$18),0,VLOOKUP($K$18,AtmaList,MATCH($A13,AtmaHeader,0), 0)), 0)</f>
        <v>0</v>
      </c>
      <c r="F13" s="16">
        <f>IF(Setup!G$24=1, IF(ISBLANK($K$16),0,VLOOKUP($K$16,AtmaList,MATCH($A13,AtmaHeader,0), 0))+IF(ISBLANK($K$17),0,VLOOKUP($K$17,AtmaList,MATCH($A13,AtmaHeader,0), 0))+IF(ISBLANK($K$18),0,VLOOKUP($K$18,AtmaList,MATCH($A13,AtmaHeader,0), 0)), 0)</f>
        <v>0</v>
      </c>
      <c r="G13" t="s">
        <v>239</v>
      </c>
      <c r="H13">
        <f>IF(D1="Dnc", 10, 0)</f>
        <v>0</v>
      </c>
      <c r="L13" s="3"/>
    </row>
    <row r="14" spans="1:16" ht="12.75" customHeight="1" x14ac:dyDescent="0.2">
      <c r="B14" s="9"/>
      <c r="C14" s="3"/>
      <c r="D14" s="3"/>
      <c r="E14" s="16"/>
      <c r="F14" s="16"/>
      <c r="L14" s="3"/>
    </row>
    <row r="15" spans="1:16" ht="12.75" customHeight="1" x14ac:dyDescent="0.2">
      <c r="E15" s="16"/>
      <c r="F15" s="3"/>
      <c r="G15" s="16"/>
      <c r="H15" s="16"/>
      <c r="K15" s="1" t="s">
        <v>240</v>
      </c>
      <c r="L15" s="1" t="s">
        <v>241</v>
      </c>
    </row>
    <row r="16" spans="1:16" ht="12.75" customHeight="1" x14ac:dyDescent="0.2">
      <c r="B16" s="9" t="s">
        <v>242</v>
      </c>
      <c r="C16" s="16" t="s">
        <v>226</v>
      </c>
      <c r="D16" s="16" t="s">
        <v>227</v>
      </c>
      <c r="G16" t="s">
        <v>0</v>
      </c>
      <c r="H16" t="s">
        <v>1</v>
      </c>
      <c r="K16" s="3" t="str">
        <f>Setup!F26</f>
        <v>None</v>
      </c>
      <c r="L16" s="3" t="str">
        <f>Setup!G26</f>
        <v>None</v>
      </c>
    </row>
    <row r="17" spans="1:13" ht="12.75" customHeight="1" x14ac:dyDescent="0.2">
      <c r="A17" t="s">
        <v>158</v>
      </c>
      <c r="B17" s="9">
        <f>IF(D1="War", 10%, 0%)</f>
        <v>0</v>
      </c>
      <c r="C17" s="9">
        <f>IF(Setup!F$24=1, IF(ISBLANK($K$16),0,VLOOKUP($K$16,AtmaList,MATCH($A17,AtmaHeader,0), 0))+IF(ISBLANK($K$17),0,VLOOKUP($K$17,AtmaList,MATCH($A17,AtmaHeader,0), 0))+IF(ISBLANK($K$18),0,VLOOKUP($K$18,AtmaList,MATCH($A17,AtmaHeader,0), 0)), 0)</f>
        <v>0</v>
      </c>
      <c r="D17" s="9">
        <f>IF(Setup!G$24=1, IF(ISBLANK($L$16),0,VLOOKUP($L$16,AtmaList,MATCH($A17,AtmaHeader,0), 0))+IF(ISBLANK($L$17),0,VLOOKUP($L$17,AtmaList,MATCH($A17,AtmaHeader,0), 0))+IF(ISBLANK($L$18),0,VLOOKUP($L$18,AtmaList,MATCH($A17,AtmaHeader,0), 0)), 0)</f>
        <v>0</v>
      </c>
      <c r="F17" t="s">
        <v>243</v>
      </c>
      <c r="G17" t="str">
        <f>Gear!A3</f>
        <v>GreatSword</v>
      </c>
      <c r="H17" t="str">
        <f>Gear!AA3</f>
        <v>GreatSword</v>
      </c>
      <c r="K17" s="3" t="str">
        <f>Setup!F27</f>
        <v>None</v>
      </c>
      <c r="L17" s="3" t="str">
        <f>Setup!G27</f>
        <v>V. Violet</v>
      </c>
    </row>
    <row r="18" spans="1:13" ht="12.75" customHeight="1" x14ac:dyDescent="0.2">
      <c r="A18" t="s">
        <v>159</v>
      </c>
      <c r="B18" s="9">
        <f>0%</f>
        <v>0</v>
      </c>
      <c r="C18" s="9">
        <f>IF(Setup!F$24=1, IF(ISBLANK($K$16),0,VLOOKUP($K$16,AtmaList,MATCH($A18,AtmaHeader,0), 0))+IF(ISBLANK($K$17),0,VLOOKUP($K$17,AtmaList,MATCH($A18,AtmaHeader,0), 0))+IF(ISBLANK($K$18),0,VLOOKUP($K$18,AtmaList,MATCH($A18,AtmaHeader,0), 0)), 0)</f>
        <v>0</v>
      </c>
      <c r="D18" s="9">
        <f>IF(Setup!G$24=1, IF(ISBLANK($L$16),0,VLOOKUP($L$16,AtmaList,MATCH($A18,AtmaHeader,0), 0))+IF(ISBLANK($L$17),0,VLOOKUP($L$17,AtmaList,MATCH($A18,AtmaHeader,0), 0))+IF(ISBLANK($L$18),0,VLOOKUP($L$18,AtmaList,MATCH($A18,AtmaHeader,0), 0)), 0)</f>
        <v>0</v>
      </c>
      <c r="F18" t="s">
        <v>244</v>
      </c>
      <c r="G18">
        <f>VLOOKUP(G17, Skills, 3, 0)+VLOOKUP(G17, Skills, 4, 0)+5*(MAX(0, MIN(Data!$B$1-75, 5)))+6*(MAX(0, MIN(Data!$B$1-80, 10)))+7*(MAX(0,Data!$B$1-90)) + K21</f>
        <v>440</v>
      </c>
      <c r="H18">
        <f>VLOOKUP(H17, Skills, 3, 0)+VLOOKUP(H17, Skills, 4, 0)+5*(MAX(0, MIN(Data!$B$1-75, 5)))+6*(MAX(0, MIN(Data!$B$1-80, 10)))+7*(MAX(0,Data!$B$1-90)) + L21</f>
        <v>440</v>
      </c>
      <c r="K18" s="3" t="str">
        <f>Setup!F28</f>
        <v>None</v>
      </c>
      <c r="L18" s="3" t="str">
        <f>Setup!G28</f>
        <v>Apocolypse</v>
      </c>
    </row>
    <row r="19" spans="1:13" ht="12.75" customHeight="1" x14ac:dyDescent="0.2">
      <c r="A19" t="s">
        <v>245</v>
      </c>
      <c r="B19" s="9" t="s">
        <v>246</v>
      </c>
      <c r="C19" s="9">
        <f>IF(AND(D1="Sam", G17&lt;&gt;"Axe"), 25%, 0)</f>
        <v>0</v>
      </c>
      <c r="D19" s="9">
        <f>IF(AND(D1="Sam", H17&lt;&gt;"Axe"), 25%, 0)</f>
        <v>0</v>
      </c>
      <c r="F19" t="s">
        <v>247</v>
      </c>
      <c r="G19" s="3">
        <f ca="1">VLOOKUP(Gear!$B$3, INDIRECT(Gear!$A$3), MATCH("Dmg", StatHeader, 0), 0)</f>
        <v>305</v>
      </c>
      <c r="H19" s="3">
        <f ca="1">VLOOKUP(Gear!$AB$3, INDIRECT(Gear!$AA$3), MATCH("Dmg", StatHeader, 0), 0)</f>
        <v>305</v>
      </c>
    </row>
    <row r="20" spans="1:13" ht="12.75" customHeight="1" x14ac:dyDescent="0.2">
      <c r="A20" s="16" t="s">
        <v>248</v>
      </c>
      <c r="B20" s="9">
        <v>0</v>
      </c>
      <c r="C20" s="9">
        <f>IF(Setup!F$24=1, IF(ISBLANK($K$16),0,VLOOKUP($K$16,AtmaList,MATCH($A20,AtmaHeader,0), 0))+IF(ISBLANK($K$17),0,VLOOKUP($K$17,AtmaList,MATCH($A20,AtmaHeader,0), 0))+IF(ISBLANK($K$18),0,VLOOKUP($K$18,AtmaList,MATCH($A20,AtmaHeader,0), 0)), 0)</f>
        <v>0</v>
      </c>
      <c r="D20" s="9">
        <f>IF(Setup!G$24=1, IF(ISBLANK($L$16),0,VLOOKUP($L$16,AtmaList,MATCH($A20,AtmaHeader,0), 0))+IF(ISBLANK($L$17),0,VLOOKUP($L$17,AtmaList,MATCH($A20,AtmaHeader,0), 0))+IF(ISBLANK($L$18),0,VLOOKUP($L$18,AtmaList,MATCH($A20,AtmaHeader,0), 0)), 0)</f>
        <v>0</v>
      </c>
      <c r="F20" t="s">
        <v>249</v>
      </c>
      <c r="G20">
        <f ca="1">VLOOKUP(Gear!$B$3, INDIRECT(Gear!$A$3), MATCH("Dly", StatHeader, 0), 0)</f>
        <v>489</v>
      </c>
      <c r="H20">
        <f ca="1">VLOOKUP(Gear!$AB$3, INDIRECT(Gear!$AA$3), MATCH("Dly", StatHeader, 0), 0)</f>
        <v>489</v>
      </c>
      <c r="K20" t="s">
        <v>83</v>
      </c>
      <c r="L20" t="s">
        <v>88</v>
      </c>
    </row>
    <row r="21" spans="1:13" ht="12.75" customHeight="1" x14ac:dyDescent="0.2">
      <c r="A21" t="s">
        <v>250</v>
      </c>
      <c r="B21" s="9">
        <v>0</v>
      </c>
      <c r="C21" s="9">
        <f>IF(Setup!F$24=1, IF(ISBLANK($K$16),0,VLOOKUP($K$16,AtmaList,MATCH($A21,AtmaHeader,0), 0))+IF(ISBLANK($K$17),0,VLOOKUP($K$17,AtmaList,MATCH($A21,AtmaHeader,0), 0))+IF(ISBLANK($K$18),0,VLOOKUP($K$18,AtmaList,MATCH($A21,AtmaHeader,0), 0)), 0)</f>
        <v>0</v>
      </c>
      <c r="D21" s="9">
        <f>IF(Setup!G$24=1, IF(ISBLANK($L$16),0,VLOOKUP($L$16,AtmaList,MATCH($A21,AtmaHeader,0), 0))+IF(ISBLANK($L$17),0,VLOOKUP($L$17,AtmaList,MATCH($A21,AtmaHeader,0), 0))+IF(ISBLANK($L$18),0,VLOOKUP($L$18,AtmaList,MATCH($A21,AtmaHeader,0), 0)), 0)</f>
        <v>0</v>
      </c>
      <c r="F21" t="s">
        <v>243</v>
      </c>
      <c r="G21" t="str">
        <f>Gear!A4</f>
        <v>Grip</v>
      </c>
      <c r="H21" t="str">
        <f>Gear!AA4</f>
        <v>Grip</v>
      </c>
      <c r="J21" t="s">
        <v>251</v>
      </c>
      <c r="K21">
        <f>IF(AND(Setup!F$24=1, OR(G17="GreatSword", G17="Scythe")), IF(ISBLANK($K$16),0,VLOOKUP($K$16,AtmaList,MATCH($J21,AtmaHeader,0), 0))+IF(ISBLANK($K$17),0,VLOOKUP($K$17,AtmaList,MATCH($J21,AtmaHeader,0), 0))+IF(ISBLANK($K$18),0,VLOOKUP($K$18,AtmaList,MATCH($J21,AtmaHeader,0), 0)), 0)</f>
        <v>0</v>
      </c>
      <c r="L21">
        <f>IF(AND(Setup!G$24=1, OR(H17="GreatSword", H17="Scythe")), IF(ISBLANK($L$16),0,VLOOKUP($L$16,AtmaList,MATCH($J21,AtmaHeader,0), 0))+IF(ISBLANK($L$17),0,VLOOKUP($L$17,AtmaList,MATCH($J21,AtmaHeader,0), 0))+IF(ISBLANK($L$18),0,VLOOKUP($L$18,AtmaList,MATCH($J21,AtmaHeader,0), 0)), 0)</f>
        <v>0</v>
      </c>
      <c r="M21" s="9"/>
    </row>
    <row r="22" spans="1:13" ht="12.75" customHeight="1" x14ac:dyDescent="0.2">
      <c r="A22" t="s">
        <v>128</v>
      </c>
      <c r="B22" s="3">
        <f>IF(D1="Sam", 15, 0)</f>
        <v>0</v>
      </c>
      <c r="C22" s="3">
        <f>IF(Setup!F$24=1, IF(ISBLANK($K$16),0,VLOOKUP($K$16,AtmaList,MATCH($A22,AtmaHeader,0), 0))+IF(ISBLANK($K$17),0,VLOOKUP($K$17,AtmaList,MATCH($A22,AtmaHeader,0), 0))+IF(ISBLANK($K$18),0,VLOOKUP($K$18,AtmaList,MATCH($A22,AtmaHeader,0), 0)), 0)</f>
        <v>0</v>
      </c>
      <c r="D22" s="3">
        <f>IF(Setup!G$24=1, IF(ISBLANK($L$16),0,VLOOKUP($L$16,AtmaList,MATCH($A22,AtmaHeader,0), 0))+IF(ISBLANK($L$17),0,VLOOKUP($L$17,AtmaList,MATCH($A22,AtmaHeader,0), 0))+IF(ISBLANK($L$18),0,VLOOKUP($L$18,AtmaList,MATCH($A22,AtmaHeader,0), 0)), 0)</f>
        <v>0</v>
      </c>
      <c r="F22" t="s">
        <v>244</v>
      </c>
      <c r="G22">
        <f>IF(VLOOKUP(G21, Skills, 2, 0)&lt;&gt;"None", VLOOKUP(G21, Skills, 3, 0)+VLOOKUP(G21, Skills, 4, 0)+5*(MAX(0, MIN(Data!$B$1-75, 5)))+6*(MAX(0, MIN(Data!$B$1-80, 10)))+7*(MAX(0,Data!$B$1-90)), 0)</f>
        <v>0</v>
      </c>
      <c r="H22">
        <f>IF(VLOOKUP(H21, Skills, 2, 0)&lt;&gt;"None", VLOOKUP(H21, Skills, 3, 0)+VLOOKUP(H21, Skills, 4, 0)+5*(MAX(0, MIN(Data!$B$1-75, 5)))+6*(MAX(0, MIN(Data!$B$1-80, 10)))+7*(MAX(0,Data!$B$1-90)), 0)</f>
        <v>0</v>
      </c>
      <c r="J22" t="s">
        <v>252</v>
      </c>
      <c r="K22" s="9">
        <f>IF(Setup!F$24=1, IF(ISBLANK($K$16),0,VLOOKUP($K$16,AtmaList,MATCH($J22,AtmaHeader,0), 0))+IF(ISBLANK($K$17),0,VLOOKUP($K$17,AtmaList,MATCH($J22,AtmaHeader,0), 0))+IF(ISBLANK($K$18),0,VLOOKUP($K$18,AtmaList,MATCH($J22,AtmaHeader,0), 0)), 0)</f>
        <v>0</v>
      </c>
      <c r="L22" s="9">
        <f>IF(Setup!G$24=1, IF(ISBLANK($L$16),0,VLOOKUP($L$16,AtmaList,MATCH($J22,AtmaHeader,0), 0))+IF(ISBLANK($L$17),0,VLOOKUP($L$17,AtmaList,MATCH($J22,AtmaHeader,0), 0))+IF(ISBLANK($L$18),0,VLOOKUP($L$18,AtmaList,MATCH($J22,AtmaHeader,0), 0)), 0)</f>
        <v>0</v>
      </c>
    </row>
    <row r="23" spans="1:13" ht="12.75" customHeight="1" x14ac:dyDescent="0.2">
      <c r="A23" s="16" t="s">
        <v>253</v>
      </c>
      <c r="B23">
        <f>VLOOKUP(E1,Food,MATCH("Store TP",FoodHeader,0), 0)</f>
        <v>0</v>
      </c>
      <c r="F23" t="s">
        <v>254</v>
      </c>
      <c r="G23" s="3">
        <f ca="1">VLOOKUP(Gear!$B$4, INDIRECT(Gear!$A$4), MATCH("Dmg", StatHeader, 0), 0)</f>
        <v>0</v>
      </c>
      <c r="H23" s="3">
        <f ca="1">VLOOKUP(Gear!$AB$4, INDIRECT(Gear!$AA$4), MATCH("Dmg", StatHeader, 0), 0)</f>
        <v>0</v>
      </c>
    </row>
    <row r="24" spans="1:13" ht="12.75" customHeight="1" x14ac:dyDescent="0.2">
      <c r="A24" t="s">
        <v>205</v>
      </c>
      <c r="B24">
        <v>0</v>
      </c>
      <c r="C24" s="3">
        <f>IF(Setup!F$24=1, IF(ISBLANK($K$16),0,VLOOKUP($K$16,AtmaList,MATCH($A24,AtmaHeader,0), 0))+IF(ISBLANK($K$17),0,VLOOKUP($K$17,AtmaList,MATCH($A24,AtmaHeader,0), 0))+IF(ISBLANK($K$18),0,VLOOKUP($K$18,AtmaList,MATCH($A24,AtmaHeader,0), 0)), 0)</f>
        <v>0</v>
      </c>
      <c r="D24" s="3">
        <f>IF(Setup!G$24=1, IF(ISBLANK($L$16),0,VLOOKUP($L$16,AtmaList,MATCH($A24,AtmaHeader,0), 0))+IF(ISBLANK($L$17),0,VLOOKUP($L$17,AtmaList,MATCH($A24,AtmaHeader,0), 0))+IF(ISBLANK($L$18),0,VLOOKUP($L$18,AtmaList,MATCH($A24,AtmaHeader,0), 0)), 0)</f>
        <v>0</v>
      </c>
      <c r="F24" t="s">
        <v>255</v>
      </c>
      <c r="G24" s="3">
        <f ca="1">VLOOKUP(Gear!$B$4, INDIRECT(Gear!$A$4), MATCH("Dly", StatHeader, 0), 0)</f>
        <v>0</v>
      </c>
      <c r="H24" s="3">
        <f ca="1">VLOOKUP(Gear!$AB$4, INDIRECT(Gear!$AA$4), MATCH("Dly", StatHeader, 0), 0)</f>
        <v>0</v>
      </c>
      <c r="J24" s="3" t="s">
        <v>256</v>
      </c>
      <c r="K24" s="9">
        <f>Setup!B25</f>
        <v>0</v>
      </c>
      <c r="L24" s="9">
        <f>Setup!C25</f>
        <v>0</v>
      </c>
    </row>
    <row r="25" spans="1:13" ht="12.75" customHeight="1" x14ac:dyDescent="0.2">
      <c r="A25" t="s">
        <v>130</v>
      </c>
      <c r="B25" s="3">
        <v>0</v>
      </c>
      <c r="C25" s="3">
        <f>IF(Setup!F$24=1, IF(ISBLANK($K$16),0,VLOOKUP($K$16,AtmaList,MATCH($A25,AtmaHeader,0), 0))+IF(ISBLANK($K$17),0,VLOOKUP($K$17,AtmaList,MATCH($A25,AtmaHeader,0), 0))+IF(ISBLANK($K$18),0,VLOOKUP($K$18,AtmaList,MATCH($A25,AtmaHeader,0), 0)), 0)</f>
        <v>0</v>
      </c>
      <c r="D25" s="3">
        <f>IF(Setup!G$24=1, IF(ISBLANK($L$16),0,VLOOKUP($L$16,AtmaList,MATCH($A25,AtmaHeader,0), 0))+IF(ISBLANK($L$17),0,VLOOKUP($L$17,AtmaList,MATCH($A25,AtmaHeader,0), 0))+IF(ISBLANK($L$18),0,VLOOKUP($L$18,AtmaList,MATCH($A25,AtmaHeader,0), 0)), 0)</f>
        <v>0</v>
      </c>
      <c r="F25" s="3" t="s">
        <v>257</v>
      </c>
      <c r="G25">
        <f ca="1">IF(AND(OR($D$1="Nin", $D$1="Dnc"), OR(G$17="Axe", G$17="Sword"), G24&gt;0), 1, 0)</f>
        <v>0</v>
      </c>
      <c r="H25">
        <f ca="1">IF(AND(OR($D$1="Nin", $D$1="Dnc"), OR(H$17="Axe", H$17="Sword"), H24&gt;0), 1, 0)</f>
        <v>0</v>
      </c>
      <c r="J25" s="3" t="s">
        <v>135</v>
      </c>
      <c r="K25" s="25">
        <f ca="1">MIN(Setup!F45 + IF(Setup!J43=1, Setup!M43, 0) + IF(Setup!F38=1, VLOOKUP("Save TP", Ionis, 2, 0), 0) + VLOOKUP(Gear!$B$3, INDIRECT(Gear!$A$3), MATCH("Save TP", StatHeader, 0), 0), 500)</f>
        <v>0</v>
      </c>
      <c r="L25">
        <f ca="1">MIN(Setup!G45 + IF(Setup!K43=1, Setup!N43, 0) + IF(Setup!G38=1, VLOOKUP("Save TP", Ionis, 2, 0), 0) + VLOOKUP(Gear!$AB$3, INDIRECT(Gear!$AA$3), MATCH("Save TP", StatHeader, 0), 0), 500)</f>
        <v>0</v>
      </c>
    </row>
    <row r="26" spans="1:13" ht="12.75" customHeight="1" x14ac:dyDescent="0.2">
      <c r="B26" s="3"/>
      <c r="C26" s="3"/>
      <c r="D26" s="3"/>
      <c r="F26" t="s">
        <v>207</v>
      </c>
      <c r="G26" s="9">
        <f ca="1">1 + HLOOKUP($F26, INDIRECT(D$28), MATCH("Total", Slots, 0)+1, 0) + K22</f>
        <v>1.25</v>
      </c>
      <c r="H26" s="9">
        <f ca="1">1 + HLOOKUP($F26, INDIRECT(E$28), MATCH("Total", Slots, 0)+1, 0) + L22</f>
        <v>1.25</v>
      </c>
    </row>
    <row r="27" spans="1:13" ht="12.75" customHeight="1" x14ac:dyDescent="0.2">
      <c r="B27" s="3"/>
      <c r="C27" s="3"/>
      <c r="D27" s="9"/>
      <c r="F27" s="3"/>
    </row>
    <row r="28" spans="1:13" ht="12.75" customHeight="1" x14ac:dyDescent="0.2">
      <c r="A28" s="32" t="s">
        <v>258</v>
      </c>
      <c r="B28" s="33" t="s">
        <v>259</v>
      </c>
      <c r="C28" s="33" t="s">
        <v>260</v>
      </c>
      <c r="D28" s="34" t="s">
        <v>261</v>
      </c>
      <c r="E28" s="33" t="s">
        <v>262</v>
      </c>
    </row>
    <row r="29" spans="1:13" ht="12.75" customHeight="1" x14ac:dyDescent="0.2">
      <c r="A29" s="3" t="s">
        <v>263</v>
      </c>
      <c r="B29" s="3">
        <f>TRUNC(MIN(200, MAX(0, Setup!$J7-300))/10) + 5</f>
        <v>20</v>
      </c>
      <c r="C29" s="35">
        <f>TRUNC(MIN(200, MAX(0, Setup!$K7-300))/10) + 5</f>
        <v>20</v>
      </c>
      <c r="D29" s="3">
        <f>TRUNC(MIN(200, MAX(0, Setup!$J7-300))/10) + 5</f>
        <v>20</v>
      </c>
      <c r="E29" s="3">
        <f>TRUNC(MIN(200, MAX(0, Setup!$K7-300))/10) + 5</f>
        <v>20</v>
      </c>
    </row>
    <row r="30" spans="1:13" ht="12.75" customHeight="1" x14ac:dyDescent="0.2">
      <c r="A30" t="s">
        <v>30</v>
      </c>
      <c r="B30" s="16">
        <f ca="1">$H3+HLOOKUP($A30, INDIRECT(B$28), MATCH("Total", Slots, 0)+1, 0) + IF(AND(Setup!$F10=1, $D$1="Sam"), FLOOR($B$1/2/7, 1), 0) + IF(AND(Setup!$J8=1,Setup!$I$8="Boost-Str"), B29, 0)</f>
        <v>281</v>
      </c>
      <c r="C30" s="36">
        <f ca="1">$H3+HLOOKUP($A30, INDIRECT(C$28), MATCH("Total", Slots, 0)+1, 0) + IF(AND(Setup!$F10=1, $D$1="Sam"), FLOOR($B$1/2/7, 1), 0) + IF(AND(Setup!$J8=1,Setup!$I$8="Boost-Str"), C29, 0)</f>
        <v>281</v>
      </c>
      <c r="D30" s="16">
        <f ca="1">$H3+HLOOKUP($A30, INDIRECT(D$28), MATCH("Total", Slots, 0)+1, 0) + IF(AND(Setup!$F10=1, $D$1="Sam"), FLOOR($B$1/2/7, 1), 0) + IF(AND(Setup!$J8=1,Setup!$I$8="Boost-Str"), D29, 0)</f>
        <v>288</v>
      </c>
      <c r="E30" s="16">
        <f ca="1">$H3+HLOOKUP($A30, INDIRECT(E$28), MATCH("Total", Slots, 0)+1, 0) + IF(AND(Setup!$F10=1, $D$1="Sam"), FLOOR($B$1/2/7, 1), 0) + IF(AND(Setup!$J8=1,Setup!$I$8="Boost-Str"), E29, 0)</f>
        <v>288</v>
      </c>
    </row>
    <row r="31" spans="1:13" ht="12.75" customHeight="1" x14ac:dyDescent="0.2">
      <c r="A31" t="s">
        <v>33</v>
      </c>
      <c r="B31" s="16">
        <f ca="1">$H4+HLOOKUP($A31, INDIRECT(B$28), MATCH("Total", Slots, 0)+1, 0) + IF(AND(Setup!$J8=1,Setup!$I$8="Boost-Dex"), B29, 0)</f>
        <v>307</v>
      </c>
      <c r="C31" s="36">
        <f ca="1">$H4+HLOOKUP($A31, INDIRECT(C$28), MATCH("Total", Slots, 0)+1, 0) + IF(AND(Setup!$J8=1,Setup!$I$8="Boost-Dex"), C29, 0)</f>
        <v>307</v>
      </c>
      <c r="D31" s="16">
        <f ca="1">$H4+HLOOKUP($A31, INDIRECT(D$28), MATCH("Total", Slots, 0)+1, 0) + IF(AND(Setup!$J8=1,Setup!$I$8="Boost-Dex"), D29, 0)</f>
        <v>319</v>
      </c>
      <c r="E31" s="16">
        <f ca="1">$H4+HLOOKUP($A31, INDIRECT(E$28), MATCH("Total", Slots, 0)+1, 0) + IF(AND(Setup!$J8=1,Setup!$I$8="Boost-Dex"), E29, 0)</f>
        <v>319</v>
      </c>
    </row>
    <row r="32" spans="1:13" ht="12.75" customHeight="1" x14ac:dyDescent="0.2">
      <c r="A32" s="3" t="s">
        <v>32</v>
      </c>
      <c r="B32" s="16">
        <f>$H5</f>
        <v>87</v>
      </c>
      <c r="C32" s="36">
        <f>$I5</f>
        <v>87</v>
      </c>
      <c r="D32" s="16">
        <f>$H5</f>
        <v>87</v>
      </c>
      <c r="E32" s="16">
        <f>$I5</f>
        <v>87</v>
      </c>
    </row>
    <row r="33" spans="1:9" ht="12.75" customHeight="1" x14ac:dyDescent="0.2">
      <c r="A33" s="3" t="s">
        <v>29</v>
      </c>
      <c r="B33" s="16">
        <f ca="1">$H6+HLOOKUP($A33, INDIRECT(B$28), MATCH("Total", Slots, 0)+1, 0)</f>
        <v>191</v>
      </c>
      <c r="C33" s="36">
        <f ca="1">$I6+HLOOKUP($A33, INDIRECT(C$28), MATCH("Total", Slots, 0)+1, 0)</f>
        <v>191</v>
      </c>
      <c r="D33" s="16">
        <f ca="1">$H6+HLOOKUP($A33, INDIRECT(D$28), MATCH("Total", Slots, 0)+1, 0)</f>
        <v>172</v>
      </c>
      <c r="E33" s="16">
        <f ca="1">$I6+HLOOKUP($A33, INDIRECT(E$28), MATCH("Total", Slots, 0)+1, 0)</f>
        <v>172</v>
      </c>
    </row>
    <row r="34" spans="1:9" ht="12.75" customHeight="1" x14ac:dyDescent="0.2">
      <c r="A34" s="3" t="s">
        <v>153</v>
      </c>
      <c r="B34" s="16">
        <f ca="1">$H7+HLOOKUP($A34, INDIRECT(B$28), MATCH("Total", Slots, 0)+1, 0)</f>
        <v>166</v>
      </c>
      <c r="C34" s="36">
        <f ca="1">$I7+HLOOKUP($A34, INDIRECT(C$28), MATCH("Total", Slots, 0)+1, 0)</f>
        <v>166</v>
      </c>
      <c r="D34" s="16">
        <f ca="1">$H7+HLOOKUP($A34, INDIRECT(D$28), MATCH("Total", Slots, 0)+1, 0)</f>
        <v>137</v>
      </c>
      <c r="E34" s="16">
        <f ca="1">$I7+HLOOKUP($A34, INDIRECT(E$28), MATCH("Total", Slots, 0)+1, 0)</f>
        <v>137</v>
      </c>
    </row>
    <row r="35" spans="1:9" ht="12.75" customHeight="1" x14ac:dyDescent="0.2">
      <c r="A35" s="32" t="s">
        <v>154</v>
      </c>
      <c r="B35" s="37">
        <f ca="1">$H8+HLOOKUP($A35, INDIRECT(B$28), MATCH("Total", Slots, 0)+1, 0)</f>
        <v>190</v>
      </c>
      <c r="C35" s="38">
        <f ca="1">$I8+HLOOKUP($A35, INDIRECT(C$28), MATCH("Total", Slots, 0)+1, 0)</f>
        <v>190</v>
      </c>
      <c r="D35" s="37">
        <f ca="1">$H8+HLOOKUP($A35, INDIRECT(D$28), MATCH("Total", Slots, 0)+1, 0)</f>
        <v>164</v>
      </c>
      <c r="E35" s="37">
        <f ca="1">$I8+HLOOKUP($A35, INDIRECT(E$28), MATCH("Total", Slots, 0)+1, 0)</f>
        <v>164</v>
      </c>
    </row>
    <row r="36" spans="1:9" ht="12.75" customHeight="1" x14ac:dyDescent="0.2">
      <c r="A36" s="3" t="s">
        <v>264</v>
      </c>
      <c r="B36" s="16">
        <f ca="1">B30-$L$6</f>
        <v>-44</v>
      </c>
      <c r="C36" s="36">
        <f ca="1">C30-$L$6</f>
        <v>-44</v>
      </c>
      <c r="D36" s="16">
        <f ca="1">D30-$L$6</f>
        <v>-37</v>
      </c>
      <c r="E36" s="16">
        <f ca="1">E30-$L$6</f>
        <v>-37</v>
      </c>
    </row>
    <row r="37" spans="1:9" ht="12.75" customHeight="1" x14ac:dyDescent="0.2">
      <c r="A37" s="32" t="s">
        <v>265</v>
      </c>
      <c r="B37" s="37">
        <f ca="1">IF(B36&lt;20, TRUNC(8 - B36/5), 4)</f>
        <v>16</v>
      </c>
      <c r="C37" s="38">
        <f ca="1">IF(C36&lt;20, TRUNC(8 - C36/5), 4)</f>
        <v>16</v>
      </c>
      <c r="D37" s="37">
        <f ca="1">IF(D36&lt;20, TRUNC(8 - D36/5), 4)</f>
        <v>15</v>
      </c>
      <c r="E37" s="37">
        <f ca="1">IF(E36&lt;20, TRUNC(8 - E36/5), 4)</f>
        <v>15</v>
      </c>
      <c r="G37" s="3" t="s">
        <v>266</v>
      </c>
      <c r="H37" s="3" t="s">
        <v>0</v>
      </c>
      <c r="I37" t="s">
        <v>1</v>
      </c>
    </row>
    <row r="38" spans="1:9" ht="12.75" customHeight="1" x14ac:dyDescent="0.2">
      <c r="A38" s="13" t="s">
        <v>90</v>
      </c>
      <c r="B38" s="3">
        <f>IF(VLOOKUP($A38, Brd, MATCH("Set 1", BrdHeaders, 0), 0), VLOOKUP($A38, Songs, MATCH(VLOOKUP($A38, Brd, MATCH("Set 1 Bonus", BrdHeaders, 0), 0), SongsHeaders, 0), 0)+VLOOKUP($A38, Brd, MATCH("Set 1 Points", BrdHeaders, 0), 0), 0)</f>
        <v>0</v>
      </c>
      <c r="C38" s="39">
        <f>IF(VLOOKUP($A38, Brd, MATCH("Set 2", BrdHeaders, 0), 0), VLOOKUP($A38, Songs, MATCH(VLOOKUP($A38, Brd, MATCH("Set 2 Bonus", BrdHeaders, 0), 0), SongsHeaders, 0), 0)+VLOOKUP($A38, Brd, MATCH("Set 2 Points", BrdHeaders, 0), 0), 0)</f>
        <v>0</v>
      </c>
      <c r="D38" s="3">
        <f>IF(VLOOKUP($A38, Brd, MATCH("Set 1", BrdHeaders, 0), 0), VLOOKUP($A38, Songs, MATCH(VLOOKUP($A38, Brd, MATCH("Set 1 Bonus", BrdHeaders, 0), 0), SongsHeaders, 0), 0)+VLOOKUP($A38, Brd, MATCH("Set 1 Points", BrdHeaders, 0), 0), 0)</f>
        <v>0</v>
      </c>
      <c r="E38" s="3">
        <f>IF(VLOOKUP($A38, Brd, MATCH("Set 2", BrdHeaders, 0), 0), VLOOKUP($A38, Songs, MATCH(VLOOKUP($A38, Brd, MATCH("Set 2 Bonus", BrdHeaders, 0), 0), SongsHeaders, 0), 0)+VLOOKUP($A38, Brd, MATCH("Set 2 Points", BrdHeaders, 0), 0), 0)</f>
        <v>0</v>
      </c>
      <c r="G38" t="s">
        <v>267</v>
      </c>
      <c r="H38" s="3">
        <f>Setup!B27</f>
        <v>210</v>
      </c>
      <c r="I38" s="3">
        <f>Setup!C27</f>
        <v>210</v>
      </c>
    </row>
    <row r="39" spans="1:9" ht="12.75" customHeight="1" x14ac:dyDescent="0.2">
      <c r="A39" s="13" t="s">
        <v>94</v>
      </c>
      <c r="B39" s="3">
        <f>IF(VLOOKUP($A39, Brd, MATCH("Set 1", BrdHeaders, 0), 0), VLOOKUP($A39, Songs, MATCH(VLOOKUP($A39, Brd, MATCH("Set 1 Bonus", BrdHeaders, 0), 0), SongsHeaders, 0), 0)+VLOOKUP($A39, Brd, MATCH("Set 1 Points", BrdHeaders, 0), 0), 0)</f>
        <v>0</v>
      </c>
      <c r="C39" s="39">
        <f>IF(VLOOKUP($A39, Brd, MATCH("Set 2", BrdHeaders, 0), 0), VLOOKUP($A39, Songs, MATCH(VLOOKUP($A39, Brd, MATCH("Set 2 Bonus", BrdHeaders, 0), 0), SongsHeaders, 0), 0)+VLOOKUP($A39, Brd, MATCH("Set 2 Points", BrdHeaders, 0), 0), 0)</f>
        <v>0</v>
      </c>
      <c r="D39" s="3">
        <f>IF(VLOOKUP($A39, Brd, MATCH("Set 1", BrdHeaders, 0), 0), VLOOKUP($A39, Songs, MATCH(VLOOKUP($A39, Brd, MATCH("Set 1 Bonus", BrdHeaders, 0), 0), SongsHeaders, 0), 0)+VLOOKUP($A39, Brd, MATCH("Set 1 Points", BrdHeaders, 0), 0), 0)</f>
        <v>0</v>
      </c>
      <c r="E39" s="3">
        <f>IF(VLOOKUP($A39, Brd, MATCH("Set 2", BrdHeaders, 0), 0), VLOOKUP($A39, Songs, MATCH(VLOOKUP($A39, Brd, MATCH("Set 2 Bonus", BrdHeaders, 0), 0), SongsHeaders, 0), 0)+VLOOKUP($A39, Brd, MATCH("Set 2 Points", BrdHeaders, 0), 0), 0)</f>
        <v>0</v>
      </c>
      <c r="G39" s="3">
        <v>75</v>
      </c>
      <c r="H39" s="3">
        <f>MAX(TRUNC(2*H$38/5-60), 0)</f>
        <v>24</v>
      </c>
      <c r="I39" s="3">
        <f>MAX(TRUNC(2*I$38/5-60), 0)</f>
        <v>24</v>
      </c>
    </row>
    <row r="40" spans="1:9" ht="12.75" customHeight="1" x14ac:dyDescent="0.2">
      <c r="A40" s="13" t="s">
        <v>106</v>
      </c>
      <c r="B40" s="3">
        <f>IF(VLOOKUP($A40, Brd, MATCH("Set 1", BrdHeaders, 0), 0), VLOOKUP($A40, Songs, MATCH(VLOOKUP($A40, Brd, MATCH("Set 1 Bonus", BrdHeaders, 0), 0), SongsHeaders, 0), 0)+VLOOKUP($A40, Brd, MATCH("Set 1 Points", BrdHeaders, 0), 0), 0)</f>
        <v>0</v>
      </c>
      <c r="C40" s="39">
        <f>IF(VLOOKUP($A40, Brd, MATCH("Set 2", BrdHeaders, 0), 0), VLOOKUP($A40, Songs, MATCH(VLOOKUP($A40, Brd, MATCH("Set 2 Bonus", BrdHeaders, 0), 0), SongsHeaders, 0), 0)+VLOOKUP($A40, Brd, MATCH("Set 2 Points", BrdHeaders, 0), 0), 0)</f>
        <v>0</v>
      </c>
      <c r="D40" s="3">
        <f>IF(VLOOKUP($A40, Brd, MATCH("Set 1", BrdHeaders, 0), 0), VLOOKUP($A40, Songs, MATCH(VLOOKUP($A40, Brd, MATCH("Set 1 Bonus", BrdHeaders, 0), 0), SongsHeaders, 0), 0)+VLOOKUP($A40, Brd, MATCH("Set 1 Points", BrdHeaders, 0), 0), 0)</f>
        <v>0</v>
      </c>
      <c r="E40" s="3">
        <f>IF(VLOOKUP($A40, Brd, MATCH("Set 2", BrdHeaders, 0), 0), VLOOKUP($A40, Songs, MATCH(VLOOKUP($A40, Brd, MATCH("Set 2 Bonus", BrdHeaders, 0), 0), SongsHeaders, 0), 0)+VLOOKUP($A40, Brd, MATCH("Set 2 Points", BrdHeaders, 0), 0), 0)</f>
        <v>0</v>
      </c>
      <c r="G40" s="3">
        <v>80</v>
      </c>
      <c r="H40" s="3">
        <f t="shared" ref="H40:I42" si="3">MAX(TRUNC(3*H$38/5-90), 0)</f>
        <v>36</v>
      </c>
      <c r="I40" s="3">
        <f t="shared" si="3"/>
        <v>36</v>
      </c>
    </row>
    <row r="41" spans="1:9" ht="12.75" customHeight="1" x14ac:dyDescent="0.2">
      <c r="A41" t="s">
        <v>268</v>
      </c>
      <c r="B41">
        <f>B38+B39+B40</f>
        <v>0</v>
      </c>
      <c r="C41" s="39">
        <f>C38+C39+C40</f>
        <v>0</v>
      </c>
      <c r="D41">
        <f>D38+D39+D40</f>
        <v>0</v>
      </c>
      <c r="E41">
        <f>E38+E39+E40</f>
        <v>0</v>
      </c>
      <c r="G41">
        <v>85</v>
      </c>
      <c r="H41" s="3">
        <f t="shared" si="3"/>
        <v>36</v>
      </c>
      <c r="I41" s="3">
        <f t="shared" si="3"/>
        <v>36</v>
      </c>
    </row>
    <row r="42" spans="1:9" ht="12.75" customHeight="1" x14ac:dyDescent="0.2">
      <c r="A42" s="3" t="s">
        <v>269</v>
      </c>
      <c r="B42" s="3">
        <f>IF(Setup!$F$38=1, VLOOKUP("Att", Ionis, 2, 0), 0)</f>
        <v>0</v>
      </c>
      <c r="C42" s="39">
        <f>IF(Setup!$G$38=1, VLOOKUP("Att", Ionis, 2, 0), 0)</f>
        <v>0</v>
      </c>
      <c r="D42" s="3">
        <f>IF(Setup!$F$38=1, VLOOKUP("Att", Ionis, 2, 0), 0)</f>
        <v>0</v>
      </c>
      <c r="E42" s="3">
        <f>IF(Setup!$G$38=1, VLOOKUP("Att", Ionis, 2, 0), 0)</f>
        <v>0</v>
      </c>
      <c r="G42">
        <v>90</v>
      </c>
      <c r="H42" s="3">
        <f t="shared" si="3"/>
        <v>36</v>
      </c>
      <c r="I42" s="3">
        <f t="shared" si="3"/>
        <v>36</v>
      </c>
    </row>
    <row r="43" spans="1:9" ht="12.75" customHeight="1" x14ac:dyDescent="0.2">
      <c r="A43" s="3" t="s">
        <v>270</v>
      </c>
      <c r="B43" s="3">
        <v>0</v>
      </c>
      <c r="C43" s="39">
        <v>0</v>
      </c>
      <c r="D43" s="3">
        <v>0</v>
      </c>
      <c r="E43" s="3">
        <v>0</v>
      </c>
      <c r="G43">
        <v>95</v>
      </c>
      <c r="H43" s="3">
        <f t="shared" ref="H43:I45" si="4">MAX(TRUNC(H$38/2-60), 0)</f>
        <v>45</v>
      </c>
      <c r="I43" s="3">
        <f t="shared" si="4"/>
        <v>45</v>
      </c>
    </row>
    <row r="44" spans="1:9" ht="12.75" customHeight="1" x14ac:dyDescent="0.2">
      <c r="A44" s="32" t="s">
        <v>82</v>
      </c>
      <c r="B44" s="32">
        <f>IF(AND(B43&gt;0, Setup!$B26=1, Setup!$B28=0), VLOOKUP(B43, AM2Table, 2, 0), 0)</f>
        <v>0</v>
      </c>
      <c r="C44" s="40">
        <f>IF(AND(C43&gt;0, Setup!$C26=1, Setup!$C28=0), VLOOKUP(C43, AM2Table, 3, 0), 0)</f>
        <v>0</v>
      </c>
      <c r="D44" s="32">
        <f>IF(AND(D43&gt;0, Setup!$B26=1, Setup!$B28=0), VLOOKUP(D43, AM2Table, 2, 0), 0)</f>
        <v>0</v>
      </c>
      <c r="E44" s="32">
        <f>IF(AND(E43&gt;0, Setup!$C26=1, Setup!$C28=0), VLOOKUP(E43, AM2Table, 3, 0), 0)</f>
        <v>0</v>
      </c>
      <c r="G44">
        <v>99</v>
      </c>
      <c r="H44" s="3">
        <f t="shared" si="4"/>
        <v>45</v>
      </c>
      <c r="I44" s="3">
        <f t="shared" si="4"/>
        <v>45</v>
      </c>
    </row>
    <row r="45" spans="1:9" ht="12.75" customHeight="1" x14ac:dyDescent="0.2">
      <c r="A45" t="s">
        <v>95</v>
      </c>
      <c r="B45" s="3">
        <f>IF(VLOOKUP($A45, Brd, MATCH("Set 1", BrdHeaders, 0), 0), VLOOKUP($A45, Songs, MATCH(VLOOKUP($A45, Brd, MATCH("Set 1 Bonus", BrdHeaders, 0), 0), SongsHeaders, 0), 0)+VLOOKUP($A45, Brd, MATCH("Set 1 Points", BrdHeaders, 0), 0), 0)</f>
        <v>0</v>
      </c>
      <c r="C45" s="39">
        <f>IF(VLOOKUP($A45, Brd, MATCH("Set 2", BrdHeaders, 0), 0), VLOOKUP($A45, Songs, MATCH(VLOOKUP($A45, Brd, MATCH("Set 2 Bonus", BrdHeaders, 0), 0), SongsHeaders, 0), 0)+VLOOKUP($A45, Brd, MATCH("Set 2 Points", BrdHeaders, 0), 0), 0)</f>
        <v>0</v>
      </c>
      <c r="D45" s="3">
        <f>IF(VLOOKUP($A45, Brd, MATCH("Set 1", BrdHeaders, 0), 0), VLOOKUP($A45, Songs, MATCH(VLOOKUP($A45, Brd, MATCH("Set 1 Bonus", BrdHeaders, 0), 0), SongsHeaders, 0), 0)+VLOOKUP($A45, Brd, MATCH("Set 1 Points", BrdHeaders, 0), 0), 0)</f>
        <v>0</v>
      </c>
      <c r="E45" s="3">
        <f>IF(VLOOKUP($A45, Brd, MATCH("Set 2", BrdHeaders, 0), 0), VLOOKUP($A45, Songs, MATCH(VLOOKUP($A45, Brd, MATCH("Set 2 Bonus", BrdHeaders, 0), 0), SongsHeaders, 0), 0)+VLOOKUP($A45, Brd, MATCH("Set 2 Points", BrdHeaders, 0), 0), 0)</f>
        <v>0</v>
      </c>
      <c r="G45">
        <v>119</v>
      </c>
      <c r="H45" s="3">
        <f t="shared" si="4"/>
        <v>45</v>
      </c>
      <c r="I45" s="3">
        <f t="shared" si="4"/>
        <v>45</v>
      </c>
    </row>
    <row r="46" spans="1:9" ht="12.75" customHeight="1" x14ac:dyDescent="0.2">
      <c r="A46" t="s">
        <v>99</v>
      </c>
      <c r="B46" s="3">
        <f>IF(VLOOKUP($A46, Brd, MATCH("Set 1", BrdHeaders, 0), 0), VLOOKUP($A46, Songs, MATCH(VLOOKUP($A46, Brd, MATCH("Set 1 Bonus", BrdHeaders, 0), 0), SongsHeaders, 0), 0)+VLOOKUP($A46, Brd, MATCH("Set 1 Points", BrdHeaders, 0), 0), 0)</f>
        <v>0</v>
      </c>
      <c r="C46" s="39">
        <f>IF(VLOOKUP($A46, Brd, MATCH("Set 2", BrdHeaders, 0), 0), VLOOKUP($A46, Songs, MATCH(VLOOKUP($A46, Brd, MATCH("Set 2 Bonus", BrdHeaders, 0), 0), SongsHeaders, 0), 0)+VLOOKUP($A46, Brd, MATCH("Set 2 Points", BrdHeaders, 0), 0), 0)</f>
        <v>0</v>
      </c>
      <c r="D46" s="3">
        <f>IF(VLOOKUP($A46, Brd, MATCH("Set 1", BrdHeaders, 0), 0), VLOOKUP($A46, Songs, MATCH(VLOOKUP($A46, Brd, MATCH("Set 1 Bonus", BrdHeaders, 0), 0), SongsHeaders, 0), 0)+VLOOKUP($A46, Brd, MATCH("Set 1 Points", BrdHeaders, 0), 0), 0)</f>
        <v>0</v>
      </c>
      <c r="E46" s="3">
        <f>IF(VLOOKUP($A46, Brd, MATCH("Set 2", BrdHeaders, 0), 0), VLOOKUP($A46, Songs, MATCH(VLOOKUP($A46, Brd, MATCH("Set 2 Bonus", BrdHeaders, 0), 0), SongsHeaders, 0), 0)+VLOOKUP($A46, Brd, MATCH("Set 2 Points", BrdHeaders, 0), 0), 0)</f>
        <v>0</v>
      </c>
    </row>
    <row r="47" spans="1:9" ht="12.75" customHeight="1" x14ac:dyDescent="0.2">
      <c r="A47" t="s">
        <v>108</v>
      </c>
      <c r="B47" s="3">
        <f>IF(VLOOKUP($A47, Brd, MATCH("Set 1", BrdHeaders, 0), 0), VLOOKUP($A47, Songs, MATCH(VLOOKUP($A47, Brd, MATCH("Set 1 Bonus", BrdHeaders, 0), 0), SongsHeaders, 0), 0)+VLOOKUP($A47, Brd, MATCH("Set 1 Points", BrdHeaders, 0), 0), 0)</f>
        <v>0</v>
      </c>
      <c r="C47" s="39">
        <f>IF(VLOOKUP($A47, Brd, MATCH("Set 2", BrdHeaders, 0), 0), VLOOKUP($A47, Songs, MATCH(VLOOKUP($A47, Brd, MATCH("Set 2 Bonus", BrdHeaders, 0), 0), SongsHeaders, 0), 0)+VLOOKUP($A47, Brd, MATCH("Set 2 Points", BrdHeaders, 0), 0), 0)</f>
        <v>0</v>
      </c>
      <c r="D47" s="3">
        <f>IF(VLOOKUP($A47, Brd, MATCH("Set 1", BrdHeaders, 0), 0), VLOOKUP($A47, Songs, MATCH(VLOOKUP($A47, Brd, MATCH("Set 1 Bonus", BrdHeaders, 0), 0), SongsHeaders, 0), 0)+VLOOKUP($A47, Brd, MATCH("Set 1 Points", BrdHeaders, 0), 0), 0)</f>
        <v>0</v>
      </c>
      <c r="E47" s="3">
        <f>IF(VLOOKUP($A47, Brd, MATCH("Set 2", BrdHeaders, 0), 0), VLOOKUP($A47, Songs, MATCH(VLOOKUP($A47, Brd, MATCH("Set 2 Bonus", BrdHeaders, 0), 0), SongsHeaders, 0), 0)+VLOOKUP($A47, Brd, MATCH("Set 2 Points", BrdHeaders, 0), 0), 0)</f>
        <v>0</v>
      </c>
    </row>
    <row r="48" spans="1:9" ht="12.75" customHeight="1" x14ac:dyDescent="0.2">
      <c r="A48" t="s">
        <v>268</v>
      </c>
      <c r="B48">
        <f>B45+B46+B47</f>
        <v>0</v>
      </c>
      <c r="C48" s="39">
        <f>C45+C46+C47</f>
        <v>0</v>
      </c>
      <c r="D48">
        <f>D45+D46+D47</f>
        <v>0</v>
      </c>
      <c r="E48">
        <f>E45+E46+E47</f>
        <v>0</v>
      </c>
    </row>
    <row r="49" spans="1:5" ht="12.75" customHeight="1" x14ac:dyDescent="0.2">
      <c r="A49" s="13" t="s">
        <v>271</v>
      </c>
      <c r="B49" s="41">
        <f>IF(OR(Setup!J$51=$A49,Setup!J$52=$A49),VLOOKUP($A49, Geomancy, MATCH(VLOOKUP("Geomancy+", Geo, 2, 0), GeomancyHeaders, 0), 0),0)</f>
        <v>0</v>
      </c>
      <c r="C49" s="42">
        <f>IF(OR(Setup!K$51=$A49,Setup!K$52=$A49),VLOOKUP($A49, Geomancy, MATCH(VLOOKUP("Geomancy+", Geo, 3, 0), GeomancyHeaders, 0), 0),0)</f>
        <v>0</v>
      </c>
      <c r="D49" s="41">
        <f>IF(OR(Setup!J$51=$A49,Setup!J$52=$A49),VLOOKUP($A49, Geomancy, MATCH(VLOOKUP("Geomancy+", Geo, 2, 0), GeomancyHeaders, 0), 0),0)</f>
        <v>0</v>
      </c>
      <c r="E49" s="41">
        <f>IF(OR(Setup!K$51=$A49,Setup!K$52=$A49),VLOOKUP($A49, Geomancy, MATCH(VLOOKUP("Geomancy+", Geo, 3, 0), GeomancyHeaders, 0), 0),0)</f>
        <v>0</v>
      </c>
    </row>
    <row r="50" spans="1:5" ht="12.75" customHeight="1" x14ac:dyDescent="0.2">
      <c r="A50" s="3" t="s">
        <v>272</v>
      </c>
      <c r="B50" s="3">
        <f>IF(Setup!$F$38=1, VLOOKUP("Acc", Ionis, 2, 0), 0)</f>
        <v>0</v>
      </c>
      <c r="C50" s="39">
        <f>IF(Setup!$G$38=1, VLOOKUP("Acc", Ionis, 2, 0), 0)</f>
        <v>0</v>
      </c>
      <c r="D50" s="3">
        <f>IF(Setup!$F$38=1, VLOOKUP("Acc", Ionis, 2, 0), 0)</f>
        <v>0</v>
      </c>
      <c r="E50" s="3">
        <f>IF(Setup!$G$38=1, VLOOKUP("Acc", Ionis, 2, 0), 0)</f>
        <v>0</v>
      </c>
    </row>
    <row r="51" spans="1:5" ht="12.75" customHeight="1" x14ac:dyDescent="0.2">
      <c r="A51" s="3" t="s">
        <v>273</v>
      </c>
      <c r="B51" s="3">
        <f>IF(AND(OR(Setup!F$24=1, Setup!$F$30=1), Setup!$F$35=1), 50, 0)</f>
        <v>0</v>
      </c>
      <c r="C51" s="39">
        <f>IF(AND(OR(Setup!G$24=1, Setup!$G$30=1), Setup!$G$35=1), 50, 0)</f>
        <v>0</v>
      </c>
      <c r="D51" s="3">
        <f>IF(AND(OR(Setup!F$24=1, Setup!$F$30=1), Setup!$F$35=1), 50, 0)</f>
        <v>0</v>
      </c>
      <c r="E51" s="3">
        <f>IF(AND(OR(Setup!G$24=1, Setup!$G$30=1), Setup!$G$35=1), 50, 0)</f>
        <v>0</v>
      </c>
    </row>
    <row r="52" spans="1:5" ht="12.75" customHeight="1" x14ac:dyDescent="0.2">
      <c r="A52" s="3" t="s">
        <v>274</v>
      </c>
      <c r="B52" s="3">
        <f>IF(AND(Setup!F15="On", $D$1="Drk"), 25, 0)</f>
        <v>0</v>
      </c>
      <c r="C52" s="39">
        <f>IF(AND(Setup!G15="On", $D$1="Drk"), 25, 0)</f>
        <v>0</v>
      </c>
      <c r="D52" s="3">
        <f>IF(AND(OR(Setup!F15="On", Setup!F15="WS Only"), $D$1="Drk"), 25, 0)</f>
        <v>0</v>
      </c>
      <c r="E52" s="3">
        <f>IF(AND(OR(Setup!G15="On", Setup!G15="WS Only"), $D$1="Drk"), 25, 0)</f>
        <v>0</v>
      </c>
    </row>
    <row r="53" spans="1:5" ht="12.75" customHeight="1" x14ac:dyDescent="0.2">
      <c r="A53" s="3" t="s">
        <v>275</v>
      </c>
      <c r="B53" s="3">
        <f>IF(AND(Setup!$F10=1, $D$1="Sam"), 10, 0)</f>
        <v>0</v>
      </c>
      <c r="C53" s="39">
        <f>IF(AND(Setup!$G10=1, $D$1="Sam"), 10, 0)</f>
        <v>0</v>
      </c>
      <c r="D53" s="3">
        <f>IF(AND(Setup!$F10=1, $D$1="Sam"), 10, 0)</f>
        <v>0</v>
      </c>
      <c r="E53" s="3">
        <f>IF(AND(Setup!$G10=1, $D$1="Sam"), 10, 0)</f>
        <v>0</v>
      </c>
    </row>
    <row r="54" spans="1:5" ht="12.75" customHeight="1" x14ac:dyDescent="0.2">
      <c r="A54" s="3" t="s">
        <v>119</v>
      </c>
      <c r="B54" s="3">
        <f>IF(Setup!$J38=1, Setup!$M38, 0)</f>
        <v>0</v>
      </c>
      <c r="C54" s="39">
        <f>IF(Setup!$K38=1, Setup!$N38, 0)</f>
        <v>0</v>
      </c>
      <c r="D54" s="3">
        <f>IF(Setup!$J38=1, Setup!$M38, 0)</f>
        <v>0</v>
      </c>
      <c r="E54" s="3">
        <f>IF(Setup!$K38=1, Setup!$N38, 0)</f>
        <v>0</v>
      </c>
    </row>
    <row r="55" spans="1:5" ht="12.75" customHeight="1" x14ac:dyDescent="0.2">
      <c r="A55" s="32" t="s">
        <v>31</v>
      </c>
      <c r="B55" s="32">
        <f>IF(AND(Setup!$F$9=1, $D$1="War"), 25, 0)</f>
        <v>0</v>
      </c>
      <c r="C55" s="40">
        <f>IF(AND(Setup!$G$9=1, $D$1="War"), 25, 0)</f>
        <v>0</v>
      </c>
      <c r="D55" s="32">
        <f>IF(AND(Setup!$F$9=1, $D$1="War"), 25, 0)</f>
        <v>0</v>
      </c>
      <c r="E55" s="32">
        <f>IF(AND(Setup!$G$9=1, $D$1="War"), 25, 0)</f>
        <v>0</v>
      </c>
    </row>
    <row r="56" spans="1:5" ht="12.75" customHeight="1" x14ac:dyDescent="0.2">
      <c r="A56" s="3" t="s">
        <v>37</v>
      </c>
      <c r="B56" s="16">
        <f ca="1">$H9+HLOOKUP($A56, INDIRECT(B$28), MATCH("Total", Slots, 0)+1, 0)</f>
        <v>1774</v>
      </c>
      <c r="C56" s="43">
        <f ca="1">$I9+HLOOKUP($A56, INDIRECT(C$28), MATCH("Total", Slots, 0)+1, 0)</f>
        <v>1774</v>
      </c>
      <c r="D56" s="16">
        <f ca="1">$H9+HLOOKUP($A56, INDIRECT(D$28), MATCH("Total", Slots, 0)+1, 0)</f>
        <v>1843</v>
      </c>
      <c r="E56" s="16">
        <f ca="1">$I9+HLOOKUP($A56, INDIRECT(E$28), MATCH("Total", Slots, 0)+1, 0)</f>
        <v>1843</v>
      </c>
    </row>
    <row r="57" spans="1:5" ht="12.75" customHeight="1" x14ac:dyDescent="0.2">
      <c r="A57" s="3" t="s">
        <v>155</v>
      </c>
      <c r="B57" s="9">
        <f ca="1">HLOOKUP($A57, INDIRECT(B$28), MATCH("Total", Slots, 0)+1, 0)</f>
        <v>0</v>
      </c>
      <c r="C57" s="44">
        <f ca="1">HLOOKUP($A57, INDIRECT(C$28), MATCH("Total", Slots, 0)+1, 0)</f>
        <v>0</v>
      </c>
      <c r="D57" s="9">
        <f ca="1">HLOOKUP($A57, INDIRECT(D$28), MATCH("Total", Slots, 0)+1, 0)</f>
        <v>0</v>
      </c>
      <c r="E57" s="9">
        <f ca="1">HLOOKUP($A57, INDIRECT(E$28), MATCH("Total", Slots, 0)+1, 0)</f>
        <v>0</v>
      </c>
    </row>
    <row r="58" spans="1:5" ht="12.75" customHeight="1" x14ac:dyDescent="0.2">
      <c r="A58" s="3" t="s">
        <v>276</v>
      </c>
      <c r="B58" s="16">
        <f ca="1">B56 + TRUNC(B56*B57)</f>
        <v>1774</v>
      </c>
      <c r="C58" s="36">
        <f ca="1">C56 + TRUNC(C56*C57)</f>
        <v>1774</v>
      </c>
      <c r="D58" s="16">
        <f ca="1">D56 + TRUNC(D56*D57)</f>
        <v>1843</v>
      </c>
      <c r="E58" s="16">
        <f ca="1">E56 + TRUNC(E56*E57)</f>
        <v>1843</v>
      </c>
    </row>
    <row r="59" spans="1:5" ht="12.75" customHeight="1" x14ac:dyDescent="0.2">
      <c r="A59" s="3" t="s">
        <v>277</v>
      </c>
      <c r="B59" s="9">
        <f>IF(ISBLANK($E$1), 0, VLOOKUP($E$1, Food, MATCH("HP Mult", FoodHeader, 0), 0))</f>
        <v>0</v>
      </c>
      <c r="C59" s="44">
        <f>IF(ISBLANK($E$1), 0, VLOOKUP($E$1, Food, MATCH("HP Mult", FoodHeader, 0), 0))</f>
        <v>0</v>
      </c>
      <c r="D59" s="9">
        <f>IF(ISBLANK($E$1), 0, VLOOKUP($E$1, Food, MATCH("HP Mult", FoodHeader, 0), 0))</f>
        <v>0</v>
      </c>
      <c r="E59" s="9">
        <f>IF(ISBLANK($E$1), 0, VLOOKUP($E$1, Food, MATCH("HP Mult", FoodHeader, 0), 0))</f>
        <v>0</v>
      </c>
    </row>
    <row r="60" spans="1:5" ht="12.75" customHeight="1" x14ac:dyDescent="0.2">
      <c r="A60" s="3" t="s">
        <v>278</v>
      </c>
      <c r="B60" s="3">
        <f>IF(ISBLANK($E$1), 0, VLOOKUP($E$1, Food, MATCH("HP Cap", FoodHeader, 0), 0))</f>
        <v>0</v>
      </c>
      <c r="C60" s="39">
        <f>IF(ISBLANK($E$1), 0, VLOOKUP($E$1, Food, MATCH("HP Cap", FoodHeader, 0), 0))</f>
        <v>0</v>
      </c>
      <c r="D60" s="3">
        <f>IF(ISBLANK($E$1), 0, VLOOKUP($E$1, Food, MATCH("HP Cap", FoodHeader, 0), 0))</f>
        <v>0</v>
      </c>
      <c r="E60" s="3">
        <f>IF(ISBLANK($E$1), 0, VLOOKUP($E$1, Food, MATCH("HP Cap", FoodHeader, 0), 0))</f>
        <v>0</v>
      </c>
    </row>
    <row r="61" spans="1:5" ht="12.75" customHeight="1" x14ac:dyDescent="0.2">
      <c r="A61" s="3" t="s">
        <v>279</v>
      </c>
      <c r="B61" s="3">
        <f ca="1">MIN(TRUNC(B58*B59), B60)</f>
        <v>0</v>
      </c>
      <c r="C61" s="39">
        <f ca="1">MIN(TRUNC(C58*C59), C60)</f>
        <v>0</v>
      </c>
      <c r="D61" s="3">
        <f ca="1">MIN(TRUNC(D58*D59), D60)</f>
        <v>0</v>
      </c>
      <c r="E61" s="3">
        <f ca="1">MIN(TRUNC(E58*E59), E60)</f>
        <v>0</v>
      </c>
    </row>
    <row r="62" spans="1:5" ht="12.75" customHeight="1" x14ac:dyDescent="0.2">
      <c r="A62" s="32" t="s">
        <v>280</v>
      </c>
      <c r="B62" s="37">
        <f ca="1">B58+B61</f>
        <v>1774</v>
      </c>
      <c r="C62" s="38">
        <f ca="1">C58+C61</f>
        <v>1774</v>
      </c>
      <c r="D62" s="37">
        <f ca="1">D58+D61</f>
        <v>1843</v>
      </c>
      <c r="E62" s="37">
        <f ca="1">E58+E61</f>
        <v>1843</v>
      </c>
    </row>
    <row r="63" spans="1:5" ht="12.75" customHeight="1" x14ac:dyDescent="0.2">
      <c r="A63" s="45" t="s">
        <v>281</v>
      </c>
      <c r="B63" s="46">
        <f>O6</f>
        <v>1620</v>
      </c>
      <c r="C63" s="47">
        <f>P6</f>
        <v>1620</v>
      </c>
      <c r="D63" s="45">
        <f>O6</f>
        <v>1620</v>
      </c>
      <c r="E63" s="45">
        <f>P6</f>
        <v>1620</v>
      </c>
    </row>
    <row r="64" spans="1:5" ht="12.75" customHeight="1" x14ac:dyDescent="0.2">
      <c r="A64" s="3"/>
      <c r="B64" s="1"/>
      <c r="C64" s="48"/>
      <c r="D64" s="1"/>
      <c r="E64" s="1"/>
    </row>
    <row r="65" spans="1:6" ht="12.75" customHeight="1" x14ac:dyDescent="0.2">
      <c r="A65" s="49" t="s">
        <v>282</v>
      </c>
      <c r="B65" s="33"/>
      <c r="C65" s="50"/>
      <c r="D65" s="33"/>
      <c r="E65" s="33"/>
    </row>
    <row r="66" spans="1:6" ht="12.75" customHeight="1" x14ac:dyDescent="0.2">
      <c r="A66" s="3" t="s">
        <v>251</v>
      </c>
      <c r="B66" s="3">
        <f ca="1">$G$18+HLOOKUP(VLOOKUP($G$17, Skills, 2, 0), INDIRECT(B$28), MATCH("Total", Slots, 0)+1, 0) + VLOOKUP(Gear!$B$3, INDIRECT(Gear!$A$3), MATCH("CombatSkill", StatHeader, 0), 0)</f>
        <v>709</v>
      </c>
      <c r="C66" s="35">
        <f ca="1">$H$18+HLOOKUP(VLOOKUP($H$17, Skills, 2, 0), INDIRECT(C$28), MATCH("Total", Slots, 0)+1, 0) + VLOOKUP(Gear!$AB$3, INDIRECT(Gear!$AA$3), MATCH("CombatSkill", StatHeader, 0), 0)</f>
        <v>709</v>
      </c>
      <c r="D66" s="3">
        <f ca="1">$G$18+HLOOKUP(VLOOKUP($G$17, Skills, 2, 0), INDIRECT(D$28), MATCH("Total", Slots, 0)+1, 0) + VLOOKUP(Gear!$B$3, INDIRECT(Gear!$A$3), MATCH("CombatSkill", StatHeader, 0), 0)</f>
        <v>709</v>
      </c>
      <c r="E66" s="3">
        <f ca="1">$H$18+HLOOKUP(VLOOKUP($H$17, Skills, 2, 0), INDIRECT(E$28), MATCH("Total", Slots, 0)+1, 0) + VLOOKUP(Gear!$AB$3, INDIRECT(Gear!$AA$3), MATCH("CombatSkill", StatHeader, 0), 0)</f>
        <v>709</v>
      </c>
    </row>
    <row r="67" spans="1:6" ht="12.75" customHeight="1" x14ac:dyDescent="0.2">
      <c r="A67" s="3" t="s">
        <v>156</v>
      </c>
      <c r="B67" s="3">
        <f ca="1">8+B66</f>
        <v>717</v>
      </c>
      <c r="C67" s="39">
        <f ca="1">8+C66</f>
        <v>717</v>
      </c>
      <c r="D67" s="3">
        <f ca="1">8+D66</f>
        <v>717</v>
      </c>
      <c r="E67" s="3">
        <f ca="1">8+E66</f>
        <v>717</v>
      </c>
      <c r="F67" s="16"/>
    </row>
    <row r="68" spans="1:6" ht="12.75" customHeight="1" x14ac:dyDescent="0.2">
      <c r="A68" s="32" t="s">
        <v>120</v>
      </c>
      <c r="B68" s="37">
        <f ca="1">MIN(B66, 200) + TRUNC(MAX(MIN(B66-200, 200), 0)*0.9) + TRUNC(MAX(MIN(B66-400, 200), 0)*0.8) + TRUNC(MAX(MIN(B66-600, 200), 0)*0.9)</f>
        <v>638</v>
      </c>
      <c r="C68" s="38">
        <f ca="1">MIN(C66, 200) + TRUNC(MAX(MIN(C66-200, 200), 0)*0.9) + TRUNC(MAX(MIN(C66-400, 200), 0)*0.8) + TRUNC(MAX(MIN(C66-600, 200), 0)*0.9)</f>
        <v>638</v>
      </c>
      <c r="D68" s="37">
        <f ca="1">MIN(D66, 200) + TRUNC(MAX(MIN(D66-200, 200), 0)*0.9) + TRUNC(MAX(MIN(D66-400, 200), 0)*0.8) + TRUNC(MAX(MIN(D66-600, 200), 0)*0.9)</f>
        <v>638</v>
      </c>
      <c r="E68" s="37">
        <f ca="1">MIN(E66, 200) + TRUNC(MAX(MIN(E66-200, 200), 0)*0.9) + TRUNC(MAX(MIN(E66-400, 200), 0)*0.8) + TRUNC(MAX(MIN(E66-600, 200), 0)*0.9)</f>
        <v>638</v>
      </c>
    </row>
    <row r="69" spans="1:6" ht="12.75" customHeight="1" x14ac:dyDescent="0.2">
      <c r="A69" s="3" t="s">
        <v>283</v>
      </c>
      <c r="B69" s="9">
        <f>75%</f>
        <v>0.75</v>
      </c>
      <c r="C69" s="51">
        <f>75%</f>
        <v>0.75</v>
      </c>
      <c r="D69" s="9">
        <f>75%</f>
        <v>0.75</v>
      </c>
      <c r="E69" s="9">
        <f>75%</f>
        <v>0.75</v>
      </c>
    </row>
    <row r="70" spans="1:6" ht="12.75" customHeight="1" x14ac:dyDescent="0.2">
      <c r="A70" s="32" t="s">
        <v>284</v>
      </c>
      <c r="B70" s="52">
        <f>75%</f>
        <v>0.75</v>
      </c>
      <c r="C70" s="53">
        <f>75%</f>
        <v>0.75</v>
      </c>
      <c r="D70" s="52">
        <f>75%</f>
        <v>0.75</v>
      </c>
      <c r="E70" s="52">
        <f>75%</f>
        <v>0.75</v>
      </c>
    </row>
    <row r="71" spans="1:6" ht="12.75" customHeight="1" x14ac:dyDescent="0.2">
      <c r="A71" s="3" t="s">
        <v>285</v>
      </c>
      <c r="B71" s="16">
        <f ca="1">B67+TRUNC(B$30*B69)+B$41+B$42+B$44+$E$12+$H$12+HLOOKUP("Att", INDIRECT(B$28), MATCH("Total", Slots, 0)+1, 0)</f>
        <v>1106</v>
      </c>
      <c r="C71" s="36">
        <f ca="1">C67+TRUNC(C$30*C69)+C$41+C$42+C$44+$E$12+$H$12+HLOOKUP("Att", INDIRECT(C$28), MATCH("Total", Slots, 0)+1, 0)</f>
        <v>1106</v>
      </c>
      <c r="D71" s="16">
        <f ca="1">D67+TRUNC(D$30*D69)+D$41+D$42+D$44+$E$12+$H$12+HLOOKUP("Att", INDIRECT(D$28), MATCH("Total", Slots, 0)+1, 0)</f>
        <v>1158</v>
      </c>
      <c r="E71" s="16">
        <f ca="1">E67+TRUNC(E$30*E69)+E$41+E$42+E$44+$E$12+$H$12+HLOOKUP("Att", INDIRECT(E$28), MATCH("Total", Slots, 0)+1, 0)</f>
        <v>1158</v>
      </c>
    </row>
    <row r="72" spans="1:6" ht="12.75" customHeight="1" x14ac:dyDescent="0.2">
      <c r="A72" s="32" t="s">
        <v>286</v>
      </c>
      <c r="B72" s="37">
        <f ca="1">B68+TRUNC(B$31*B70)+B$48+B$49+B$50+B$51+B$52+B$53+B$54+B$55+$E$13+$H$13+HLOOKUP("Acc", INDIRECT(B$28), MATCH("Total", Slots, 0)+1, 0)</f>
        <v>1063</v>
      </c>
      <c r="C72" s="38">
        <f ca="1">C68+TRUNC(C$31*C70)+C$48+C$49+C$50+C$51+C$52+C$53+C$54+C$55+$E$13+$H$13+HLOOKUP("Acc", INDIRECT(C$28), MATCH("Total", Slots, 0)+1, 0)</f>
        <v>1063</v>
      </c>
      <c r="D72" s="37">
        <f ca="1">D68+TRUNC(D$31*D70)+D$48+D$49+D$50+D$51+D$52+D$53+D$54+D$55+$E$13+$H$13+HLOOKUP("Acc", INDIRECT(D$28), MATCH("Total", Slots, 0)+1, 0)</f>
        <v>1004</v>
      </c>
      <c r="E72" s="37">
        <f ca="1">E68+TRUNC(E$31*E70)+E$48+E$49+E$50+E$51+E$52+E$53+E$54+E$55+$E$13+$H$13+HLOOKUP("Acc", INDIRECT(E$28), MATCH("Total", Slots, 0)+1, 0)</f>
        <v>1004</v>
      </c>
    </row>
    <row r="73" spans="1:6" ht="12.75" customHeight="1" x14ac:dyDescent="0.2">
      <c r="A73" s="3" t="s">
        <v>287</v>
      </c>
      <c r="B73" s="16">
        <f ca="1">TRUNC(MIN(B71*$B$12, $C$12))+$D$12</f>
        <v>0</v>
      </c>
      <c r="C73" s="36">
        <f ca="1">TRUNC(MIN(C71*$B$12, $C$12))+$D$12</f>
        <v>0</v>
      </c>
      <c r="D73" s="16">
        <f ca="1">TRUNC(MIN(D71*$B$12, $C$12))+$D$12</f>
        <v>0</v>
      </c>
      <c r="E73" s="16">
        <f ca="1">TRUNC(MIN(E71*$B$12, $C$12))+$D$12</f>
        <v>0</v>
      </c>
    </row>
    <row r="74" spans="1:6" ht="12.75" customHeight="1" x14ac:dyDescent="0.2">
      <c r="A74" s="32" t="s">
        <v>288</v>
      </c>
      <c r="B74" s="37">
        <f ca="1">TRUNC(MIN(B72*$B$13, $C$13))+$D$13</f>
        <v>0</v>
      </c>
      <c r="C74" s="38">
        <f ca="1">TRUNC(MIN(C72*$B$13, $C$13))+$D$13</f>
        <v>0</v>
      </c>
      <c r="D74" s="37">
        <f ca="1">TRUNC(MIN(D72*$B$13, $C$13))+$D$13</f>
        <v>0</v>
      </c>
      <c r="E74" s="37">
        <f ca="1">TRUNC(MIN(E72*$B$13, $C$13))+$D$13</f>
        <v>0</v>
      </c>
    </row>
    <row r="75" spans="1:6" ht="12.75" customHeight="1" x14ac:dyDescent="0.2">
      <c r="A75" s="3" t="s">
        <v>289</v>
      </c>
      <c r="B75" s="3">
        <f>IF(Setup!$J$37=1, TRUNC(B71*Setup!$M$37), 0)</f>
        <v>0</v>
      </c>
      <c r="C75" s="35">
        <f>IF(Setup!$K$37=1, TRUNC(C71*Setup!$N$37), 0)</f>
        <v>0</v>
      </c>
      <c r="D75" s="3">
        <f>IF(Setup!$J$37=1, TRUNC(D71*Setup!$M$37), 0)</f>
        <v>0</v>
      </c>
      <c r="E75" s="54">
        <f>IF(Setup!$K$37=1, TRUNC(E71*Setup!$N$37), 0)</f>
        <v>0</v>
      </c>
    </row>
    <row r="76" spans="1:6" ht="12.75" customHeight="1" x14ac:dyDescent="0.2">
      <c r="A76" s="3" t="s">
        <v>290</v>
      </c>
      <c r="B76" s="3">
        <f>IF(AND(OR(Setup!F$24=1, Setup!$F$30=1), Setup!$F$35=1), FLOOR(0.25*B71, 1), 0)</f>
        <v>0</v>
      </c>
      <c r="C76" s="39">
        <f>IF(AND(OR(Setup!G$24=1, Setup!$G$30=1), Setup!$G$35=1), FLOOR(0.25*C71, 1), 0)</f>
        <v>0</v>
      </c>
      <c r="D76" s="3">
        <f>IF(AND(OR(Setup!F$24=1, Setup!$F$30=1), Setup!$F$35=1), FLOOR(0.25*D71, 1), 0)</f>
        <v>0</v>
      </c>
      <c r="E76" s="3">
        <f>IF(AND(OR(Setup!G$24=1, Setup!$G$30=1), Setup!$G$35=1), FLOOR(0.25*E71, 1), 0)</f>
        <v>0</v>
      </c>
    </row>
    <row r="77" spans="1:6" ht="12.75" customHeight="1" x14ac:dyDescent="0.2">
      <c r="A77" s="3" t="s">
        <v>27</v>
      </c>
      <c r="B77" s="3">
        <f>IF(AND(Setup!$F$8=1, $D$1="War"), FLOOR(0.25*B71, 1), 0)</f>
        <v>0</v>
      </c>
      <c r="C77" s="39">
        <f>IF(AND(Setup!$G$8=1, $D$1="War"), FLOOR(0.25*C71, 1), 0)</f>
        <v>0</v>
      </c>
      <c r="D77" s="3">
        <f>IF(AND(Setup!$F$8=1, $D$1="War"), FLOOR(0.25*D71, 1), 0)</f>
        <v>0</v>
      </c>
      <c r="E77" s="3">
        <f>IF(AND(Setup!$G$8=1, $D$1="War"), FLOOR(0.25*E71, 1), 0)</f>
        <v>0</v>
      </c>
      <c r="F77" s="3"/>
    </row>
    <row r="78" spans="1:6" ht="12.75" customHeight="1" x14ac:dyDescent="0.2">
      <c r="A78" s="3" t="s">
        <v>47</v>
      </c>
      <c r="B78" s="3">
        <f ca="1">IF(AND(Setup!$F$14=1, $D$1="Drk"), FLOOR(B71*38/256, 1), 0)</f>
        <v>164</v>
      </c>
      <c r="C78" s="39">
        <f ca="1">IF(AND(Setup!$G$14=1, $D$1="Drk"), FLOOR(C71*38/256, 1), 0)</f>
        <v>164</v>
      </c>
      <c r="D78" s="3">
        <f ca="1">IF(AND(Setup!$F$14=1, $D$1="Drk"), FLOOR(D71*38/256, 1), 0)</f>
        <v>171</v>
      </c>
      <c r="E78" s="3">
        <f ca="1">IF(AND(Setup!$G$14=1, $D$1="Drk"), FLOOR(E71*38/256, 1), 0)</f>
        <v>171</v>
      </c>
      <c r="F78" s="3"/>
    </row>
    <row r="79" spans="1:6" ht="12.75" customHeight="1" x14ac:dyDescent="0.2">
      <c r="A79" s="3" t="s">
        <v>157</v>
      </c>
      <c r="B79" s="16">
        <f ca="1">FLOOR(HLOOKUP($A79, INDIRECT(B$28), MATCH("Total", Slots, 0)+1, 0) * B71, 1)</f>
        <v>0</v>
      </c>
      <c r="C79" s="36">
        <f ca="1">FLOOR(HLOOKUP($A79, INDIRECT(C$28), MATCH("Total", Slots, 0)+1, 0) * C71, 1)</f>
        <v>0</v>
      </c>
      <c r="D79" s="16">
        <f ca="1">FLOOR(HLOOKUP($A79, INDIRECT(D$28), MATCH("Total", Slots, 0)+1, 0) * D71, 1)</f>
        <v>0</v>
      </c>
      <c r="E79" s="16">
        <f ca="1">FLOOR(HLOOKUP($A79, INDIRECT(E$28), MATCH("Total", Slots, 0)+1, 0) * E71, 1)</f>
        <v>0</v>
      </c>
      <c r="F79" s="3"/>
    </row>
    <row r="80" spans="1:6" ht="12.75" customHeight="1" x14ac:dyDescent="0.2">
      <c r="A80" s="13" t="s">
        <v>144</v>
      </c>
      <c r="B80" s="55">
        <f>IF(OR(Setup!J$51=$A80,Setup!J$52=$A80),VLOOKUP($A80, Geomancy, MATCH(VLOOKUP("Geomancy+", Geo, 2, 0), GeomancyHeaders, 0), 0),0)</f>
        <v>0</v>
      </c>
      <c r="C80" s="56">
        <f>IF(OR(Setup!K$51=$A80,Setup!K$52=$A80),VLOOKUP($A80, Geomancy, MATCH(VLOOKUP("Geomancy+", Geo, 3, 0), GeomancyHeaders, 0), 0),0)</f>
        <v>0</v>
      </c>
      <c r="D80" s="55">
        <f>IF(OR(Setup!J$51=$A80,Setup!J$52=$A80),VLOOKUP($A80, Geomancy, MATCH(VLOOKUP("Geomancy+", Geo, 2, 0), GeomancyHeaders, 0), 0),0)</f>
        <v>0</v>
      </c>
      <c r="E80" s="55">
        <f>IF(OR(Setup!K$51=$A80,Setup!K$52=$A80),VLOOKUP($A80, Geomancy, MATCH(VLOOKUP("Geomancy+", Geo, 3, 0), GeomancyHeaders, 0), 0),0)</f>
        <v>0</v>
      </c>
      <c r="F80" s="3"/>
    </row>
    <row r="81" spans="1:6" ht="12.75" customHeight="1" x14ac:dyDescent="0.2">
      <c r="A81" t="s">
        <v>291</v>
      </c>
      <c r="B81" s="16">
        <f ca="1">B71*B80</f>
        <v>0</v>
      </c>
      <c r="C81" s="36">
        <f ca="1">C71*C80</f>
        <v>0</v>
      </c>
      <c r="D81" s="16">
        <f ca="1">D71*D80</f>
        <v>0</v>
      </c>
      <c r="E81" s="16">
        <f ca="1">E71*E80</f>
        <v>0</v>
      </c>
      <c r="F81" s="3"/>
    </row>
    <row r="82" spans="1:6" ht="12.75" customHeight="1" x14ac:dyDescent="0.2">
      <c r="A82" s="32" t="s">
        <v>292</v>
      </c>
      <c r="B82" s="32">
        <v>0</v>
      </c>
      <c r="C82" s="40">
        <v>0</v>
      </c>
      <c r="D82" s="32">
        <f ca="1">TRUNC(VLOOKUP(Setup!B$24, WeaponskillData, MATCH("Att Bonus", WeaponskillDataCols, 0), 0) * D71)</f>
        <v>0</v>
      </c>
      <c r="E82" s="32">
        <f ca="1">TRUNC(VLOOKUP(Setup!C$24, WeaponskillData, MATCH("Att Bonus", WeaponskillDataCols, 0), 0) * E71)</f>
        <v>0</v>
      </c>
      <c r="F82" s="3"/>
    </row>
    <row r="83" spans="1:6" ht="12.75" customHeight="1" x14ac:dyDescent="0.2">
      <c r="A83" s="3" t="s">
        <v>156</v>
      </c>
      <c r="B83" s="16">
        <f ca="1">B71+B73+B75+B76+B77+B78+B79+B81+B82</f>
        <v>1270</v>
      </c>
      <c r="C83" s="36">
        <f ca="1">C71+C73+C75+C76+C77+C78+C79+C81+C82</f>
        <v>1270</v>
      </c>
      <c r="D83" s="16">
        <f ca="1">D71+D73+D75+D76+D77+D78+D79+D81+D82</f>
        <v>1329</v>
      </c>
      <c r="E83" s="16">
        <f ca="1">E71+E73+E75+E76+E77+E78+E79+E81+E82</f>
        <v>1329</v>
      </c>
      <c r="F83" s="3"/>
    </row>
    <row r="84" spans="1:6" ht="12.75" customHeight="1" x14ac:dyDescent="0.2">
      <c r="A84" s="32" t="s">
        <v>120</v>
      </c>
      <c r="B84" s="37">
        <f ca="1">B72+B74</f>
        <v>1063</v>
      </c>
      <c r="C84" s="38">
        <f ca="1">C72+C74</f>
        <v>1063</v>
      </c>
      <c r="D84" s="37">
        <f ca="1">D72+D74</f>
        <v>1004</v>
      </c>
      <c r="E84" s="37">
        <f ca="1">E72+E74</f>
        <v>1004</v>
      </c>
      <c r="F84" s="3"/>
    </row>
    <row r="85" spans="1:6" ht="12.75" customHeight="1" x14ac:dyDescent="0.2">
      <c r="A85" s="45" t="s">
        <v>293</v>
      </c>
      <c r="B85" s="57">
        <f ca="1">MAX(MIN(B83/O6, 2.25), 0)</f>
        <v>0.78395061728395066</v>
      </c>
      <c r="C85" s="58">
        <f ca="1">MAX(MIN(C83/P6, 2.25), 0)</f>
        <v>0.78395061728395066</v>
      </c>
      <c r="D85" s="57">
        <f ca="1">MAX(MIN(D83/O6, 2.25), 0)</f>
        <v>0.82037037037037042</v>
      </c>
      <c r="E85" s="57">
        <f ca="1">MAX(MIN(E83/P6, 2.25), 0)</f>
        <v>0.82037037037037042</v>
      </c>
      <c r="F85" s="3"/>
    </row>
    <row r="86" spans="1:6" ht="12.75" customHeight="1" x14ac:dyDescent="0.2">
      <c r="A86" s="1" t="s">
        <v>294</v>
      </c>
      <c r="B86" s="59"/>
      <c r="C86" s="60"/>
      <c r="D86" s="59"/>
      <c r="E86" s="59"/>
      <c r="F86" s="3"/>
    </row>
    <row r="87" spans="1:6" ht="12.75" customHeight="1" x14ac:dyDescent="0.2">
      <c r="A87" s="3" t="s">
        <v>295</v>
      </c>
      <c r="B87" s="59">
        <f ca="1">B85</f>
        <v>0.78395061728395066</v>
      </c>
      <c r="C87" s="60">
        <f ca="1">C85</f>
        <v>0.78395061728395066</v>
      </c>
      <c r="D87" s="59">
        <f ca="1">D85</f>
        <v>0.82037037037037042</v>
      </c>
      <c r="E87" s="59">
        <f ca="1">E85</f>
        <v>0.82037037037037042</v>
      </c>
      <c r="F87" s="3"/>
    </row>
    <row r="88" spans="1:6" ht="12.75" customHeight="1" x14ac:dyDescent="0.2">
      <c r="A88" s="3" t="s">
        <v>296</v>
      </c>
      <c r="B88" s="59">
        <f ca="1">B87+MIN(B87*(152/1024) - (752/1024), -0.375)</f>
        <v>0.16594328703703709</v>
      </c>
      <c r="C88" s="60">
        <f ca="1">C87+MIN(C87*(152/1024) - (752/1024), -0.375)</f>
        <v>0.16594328703703709</v>
      </c>
      <c r="D88" s="59">
        <f ca="1">D87+MIN(D87*(152/1024) - (752/1024), -0.375)</f>
        <v>0.20776909722222225</v>
      </c>
      <c r="E88" s="59">
        <f ca="1">E87+MIN(E87*(152/1024) - (752/1024), -0.375)</f>
        <v>0.20776909722222225</v>
      </c>
      <c r="F88" s="3"/>
    </row>
    <row r="89" spans="1:6" ht="12.75" customHeight="1" x14ac:dyDescent="0.2">
      <c r="A89" s="3" t="s">
        <v>297</v>
      </c>
      <c r="B89" s="59">
        <f ca="1">B87+MIN(1-B87, B87*152/1024 - 448/1024)</f>
        <v>0.46281828703703709</v>
      </c>
      <c r="C89" s="60">
        <f ca="1">C87+MIN(1-C87, C87*152/1024 - 448/1024)</f>
        <v>0.46281828703703709</v>
      </c>
      <c r="D89" s="59">
        <f ca="1">D87+MIN(1-D87, D87*152/1024 - 448/1024)</f>
        <v>0.50464409722222225</v>
      </c>
      <c r="E89" s="59">
        <f ca="1">E87+MIN(1-E87, E87*152/1024 - 448/1024)</f>
        <v>0.50464409722222225</v>
      </c>
      <c r="F89" s="3"/>
    </row>
    <row r="90" spans="1:6" ht="12.75" customHeight="1" x14ac:dyDescent="0.2">
      <c r="A90" s="3" t="s">
        <v>298</v>
      </c>
      <c r="B90" s="59">
        <f ca="1">MAX(B88,B89)</f>
        <v>0.46281828703703709</v>
      </c>
      <c r="C90" s="60">
        <f ca="1">MAX(C88,C89)</f>
        <v>0.46281828703703709</v>
      </c>
      <c r="D90" s="59">
        <f ca="1">MAX(D88,D89)</f>
        <v>0.50464409722222225</v>
      </c>
      <c r="E90" s="59">
        <f ca="1">MAX(E88,E89)</f>
        <v>0.50464409722222225</v>
      </c>
      <c r="F90" s="3"/>
    </row>
    <row r="91" spans="1:6" ht="12.75" customHeight="1" x14ac:dyDescent="0.2">
      <c r="A91" s="3" t="s">
        <v>299</v>
      </c>
      <c r="B91" s="59">
        <f ca="1">MAX(MAX(B88,B89), 0)</f>
        <v>0.46281828703703709</v>
      </c>
      <c r="C91" s="60">
        <f ca="1">MAX(MAX(C88,C89), 0)</f>
        <v>0.46281828703703709</v>
      </c>
      <c r="D91" s="59">
        <f ca="1">MAX(MAX(D88,D89), 0)</f>
        <v>0.50464409722222225</v>
      </c>
      <c r="E91" s="59">
        <f ca="1">MAX(MAX(E88,E89), 0)</f>
        <v>0.50464409722222225</v>
      </c>
      <c r="F91" s="3"/>
    </row>
    <row r="92" spans="1:6" ht="12.75" customHeight="1" x14ac:dyDescent="0.2">
      <c r="A92" s="3" t="s">
        <v>300</v>
      </c>
      <c r="B92" s="59">
        <f ca="1">B87 + MAX(MIN(B87 * 0.25, 0.375), 0.25)</f>
        <v>1.0339506172839505</v>
      </c>
      <c r="C92" s="60">
        <f ca="1">C87 + MAX(MIN(C87 * 0.25, 0.375), 0.25)</f>
        <v>1.0339506172839505</v>
      </c>
      <c r="D92" s="59">
        <f ca="1">D87 + MAX(MIN(D87 * 0.25, 0.375), 0.25)</f>
        <v>1.0703703703703704</v>
      </c>
      <c r="E92" s="59">
        <f ca="1">E87 + MAX(MIN(E87 * 0.25, 0.375), 0.25)</f>
        <v>1.0703703703703704</v>
      </c>
      <c r="F92" s="3"/>
    </row>
    <row r="93" spans="1:6" ht="12.75" customHeight="1" x14ac:dyDescent="0.2">
      <c r="A93" s="3" t="s">
        <v>301</v>
      </c>
      <c r="B93" s="59">
        <f ca="1">B87 + MIN(B87*341/1024 + 358/1024, 1-B87)</f>
        <v>1</v>
      </c>
      <c r="C93" s="60">
        <f ca="1">C87 + MIN(C87*341/1024 + 358/1024, 1-C87)</f>
        <v>1</v>
      </c>
      <c r="D93" s="59">
        <f ca="1">D87 + MIN(D87*341/1024 + 358/1024, 1-D87)</f>
        <v>1</v>
      </c>
      <c r="E93" s="59">
        <f ca="1">E87 + MIN(E87*341/1024 + 358/1024, 1-E87)</f>
        <v>1</v>
      </c>
      <c r="F93" s="3"/>
    </row>
    <row r="94" spans="1:6" ht="12.75" customHeight="1" x14ac:dyDescent="0.2">
      <c r="A94" s="3" t="s">
        <v>302</v>
      </c>
      <c r="B94" s="59">
        <f ca="1">MAX(B92,B93)</f>
        <v>1.0339506172839505</v>
      </c>
      <c r="C94" s="60">
        <f ca="1">MAX(C92,C93)</f>
        <v>1.0339506172839505</v>
      </c>
      <c r="D94" s="59">
        <f ca="1">MAX(D92,D93)</f>
        <v>1.0703703703703704</v>
      </c>
      <c r="E94" s="59">
        <f ca="1">MAX(E92,E93)</f>
        <v>1.0703703703703704</v>
      </c>
      <c r="F94" s="3"/>
    </row>
    <row r="95" spans="1:6" ht="12.75" customHeight="1" x14ac:dyDescent="0.2">
      <c r="A95" s="3" t="s">
        <v>303</v>
      </c>
      <c r="B95" s="59">
        <f ca="1">MIN(MAX(B92,B93), 3)</f>
        <v>1.0339506172839505</v>
      </c>
      <c r="C95" s="60">
        <f ca="1">MIN(MAX(C92,C93), 3)</f>
        <v>1.0339506172839505</v>
      </c>
      <c r="D95" s="59">
        <f ca="1">MIN(MAX(D92,D93), 3)</f>
        <v>1.0703703703703704</v>
      </c>
      <c r="E95" s="59">
        <f ca="1">MIN(MAX(E92,E93), 3)</f>
        <v>1.0703703703703704</v>
      </c>
      <c r="F95" s="3"/>
    </row>
    <row r="96" spans="1:6" ht="12.75" customHeight="1" x14ac:dyDescent="0.2">
      <c r="A96" s="3" t="s">
        <v>304</v>
      </c>
      <c r="B96" s="59">
        <f t="shared" ref="B96:E97" ca="1" si="5">B94-B90</f>
        <v>0.57113233024691346</v>
      </c>
      <c r="C96" s="60">
        <f t="shared" ca="1" si="5"/>
        <v>0.57113233024691346</v>
      </c>
      <c r="D96" s="59">
        <f t="shared" ca="1" si="5"/>
        <v>0.56572627314814816</v>
      </c>
      <c r="E96" s="59">
        <f t="shared" ca="1" si="5"/>
        <v>0.56572627314814816</v>
      </c>
      <c r="F96" s="3"/>
    </row>
    <row r="97" spans="1:6" ht="12.75" customHeight="1" x14ac:dyDescent="0.2">
      <c r="A97" s="3" t="s">
        <v>305</v>
      </c>
      <c r="B97" s="59">
        <f t="shared" ca="1" si="5"/>
        <v>0.57113233024691346</v>
      </c>
      <c r="C97" s="60">
        <f t="shared" ca="1" si="5"/>
        <v>0.57113233024691346</v>
      </c>
      <c r="D97" s="59">
        <f t="shared" ca="1" si="5"/>
        <v>0.56572627314814816</v>
      </c>
      <c r="E97" s="59">
        <f t="shared" ca="1" si="5"/>
        <v>0.56572627314814816</v>
      </c>
      <c r="F97" s="3"/>
    </row>
    <row r="98" spans="1:6" ht="12.75" customHeight="1" x14ac:dyDescent="0.2">
      <c r="A98" s="3" t="s">
        <v>306</v>
      </c>
      <c r="B98" s="61">
        <f ca="1">IF(B90&lt;0, 1-(B97/B96), 0)</f>
        <v>0</v>
      </c>
      <c r="C98" s="62">
        <f ca="1">IF(C90&lt;0, 1-(C97/C96), 0)</f>
        <v>0</v>
      </c>
      <c r="D98" s="61">
        <f ca="1">IF(D90&lt;0, 1-(D97/D96), 0)</f>
        <v>0</v>
      </c>
      <c r="E98" s="61">
        <f ca="1">IF(E90&lt;0, 1-(E97/E96), 0)</f>
        <v>0</v>
      </c>
      <c r="F98" s="3"/>
    </row>
    <row r="99" spans="1:6" ht="12.75" customHeight="1" x14ac:dyDescent="0.2">
      <c r="A99" s="3" t="s">
        <v>307</v>
      </c>
      <c r="B99" s="61">
        <f ca="1">IF(B94&gt;3, 1-(B97/B96), 0)</f>
        <v>0</v>
      </c>
      <c r="C99" s="62">
        <f ca="1">IF(C94&gt;3, 1-(C97/C96), 0)</f>
        <v>0</v>
      </c>
      <c r="D99" s="61">
        <f ca="1">IF(D94&gt;3, 1-(D97/D96), 0)</f>
        <v>0</v>
      </c>
      <c r="E99" s="61">
        <f ca="1">IF(E94&gt;3, 1-(E97/E96), 0)</f>
        <v>0</v>
      </c>
      <c r="F99" s="3"/>
    </row>
    <row r="100" spans="1:6" ht="12.75" customHeight="1" x14ac:dyDescent="0.2">
      <c r="A100" s="3" t="s">
        <v>308</v>
      </c>
      <c r="B100" s="61">
        <f ca="1">MAX(0, MIN(1/3, (0.5 - ABS(B87-1)) * 1.2))</f>
        <v>0.33333333333333331</v>
      </c>
      <c r="C100" s="62">
        <f ca="1">MAX(0, MIN(1/3, (0.5 - ABS(C87-1)) * 1.2))</f>
        <v>0.33333333333333331</v>
      </c>
      <c r="D100" s="61">
        <f ca="1">MAX(0, MIN(1/3, (0.5 - ABS(D87-1)) * 1.2))</f>
        <v>0.33333333333333331</v>
      </c>
      <c r="E100" s="61">
        <f ca="1">MAX(0, MIN(1/3, (0.5 - ABS(E87-1)) * 1.2))</f>
        <v>0.33333333333333331</v>
      </c>
      <c r="F100" s="3"/>
    </row>
    <row r="101" spans="1:6" ht="12.75" customHeight="1" x14ac:dyDescent="0.2">
      <c r="A101" s="3" t="s">
        <v>309</v>
      </c>
      <c r="B101" s="59">
        <f ca="1">((0 * B98) + (3 * B99) + (1 * B100) + (1 - B98 - B99 - B100) * ((B95 + B91) / 2)) * 1.02</f>
        <v>0.84890142746913588</v>
      </c>
      <c r="C101" s="60">
        <f ca="1">((0 * C98) + (3 * C99) + (1 * C100) + (1 - C98 - C99 - C100) * ((C95 + C91) / 2)) * 1.02</f>
        <v>0.84890142746913588</v>
      </c>
      <c r="D101" s="59">
        <f ca="1">((0 * D98) + (3 * D99) + (1 * D100) + (1 - D98 - D99 - D100) * ((D95 + D91) / 2)) * 1.02</f>
        <v>0.87550491898148153</v>
      </c>
      <c r="E101" s="59">
        <f ca="1">((0 * E98) + (3 * E99) + (1 * E100) + (1 - E98 - E99 - E100) * ((E95 + E91) / 2)) * 1.02</f>
        <v>0.87550491898148153</v>
      </c>
      <c r="F101" s="3"/>
    </row>
    <row r="102" spans="1:6" ht="12.75" customHeight="1" x14ac:dyDescent="0.2">
      <c r="A102" s="1" t="s">
        <v>310</v>
      </c>
      <c r="B102" s="59"/>
      <c r="C102" s="60"/>
      <c r="D102" s="59"/>
      <c r="E102" s="59"/>
      <c r="F102" s="3"/>
    </row>
    <row r="103" spans="1:6" ht="12.75" customHeight="1" x14ac:dyDescent="0.2">
      <c r="A103" s="3" t="s">
        <v>295</v>
      </c>
      <c r="B103" s="59">
        <f ca="1">B85+1</f>
        <v>1.7839506172839505</v>
      </c>
      <c r="C103" s="60">
        <f ca="1">C85+1</f>
        <v>1.7839506172839505</v>
      </c>
      <c r="D103" s="59">
        <f ca="1">D85+1</f>
        <v>1.8203703703703704</v>
      </c>
      <c r="E103" s="59">
        <f ca="1">E85+1</f>
        <v>1.8203703703703704</v>
      </c>
      <c r="F103" s="3"/>
    </row>
    <row r="104" spans="1:6" ht="12.75" customHeight="1" x14ac:dyDescent="0.2">
      <c r="A104" s="3" t="s">
        <v>296</v>
      </c>
      <c r="B104" s="59">
        <f ca="1">B103+MIN(B103*(152/1024) - (752/1024), -0.375)</f>
        <v>1.314380787037037</v>
      </c>
      <c r="C104" s="60">
        <f ca="1">C103+MIN(C103*(152/1024) - (752/1024), -0.375)</f>
        <v>1.314380787037037</v>
      </c>
      <c r="D104" s="59">
        <f ca="1">D103+MIN(D103*(152/1024) - (752/1024), -0.375)</f>
        <v>1.3562065972222221</v>
      </c>
      <c r="E104" s="59">
        <f ca="1">E103+MIN(E103*(152/1024) - (752/1024), -0.375)</f>
        <v>1.3562065972222221</v>
      </c>
      <c r="F104" s="3"/>
    </row>
    <row r="105" spans="1:6" ht="12.75" customHeight="1" x14ac:dyDescent="0.2">
      <c r="A105" s="3" t="s">
        <v>297</v>
      </c>
      <c r="B105" s="59">
        <f ca="1">B103+MIN(1-B103, B103*152/1024 - 448/1024)</f>
        <v>1</v>
      </c>
      <c r="C105" s="60">
        <f ca="1">C103+MIN(1-C103, C103*152/1024 - 448/1024)</f>
        <v>1</v>
      </c>
      <c r="D105" s="59">
        <f ca="1">D103+MIN(1-D103, D103*152/1024 - 448/1024)</f>
        <v>1</v>
      </c>
      <c r="E105" s="59">
        <f ca="1">E103+MIN(1-E103, E103*152/1024 - 448/1024)</f>
        <v>1</v>
      </c>
      <c r="F105" s="3"/>
    </row>
    <row r="106" spans="1:6" ht="12.75" customHeight="1" x14ac:dyDescent="0.2">
      <c r="A106" s="3" t="s">
        <v>298</v>
      </c>
      <c r="B106" s="59">
        <f ca="1">MAX(B104,B105)</f>
        <v>1.314380787037037</v>
      </c>
      <c r="C106" s="60">
        <f ca="1">MAX(C104,C105)</f>
        <v>1.314380787037037</v>
      </c>
      <c r="D106" s="59">
        <f ca="1">MAX(D104,D105)</f>
        <v>1.3562065972222221</v>
      </c>
      <c r="E106" s="59">
        <f ca="1">MAX(E104,E105)</f>
        <v>1.3562065972222221</v>
      </c>
      <c r="F106" s="3"/>
    </row>
    <row r="107" spans="1:6" ht="12.75" customHeight="1" x14ac:dyDescent="0.2">
      <c r="A107" s="3" t="s">
        <v>299</v>
      </c>
      <c r="B107" s="59">
        <f ca="1">MAX(MAX(B104,B105), 0)</f>
        <v>1.314380787037037</v>
      </c>
      <c r="C107" s="60">
        <f ca="1">MAX(MAX(C104,C105), 0)</f>
        <v>1.314380787037037</v>
      </c>
      <c r="D107" s="59">
        <f ca="1">MAX(MAX(D104,D105), 0)</f>
        <v>1.3562065972222221</v>
      </c>
      <c r="E107" s="59">
        <f ca="1">MAX(MAX(E104,E105), 0)</f>
        <v>1.3562065972222221</v>
      </c>
      <c r="F107" s="3"/>
    </row>
    <row r="108" spans="1:6" ht="12.75" customHeight="1" x14ac:dyDescent="0.2">
      <c r="A108" s="3" t="s">
        <v>300</v>
      </c>
      <c r="B108" s="59">
        <f ca="1">B103 + MAX(MIN(B103 * 0.25, 0.375), 0.25)</f>
        <v>2.1589506172839505</v>
      </c>
      <c r="C108" s="60">
        <f ca="1">C103 + MAX(MIN(C103 * 0.25, 0.375), 0.25)</f>
        <v>2.1589506172839505</v>
      </c>
      <c r="D108" s="59">
        <f ca="1">D103 + MAX(MIN(D103 * 0.25, 0.375), 0.25)</f>
        <v>2.1953703703703704</v>
      </c>
      <c r="E108" s="59">
        <f ca="1">E103 + MAX(MIN(E103 * 0.25, 0.375), 0.25)</f>
        <v>2.1953703703703704</v>
      </c>
      <c r="F108" s="3"/>
    </row>
    <row r="109" spans="1:6" ht="12.75" customHeight="1" x14ac:dyDescent="0.2">
      <c r="A109" s="3" t="s">
        <v>301</v>
      </c>
      <c r="B109" s="59">
        <f ca="1">B103 + MIN(B103*341/1024 + 358/1024, 1-B103)</f>
        <v>1</v>
      </c>
      <c r="C109" s="60">
        <f ca="1">C103 + MIN(C103*341/1024 + 358/1024, 1-C103)</f>
        <v>1</v>
      </c>
      <c r="D109" s="59">
        <f ca="1">D103 + MIN(D103*341/1024 + 358/1024, 1-D103)</f>
        <v>1</v>
      </c>
      <c r="E109" s="59">
        <f ca="1">E103 + MIN(E103*341/1024 + 358/1024, 1-E103)</f>
        <v>1</v>
      </c>
    </row>
    <row r="110" spans="1:6" ht="12.75" customHeight="1" x14ac:dyDescent="0.2">
      <c r="A110" s="3" t="s">
        <v>302</v>
      </c>
      <c r="B110" s="59">
        <f ca="1">MAX(B108,B109)</f>
        <v>2.1589506172839505</v>
      </c>
      <c r="C110" s="60">
        <f ca="1">MAX(C108,C109)</f>
        <v>2.1589506172839505</v>
      </c>
      <c r="D110" s="59">
        <f ca="1">MAX(D108,D109)</f>
        <v>2.1953703703703704</v>
      </c>
      <c r="E110" s="59">
        <f ca="1">MAX(E108,E109)</f>
        <v>2.1953703703703704</v>
      </c>
    </row>
    <row r="111" spans="1:6" ht="12.75" customHeight="1" x14ac:dyDescent="0.2">
      <c r="A111" s="3" t="s">
        <v>303</v>
      </c>
      <c r="B111" s="59">
        <f ca="1">MIN(MAX(B108,B109), 3)</f>
        <v>2.1589506172839505</v>
      </c>
      <c r="C111" s="60">
        <f ca="1">MIN(MAX(C108,C109), 3)</f>
        <v>2.1589506172839505</v>
      </c>
      <c r="D111" s="59">
        <f ca="1">MIN(MAX(D108,D109), 3)</f>
        <v>2.1953703703703704</v>
      </c>
      <c r="E111" s="59">
        <f ca="1">MIN(MAX(E108,E109), 3)</f>
        <v>2.1953703703703704</v>
      </c>
    </row>
    <row r="112" spans="1:6" ht="12.75" customHeight="1" x14ac:dyDescent="0.2">
      <c r="A112" s="3" t="s">
        <v>304</v>
      </c>
      <c r="B112" s="59">
        <f t="shared" ref="B112:E113" ca="1" si="6">B110-B106</f>
        <v>0.84456983024691357</v>
      </c>
      <c r="C112" s="60">
        <f t="shared" ca="1" si="6"/>
        <v>0.84456983024691357</v>
      </c>
      <c r="D112" s="59">
        <f t="shared" ca="1" si="6"/>
        <v>0.83916377314814827</v>
      </c>
      <c r="E112" s="59">
        <f t="shared" ca="1" si="6"/>
        <v>0.83916377314814827</v>
      </c>
    </row>
    <row r="113" spans="1:7" ht="12.75" customHeight="1" x14ac:dyDescent="0.2">
      <c r="A113" s="3" t="s">
        <v>305</v>
      </c>
      <c r="B113" s="59">
        <f t="shared" ca="1" si="6"/>
        <v>0.84456983024691357</v>
      </c>
      <c r="C113" s="60">
        <f t="shared" ca="1" si="6"/>
        <v>0.84456983024691357</v>
      </c>
      <c r="D113" s="59">
        <f t="shared" ca="1" si="6"/>
        <v>0.83916377314814827</v>
      </c>
      <c r="E113" s="59">
        <f t="shared" ca="1" si="6"/>
        <v>0.83916377314814827</v>
      </c>
    </row>
    <row r="114" spans="1:7" ht="12.75" customHeight="1" x14ac:dyDescent="0.2">
      <c r="A114" s="3" t="s">
        <v>306</v>
      </c>
      <c r="B114" s="61">
        <f ca="1">IF(B106&lt;0, 1-(B113/B112), 0)</f>
        <v>0</v>
      </c>
      <c r="C114" s="62">
        <f ca="1">IF(C106&lt;0, 1-(C113/C112), 0)</f>
        <v>0</v>
      </c>
      <c r="D114" s="61">
        <f ca="1">IF(D106&lt;0, 1-(D113/D112), 0)</f>
        <v>0</v>
      </c>
      <c r="E114" s="61">
        <f ca="1">IF(E106&lt;0, 1-(E113/E112), 0)</f>
        <v>0</v>
      </c>
    </row>
    <row r="115" spans="1:7" ht="12.75" customHeight="1" x14ac:dyDescent="0.2">
      <c r="A115" s="3" t="s">
        <v>307</v>
      </c>
      <c r="B115" s="61">
        <f ca="1">IF(B110&gt;3, 1-(B113/B112), 0)</f>
        <v>0</v>
      </c>
      <c r="C115" s="62">
        <f ca="1">IF(C110&gt;3, 1-(C113/C112), 0)</f>
        <v>0</v>
      </c>
      <c r="D115" s="61">
        <f ca="1">IF(D110&gt;3, 1-(D113/D112), 0)</f>
        <v>0</v>
      </c>
      <c r="E115" s="61">
        <f ca="1">IF(E110&gt;3, 1-(E113/E112), 0)</f>
        <v>0</v>
      </c>
      <c r="F115" s="3"/>
    </row>
    <row r="116" spans="1:7" ht="12.75" customHeight="1" x14ac:dyDescent="0.2">
      <c r="A116" s="3" t="s">
        <v>308</v>
      </c>
      <c r="B116" s="61">
        <f ca="1">MAX(0, MIN(1/3, (0.5 - ABS(B103-1)) * 1.2))</f>
        <v>0</v>
      </c>
      <c r="C116" s="62">
        <f ca="1">MAX(0, MIN(1/3, (0.5 - ABS(C103-1)) * 1.2))</f>
        <v>0</v>
      </c>
      <c r="D116" s="61">
        <f ca="1">MAX(0, MIN(1/3, (0.5 - ABS(D103-1)) * 1.2))</f>
        <v>0</v>
      </c>
      <c r="E116" s="61">
        <f ca="1">MAX(0, MIN(1/3, (0.5 - ABS(E103-1)) * 1.2))</f>
        <v>0</v>
      </c>
      <c r="G116" s="9"/>
    </row>
    <row r="117" spans="1:7" ht="12.75" customHeight="1" x14ac:dyDescent="0.2">
      <c r="A117" s="32" t="s">
        <v>311</v>
      </c>
      <c r="B117" s="63">
        <f ca="1">((0 * B114) + (3 * B115) + (1 * B116) + (1 - B114 - B115 - B116) * ((B111 + B107) / 2)) * 1.02</f>
        <v>1.7713990162037037</v>
      </c>
      <c r="C117" s="64">
        <f ca="1">((0 * C114) + (3 * C115) + (1 * C116) + (1 - C114 - C115 - C116) * ((C111 + C107) / 2)) * 1.02</f>
        <v>1.7713990162037037</v>
      </c>
      <c r="D117" s="63">
        <f ca="1">((0 * D114) + (3 * D115) + (1 * D116) + (1 - D114 - D115 - D116) * ((D111 + D107) / 2)) * 1.02</f>
        <v>1.8113042534722223</v>
      </c>
      <c r="E117" s="63">
        <f ca="1">((0 * E114) + (3 * E115) + (1 * E116) + (1 - E114 - E115 - E116) * ((E111 + E107) / 2)) * 1.02</f>
        <v>1.8113042534722223</v>
      </c>
    </row>
    <row r="118" spans="1:7" ht="12.75" customHeight="1" x14ac:dyDescent="0.2">
      <c r="A118" t="s">
        <v>312</v>
      </c>
      <c r="B118" s="65">
        <f ca="1">((B84-(O9))/2)/100+75%</f>
        <v>6.0650000000000004</v>
      </c>
      <c r="C118" s="66">
        <f ca="1">((C84-(P9))/2)/100+75%</f>
        <v>6.0650000000000004</v>
      </c>
      <c r="D118" s="65">
        <f ca="1">((D84-(O9))/2)/100+75%</f>
        <v>5.77</v>
      </c>
      <c r="E118" s="65">
        <f ca="1">((E84-(P9))/2)/100+75%</f>
        <v>5.77</v>
      </c>
    </row>
    <row r="119" spans="1:7" ht="12.75" customHeight="1" x14ac:dyDescent="0.2">
      <c r="A119" s="3" t="s">
        <v>313</v>
      </c>
      <c r="B119" s="65">
        <f ca="1">MAX(MIN(B118,95%), 20%)</f>
        <v>0.95</v>
      </c>
      <c r="C119" s="66">
        <f ca="1">MAX(MIN(C118,95%), 20%)</f>
        <v>0.95</v>
      </c>
      <c r="D119" s="65">
        <f ca="1">MAX(MIN(D118,95%), 20%)</f>
        <v>0.95</v>
      </c>
      <c r="E119" s="65">
        <f ca="1">MAX(MIN(E118,95%), 20%)</f>
        <v>0.95</v>
      </c>
    </row>
    <row r="120" spans="1:7" ht="12.75" customHeight="1" x14ac:dyDescent="0.2">
      <c r="A120" s="32" t="s">
        <v>314</v>
      </c>
      <c r="B120" s="67">
        <f ca="1">MAX(MIN(95%, B118+17%), 20%)</f>
        <v>0.95</v>
      </c>
      <c r="C120" s="68">
        <f ca="1">MAX(MIN(95%, C118+17%), 20%)</f>
        <v>0.95</v>
      </c>
      <c r="D120" s="67">
        <f ca="1">MAX(MIN(95%, D118+17%), 20%)</f>
        <v>0.95</v>
      </c>
      <c r="E120" s="67">
        <f ca="1">MAX(MIN(95%, E118+17%), 20%)</f>
        <v>0.95</v>
      </c>
    </row>
    <row r="121" spans="1:7" ht="12.75" customHeight="1" x14ac:dyDescent="0.2">
      <c r="A121" s="3" t="s">
        <v>315</v>
      </c>
      <c r="B121">
        <f ca="1">$G19</f>
        <v>305</v>
      </c>
      <c r="C121" s="39">
        <f ca="1">$H19</f>
        <v>305</v>
      </c>
      <c r="D121">
        <f ca="1">$G19</f>
        <v>305</v>
      </c>
      <c r="E121">
        <f ca="1">$H19</f>
        <v>305</v>
      </c>
    </row>
    <row r="122" spans="1:7" ht="12.75" customHeight="1" x14ac:dyDescent="0.2">
      <c r="A122" s="3" t="s">
        <v>316</v>
      </c>
      <c r="B122" s="3">
        <f ca="1">TRUNC(B121/9)</f>
        <v>33</v>
      </c>
      <c r="C122" s="39">
        <f ca="1">TRUNC(C121/9)</f>
        <v>33</v>
      </c>
      <c r="D122" s="3">
        <f ca="1">TRUNC(D121/9)</f>
        <v>33</v>
      </c>
      <c r="E122" s="3">
        <f ca="1">TRUNC(E121/9)</f>
        <v>33</v>
      </c>
    </row>
    <row r="123" spans="1:7" ht="12.75" customHeight="1" x14ac:dyDescent="0.2">
      <c r="A123" s="3" t="s">
        <v>317</v>
      </c>
      <c r="B123" s="3">
        <f ca="1">TRUNC(MAX(MIN(TRUNC((B$36+B$37)/2), (8+B122)*2), (0-B122)*2)/2)</f>
        <v>-7</v>
      </c>
      <c r="C123" s="39">
        <f ca="1">TRUNC(MAX(MIN(TRUNC((C$36+C$37)/2), (8+C122)*2), (0-C122)*2)/2)</f>
        <v>-7</v>
      </c>
      <c r="D123" s="3">
        <f ca="1">TRUNC(MAX(MIN(TRUNC((D$36+D$37)/2), (8+D122)*2), (0-D122)*2)/2)</f>
        <v>-5</v>
      </c>
      <c r="E123" s="3">
        <f ca="1">TRUNC(MAX(MIN(TRUNC((E$36+E$37)/2), (8+E122)*2), (0-E122)*2)/2)</f>
        <v>-5</v>
      </c>
    </row>
    <row r="124" spans="1:7" ht="12.75" customHeight="1" x14ac:dyDescent="0.2">
      <c r="A124" s="32" t="s">
        <v>318</v>
      </c>
      <c r="B124" s="32">
        <f ca="1">B121+B123</f>
        <v>298</v>
      </c>
      <c r="C124" s="40">
        <f ca="1">C121+C123</f>
        <v>298</v>
      </c>
      <c r="D124" s="32">
        <f ca="1">D121+D123</f>
        <v>300</v>
      </c>
      <c r="E124" s="32">
        <f ca="1">E121+E123</f>
        <v>300</v>
      </c>
    </row>
    <row r="125" spans="1:7" ht="12.75" customHeight="1" x14ac:dyDescent="0.2">
      <c r="C125" s="39"/>
    </row>
    <row r="126" spans="1:7" ht="12.75" customHeight="1" x14ac:dyDescent="0.2">
      <c r="A126" s="49" t="s">
        <v>319</v>
      </c>
      <c r="B126" s="33"/>
      <c r="C126" s="50"/>
      <c r="D126" s="33"/>
      <c r="E126" s="33"/>
    </row>
    <row r="127" spans="1:7" ht="12.75" customHeight="1" x14ac:dyDescent="0.2">
      <c r="A127" s="3" t="s">
        <v>251</v>
      </c>
      <c r="B127" s="9">
        <f ca="1">$G22+HLOOKUP(VLOOKUP($G21, Skills, 2, 0), INDIRECT(B$28), MATCH("Total", Slots, 0)+1, 0) + VLOOKUP(Gear!$B$4, INDIRECT(Gear!$A$4), MATCH("CombatSkill", StatHeader, 0), 0)</f>
        <v>0</v>
      </c>
      <c r="C127" s="35">
        <f ca="1">$H22+HLOOKUP(VLOOKUP($H21, Skills, 2, 0), INDIRECT(C$28), MATCH("Total", Slots, 0)+1, 0) + VLOOKUP(Gear!$AB$4, INDIRECT(Gear!$AA$4), MATCH("CombatSkill", StatHeader, 0), 0)</f>
        <v>0</v>
      </c>
      <c r="D127" s="9">
        <f ca="1">$G22+HLOOKUP(VLOOKUP($G21, Skills, 2, 0), INDIRECT(D$28), MATCH("Total", Slots, 0)+1, 0) + VLOOKUP(Gear!$B$4, INDIRECT(Gear!$A$4), MATCH("CombatSkill", StatHeader, 0), 0)</f>
        <v>0</v>
      </c>
      <c r="E127" s="3">
        <f ca="1">$H22+HLOOKUP(VLOOKUP($H21, Skills, 2, 0), INDIRECT(E$28), MATCH("Total", Slots, 0)+1, 0) + VLOOKUP(Gear!$AB$4, INDIRECT(Gear!$AA$4), MATCH("CombatSkill", StatHeader, 0), 0)</f>
        <v>0</v>
      </c>
    </row>
    <row r="128" spans="1:7" ht="12.75" customHeight="1" x14ac:dyDescent="0.2">
      <c r="A128" s="3" t="s">
        <v>156</v>
      </c>
      <c r="B128" s="9">
        <f ca="1">8+B127</f>
        <v>8</v>
      </c>
      <c r="C128" s="39">
        <f ca="1">8+C127</f>
        <v>8</v>
      </c>
      <c r="D128" s="9">
        <f ca="1">8+D127</f>
        <v>8</v>
      </c>
      <c r="E128" s="3">
        <f ca="1">8+E127</f>
        <v>8</v>
      </c>
    </row>
    <row r="129" spans="1:6" ht="12.75" customHeight="1" x14ac:dyDescent="0.2">
      <c r="A129" s="32" t="s">
        <v>120</v>
      </c>
      <c r="B129" s="37">
        <f ca="1">MIN(B127, 200) + TRUNC(MAX(MIN(B127-200, 200), 0)*0.9) + TRUNC(MAX(MIN(B127-400, 200), 0)*0.8) + TRUNC(MAX(MIN(B127-600, 200), 0)*0.9)</f>
        <v>0</v>
      </c>
      <c r="C129" s="38">
        <f ca="1">MIN(C127, 200) + TRUNC(MAX(MIN(C127-200, 200), 0)*0.9) + TRUNC(MAX(MIN(C127-400, 200), 0)*0.8) + TRUNC(MAX(MIN(C127-600, 200), 0)*0.9)</f>
        <v>0</v>
      </c>
      <c r="D129" s="37">
        <f ca="1">MIN(D127, 200) + TRUNC(MAX(MIN(D127-200, 200), 0)*0.9) + TRUNC(MAX(MIN(D127-400, 200), 0)*0.8) + TRUNC(MAX(MIN(D127-600, 200), 0)*0.9)</f>
        <v>0</v>
      </c>
      <c r="E129" s="37">
        <f ca="1">MIN(E127, 200) + TRUNC(MAX(MIN(E127-200, 200), 0)*0.9) + TRUNC(MAX(MIN(E127-400, 200), 0)*0.8) + TRUNC(MAX(MIN(E127-600, 200), 0)*0.9)</f>
        <v>0</v>
      </c>
    </row>
    <row r="130" spans="1:6" ht="12.75" customHeight="1" x14ac:dyDescent="0.2">
      <c r="A130" s="3" t="s">
        <v>283</v>
      </c>
      <c r="B130" s="9">
        <f>50%</f>
        <v>0.5</v>
      </c>
      <c r="C130" s="44">
        <f>50%</f>
        <v>0.5</v>
      </c>
      <c r="D130" s="9">
        <f>50%</f>
        <v>0.5</v>
      </c>
      <c r="E130" s="9">
        <f>50%</f>
        <v>0.5</v>
      </c>
    </row>
    <row r="131" spans="1:6" ht="12.75" customHeight="1" x14ac:dyDescent="0.2">
      <c r="A131" s="32" t="s">
        <v>284</v>
      </c>
      <c r="B131" s="52">
        <f>75%</f>
        <v>0.75</v>
      </c>
      <c r="C131" s="53">
        <f>75%</f>
        <v>0.75</v>
      </c>
      <c r="D131" s="52">
        <f>75%</f>
        <v>0.75</v>
      </c>
      <c r="E131" s="52">
        <f>75%</f>
        <v>0.75</v>
      </c>
    </row>
    <row r="132" spans="1:6" ht="12.75" customHeight="1" x14ac:dyDescent="0.2">
      <c r="A132" s="3" t="s">
        <v>285</v>
      </c>
      <c r="B132" s="16">
        <f ca="1">B128+TRUNC(B$30*B130)+B$38+B$42+B$44+$E$12+$H$12+HLOOKUP("Att", INDIRECT(B$28), MATCH("Total", Slots, 0)+1, 0)</f>
        <v>327</v>
      </c>
      <c r="C132" s="43">
        <f ca="1">C128+TRUNC(C$30*C130)+C$38+C$42+C$44+$F$12+$H$12+HLOOKUP("Att", INDIRECT(C$28), MATCH("Total", Slots, 0)+1, 0)</f>
        <v>327</v>
      </c>
      <c r="D132" s="16">
        <f ca="1">D128+TRUNC(D$30*D130)+D$38+D$42+D$44+$E$12+$H$12+HLOOKUP("Att", INDIRECT(D$28), MATCH("Total", Slots, 0)+1, 0)</f>
        <v>377</v>
      </c>
      <c r="E132" s="16">
        <f ca="1">E128+TRUNC(E$30*E130)+E$38+E$42+E$44+$F$12+$H$12+HLOOKUP("Att", INDIRECT(E$28), MATCH("Total", Slots, 0)+1, 0)</f>
        <v>377</v>
      </c>
    </row>
    <row r="133" spans="1:6" ht="12.75" customHeight="1" x14ac:dyDescent="0.2">
      <c r="A133" s="32" t="s">
        <v>286</v>
      </c>
      <c r="B133" s="37">
        <f ca="1">B129+TRUNC(B$31*B131)+B$45+B$50+B$51+B$52+B$53+B$54+B$55+$E$13+$H$13+HLOOKUP("Acc", INDIRECT(B$28), MATCH("Total", Slots, 0)+1, 0)</f>
        <v>425</v>
      </c>
      <c r="C133" s="38">
        <f ca="1">C129+TRUNC(C$31*C131)+C$45+C$50+C$51+C$52+C$53+C$54+C$55+$F$13+$H$13+HLOOKUP("Acc", INDIRECT(C$28), MATCH("Total", Slots, 0)+1, 0)</f>
        <v>425</v>
      </c>
      <c r="D133" s="37">
        <f ca="1">D129+TRUNC(D$31*D131)+D$45+D$50+D$51+D$52+D$53+D$54+D$55+$E$13+$H$13+HLOOKUP("Acc", INDIRECT(D$28), MATCH("Total", Slots, 0)+1, 0)</f>
        <v>366</v>
      </c>
      <c r="E133" s="37">
        <f ca="1">E129+TRUNC(E$31*E131)+E$45+E$50+E$51+E$52+E$53+E$54+E$55+$F$13+$H$13+HLOOKUP("Acc", INDIRECT(E$28), MATCH("Total", Slots, 0)+1, 0)</f>
        <v>366</v>
      </c>
    </row>
    <row r="134" spans="1:6" ht="12.75" customHeight="1" x14ac:dyDescent="0.2">
      <c r="A134" s="3" t="s">
        <v>287</v>
      </c>
      <c r="B134" s="16">
        <f ca="1">TRUNC(MIN(B132*$B$12, $C$12))+$D$12</f>
        <v>0</v>
      </c>
      <c r="C134" s="36">
        <f ca="1">TRUNC(MIN(C132*$B$12, $C$12))+$D$12</f>
        <v>0</v>
      </c>
      <c r="D134" s="16">
        <f ca="1">TRUNC(MIN(D132*$B$12, $C$12))+$D$12</f>
        <v>0</v>
      </c>
      <c r="E134" s="16">
        <f ca="1">TRUNC(MIN(E132*$B$12, $C$12))+$D$12</f>
        <v>0</v>
      </c>
    </row>
    <row r="135" spans="1:6" ht="12.75" customHeight="1" x14ac:dyDescent="0.2">
      <c r="A135" s="32" t="s">
        <v>288</v>
      </c>
      <c r="B135" s="37">
        <f ca="1">TRUNC(MIN(B133*$B$13, $C$13))+$D$13</f>
        <v>0</v>
      </c>
      <c r="C135" s="38">
        <f ca="1">TRUNC(MIN(C133*$B$13, $C$13))+$D$13</f>
        <v>0</v>
      </c>
      <c r="D135" s="37">
        <f ca="1">TRUNC(MIN(D133*$B$13, $C$13))+$D$13</f>
        <v>0</v>
      </c>
      <c r="E135" s="37">
        <f ca="1">TRUNC(MIN(E133*$B$13, $C$13))+$D$13</f>
        <v>0</v>
      </c>
    </row>
    <row r="136" spans="1:6" ht="12.75" customHeight="1" x14ac:dyDescent="0.2">
      <c r="A136" s="3" t="s">
        <v>289</v>
      </c>
      <c r="B136" s="3">
        <f>IF(Setup!$J$37=1, TRUNC(B132*Setup!$M$37), 0)</f>
        <v>0</v>
      </c>
      <c r="C136" s="35">
        <f>IF(Setup!$K$37=1, TRUNC(C132*Setup!$N$37), 0)</f>
        <v>0</v>
      </c>
      <c r="D136" s="3">
        <f>IF(Setup!$J$37=1, TRUNC(D132*Setup!$M$37), 0)</f>
        <v>0</v>
      </c>
      <c r="E136" s="54">
        <f>IF(Setup!$K$37=1, TRUNC(E132*Setup!$N$37), 0)</f>
        <v>0</v>
      </c>
      <c r="F136" s="3"/>
    </row>
    <row r="137" spans="1:6" ht="12.75" customHeight="1" x14ac:dyDescent="0.2">
      <c r="A137" s="3" t="s">
        <v>290</v>
      </c>
      <c r="B137" s="3">
        <f>IF(AND(OR(Setup!F$24=1, Setup!$F$30=1), Setup!$F$35=1), FLOOR(0.25*B132, 1), 0)</f>
        <v>0</v>
      </c>
      <c r="C137" s="39">
        <f>IF(AND(OR(Setup!G$24=1, Setup!$G$30=1), Setup!$G$35=1), FLOOR(0.25*C132, 1), 0)</f>
        <v>0</v>
      </c>
      <c r="D137" s="3">
        <f>IF(AND(OR(Setup!F$24=1, Setup!$F$30=1), Setup!$F$35=1), FLOOR(0.25*D132, 1), 0)</f>
        <v>0</v>
      </c>
      <c r="E137" s="3">
        <f>IF(AND(OR(Setup!G$24=1, Setup!$G$30=1), Setup!$G$35=1), FLOOR(0.25*E132, 1), 0)</f>
        <v>0</v>
      </c>
      <c r="F137" s="3"/>
    </row>
    <row r="138" spans="1:6" ht="12.75" customHeight="1" x14ac:dyDescent="0.2">
      <c r="A138" s="3" t="s">
        <v>27</v>
      </c>
      <c r="B138" s="3">
        <f>IF(AND(Setup!$F$8=1, $D$1="War"), FLOOR(0.25*B132, 1), 0)</f>
        <v>0</v>
      </c>
      <c r="C138" s="39">
        <f>IF(AND(Setup!$G$8=1, $D$1="War"), FLOOR(0.25*C132, 1), 0)</f>
        <v>0</v>
      </c>
      <c r="D138" s="3">
        <f>IF(AND(Setup!$F$8=1, $D$1="War"), FLOOR(0.25*D132, 1), 0)</f>
        <v>0</v>
      </c>
      <c r="E138" s="3">
        <f>IF(AND(Setup!$G$8=1, $D$1="War"), FLOOR(0.25*E132, 1), 0)</f>
        <v>0</v>
      </c>
      <c r="F138" s="3"/>
    </row>
    <row r="139" spans="1:6" ht="12.75" customHeight="1" x14ac:dyDescent="0.2">
      <c r="A139" s="3" t="s">
        <v>47</v>
      </c>
      <c r="B139" s="3">
        <f ca="1">IF(AND(Setup!$F$14=1, $D$1="Drk"), FLOOR(B132*38/256, 1), 0)</f>
        <v>48</v>
      </c>
      <c r="C139" s="39">
        <f ca="1">IF(AND(Setup!$G$14=1, $D$1="Drk"), FLOOR(C132*38/256, 1), 0)</f>
        <v>48</v>
      </c>
      <c r="D139" s="3">
        <f ca="1">IF(AND(Setup!$F$14=1, $D$1="Drk"), FLOOR(D132*38/256, 1), 0)</f>
        <v>55</v>
      </c>
      <c r="E139" s="3">
        <f ca="1">IF(AND(Setup!$G$14=1, $D$1="Drk"), FLOOR(E132*38/256, 1), 0)</f>
        <v>55</v>
      </c>
      <c r="F139" s="3"/>
    </row>
    <row r="140" spans="1:6" ht="12.75" customHeight="1" x14ac:dyDescent="0.2">
      <c r="A140" s="3" t="s">
        <v>157</v>
      </c>
      <c r="B140" s="16">
        <f ca="1">FLOOR(HLOOKUP($A140, INDIRECT(B$28), MATCH("Total", Slots, 0)+1, 0) * B132, 1)</f>
        <v>0</v>
      </c>
      <c r="C140" s="36">
        <f ca="1">FLOOR(HLOOKUP($A140, INDIRECT(C$28), MATCH("Total", Slots, 0)+1, 0) * C132, 1)</f>
        <v>0</v>
      </c>
      <c r="D140" s="16">
        <f ca="1">FLOOR(HLOOKUP($A140, INDIRECT(D$28), MATCH("Total", Slots, 0)+1, 0) * D132, 1)</f>
        <v>0</v>
      </c>
      <c r="E140" s="16">
        <f ca="1">FLOOR(HLOOKUP($A140, INDIRECT(E$28), MATCH("Total", Slots, 0)+1, 0) * E132, 1)</f>
        <v>0</v>
      </c>
      <c r="F140" s="3"/>
    </row>
    <row r="141" spans="1:6" ht="12.75" customHeight="1" x14ac:dyDescent="0.2">
      <c r="A141" s="32" t="s">
        <v>292</v>
      </c>
      <c r="B141" s="32">
        <v>0</v>
      </c>
      <c r="C141" s="40">
        <v>0</v>
      </c>
      <c r="D141" s="32">
        <f ca="1">TRUNC(VLOOKUP(Setup!B$24, WeaponskillData, MATCH("Att Bonus", WeaponskillDataCols, 0), 0) * D132)</f>
        <v>0</v>
      </c>
      <c r="E141" s="32">
        <f ca="1">TRUNC(VLOOKUP(Setup!C$24, WeaponskillData, MATCH("Att Bonus", WeaponskillDataCols, 0), 0) * E132)</f>
        <v>0</v>
      </c>
      <c r="F141" s="3"/>
    </row>
    <row r="142" spans="1:6" ht="12.75" customHeight="1" x14ac:dyDescent="0.2">
      <c r="A142" s="3" t="s">
        <v>156</v>
      </c>
      <c r="B142" s="16">
        <f ca="1">B132+B134+B136+B137+B138+B139+B140+B141</f>
        <v>375</v>
      </c>
      <c r="C142" s="36">
        <f ca="1">C132+C134+C136+C137+C138+C139+C140+C141</f>
        <v>375</v>
      </c>
      <c r="D142" s="16">
        <f ca="1">D132+D134+D136+D137+D138+D139+D140+D141</f>
        <v>432</v>
      </c>
      <c r="E142" s="16">
        <f ca="1">E132+E134+E136+E137+E138+E139+E140+E141</f>
        <v>432</v>
      </c>
      <c r="F142" s="3"/>
    </row>
    <row r="143" spans="1:6" ht="12.75" customHeight="1" x14ac:dyDescent="0.2">
      <c r="A143" s="32" t="s">
        <v>120</v>
      </c>
      <c r="B143" s="37">
        <f ca="1">B133+B135</f>
        <v>425</v>
      </c>
      <c r="C143" s="38">
        <f ca="1">C133+C135</f>
        <v>425</v>
      </c>
      <c r="D143" s="37">
        <f ca="1">D133+D135</f>
        <v>366</v>
      </c>
      <c r="E143" s="37">
        <f ca="1">E133+E135</f>
        <v>366</v>
      </c>
      <c r="F143" s="3"/>
    </row>
    <row r="144" spans="1:6" ht="12.75" customHeight="1" x14ac:dyDescent="0.2">
      <c r="A144" s="45" t="s">
        <v>293</v>
      </c>
      <c r="B144" s="57">
        <f ca="1">MAX(MIN(B142/O6, 2.25), 0)</f>
        <v>0.23148148148148148</v>
      </c>
      <c r="C144" s="58">
        <f ca="1">MAX(MIN(C142/P6, 2.25), 0)</f>
        <v>0.23148148148148148</v>
      </c>
      <c r="D144" s="57">
        <f ca="1">MAX(MIN(D142/O6, 2.25), 0)</f>
        <v>0.26666666666666666</v>
      </c>
      <c r="E144" s="57">
        <f ca="1">MAX(MIN(E142/P6, 2.25), 0)</f>
        <v>0.26666666666666666</v>
      </c>
      <c r="F144" s="3"/>
    </row>
    <row r="145" spans="1:6" ht="12.75" customHeight="1" x14ac:dyDescent="0.2">
      <c r="A145" s="1" t="s">
        <v>294</v>
      </c>
      <c r="B145" s="59"/>
      <c r="C145" s="60"/>
      <c r="D145" s="59"/>
      <c r="E145" s="59"/>
      <c r="F145" s="3"/>
    </row>
    <row r="146" spans="1:6" ht="12.75" customHeight="1" x14ac:dyDescent="0.2">
      <c r="A146" s="3" t="s">
        <v>295</v>
      </c>
      <c r="B146" s="59">
        <f ca="1">B144</f>
        <v>0.23148148148148148</v>
      </c>
      <c r="C146" s="60">
        <f ca="1">C144</f>
        <v>0.23148148148148148</v>
      </c>
      <c r="D146" s="59">
        <f ca="1">D144</f>
        <v>0.26666666666666666</v>
      </c>
      <c r="E146" s="59">
        <f ca="1">E144</f>
        <v>0.26666666666666666</v>
      </c>
      <c r="F146" s="3"/>
    </row>
    <row r="147" spans="1:6" ht="12.75" customHeight="1" x14ac:dyDescent="0.2">
      <c r="A147" s="3" t="s">
        <v>296</v>
      </c>
      <c r="B147" s="59">
        <f ca="1">B146+MIN(B146*(152/1024) - (752/1024), -0.375)</f>
        <v>-0.46853298611111105</v>
      </c>
      <c r="C147" s="60">
        <f ca="1">C146+MIN(C146*(152/1024) - (752/1024), -0.375)</f>
        <v>-0.46853298611111105</v>
      </c>
      <c r="D147" s="59">
        <f ca="1">D146+MIN(D146*(152/1024) - (752/1024), -0.375)</f>
        <v>-0.42812500000000003</v>
      </c>
      <c r="E147" s="59">
        <f ca="1">E146+MIN(E146*(152/1024) - (752/1024), -0.375)</f>
        <v>-0.42812500000000003</v>
      </c>
      <c r="F147" s="3"/>
    </row>
    <row r="148" spans="1:6" ht="12.75" customHeight="1" x14ac:dyDescent="0.2">
      <c r="A148" s="3" t="s">
        <v>297</v>
      </c>
      <c r="B148" s="59">
        <f ca="1">B146+MIN(1-B146, B146*152/1024 - 448/1024)</f>
        <v>-0.17165798611111113</v>
      </c>
      <c r="C148" s="60">
        <f ca="1">C146+MIN(1-C146, C146*152/1024 - 448/1024)</f>
        <v>-0.17165798611111113</v>
      </c>
      <c r="D148" s="59">
        <f ca="1">D146+MIN(1-D146, D146*152/1024 - 448/1024)</f>
        <v>-0.13125000000000003</v>
      </c>
      <c r="E148" s="59">
        <f ca="1">E146+MIN(1-E146, E146*152/1024 - 448/1024)</f>
        <v>-0.13125000000000003</v>
      </c>
      <c r="F148" s="3"/>
    </row>
    <row r="149" spans="1:6" ht="12.75" customHeight="1" x14ac:dyDescent="0.2">
      <c r="A149" s="3" t="s">
        <v>298</v>
      </c>
      <c r="B149" s="59">
        <f ca="1">MAX(B147,B148)</f>
        <v>-0.17165798611111113</v>
      </c>
      <c r="C149" s="60">
        <f ca="1">MAX(C147,C148)</f>
        <v>-0.17165798611111113</v>
      </c>
      <c r="D149" s="59">
        <f ca="1">MAX(D147,D148)</f>
        <v>-0.13125000000000003</v>
      </c>
      <c r="E149" s="59">
        <f ca="1">MAX(E147,E148)</f>
        <v>-0.13125000000000003</v>
      </c>
      <c r="F149" s="3"/>
    </row>
    <row r="150" spans="1:6" ht="12.75" customHeight="1" x14ac:dyDescent="0.2">
      <c r="A150" s="3" t="s">
        <v>299</v>
      </c>
      <c r="B150" s="59">
        <f ca="1">MAX(MAX(B147,B148), 0)</f>
        <v>0</v>
      </c>
      <c r="C150" s="60">
        <f ca="1">MAX(MAX(C147,C148), 0)</f>
        <v>0</v>
      </c>
      <c r="D150" s="59">
        <f ca="1">MAX(MAX(D147,D148), 0)</f>
        <v>0</v>
      </c>
      <c r="E150" s="59">
        <f ca="1">MAX(MAX(E147,E148), 0)</f>
        <v>0</v>
      </c>
      <c r="F150" s="3"/>
    </row>
    <row r="151" spans="1:6" ht="12.75" customHeight="1" x14ac:dyDescent="0.2">
      <c r="A151" s="3" t="s">
        <v>300</v>
      </c>
      <c r="B151" s="59">
        <f ca="1">B146 + MAX(MIN(B146 * 0.25, 0.375), 0.25)</f>
        <v>0.48148148148148151</v>
      </c>
      <c r="C151" s="60">
        <f ca="1">C146 + MAX(MIN(C146 * 0.25, 0.375), 0.25)</f>
        <v>0.48148148148148151</v>
      </c>
      <c r="D151" s="59">
        <f ca="1">D146 + MAX(MIN(D146 * 0.25, 0.375), 0.25)</f>
        <v>0.51666666666666661</v>
      </c>
      <c r="E151" s="59">
        <f ca="1">E146 + MAX(MIN(E146 * 0.25, 0.375), 0.25)</f>
        <v>0.51666666666666661</v>
      </c>
      <c r="F151" s="3"/>
    </row>
    <row r="152" spans="1:6" ht="12.75" customHeight="1" x14ac:dyDescent="0.2">
      <c r="A152" s="3" t="s">
        <v>301</v>
      </c>
      <c r="B152" s="59">
        <f ca="1">B146 + MIN(B146*341/1024 + 358/1024, 1-B146)</f>
        <v>0.65817599826388895</v>
      </c>
      <c r="C152" s="60">
        <f ca="1">C146 + MIN(C146*341/1024 + 358/1024, 1-C146)</f>
        <v>0.65817599826388895</v>
      </c>
      <c r="D152" s="59">
        <f ca="1">D146 + MIN(D146*341/1024 + 358/1024, 1-D146)</f>
        <v>0.705078125</v>
      </c>
      <c r="E152" s="59">
        <f ca="1">E146 + MIN(E146*341/1024 + 358/1024, 1-E146)</f>
        <v>0.705078125</v>
      </c>
      <c r="F152" s="3"/>
    </row>
    <row r="153" spans="1:6" ht="12.75" customHeight="1" x14ac:dyDescent="0.2">
      <c r="A153" s="3" t="s">
        <v>302</v>
      </c>
      <c r="B153" s="59">
        <f ca="1">MAX(B151,B152)</f>
        <v>0.65817599826388895</v>
      </c>
      <c r="C153" s="60">
        <f ca="1">MAX(C151,C152)</f>
        <v>0.65817599826388895</v>
      </c>
      <c r="D153" s="59">
        <f ca="1">MAX(D151,D152)</f>
        <v>0.705078125</v>
      </c>
      <c r="E153" s="59">
        <f ca="1">MAX(E151,E152)</f>
        <v>0.705078125</v>
      </c>
      <c r="F153" s="3"/>
    </row>
    <row r="154" spans="1:6" ht="12.75" customHeight="1" x14ac:dyDescent="0.2">
      <c r="A154" s="3" t="s">
        <v>303</v>
      </c>
      <c r="B154" s="59">
        <f ca="1">MIN(MAX(B151,B152), 3)</f>
        <v>0.65817599826388895</v>
      </c>
      <c r="C154" s="60">
        <f ca="1">MIN(MAX(C151,C152), 3)</f>
        <v>0.65817599826388895</v>
      </c>
      <c r="D154" s="59">
        <f ca="1">MIN(MAX(D151,D152), 3)</f>
        <v>0.705078125</v>
      </c>
      <c r="E154" s="59">
        <f ca="1">MIN(MAX(E151,E152), 3)</f>
        <v>0.705078125</v>
      </c>
      <c r="F154" s="3"/>
    </row>
    <row r="155" spans="1:6" ht="12.75" customHeight="1" x14ac:dyDescent="0.2">
      <c r="A155" s="3" t="s">
        <v>304</v>
      </c>
      <c r="B155" s="59">
        <f t="shared" ref="B155:E156" ca="1" si="7">B153-B149</f>
        <v>0.82983398437500011</v>
      </c>
      <c r="C155" s="60">
        <f t="shared" ca="1" si="7"/>
        <v>0.82983398437500011</v>
      </c>
      <c r="D155" s="59">
        <f t="shared" ca="1" si="7"/>
        <v>0.83632812500000009</v>
      </c>
      <c r="E155" s="59">
        <f t="shared" ca="1" si="7"/>
        <v>0.83632812500000009</v>
      </c>
      <c r="F155" s="3"/>
    </row>
    <row r="156" spans="1:6" ht="12.75" customHeight="1" x14ac:dyDescent="0.2">
      <c r="A156" s="3" t="s">
        <v>305</v>
      </c>
      <c r="B156" s="59">
        <f t="shared" ca="1" si="7"/>
        <v>0.65817599826388895</v>
      </c>
      <c r="C156" s="60">
        <f t="shared" ca="1" si="7"/>
        <v>0.65817599826388895</v>
      </c>
      <c r="D156" s="59">
        <f t="shared" ca="1" si="7"/>
        <v>0.705078125</v>
      </c>
      <c r="E156" s="59">
        <f t="shared" ca="1" si="7"/>
        <v>0.705078125</v>
      </c>
      <c r="F156" s="3"/>
    </row>
    <row r="157" spans="1:6" ht="12.75" customHeight="1" x14ac:dyDescent="0.2">
      <c r="A157" s="3" t="s">
        <v>306</v>
      </c>
      <c r="B157" s="61">
        <f ca="1">IF(B149&lt;0, 1-(B156/B155), 0)</f>
        <v>0.20685822627570205</v>
      </c>
      <c r="C157" s="62">
        <f ca="1">IF(C149&lt;0, 1-(C156/C155), 0)</f>
        <v>0.20685822627570205</v>
      </c>
      <c r="D157" s="61">
        <f ca="1">IF(D149&lt;0, 1-(D156/D155), 0)</f>
        <v>0.15693601120971512</v>
      </c>
      <c r="E157" s="61">
        <f ca="1">IF(E149&lt;0, 1-(E156/E155), 0)</f>
        <v>0.15693601120971512</v>
      </c>
      <c r="F157" s="3"/>
    </row>
    <row r="158" spans="1:6" ht="12.75" customHeight="1" x14ac:dyDescent="0.2">
      <c r="A158" s="3" t="s">
        <v>307</v>
      </c>
      <c r="B158" s="61">
        <f ca="1">IF(B153&gt;3, 1-(B156/B155), 0)</f>
        <v>0</v>
      </c>
      <c r="C158" s="62">
        <f ca="1">IF(C153&gt;3, 1-(C156/C155), 0)</f>
        <v>0</v>
      </c>
      <c r="D158" s="61">
        <f ca="1">IF(D153&gt;3, 1-(D156/D155), 0)</f>
        <v>0</v>
      </c>
      <c r="E158" s="61">
        <f ca="1">IF(E153&gt;3, 1-(E156/E155), 0)</f>
        <v>0</v>
      </c>
      <c r="F158" s="3"/>
    </row>
    <row r="159" spans="1:6" ht="12.75" customHeight="1" x14ac:dyDescent="0.2">
      <c r="A159" s="3" t="s">
        <v>308</v>
      </c>
      <c r="B159" s="61">
        <f ca="1">MAX(0, MIN(1/3, (0.5 - ABS(B146-1)) * 1.2))</f>
        <v>0</v>
      </c>
      <c r="C159" s="62">
        <f ca="1">MAX(0, MIN(1/3, (0.5 - ABS(C146-1)) * 1.2))</f>
        <v>0</v>
      </c>
      <c r="D159" s="61">
        <f ca="1">MAX(0, MIN(1/3, (0.5 - ABS(D146-1)) * 1.2))</f>
        <v>0</v>
      </c>
      <c r="E159" s="61">
        <f ca="1">MAX(0, MIN(1/3, (0.5 - ABS(E146-1)) * 1.2))</f>
        <v>0</v>
      </c>
      <c r="F159" s="3"/>
    </row>
    <row r="160" spans="1:6" ht="12.75" customHeight="1" x14ac:dyDescent="0.2">
      <c r="A160" s="3" t="s">
        <v>309</v>
      </c>
      <c r="B160" s="59">
        <f ca="1">((0 * B157) + (3 * B158) + (1 * B159) + (1 - B157 - B158 - B159) * ((B154 + B150) / 2)) * 1.02</f>
        <v>0.2662337081297485</v>
      </c>
      <c r="C160" s="60">
        <f ca="1">((0 * C157) + (3 * C158) + (1 * C159) + (1 - C157 - C158 - C159) * ((C154 + C150) / 2)) * 1.02</f>
        <v>0.2662337081297485</v>
      </c>
      <c r="D160" s="59">
        <f ca="1">((0 * D157) + (3 * D158) + (1 * D159) + (1 - D157 - D158 - D159) * ((D154 + D150) / 2)) * 1.02</f>
        <v>0.30315724800035027</v>
      </c>
      <c r="E160" s="59">
        <f ca="1">((0 * E157) + (3 * E158) + (1 * E159) + (1 - E157 - E158 - E159) * ((E154 + E150) / 2)) * 1.02</f>
        <v>0.30315724800035027</v>
      </c>
      <c r="F160" s="3"/>
    </row>
    <row r="161" spans="1:6" ht="12.75" customHeight="1" x14ac:dyDescent="0.2">
      <c r="A161" s="1" t="s">
        <v>310</v>
      </c>
      <c r="B161" s="59"/>
      <c r="C161" s="60"/>
      <c r="D161" s="59"/>
      <c r="E161" s="59"/>
      <c r="F161" s="3"/>
    </row>
    <row r="162" spans="1:6" ht="12.75" customHeight="1" x14ac:dyDescent="0.2">
      <c r="A162" s="3" t="s">
        <v>295</v>
      </c>
      <c r="B162" s="59">
        <f ca="1">B144+1</f>
        <v>1.2314814814814814</v>
      </c>
      <c r="C162" s="60">
        <f ca="1">C144+1</f>
        <v>1.2314814814814814</v>
      </c>
      <c r="D162" s="59">
        <f ca="1">D144+1</f>
        <v>1.2666666666666666</v>
      </c>
      <c r="E162" s="59">
        <f ca="1">E144+1</f>
        <v>1.2666666666666666</v>
      </c>
      <c r="F162" s="3"/>
    </row>
    <row r="163" spans="1:6" ht="12.75" customHeight="1" x14ac:dyDescent="0.2">
      <c r="A163" s="3" t="s">
        <v>296</v>
      </c>
      <c r="B163" s="59">
        <f ca="1">B162+MIN(B162*(152/1024) - (752/1024), -0.375)</f>
        <v>0.67990451388888884</v>
      </c>
      <c r="C163" s="60">
        <f ca="1">C162+MIN(C162*(152/1024) - (752/1024), -0.375)</f>
        <v>0.67990451388888884</v>
      </c>
      <c r="D163" s="59">
        <f ca="1">D162+MIN(D162*(152/1024) - (752/1024), -0.375)</f>
        <v>0.72031249999999991</v>
      </c>
      <c r="E163" s="59">
        <f ca="1">E162+MIN(E162*(152/1024) - (752/1024), -0.375)</f>
        <v>0.72031249999999991</v>
      </c>
      <c r="F163" s="3"/>
    </row>
    <row r="164" spans="1:6" ht="12.75" customHeight="1" x14ac:dyDescent="0.2">
      <c r="A164" s="3" t="s">
        <v>297</v>
      </c>
      <c r="B164" s="59">
        <f ca="1">B162+MIN(1-B162, B162*152/1024 - 448/1024)</f>
        <v>0.97677951388888884</v>
      </c>
      <c r="C164" s="60">
        <f ca="1">C162+MIN(1-C162, C162*152/1024 - 448/1024)</f>
        <v>0.97677951388888884</v>
      </c>
      <c r="D164" s="59">
        <f ca="1">D162+MIN(1-D162, D162*152/1024 - 448/1024)</f>
        <v>1</v>
      </c>
      <c r="E164" s="59">
        <f ca="1">E162+MIN(1-E162, E162*152/1024 - 448/1024)</f>
        <v>1</v>
      </c>
      <c r="F164" s="3"/>
    </row>
    <row r="165" spans="1:6" ht="12.75" customHeight="1" x14ac:dyDescent="0.2">
      <c r="A165" s="3" t="s">
        <v>298</v>
      </c>
      <c r="B165" s="59">
        <f ca="1">MAX(B163,B164)</f>
        <v>0.97677951388888884</v>
      </c>
      <c r="C165" s="60">
        <f ca="1">MAX(C163,C164)</f>
        <v>0.97677951388888884</v>
      </c>
      <c r="D165" s="59">
        <f ca="1">MAX(D163,D164)</f>
        <v>1</v>
      </c>
      <c r="E165" s="59">
        <f ca="1">MAX(E163,E164)</f>
        <v>1</v>
      </c>
      <c r="F165" s="3"/>
    </row>
    <row r="166" spans="1:6" ht="12.75" customHeight="1" x14ac:dyDescent="0.2">
      <c r="A166" s="3" t="s">
        <v>299</v>
      </c>
      <c r="B166" s="59">
        <f ca="1">MAX(MAX(B163,B164), 0)</f>
        <v>0.97677951388888884</v>
      </c>
      <c r="C166" s="60">
        <f ca="1">MAX(MAX(C163,C164), 0)</f>
        <v>0.97677951388888884</v>
      </c>
      <c r="D166" s="59">
        <f ca="1">MAX(MAX(D163,D164), 0)</f>
        <v>1</v>
      </c>
      <c r="E166" s="59">
        <f ca="1">MAX(MAX(E163,E164), 0)</f>
        <v>1</v>
      </c>
      <c r="F166" s="3"/>
    </row>
    <row r="167" spans="1:6" ht="12.75" customHeight="1" x14ac:dyDescent="0.2">
      <c r="A167" s="3" t="s">
        <v>300</v>
      </c>
      <c r="B167" s="59">
        <f ca="1">B162 + MAX(MIN(B162 * 0.25, 0.375), 0.25)</f>
        <v>1.5393518518518516</v>
      </c>
      <c r="C167" s="60">
        <f ca="1">C162 + MAX(MIN(C162 * 0.25, 0.375), 0.25)</f>
        <v>1.5393518518518516</v>
      </c>
      <c r="D167" s="59">
        <f ca="1">D162 + MAX(MIN(D162 * 0.25, 0.375), 0.25)</f>
        <v>1.5833333333333333</v>
      </c>
      <c r="E167" s="59">
        <f ca="1">E162 + MAX(MIN(E162 * 0.25, 0.375), 0.25)</f>
        <v>1.5833333333333333</v>
      </c>
      <c r="F167" s="3"/>
    </row>
    <row r="168" spans="1:6" ht="12.75" customHeight="1" x14ac:dyDescent="0.2">
      <c r="A168" s="3" t="s">
        <v>301</v>
      </c>
      <c r="B168" s="59">
        <f ca="1">B162 + MIN(B162*341/1024 + 358/1024, 1-B162)</f>
        <v>1</v>
      </c>
      <c r="C168" s="60">
        <f ca="1">C162 + MIN(C162*341/1024 + 358/1024, 1-C162)</f>
        <v>1</v>
      </c>
      <c r="D168" s="59">
        <f ca="1">D162 + MIN(D162*341/1024 + 358/1024, 1-D162)</f>
        <v>1</v>
      </c>
      <c r="E168" s="59">
        <f ca="1">E162 + MIN(E162*341/1024 + 358/1024, 1-E162)</f>
        <v>1</v>
      </c>
    </row>
    <row r="169" spans="1:6" ht="12.75" customHeight="1" x14ac:dyDescent="0.2">
      <c r="A169" s="3" t="s">
        <v>302</v>
      </c>
      <c r="B169" s="59">
        <f ca="1">MAX(B167,B168)</f>
        <v>1.5393518518518516</v>
      </c>
      <c r="C169" s="60">
        <f ca="1">MAX(C167,C168)</f>
        <v>1.5393518518518516</v>
      </c>
      <c r="D169" s="59">
        <f ca="1">MAX(D167,D168)</f>
        <v>1.5833333333333333</v>
      </c>
      <c r="E169" s="59">
        <f ca="1">MAX(E167,E168)</f>
        <v>1.5833333333333333</v>
      </c>
    </row>
    <row r="170" spans="1:6" ht="12.75" customHeight="1" x14ac:dyDescent="0.2">
      <c r="A170" s="3" t="s">
        <v>303</v>
      </c>
      <c r="B170" s="59">
        <f ca="1">MIN(MAX(B167,B168), 3)</f>
        <v>1.5393518518518516</v>
      </c>
      <c r="C170" s="60">
        <f ca="1">MIN(MAX(C167,C168), 3)</f>
        <v>1.5393518518518516</v>
      </c>
      <c r="D170" s="59">
        <f ca="1">MIN(MAX(D167,D168), 3)</f>
        <v>1.5833333333333333</v>
      </c>
      <c r="E170" s="59">
        <f ca="1">MIN(MAX(E167,E168), 3)</f>
        <v>1.5833333333333333</v>
      </c>
    </row>
    <row r="171" spans="1:6" ht="12.75" customHeight="1" x14ac:dyDescent="0.2">
      <c r="A171" s="3" t="s">
        <v>304</v>
      </c>
      <c r="B171" s="59">
        <f t="shared" ref="B171:E172" ca="1" si="8">B169-B165</f>
        <v>0.5625723379629628</v>
      </c>
      <c r="C171" s="60">
        <f t="shared" ca="1" si="8"/>
        <v>0.5625723379629628</v>
      </c>
      <c r="D171" s="59">
        <f t="shared" ca="1" si="8"/>
        <v>0.58333333333333326</v>
      </c>
      <c r="E171" s="59">
        <f t="shared" ca="1" si="8"/>
        <v>0.58333333333333326</v>
      </c>
    </row>
    <row r="172" spans="1:6" ht="12.75" customHeight="1" x14ac:dyDescent="0.2">
      <c r="A172" s="3" t="s">
        <v>305</v>
      </c>
      <c r="B172" s="59">
        <f t="shared" ca="1" si="8"/>
        <v>0.5625723379629628</v>
      </c>
      <c r="C172" s="60">
        <f t="shared" ca="1" si="8"/>
        <v>0.5625723379629628</v>
      </c>
      <c r="D172" s="59">
        <f t="shared" ca="1" si="8"/>
        <v>0.58333333333333326</v>
      </c>
      <c r="E172" s="59">
        <f t="shared" ca="1" si="8"/>
        <v>0.58333333333333326</v>
      </c>
    </row>
    <row r="173" spans="1:6" ht="12.75" customHeight="1" x14ac:dyDescent="0.2">
      <c r="A173" s="3" t="s">
        <v>306</v>
      </c>
      <c r="B173" s="61">
        <f ca="1">IF(B165&lt;0, 1-(B172/B171), 0)</f>
        <v>0</v>
      </c>
      <c r="C173" s="62">
        <f ca="1">IF(C165&lt;0, 1-(C172/C171), 0)</f>
        <v>0</v>
      </c>
      <c r="D173" s="61">
        <f ca="1">IF(D165&lt;0, 1-(D172/D171), 0)</f>
        <v>0</v>
      </c>
      <c r="E173" s="61">
        <f ca="1">IF(E165&lt;0, 1-(E172/E171), 0)</f>
        <v>0</v>
      </c>
    </row>
    <row r="174" spans="1:6" ht="12.75" customHeight="1" x14ac:dyDescent="0.2">
      <c r="A174" s="3" t="s">
        <v>307</v>
      </c>
      <c r="B174" s="61">
        <f ca="1">IF(B169&gt;3, 1-(B172/B171), 0)</f>
        <v>0</v>
      </c>
      <c r="C174" s="62">
        <f ca="1">IF(C169&gt;3, 1-(C172/C171), 0)</f>
        <v>0</v>
      </c>
      <c r="D174" s="61">
        <f ca="1">IF(D169&gt;3, 1-(D172/D171), 0)</f>
        <v>0</v>
      </c>
      <c r="E174" s="61">
        <f ca="1">IF(E169&gt;3, 1-(E172/E171), 0)</f>
        <v>0</v>
      </c>
    </row>
    <row r="175" spans="1:6" ht="12.75" customHeight="1" x14ac:dyDescent="0.2">
      <c r="A175" s="3" t="s">
        <v>308</v>
      </c>
      <c r="B175" s="61">
        <f ca="1">MAX(0, MIN(1/3, (0.5 - ABS(B162-1)) * 1.2))</f>
        <v>0.3222222222222223</v>
      </c>
      <c r="C175" s="62">
        <f ca="1">MAX(0, MIN(1/3, (0.5 - ABS(C162-1)) * 1.2))</f>
        <v>0.3222222222222223</v>
      </c>
      <c r="D175" s="61">
        <f ca="1">MAX(0, MIN(1/3, (0.5 - ABS(D162-1)) * 1.2))</f>
        <v>0.28000000000000008</v>
      </c>
      <c r="E175" s="61">
        <f ca="1">MAX(0, MIN(1/3, (0.5 - ABS(E162-1)) * 1.2))</f>
        <v>0.28000000000000008</v>
      </c>
    </row>
    <row r="176" spans="1:6" ht="12.75" customHeight="1" x14ac:dyDescent="0.2">
      <c r="A176" s="32" t="s">
        <v>311</v>
      </c>
      <c r="B176" s="63">
        <f ca="1">((0 * B173) + (3 * B174) + (1 * B175) + (1 - B173 - B174 - B175) * ((B170 + B166) / 2)) * 1.02</f>
        <v>1.1984094087577157</v>
      </c>
      <c r="C176" s="64">
        <f ca="1">((0 * C173) + (3 * C174) + (1 * C175) + (1 - C173 - C174 - C175) * ((C170 + C166) / 2)) * 1.02</f>
        <v>1.1984094087577157</v>
      </c>
      <c r="D176" s="63">
        <f ca="1">((0 * D173) + (3 * D174) + (1 * D175) + (1 - D173 - D174 - D175) * ((D170 + D166) / 2)) * 1.02</f>
        <v>1.2342</v>
      </c>
      <c r="E176" s="63">
        <f ca="1">((0 * E173) + (3 * E174) + (1 * E175) + (1 - E173 - E174 - E175) * ((E170 + E166) / 2)) * 1.02</f>
        <v>1.2342</v>
      </c>
    </row>
    <row r="177" spans="1:5" ht="12.75" customHeight="1" x14ac:dyDescent="0.2">
      <c r="A177" t="s">
        <v>312</v>
      </c>
      <c r="B177" s="65">
        <f ca="1">((B143-(O8))/2)/100+75%</f>
        <v>1.25</v>
      </c>
      <c r="C177" s="66">
        <f ca="1">((C143-(P8))/2)/100+75%</f>
        <v>-5.2249999999999996</v>
      </c>
      <c r="D177" s="65">
        <f ca="1">((D143-(O8))/2)/100+75%</f>
        <v>0.95499999999999996</v>
      </c>
      <c r="E177" s="65">
        <f ca="1">((E143-(P8))/2)/100+75%</f>
        <v>-5.52</v>
      </c>
    </row>
    <row r="178" spans="1:5" ht="12.75" customHeight="1" x14ac:dyDescent="0.2">
      <c r="A178" s="3" t="s">
        <v>313</v>
      </c>
      <c r="B178" s="65">
        <f ca="1">MAX(MIN(B177,95%), 20%)</f>
        <v>0.95</v>
      </c>
      <c r="C178" s="69">
        <f ca="1">MAX(MIN(C177,95%), 20%)</f>
        <v>0.2</v>
      </c>
      <c r="D178" s="65">
        <f ca="1">MAX(MIN(D177,95%), 20%)</f>
        <v>0.95</v>
      </c>
      <c r="E178" s="65">
        <f ca="1">MAX(MIN(E177,95%), 20%)</f>
        <v>0.2</v>
      </c>
    </row>
    <row r="179" spans="1:5" ht="12.75" customHeight="1" x14ac:dyDescent="0.2">
      <c r="A179" s="32" t="s">
        <v>314</v>
      </c>
      <c r="B179" s="67">
        <f ca="1">MAX(MIN(95%, B177+17%), 20%)</f>
        <v>0.95</v>
      </c>
      <c r="C179" s="70">
        <f ca="1">MAX(MIN(95%, C177+17%), 20%)</f>
        <v>0.2</v>
      </c>
      <c r="D179" s="67">
        <f ca="1">MAX(MIN(95%, D177+17%), 20%)</f>
        <v>0.95</v>
      </c>
      <c r="E179" s="67">
        <f ca="1">MAX(MIN(95%, E177+17%), 20%)</f>
        <v>0.2</v>
      </c>
    </row>
    <row r="180" spans="1:5" ht="12.75" customHeight="1" x14ac:dyDescent="0.2">
      <c r="A180" s="3" t="s">
        <v>315</v>
      </c>
      <c r="B180">
        <f ca="1">$G23</f>
        <v>0</v>
      </c>
      <c r="C180" s="35">
        <f ca="1">$H23</f>
        <v>0</v>
      </c>
      <c r="D180">
        <f ca="1">$G23</f>
        <v>0</v>
      </c>
      <c r="E180">
        <f ca="1">$H23</f>
        <v>0</v>
      </c>
    </row>
    <row r="181" spans="1:5" ht="12.75" customHeight="1" x14ac:dyDescent="0.2">
      <c r="A181" s="3" t="s">
        <v>316</v>
      </c>
      <c r="B181" s="3">
        <f ca="1">TRUNC(B180/9)</f>
        <v>0</v>
      </c>
      <c r="C181" s="39">
        <f ca="1">TRUNC(C180/9)</f>
        <v>0</v>
      </c>
      <c r="D181" s="3">
        <f ca="1">TRUNC(D180/9)</f>
        <v>0</v>
      </c>
      <c r="E181" s="3">
        <f ca="1">TRUNC(E180/9)</f>
        <v>0</v>
      </c>
    </row>
    <row r="182" spans="1:5" ht="12.75" customHeight="1" x14ac:dyDescent="0.2">
      <c r="A182" s="3" t="s">
        <v>317</v>
      </c>
      <c r="B182" s="3">
        <f ca="1">IF(B180&gt;0, TRUNC(MAX(MIN(TRUNC((B$36+B$37)/2), (8+B181)*2), (0-B181)*2)/2), 0)</f>
        <v>0</v>
      </c>
      <c r="C182" s="39">
        <f ca="1">IF(C180&gt;0, TRUNC(MAX(MIN(TRUNC((C$36+C$37)/2), (8+C181)*2), (0-C181)*2)/2), 0)</f>
        <v>0</v>
      </c>
      <c r="D182" s="3">
        <f ca="1">IF(D180&gt;0, TRUNC(MAX(MIN(TRUNC((D$36+D$37)/2), (8+D181)*2), (0-D181)*2)/2), 0)</f>
        <v>0</v>
      </c>
      <c r="E182" s="3">
        <f ca="1">IF(E180&gt;0, TRUNC(MAX(MIN(TRUNC((E$36+E$37)/2), (8+E181)*2), (0-E181)*2)/2), 0)</f>
        <v>0</v>
      </c>
    </row>
    <row r="183" spans="1:5" ht="12.75" customHeight="1" x14ac:dyDescent="0.2">
      <c r="A183" s="32" t="s">
        <v>318</v>
      </c>
      <c r="B183" s="32">
        <f ca="1">B180+B182</f>
        <v>0</v>
      </c>
      <c r="C183" s="40">
        <f ca="1">C180+C182</f>
        <v>0</v>
      </c>
      <c r="D183" s="32">
        <f ca="1">D180+D182</f>
        <v>0</v>
      </c>
      <c r="E183" s="32">
        <f ca="1">E180+E182</f>
        <v>0</v>
      </c>
    </row>
    <row r="184" spans="1:5" ht="12.75" customHeight="1" x14ac:dyDescent="0.2">
      <c r="C184" s="39"/>
    </row>
    <row r="185" spans="1:5" ht="12.75" customHeight="1" x14ac:dyDescent="0.2">
      <c r="A185" s="33" t="s">
        <v>320</v>
      </c>
      <c r="B185" s="49"/>
      <c r="C185" s="71"/>
      <c r="D185" s="49"/>
      <c r="E185" s="49"/>
    </row>
    <row r="186" spans="1:5" ht="12.75" customHeight="1" x14ac:dyDescent="0.2">
      <c r="A186" t="s">
        <v>158</v>
      </c>
      <c r="B186" s="9">
        <f ca="1">MAX($B$17+$C$17+HLOOKUP($A186, INDIRECT(B$28), MATCH("Total", Slots, 0)+1, 0) + IF(Setup!J39=1, Setup!M39, 0), 0)</f>
        <v>0.24</v>
      </c>
      <c r="C186" s="44">
        <f ca="1">MAX($B$17+$D$17+HLOOKUP($A186, INDIRECT(C$28), MATCH("Total", Slots, 0)+1, 0) + IF(Setup!K39=1, Setup!N39, 0), 0)</f>
        <v>0.24</v>
      </c>
      <c r="D186" s="9">
        <f ca="1">MAX($B$17+$C$17+HLOOKUP($A186, INDIRECT(D$28), MATCH("Total", Slots, 0)+1, 0) + IF(Setup!J39=1, Setup!M39, 0), 0)</f>
        <v>0.22999999999999998</v>
      </c>
      <c r="E186" s="9">
        <f ca="1">MAX($B$17+$D$17+HLOOKUP($A186, INDIRECT(E$28), MATCH("Total", Slots, 0)+1, 0) + IF(Setup!K39=1, Setup!N39, 0), 0)</f>
        <v>0.22999999999999998</v>
      </c>
    </row>
    <row r="187" spans="1:5" ht="12.75" customHeight="1" x14ac:dyDescent="0.2">
      <c r="A187" s="3" t="s">
        <v>159</v>
      </c>
      <c r="B187" s="9">
        <f ca="1">$B$18+$C$18+HLOOKUP($A187, INDIRECT(B$28), MATCH("Total", Slots, 0)+1, 0)</f>
        <v>0.18</v>
      </c>
      <c r="C187" s="44">
        <f ca="1">$B$18+$D$18+HLOOKUP($A187, INDIRECT(C$28), MATCH("Total", Slots, 0)+1, 0)</f>
        <v>0.18</v>
      </c>
      <c r="D187" s="9">
        <f ca="1">$B$18+$C$18+HLOOKUP($A187, INDIRECT(D$28), MATCH("Total", Slots, 0)+1, 0)</f>
        <v>0.04</v>
      </c>
      <c r="E187" s="9">
        <f ca="1">$B$18+$D$18+HLOOKUP($A187, INDIRECT(E$28), MATCH("Total", Slots, 0)+1, 0)</f>
        <v>0.04</v>
      </c>
    </row>
    <row r="188" spans="1:5" ht="12.75" customHeight="1" x14ac:dyDescent="0.2">
      <c r="A188" s="3" t="s">
        <v>160</v>
      </c>
      <c r="B188" s="9">
        <f ca="1">HLOOKUP($A188, INDIRECT(B$28), MATCH("Total", Slots, 0)+1, 0)</f>
        <v>0.03</v>
      </c>
      <c r="C188" s="44">
        <f ca="1">HLOOKUP($A188, INDIRECT(C$28), MATCH("Total", Slots, 0)+1, 0)</f>
        <v>0.03</v>
      </c>
      <c r="D188" s="9">
        <f ca="1">HLOOKUP($A188, INDIRECT(D$28), MATCH("Total", Slots, 0)+1, 0)</f>
        <v>0.03</v>
      </c>
      <c r="E188" s="9">
        <f ca="1">HLOOKUP($A188, INDIRECT(E$28), MATCH("Total", Slots, 0)+1, 0)</f>
        <v>0.03</v>
      </c>
    </row>
    <row r="189" spans="1:5" ht="12.75" customHeight="1" x14ac:dyDescent="0.2">
      <c r="A189" s="32" t="s">
        <v>245</v>
      </c>
      <c r="B189" s="52">
        <f ca="1">C19 + HLOOKUP("Zan", INDIRECT(B$28), MATCH("Total", Slots, 0)+1, 0)</f>
        <v>0</v>
      </c>
      <c r="C189" s="53">
        <f ca="1">D19 + HLOOKUP("Zan", INDIRECT(C$28), MATCH("Total", Slots, 0)+1, 0)</f>
        <v>0</v>
      </c>
      <c r="D189" s="52">
        <v>0</v>
      </c>
      <c r="E189" s="52">
        <v>0</v>
      </c>
    </row>
    <row r="190" spans="1:5" ht="12.75" customHeight="1" x14ac:dyDescent="0.2">
      <c r="A190" s="3" t="s">
        <v>165</v>
      </c>
      <c r="B190" s="9">
        <f ca="1">IF(G25, $L$11 + HLOOKUP($A190, INDIRECT(B$28), MATCH("Total", Slots, 0)+1, 0), 0)</f>
        <v>0</v>
      </c>
      <c r="C190" s="44">
        <f ca="1">IF(H25, $L$11 + HLOOKUP($A190, INDIRECT(C$28), MATCH("Total", Slots, 0)+1, 0), 0)</f>
        <v>0</v>
      </c>
      <c r="D190" s="9">
        <f ca="1">IF(G25, $L$11, 0)</f>
        <v>0</v>
      </c>
      <c r="E190" s="9">
        <f ca="1">IF(H25, $L$11, 0)</f>
        <v>0</v>
      </c>
    </row>
    <row r="191" spans="1:5" ht="12.75" customHeight="1" x14ac:dyDescent="0.2">
      <c r="A191" s="3" t="s">
        <v>321</v>
      </c>
      <c r="B191" s="72">
        <f ca="1">IF(B190&gt;0, $G20+$G24, $G20)</f>
        <v>489</v>
      </c>
      <c r="C191" s="73">
        <f ca="1">IF(C190&gt;0, $H20+$H24, $H20)</f>
        <v>489</v>
      </c>
      <c r="D191" s="72">
        <f ca="1">IF(D190&gt;0, $G20+$G24, $G20)</f>
        <v>489</v>
      </c>
      <c r="E191" s="72">
        <f ca="1">IF(E190&gt;0, $H20+$H24, $H20)</f>
        <v>489</v>
      </c>
    </row>
    <row r="192" spans="1:5" ht="12.75" customHeight="1" x14ac:dyDescent="0.2">
      <c r="A192" s="3" t="s">
        <v>322</v>
      </c>
      <c r="B192" s="3">
        <f ca="1">IF($G$25, TRUNC(B191*B190), TRUNC(VLOOKUP(Gear!$B$4,INDIRECT(Gear!$A$4),MATCH("2HDly",StatHeader,0),0) * B191))</f>
        <v>0</v>
      </c>
      <c r="C192" s="39">
        <f ca="1">IF($H$25, TRUNC(C191*C190), TRUNC(VLOOKUP(Gear!$AB$4,INDIRECT(Gear!$AA$4),MATCH("2HDly",StatHeader,0),0) * C191))</f>
        <v>0</v>
      </c>
      <c r="D192" s="3">
        <f ca="1">IF($G$25, TRUNC(D191*D190), TRUNC(VLOOKUP(Gear!$B$4,INDIRECT(Gear!$A$4),MATCH("2HDly",StatHeader,0),0) * D191))</f>
        <v>0</v>
      </c>
      <c r="E192" s="3">
        <f ca="1">IF($H$25, TRUNC(E191*E190), TRUNC(VLOOKUP(Gear!$AB$4,INDIRECT(Gear!$AA$4),MATCH("2HDly",StatHeader,0),0) * E191))</f>
        <v>0</v>
      </c>
    </row>
    <row r="193" spans="1:6" ht="12.75" customHeight="1" x14ac:dyDescent="0.2">
      <c r="A193" s="3" t="s">
        <v>323</v>
      </c>
      <c r="B193" s="16">
        <f ca="1">TRUNC((B191-B192) / IF($G$25, 2, 1))</f>
        <v>489</v>
      </c>
      <c r="C193" s="36">
        <f ca="1">TRUNC((C191-C192) / IF($H$25, 2, 1))</f>
        <v>489</v>
      </c>
      <c r="D193" s="16">
        <f ca="1">TRUNC((D191-D192) / IF($G$25, 2, 1))</f>
        <v>489</v>
      </c>
      <c r="E193" s="16">
        <f ca="1">TRUNC((E191-E192) / IF($H$25, 2, 1))</f>
        <v>489</v>
      </c>
    </row>
    <row r="194" spans="1:6" ht="12.75" customHeight="1" x14ac:dyDescent="0.2">
      <c r="A194" s="3" t="s">
        <v>324</v>
      </c>
      <c r="B194" s="3">
        <f ca="1">IF(B193&gt;175, TRUNC(B193*489/2000)+17, TRUNC((B193-12)*11/64)+32)</f>
        <v>136</v>
      </c>
      <c r="C194" s="39">
        <f ca="1">IF(C193&gt;175, TRUNC(C193*489/2000)+17, TRUNC((C193-12)*11/64)+32)</f>
        <v>136</v>
      </c>
      <c r="D194" s="3">
        <f ca="1">IF(D193&gt;175, TRUNC(D193*489/2000)+17, TRUNC((D193-12)*11/64)+32)</f>
        <v>136</v>
      </c>
      <c r="E194" s="3">
        <f ca="1">IF(E193&gt;175, TRUNC(E193*489/2000)+17, TRUNC((E193-12)*11/64)+32)</f>
        <v>136</v>
      </c>
    </row>
    <row r="195" spans="1:6" ht="12.75" customHeight="1" x14ac:dyDescent="0.2">
      <c r="A195" s="3" t="s">
        <v>128</v>
      </c>
      <c r="B195" s="8">
        <f ca="1">$B$23+$B$22+$C$22+IF(Setup!$J$41=1, Setup!M41, 0)+HLOOKUP("STP", INDIRECT(B$28), MATCH("Total", Slots, 0)+1, 0)</f>
        <v>39</v>
      </c>
      <c r="C195" s="39">
        <f ca="1">$B$23+$B$22+$D$22+IF(Setup!$K$41=1, Setup!N41, 0)+HLOOKUP("STP", INDIRECT(C$28), MATCH("Total", Slots, 0)+1, 0)</f>
        <v>39</v>
      </c>
      <c r="D195" s="8">
        <f ca="1">$B$23+$B$22+$C$22+IF(Setup!$J$41=1, Setup!M41, 0)+HLOOKUP("STP", INDIRECT(D$28), MATCH("Total", Slots, 0)+1, 0)</f>
        <v>19</v>
      </c>
      <c r="E195" s="3">
        <f ca="1">$B$23+$B$22+$D$22+IF(Setup!$K$41=1, Setup!N41, 0)+HLOOKUP("STP", INDIRECT(E$28), MATCH("Total", Slots, 0)+1, 0)</f>
        <v>19</v>
      </c>
    </row>
    <row r="196" spans="1:6" ht="12.75" customHeight="1" x14ac:dyDescent="0.2">
      <c r="A196" s="32" t="s">
        <v>325</v>
      </c>
      <c r="B196" s="32">
        <f ca="1">TRUNC(B194*(1+B195/100))</f>
        <v>189</v>
      </c>
      <c r="C196" s="40">
        <f ca="1">TRUNC(C194*(1+C195/100))</f>
        <v>189</v>
      </c>
      <c r="D196" s="32">
        <f ca="1">TRUNC(D194*(1+D195/100))</f>
        <v>161</v>
      </c>
      <c r="E196" s="32">
        <f ca="1">TRUNC(E194*(1+E195/100))</f>
        <v>161</v>
      </c>
    </row>
    <row r="197" spans="1:6" ht="12.75" customHeight="1" x14ac:dyDescent="0.2">
      <c r="A197" s="3" t="s">
        <v>326</v>
      </c>
      <c r="B197" s="16">
        <f ca="1">B31-$L$5</f>
        <v>-18</v>
      </c>
      <c r="C197" s="43">
        <f ca="1">C31-$L$5</f>
        <v>-18</v>
      </c>
      <c r="D197" s="16">
        <f ca="1">D31-$L$5</f>
        <v>-6</v>
      </c>
      <c r="E197" s="16">
        <f ca="1">E31-$L$5</f>
        <v>-6</v>
      </c>
    </row>
    <row r="198" spans="1:6" ht="12.75" customHeight="1" x14ac:dyDescent="0.2">
      <c r="A198" t="s">
        <v>327</v>
      </c>
      <c r="B198" s="9">
        <f ca="1">IF(B197&gt;50, 15%, IF(B197&gt;39,5%+(B197-40)/100,IF(B197&gt;29,4%,IF(B197&gt;19,3%,IF(B197&gt;13,2%,IF(B197&gt;6,1%,0))))))+5%</f>
        <v>0.05</v>
      </c>
      <c r="C198" s="44">
        <f ca="1">IF(C197&gt;50, 15%, IF(C197&gt;39,5%+(C197-40)/100,IF(C197&gt;29,4%,IF(C197&gt;19,3%,IF(C197&gt;13,2%,IF(C197&gt;6,1%,0))))))+5%</f>
        <v>0.05</v>
      </c>
      <c r="D198" s="9">
        <f ca="1">IF(D197&gt;50, 15%, IF(D197&gt;39,5%+(D197-40)/100,IF(D197&gt;29,4%,IF(D197&gt;19,3%,IF(D197&gt;13,2%,IF(D197&gt;6,1%,0))))))+5%</f>
        <v>0.05</v>
      </c>
      <c r="E198" s="9">
        <f ca="1">IF(E197&gt;50, 15%, IF(E197&gt;39,5%+(E197-40)/100,IF(E197&gt;29,4%,IF(E197&gt;19,3%,IF(E197&gt;13,2%,IF(E197&gt;6,1%,0))))))+5%</f>
        <v>0.05</v>
      </c>
    </row>
    <row r="199" spans="1:6" ht="12.75" customHeight="1" x14ac:dyDescent="0.2">
      <c r="A199" s="3" t="s">
        <v>328</v>
      </c>
      <c r="B199" s="9">
        <f>IF(Setup!$F38=1, VLOOKUP("C.Rate", Ionis, 2, 0), 0)</f>
        <v>0</v>
      </c>
      <c r="C199" s="44">
        <f>IF(Setup!$G38=1, VLOOKUP("C.Rate", Ionis, 2, 0), 0)</f>
        <v>0</v>
      </c>
      <c r="D199" s="9">
        <f>IF(Setup!$F38=1, VLOOKUP("C.Rate", Ionis, 2, 0), 0)</f>
        <v>0</v>
      </c>
      <c r="E199" s="9">
        <f>IF(Setup!$G38=1, VLOOKUP("C.Rate", Ionis, 2, 0), 0)</f>
        <v>0</v>
      </c>
    </row>
    <row r="200" spans="1:6" ht="12.75" customHeight="1" x14ac:dyDescent="0.2">
      <c r="A200" t="s">
        <v>162</v>
      </c>
      <c r="B200" s="9">
        <f ca="1">MAX(MIN(B198+B199+Setup!$B$12+$B$20+$C$20+HLOOKUP($A200, INDIRECT(B$28), MATCH("Total", Slots, 0)+1, 0) + IF(Setup!J40=1, Setup!M40, 0) + $L$8, 100%), 0)</f>
        <v>0.2</v>
      </c>
      <c r="C200" s="44">
        <f ca="1">MAX(MIN(C198+C199+Setup!$B$12+$B$20+$D$20+HLOOKUP($A200, INDIRECT(C$28), MATCH("Total", Slots, 0)+1, 0) + IF(Setup!K40=1, Setup!N40, 0) + $L$8, 100%), 0)</f>
        <v>0.2</v>
      </c>
      <c r="D200" s="9">
        <f ca="1">MAX(MIN(D198+D199+Setup!$B$12+$B$20+$C$20+HLOOKUP($A200, INDIRECT(D$28), MATCH("Total", Slots, 0)+1, 0) + IF(Setup!J40=1, Setup!M40, 0) + $L$8, 100%), 0)</f>
        <v>0.25</v>
      </c>
      <c r="E200" s="9">
        <f ca="1">MAX(MIN(E198+E199+Setup!$B$12+$B$20+$D$20+HLOOKUP($A200, INDIRECT(E$28), MATCH("Total", Slots, 0)+1, 0) + IF(Setup!K40=1, Setup!N40, 0) + $L$8, 100%), 0)</f>
        <v>0.25</v>
      </c>
    </row>
    <row r="201" spans="1:6" ht="12.75" customHeight="1" x14ac:dyDescent="0.2">
      <c r="A201" s="32" t="s">
        <v>163</v>
      </c>
      <c r="B201" s="52">
        <f ca="1">MAX(MIN(100% + $B$21+$C$21 + HLOOKUP($A201, INDIRECT(B$28), MATCH("Total", Slots, 0)+1, 0) - $L$7, 200%), 0)</f>
        <v>1</v>
      </c>
      <c r="C201" s="53">
        <f ca="1">MAX(MIN(100% + $B$21+$D$21 + HLOOKUP($A201, INDIRECT(C$28), MATCH("Total", Slots, 0)+1, 0) - $L$7, 200%), 0)</f>
        <v>1</v>
      </c>
      <c r="D201" s="52">
        <f ca="1">MAX(MIN(100% + $B$21+$C$21 + HLOOKUP($A201, INDIRECT(D$28), MATCH("Total", Slots, 0)+1, 0) - $L$7, 200%), 0)</f>
        <v>1</v>
      </c>
      <c r="E201" s="52">
        <f ca="1">MAX(MIN(100% + $B$21+$D$21 + HLOOKUP($A201, INDIRECT(E$28), MATCH("Total", Slots, 0)+1, 0) - $L$7, 200%), 0)</f>
        <v>1</v>
      </c>
    </row>
    <row r="202" spans="1:6" ht="12.75" customHeight="1" x14ac:dyDescent="0.2">
      <c r="A202" s="3" t="s">
        <v>50</v>
      </c>
      <c r="B202" s="3" t="str">
        <f>Setup!F15</f>
        <v>None</v>
      </c>
      <c r="C202" s="35" t="str">
        <f>Setup!G15</f>
        <v>None</v>
      </c>
      <c r="D202" s="3" t="str">
        <f>Setup!F15</f>
        <v>None</v>
      </c>
      <c r="E202" s="3" t="str">
        <f>Setup!G15</f>
        <v>None</v>
      </c>
    </row>
    <row r="203" spans="1:6" ht="12.75" customHeight="1" x14ac:dyDescent="0.2">
      <c r="A203" s="3" t="s">
        <v>329</v>
      </c>
      <c r="B203" s="9">
        <f>IF(OR(Gear!B10="Gloom Breastplate", Gear!B16="Sable Cuisses", Gear!B6="Chaos", Gear!B6="Chaos +1"), 2%, 0%)</f>
        <v>0</v>
      </c>
      <c r="C203" s="44">
        <f>IF(OR(Gear!AB10="Gloom Breastplate", Gear!AB16="Sable Cuisses", Gear!AB6="Chaos", Gear!AB6="Chaos +1"), 2%, 0%)</f>
        <v>0</v>
      </c>
      <c r="D203" s="9">
        <f>IF(OR(Gear!B33="Gloom Breastplate", Gear!B39="Sable Cuisses", Gear!B29="Chaos", Gear!B29="Chaos +1"), 2%, 0%)</f>
        <v>0</v>
      </c>
      <c r="E203" s="9">
        <f>IF(OR(Gear!AB33="Gloom Breastplate", Gear!AB39="Sable Cuisses", Gear!AB29="Chaos", Gear!AB29="Chaos +1"), 2%, 0%)</f>
        <v>0</v>
      </c>
    </row>
    <row r="204" spans="1:6" ht="12.75" customHeight="1" x14ac:dyDescent="0.2">
      <c r="A204" s="3" t="s">
        <v>330</v>
      </c>
      <c r="B204" s="9">
        <f>10%</f>
        <v>0.1</v>
      </c>
      <c r="C204" s="44">
        <f>10%</f>
        <v>0.1</v>
      </c>
      <c r="D204" s="9">
        <f>10%</f>
        <v>0.1</v>
      </c>
      <c r="E204" s="9">
        <f>10%</f>
        <v>0.1</v>
      </c>
      <c r="F204" s="3"/>
    </row>
    <row r="205" spans="1:6" ht="12.75" customHeight="1" x14ac:dyDescent="0.2">
      <c r="A205" s="3" t="s">
        <v>331</v>
      </c>
      <c r="B205" s="9">
        <f>Setup!F17</f>
        <v>0.85</v>
      </c>
      <c r="C205" s="44">
        <f>Setup!G17</f>
        <v>0.85</v>
      </c>
      <c r="D205" s="9">
        <f>Setup!F16</f>
        <v>0.9</v>
      </c>
      <c r="E205" s="9">
        <f>Setup!G16</f>
        <v>0.9</v>
      </c>
    </row>
    <row r="206" spans="1:6" ht="12.75" customHeight="1" x14ac:dyDescent="0.2">
      <c r="A206" s="32" t="s">
        <v>332</v>
      </c>
      <c r="B206" s="32">
        <f>IF(B202="On", TRUNC(B62*B204*B205), 0)</f>
        <v>0</v>
      </c>
      <c r="C206" s="40">
        <f>IF(C202="On", TRUNC(C62*C204*C205), 0)</f>
        <v>0</v>
      </c>
      <c r="D206" s="32">
        <f>IF(OR(D202="WS Only", D202="On"), TRUNC(D62*D204*D205), 0)</f>
        <v>0</v>
      </c>
      <c r="E206" s="32">
        <f>IF(OR(E202="WS Only", E202="On"), TRUNC(E62*E204*E205), 0)</f>
        <v>0</v>
      </c>
    </row>
    <row r="207" spans="1:6" ht="12.75" customHeight="1" x14ac:dyDescent="0.2">
      <c r="C207" s="39"/>
    </row>
    <row r="208" spans="1:6" ht="12.75" customHeight="1" x14ac:dyDescent="0.2">
      <c r="A208" s="32" t="s">
        <v>258</v>
      </c>
      <c r="B208" s="33" t="s">
        <v>333</v>
      </c>
      <c r="C208" s="50" t="s">
        <v>334</v>
      </c>
      <c r="D208" s="34" t="s">
        <v>335</v>
      </c>
      <c r="E208" s="33" t="s">
        <v>336</v>
      </c>
    </row>
    <row r="209" spans="1:5" ht="12.75" customHeight="1" x14ac:dyDescent="0.2">
      <c r="A209" s="3" t="s">
        <v>337</v>
      </c>
      <c r="B209" s="3">
        <f>Setup!F5</f>
        <v>30</v>
      </c>
      <c r="C209" s="39">
        <f>Setup!G5</f>
        <v>30</v>
      </c>
      <c r="D209" s="74"/>
      <c r="E209" s="1"/>
    </row>
    <row r="210" spans="1:5" ht="12.75" customHeight="1" x14ac:dyDescent="0.2">
      <c r="A210" s="3" t="s">
        <v>338</v>
      </c>
      <c r="B210" s="3">
        <f>TRUNC(MAX(0, Setup!J11-300)/10) + 20</f>
        <v>35</v>
      </c>
      <c r="C210" s="39">
        <f>TRUNC(MAX(0, Setup!K11-300)/10) + 20</f>
        <v>35</v>
      </c>
      <c r="D210" s="74"/>
      <c r="E210" s="1"/>
    </row>
    <row r="211" spans="1:5" ht="12.75" customHeight="1" x14ac:dyDescent="0.2">
      <c r="A211" s="3" t="s">
        <v>339</v>
      </c>
      <c r="B211" s="3">
        <f>IF(Setup!J15&lt;150, MAX(1, TRUNC(SQRT(Setup!J15))-1), TRUNC(Setup!J15/20)+5)</f>
        <v>28</v>
      </c>
      <c r="C211" s="39">
        <f>IF(Setup!K15&lt;150, MAX(1, TRUNC(SQRT(Setup!K15))-1), TRUNC(Setup!K15/20)+5)</f>
        <v>28</v>
      </c>
      <c r="D211" s="74"/>
      <c r="E211" s="1"/>
    </row>
    <row r="212" spans="1:5" ht="12.75" customHeight="1" x14ac:dyDescent="0.2">
      <c r="A212" s="32" t="s">
        <v>340</v>
      </c>
      <c r="B212" s="32">
        <f>IF(Setup!F4=1, Data!B209, IF(Setup!J12=1, Data!B210, IF(Setup!J17=1, Data!B211, 0)))</f>
        <v>30</v>
      </c>
      <c r="C212" s="40">
        <f>IF(Setup!G4=1, Data!C209, IF(Setup!K12=1, Data!C210, IF(Setup!K17=1, Data!C211, 0)))</f>
        <v>30</v>
      </c>
      <c r="D212" s="34"/>
      <c r="E212" s="33"/>
    </row>
    <row r="213" spans="1:5" ht="12.75" customHeight="1" x14ac:dyDescent="0.2">
      <c r="A213" t="s">
        <v>341</v>
      </c>
      <c r="B213" s="12">
        <f ca="1">AvgHitsPerHand1TP1</f>
        <v>2.0082439515199999</v>
      </c>
      <c r="C213" s="75">
        <f ca="1">AvgHitsPerHand1TP2</f>
        <v>2.0082439515199999</v>
      </c>
      <c r="D213" s="76"/>
    </row>
    <row r="214" spans="1:5" ht="12.75" customHeight="1" x14ac:dyDescent="0.2">
      <c r="A214" t="s">
        <v>342</v>
      </c>
      <c r="B214" s="12">
        <f ca="1">AvgHitsPerHand2TP1</f>
        <v>0</v>
      </c>
      <c r="C214" s="75">
        <f ca="1">AvgHitsPerHand2TP2</f>
        <v>0</v>
      </c>
      <c r="D214" s="76"/>
    </row>
    <row r="215" spans="1:5" ht="12.75" customHeight="1" x14ac:dyDescent="0.2">
      <c r="A215" t="s">
        <v>343</v>
      </c>
      <c r="B215" s="12">
        <f ca="1">(B124*B101*(1-B$200)) + (B124*B117*B$200*B$201)</f>
        <v>307.95348167438277</v>
      </c>
      <c r="C215" s="75">
        <f ca="1">(C124*C101*(1-C$200)) + (C124*C117*C$200*C$201)</f>
        <v>307.95348167438277</v>
      </c>
      <c r="D215" s="76"/>
    </row>
    <row r="216" spans="1:5" ht="12.75" customHeight="1" x14ac:dyDescent="0.2">
      <c r="A216" t="s">
        <v>344</v>
      </c>
      <c r="B216" s="19">
        <f ca="1">IF(ISBLANK(Gear!$B$3), 0, IF(VLOOKUP(Gear!$B$3, INDIRECT(Gear!A3), MATCH("AE Dmg", StatHeader, 0), 0) &gt; 0, VLOOKUP(Gear!$B$3, INDIRECT(Gear!A3), MATCH("AE Dmg", StatHeader, 0), 0), B212))</f>
        <v>30</v>
      </c>
      <c r="C216" s="77">
        <f ca="1">IF(ISBLANK(Gear!$AB$3), 0, IF(VLOOKUP(Gear!$AB$3, INDIRECT(Gear!AA3), MATCH("AE Dmg", StatHeader, 0), 0) &gt; 0, VLOOKUP(Gear!$AB$3, INDIRECT(Gear!AA3), MATCH("AE Dmg", StatHeader, 0), 0), C212))</f>
        <v>30</v>
      </c>
      <c r="D216" s="76"/>
    </row>
    <row r="217" spans="1:5" ht="12.75" customHeight="1" x14ac:dyDescent="0.2">
      <c r="A217" t="s">
        <v>345</v>
      </c>
      <c r="B217" s="12">
        <f ca="1">(B183*B160*(1-B$200)) + (B183*B176*B$200*B$201)</f>
        <v>0</v>
      </c>
      <c r="C217" s="75">
        <f ca="1">(C183*C160*(1-C$200)) + (C183*C176*C$200*C$201)</f>
        <v>0</v>
      </c>
      <c r="D217" s="76"/>
    </row>
    <row r="218" spans="1:5" ht="12.75" customHeight="1" x14ac:dyDescent="0.2">
      <c r="A218" t="s">
        <v>346</v>
      </c>
      <c r="B218" s="19">
        <f ca="1">IF(G25, IF(B212&gt;0, B212, VLOOKUP(Gear!$B$4, INDIRECT(Gear!A4), MATCH("AE Dmg", StatHeader, 0), 0)), 0)</f>
        <v>0</v>
      </c>
      <c r="C218" s="77">
        <f ca="1">IF(H25, IF(C212&gt;0, C212, VLOOKUP(Gear!$AB$4, INDIRECT(Gear!AA4), MATCH("AE Dmg", StatHeader, 0), 0)), 0)</f>
        <v>0</v>
      </c>
      <c r="D218" s="76"/>
    </row>
    <row r="219" spans="1:5" ht="12.75" customHeight="1" x14ac:dyDescent="0.2">
      <c r="A219" s="3" t="s">
        <v>347</v>
      </c>
      <c r="B219" s="3">
        <v>0</v>
      </c>
      <c r="C219" s="39">
        <v>0</v>
      </c>
      <c r="D219" s="76"/>
    </row>
    <row r="220" spans="1:5" ht="12.75" customHeight="1" x14ac:dyDescent="0.2">
      <c r="A220" s="3" t="s">
        <v>348</v>
      </c>
      <c r="B220" s="12">
        <v>0</v>
      </c>
      <c r="C220" s="75">
        <v>0</v>
      </c>
      <c r="D220" s="76"/>
    </row>
    <row r="221" spans="1:5" ht="12.75" customHeight="1" x14ac:dyDescent="0.2">
      <c r="A221" s="3" t="s">
        <v>349</v>
      </c>
      <c r="B221" s="12">
        <f ca="1">IF(B219=0, Setup!B25*B215*B213, 0)</f>
        <v>0</v>
      </c>
      <c r="C221" s="75">
        <f ca="1">IF(C219=0, Setup!C25*C215*C213, 0)</f>
        <v>0</v>
      </c>
      <c r="D221" s="76"/>
    </row>
    <row r="222" spans="1:5" ht="12.75" customHeight="1" x14ac:dyDescent="0.2">
      <c r="A222" s="3" t="s">
        <v>350</v>
      </c>
      <c r="B222" s="12">
        <f ca="1">(1-B188)*(1-B187)*B186*B119*2</f>
        <v>0.36270239999999992</v>
      </c>
      <c r="C222" s="75">
        <f ca="1">(1-C188)*(1-C187)*C186*C119*2</f>
        <v>0.36270239999999992</v>
      </c>
      <c r="D222" s="76"/>
    </row>
    <row r="223" spans="1:5" ht="12.75" customHeight="1" x14ac:dyDescent="0.2">
      <c r="A223" s="3" t="s">
        <v>351</v>
      </c>
      <c r="B223" s="12">
        <f ca="1">IF(B127&gt;0, (1-B188)*(1-B187)*B186*B178*2, 0)</f>
        <v>0</v>
      </c>
      <c r="C223" s="75">
        <f ca="1">IF(C127&gt;0, (1-C188)*(1-C187)*C186*C178*2, 0)</f>
        <v>0</v>
      </c>
      <c r="D223" s="76"/>
    </row>
    <row r="224" spans="1:5" ht="12.75" customHeight="1" x14ac:dyDescent="0.2">
      <c r="A224" s="3" t="s">
        <v>352</v>
      </c>
      <c r="B224" s="12">
        <f>IF(LEFT(Gear!B16,8)="Quiahuiz", 5% * (B222*B215 + B223*B217), 0)</f>
        <v>0</v>
      </c>
      <c r="C224" s="75">
        <f>IF(LEFT(Gear!AB16,8)="Quiahuiz", 5% * (C222*C215 + C223*C217), 0)</f>
        <v>0</v>
      </c>
      <c r="D224" s="76"/>
    </row>
    <row r="225" spans="1:16" ht="12.75" customHeight="1" x14ac:dyDescent="0.2">
      <c r="A225" s="33" t="s">
        <v>353</v>
      </c>
      <c r="B225" s="78">
        <f ca="1">(B213*(B215+B216)) + (B214*(B217+B218)) + B220 + B221 + B224</f>
        <v>678.69303546770436</v>
      </c>
      <c r="C225" s="79">
        <f ca="1">(C213*(C215+C216)) + (C214*(C217+C218)) + C220 + C221 + C224</f>
        <v>678.69303546770436</v>
      </c>
      <c r="D225" s="80"/>
      <c r="E225" s="32"/>
    </row>
    <row r="226" spans="1:16" ht="12.75" customHeight="1" x14ac:dyDescent="0.2">
      <c r="A226" t="s">
        <v>164</v>
      </c>
      <c r="B226">
        <f>IF(Setup!J$4=1, IF(Setup!$I$4="Haste",150, IF(Setup!$I$4="Haste II", 307, 0)), 0)</f>
        <v>0</v>
      </c>
      <c r="C226" s="39">
        <f>IF(Setup!K$4=1, IF(Setup!$I$4="Haste",150, IF(Setup!$I$4="Haste II", 307, 0)), 0)</f>
        <v>0</v>
      </c>
      <c r="D226" s="76"/>
    </row>
    <row r="227" spans="1:16" ht="12.75" customHeight="1" x14ac:dyDescent="0.2">
      <c r="A227" t="s">
        <v>54</v>
      </c>
      <c r="B227">
        <f>IF(Setup!J16=1, TRUNC(((Setup!J15/15)/100)*1024), 0)</f>
        <v>0</v>
      </c>
      <c r="C227" s="39">
        <f>IF(Setup!K16=1, TRUNC(((Setup!K15/15)/100)*1024), 0)</f>
        <v>0</v>
      </c>
    </row>
    <row r="228" spans="1:16" ht="12.75" customHeight="1" x14ac:dyDescent="0.2">
      <c r="A228" t="s">
        <v>80</v>
      </c>
      <c r="B228" s="3">
        <f>IF(VLOOKUP($A228, Brd, MATCH("Set 1", BrdHeaders, 0), 0), VLOOKUP($A228, Songs, MATCH(VLOOKUP($A228, Brd, MATCH("Set 1 Bonus", BrdHeaders, 0), 0), SongsHeaders, 0), 0)+VLOOKUP($A228, Brd, MATCH("Set 1 Points", BrdHeaders, 0), 0), 0)</f>
        <v>0</v>
      </c>
      <c r="C228" s="39">
        <f>IF(VLOOKUP($A228, Brd, MATCH("Set 2", BrdHeaders, 0), 0), VLOOKUP($A228, Songs, MATCH(VLOOKUP($A228, Brd, MATCH("Set 2 Bonus", BrdHeaders, 0), 0), SongsHeaders, 0), 0)+VLOOKUP($A228, Brd, MATCH("Set 2 Points", BrdHeaders, 0), 0), 0)</f>
        <v>0</v>
      </c>
      <c r="J228" t="s">
        <v>354</v>
      </c>
      <c r="K228" t="s">
        <v>74</v>
      </c>
      <c r="L228" t="s">
        <v>55</v>
      </c>
      <c r="M228" t="s">
        <v>355</v>
      </c>
      <c r="N228" s="3" t="s">
        <v>356</v>
      </c>
      <c r="O228" s="3" t="s">
        <v>357</v>
      </c>
      <c r="P228" s="3" t="s">
        <v>358</v>
      </c>
    </row>
    <row r="229" spans="1:16" ht="12.75" customHeight="1" x14ac:dyDescent="0.2">
      <c r="A229" t="s">
        <v>86</v>
      </c>
      <c r="B229" s="3">
        <f>IF(VLOOKUP($A229, Brd, MATCH("Set 1", BrdHeaders, 0), 0), VLOOKUP($A229, Songs, MATCH(VLOOKUP($A229, Brd, MATCH("Set 1 Bonus", BrdHeaders, 0), 0), SongsHeaders, 0), 0)+VLOOKUP($A229, Brd, MATCH("Set 1 Points", BrdHeaders, 0), 0), 0)</f>
        <v>0</v>
      </c>
      <c r="C229" s="39">
        <f>IF(VLOOKUP($A229, Brd, MATCH("Set 2", BrdHeaders, 0), 0), VLOOKUP($A229, Songs, MATCH(VLOOKUP($A229, Brd, MATCH("Set 2 Bonus", BrdHeaders, 0), 0), SongsHeaders, 0), 0)+VLOOKUP($A229, Brd, MATCH("Set 2 Points", BrdHeaders, 0), 0), 0)</f>
        <v>0</v>
      </c>
      <c r="J229" s="81" t="s">
        <v>359</v>
      </c>
      <c r="K229" s="9">
        <v>0.15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 spans="1:16" ht="12.75" customHeight="1" x14ac:dyDescent="0.2">
      <c r="A230" t="s">
        <v>103</v>
      </c>
      <c r="B230" s="3">
        <f>IF(VLOOKUP($A230, Brd, MATCH("Set 1", BrdHeaders, 0), 0), VLOOKUP($A230, Songs, MATCH(VLOOKUP($A230, Brd, MATCH("Set 1 Bonus", BrdHeaders, 0), 0), SongsHeaders, 0), 0)+VLOOKUP($A230, Brd, MATCH("Set 1 Points", BrdHeaders, 0), 0), 0)</f>
        <v>0</v>
      </c>
      <c r="C230" s="39">
        <f>IF(VLOOKUP($A230, Brd, MATCH("Set 2", BrdHeaders, 0), 0), VLOOKUP($A230, Songs, MATCH(VLOOKUP($A230, Brd, MATCH("Set 2 Bonus", BrdHeaders, 0), 0), SongsHeaders, 0), 0)+VLOOKUP($A230, Brd, MATCH("Set 2 Points", BrdHeaders, 0), 0), 0)</f>
        <v>0</v>
      </c>
      <c r="F230" t="s">
        <v>360</v>
      </c>
      <c r="G230">
        <v>3</v>
      </c>
      <c r="H230">
        <v>3</v>
      </c>
      <c r="J230" t="s">
        <v>361</v>
      </c>
      <c r="K230" s="9">
        <v>0</v>
      </c>
      <c r="L230" s="9">
        <v>0.1</v>
      </c>
      <c r="M230" s="9">
        <v>0</v>
      </c>
      <c r="N230" s="9">
        <v>0</v>
      </c>
      <c r="O230" s="9">
        <v>0</v>
      </c>
      <c r="P230" s="9">
        <v>0</v>
      </c>
    </row>
    <row r="231" spans="1:16" ht="12.75" customHeight="1" x14ac:dyDescent="0.2">
      <c r="A231" s="13" t="s">
        <v>362</v>
      </c>
      <c r="B231" s="41">
        <f>IF(OR(Setup!J$51=$A231,Setup!J$52=$A231),VLOOKUP($A231, Geomancy, MATCH(VLOOKUP("Geomancy+", Geo, 2, 0), GeomancyHeaders, 0), 0),0)</f>
        <v>0</v>
      </c>
      <c r="C231" s="42">
        <f>IF(OR(Setup!K$51=$A231,Setup!K$52=$A231),VLOOKUP($A231, Geomancy, MATCH(VLOOKUP("Geomancy+", Geo, 3, 0), GeomancyHeaders, 0), 0),0)</f>
        <v>0</v>
      </c>
      <c r="J231" t="s">
        <v>363</v>
      </c>
      <c r="K231" s="9">
        <v>0</v>
      </c>
      <c r="L231" s="9">
        <v>0</v>
      </c>
      <c r="M231" s="9">
        <v>0.3</v>
      </c>
      <c r="N231" s="9">
        <v>0</v>
      </c>
      <c r="O231" s="9">
        <v>0</v>
      </c>
      <c r="P231" s="9">
        <v>0</v>
      </c>
    </row>
    <row r="232" spans="1:16" ht="12.75" customHeight="1" x14ac:dyDescent="0.2">
      <c r="A232" t="s">
        <v>364</v>
      </c>
      <c r="B232" s="61">
        <f>MIN(SUM(B226:B231), 448)/1024</f>
        <v>0</v>
      </c>
      <c r="C232" s="62">
        <f>MIN(SUM(C226:C231), 448)/1024</f>
        <v>0</v>
      </c>
      <c r="J232" s="3" t="s">
        <v>365</v>
      </c>
      <c r="K232" s="9">
        <v>0</v>
      </c>
      <c r="L232" s="9">
        <v>0</v>
      </c>
      <c r="M232" s="9">
        <v>0</v>
      </c>
      <c r="N232" s="9">
        <v>0.3</v>
      </c>
      <c r="O232" s="9">
        <v>0</v>
      </c>
      <c r="P232" s="9">
        <v>0</v>
      </c>
    </row>
    <row r="233" spans="1:16" ht="12.75" customHeight="1" x14ac:dyDescent="0.2">
      <c r="A233" t="s">
        <v>366</v>
      </c>
      <c r="B233" s="9">
        <f>MAX(0, MIN(256, IF(AND($D$1="Sam", Setup!F10=1, OR($G$17="GreatSword", $G$17="GreatAxe")), 100, 0) + IF(AND(Setup!F13=1, $D$1="Dnc"), 50, IF(Setup!J21=1, 100, 0)) + IF(Setup!F14=1, 0, 0))) / 1024</f>
        <v>0</v>
      </c>
      <c r="C233" s="44">
        <f>MAX(0, MIN(256, IF(AND($D$1="Sam", Setup!G10=1, OR($H$17="GreatSword", $H$17="GreatAxe")), 100, 0) + IF(AND(Setup!G13=1, $D$1="Dnc"), 50, IF(Setup!K21=1, 100, 0)) + IF(Setup!G14=1, 0, 0))) / 1024</f>
        <v>0</v>
      </c>
      <c r="D233" s="76"/>
      <c r="J233" t="s">
        <v>367</v>
      </c>
      <c r="K233" s="9">
        <v>0</v>
      </c>
      <c r="L233" s="9">
        <v>0</v>
      </c>
      <c r="M233" s="9">
        <v>0</v>
      </c>
      <c r="N233" s="9">
        <v>0</v>
      </c>
      <c r="O233" s="9">
        <v>0.15</v>
      </c>
      <c r="P233" s="9">
        <v>0</v>
      </c>
    </row>
    <row r="234" spans="1:16" ht="12.75" customHeight="1" x14ac:dyDescent="0.2">
      <c r="A234" t="s">
        <v>368</v>
      </c>
      <c r="B234" s="9">
        <f ca="1">MIN(HLOOKUP("Haste", INDIRECT(B$28), MATCH("Total", Slots, 0)+1, 0) + IF(Setup!$F38=1, VLOOKUP("Haste", Ionis, 2, 0)/1024, 0), 25%)</f>
        <v>0.25</v>
      </c>
      <c r="C234" s="44">
        <f ca="1">MIN(HLOOKUP("Haste", INDIRECT(C$28), MATCH("Total", Slots, 0)+1, 0) + IF(Setup!$G38=1, VLOOKUP("Haste", Ionis, 2, 0)/1024, 0), 25%)</f>
        <v>0.25</v>
      </c>
      <c r="D234" s="76"/>
      <c r="J234" t="s">
        <v>369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1.2</v>
      </c>
    </row>
    <row r="235" spans="1:16" ht="12.75" customHeight="1" x14ac:dyDescent="0.2">
      <c r="A235" t="s">
        <v>370</v>
      </c>
      <c r="B235" s="9">
        <f ca="1">B232+B233+B234</f>
        <v>0.25</v>
      </c>
      <c r="C235" s="44">
        <f ca="1">C232+C233+C234</f>
        <v>0.25</v>
      </c>
      <c r="D235" s="76"/>
    </row>
    <row r="236" spans="1:16" ht="12.75" customHeight="1" x14ac:dyDescent="0.2">
      <c r="A236" t="s">
        <v>371</v>
      </c>
      <c r="B236" s="82">
        <f ca="1">IF(B190&gt;0, (B193*2), B193) * (1-B235)</f>
        <v>366.75</v>
      </c>
      <c r="C236" s="83">
        <f ca="1">IF(C190&gt;0, (C193*2), C193) * (1-C235)</f>
        <v>366.75</v>
      </c>
      <c r="D236" s="76"/>
    </row>
    <row r="237" spans="1:16" ht="12.75" customHeight="1" x14ac:dyDescent="0.2">
      <c r="A237" t="s">
        <v>372</v>
      </c>
      <c r="B237" s="82">
        <f ca="1">20%*($G$20+$G$24)</f>
        <v>97.800000000000011</v>
      </c>
      <c r="C237" s="83">
        <f ca="1">20%*($H$20+$H$24)</f>
        <v>97.800000000000011</v>
      </c>
      <c r="D237" s="76"/>
    </row>
    <row r="238" spans="1:16" ht="12.75" customHeight="1" x14ac:dyDescent="0.2">
      <c r="A238" s="32" t="s">
        <v>373</v>
      </c>
      <c r="B238" s="84">
        <f ca="1">MAX(B236,B237)</f>
        <v>366.75</v>
      </c>
      <c r="C238" s="85">
        <f ca="1">MAX(C236,C237)</f>
        <v>366.75</v>
      </c>
      <c r="D238" s="80"/>
      <c r="E238" s="32"/>
    </row>
    <row r="239" spans="1:16" ht="12.75" customHeight="1" x14ac:dyDescent="0.2">
      <c r="A239" s="45" t="s">
        <v>374</v>
      </c>
      <c r="B239" s="86">
        <f ca="1">B225/(B238/60)</f>
        <v>111.03362543438926</v>
      </c>
      <c r="C239" s="87">
        <f ca="1">C225/(C238/60)</f>
        <v>111.03362543438926</v>
      </c>
      <c r="D239" s="88"/>
      <c r="E239" s="45"/>
    </row>
    <row r="240" spans="1:16" ht="12.75" customHeight="1" x14ac:dyDescent="0.2">
      <c r="A240" t="s">
        <v>208</v>
      </c>
      <c r="B240" s="16"/>
      <c r="C240" s="16"/>
      <c r="D240" s="19">
        <f ca="1">HLOOKUP($A240, INDIRECT(D$28), MATCH("Total", Slots, 0)+1, 0)</f>
        <v>0</v>
      </c>
      <c r="E240" s="19">
        <f ca="1">HLOOKUP($A240, INDIRECT(E$28), MATCH("Total", Slots, 0)+1, 0)</f>
        <v>0</v>
      </c>
    </row>
    <row r="241" spans="1:5" ht="12.75" customHeight="1" x14ac:dyDescent="0.2">
      <c r="A241" t="s">
        <v>206</v>
      </c>
      <c r="B241" s="16"/>
      <c r="C241" s="16"/>
      <c r="D241" s="9">
        <f ca="1">HLOOKUP($A241, INDIRECT(D$28), MATCH("Total", Slots, 0)+1, 0)</f>
        <v>0</v>
      </c>
      <c r="E241" s="9">
        <f ca="1">HLOOKUP($A241, INDIRECT(E$28), MATCH("Total", Slots, 0)+1, 0)</f>
        <v>0</v>
      </c>
    </row>
    <row r="242" spans="1:5" ht="12.75" customHeight="1" x14ac:dyDescent="0.2">
      <c r="A242" t="s">
        <v>205</v>
      </c>
      <c r="B242" s="16"/>
      <c r="C242" s="16"/>
      <c r="D242" s="25">
        <f ca="1">C24+HLOOKUP($A242, INDIRECT(D$28), MATCH("Total", Slots, 0)+1, 0)</f>
        <v>250</v>
      </c>
      <c r="E242">
        <f ca="1">D24+HLOOKUP($A242, INDIRECT(E$28), MATCH("Total", Slots, 0)+1, 0)</f>
        <v>250</v>
      </c>
    </row>
    <row r="243" spans="1:5" ht="12.75" customHeight="1" x14ac:dyDescent="0.2">
      <c r="A243" t="s">
        <v>375</v>
      </c>
      <c r="B243" s="16"/>
      <c r="C243" s="16"/>
      <c r="D243" s="9">
        <f>1+IFERROR(VLOOKUP(Gear!B3, DREAMBonuses, MATCH(Weaponskill!A2,DREAMWeaponskills,0), 0),0)</f>
        <v>1</v>
      </c>
      <c r="E243" s="9">
        <f>1+IFERROR(VLOOKUP(Gear!AB3, DREAMBonuses, MATCH(Weaponskill!A537,DREAMWeaponskills,0), 0),0)</f>
        <v>1</v>
      </c>
    </row>
    <row r="244" spans="1:5" ht="12.75" customHeight="1" x14ac:dyDescent="0.2">
      <c r="A244" t="s">
        <v>130</v>
      </c>
      <c r="B244" s="16"/>
      <c r="C244" s="16"/>
      <c r="D244" s="24">
        <f ca="1">C25 + IF(Setup!J18=1, 10, 0) + IF(Setup!J42=1, Setup!M42, 0) + IF(Setup!J16=1, (TRUNC(Setup!J15/100)+1)*10, 0) + HLOOKUP($A244, INDIRECT(B$28), MATCH("Total", Slots, 0)+1, 0)</f>
        <v>0</v>
      </c>
      <c r="E244">
        <f ca="1">D25 + IF(Setup!K18=1, 10, 0) + IF(Setup!K42=1, Setup!N42, 0) + IF(Setup!K16=1, (TRUNC(Setup!K15/100)+1)*10, 0) + HLOOKUP($A244, INDIRECT(C$28), MATCH("Total", Slots, 0)+1, 0)</f>
        <v>0</v>
      </c>
    </row>
    <row r="245" spans="1:5" ht="12.75" customHeight="1" x14ac:dyDescent="0.2">
      <c r="A245" t="s">
        <v>376</v>
      </c>
      <c r="B245" s="16"/>
      <c r="C245" s="16"/>
      <c r="D245" s="89">
        <f ca="1">TRUNC(B238*G230/180) * D244 + Setup!F47</f>
        <v>0</v>
      </c>
      <c r="E245" s="89">
        <f ca="1">TRUNC(C238*H230/180) * E244 + Setup!G47</f>
        <v>0</v>
      </c>
    </row>
    <row r="246" spans="1:5" ht="12.75" customHeight="1" x14ac:dyDescent="0.2">
      <c r="A246" t="s">
        <v>110</v>
      </c>
      <c r="D246" s="16">
        <f ca="1">Weaponskill!Q3 * D243</f>
        <v>3280.5823627754135</v>
      </c>
      <c r="E246" s="16">
        <f ca="1">Weaponskill!R3 * E243</f>
        <v>3280.5823627754135</v>
      </c>
    </row>
    <row r="247" spans="1:5" ht="12.75" customHeight="1" x14ac:dyDescent="0.2">
      <c r="A247" t="s">
        <v>377</v>
      </c>
      <c r="D247" s="19">
        <f ca="1">Weaponskill!Q2</f>
        <v>3.3424309610985694</v>
      </c>
      <c r="E247" s="19">
        <f ca="1">Weaponskill!R2</f>
        <v>3.3424309610985694</v>
      </c>
    </row>
    <row r="248" spans="1:5" ht="12.75" customHeight="1" x14ac:dyDescent="0.2">
      <c r="A248" t="s">
        <v>378</v>
      </c>
      <c r="D248" s="12">
        <f ca="1">D247*$B$238+120</f>
        <v>1345.8365549829002</v>
      </c>
      <c r="E248" s="12">
        <f ca="1">E247*$C$238+120</f>
        <v>1345.8365549829002</v>
      </c>
    </row>
    <row r="249" spans="1:5" ht="12.75" customHeight="1" x14ac:dyDescent="0.2">
      <c r="A249" t="s">
        <v>379</v>
      </c>
      <c r="D249" s="12">
        <f ca="1">B225*D247+D246</f>
        <v>5549.0669776046379</v>
      </c>
      <c r="E249" s="12">
        <f ca="1">C225*E247+E246</f>
        <v>5549.0669776046379</v>
      </c>
    </row>
    <row r="250" spans="1:5" ht="12.75" customHeight="1" x14ac:dyDescent="0.2">
      <c r="A250" t="s">
        <v>123</v>
      </c>
      <c r="D250" s="12">
        <f ca="1">D249/(D248/60)</f>
        <v>247.38815231579778</v>
      </c>
      <c r="E250" s="12">
        <f ca="1">E249/(E248/60)</f>
        <v>247.38815231579778</v>
      </c>
    </row>
    <row r="251" spans="1:5" ht="12.75" customHeight="1" x14ac:dyDescent="0.2"/>
    <row r="252" spans="1:5" ht="12.75" customHeight="1" x14ac:dyDescent="0.2"/>
    <row r="253" spans="1:5" ht="12.75" customHeight="1" x14ac:dyDescent="0.2"/>
    <row r="254" spans="1:5" ht="12.75" customHeight="1" x14ac:dyDescent="0.2"/>
    <row r="255" spans="1:5" ht="12.75" customHeight="1" x14ac:dyDescent="0.2"/>
    <row r="256" spans="1:5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conditionalFormatting sqref="B249:C249">
    <cfRule type="cellIs" dxfId="1" priority="1" operator="greaterThan">
      <formula>24%</formula>
    </cfRule>
  </conditionalFormatting>
  <conditionalFormatting sqref="B232:C232">
    <cfRule type="cellIs" dxfId="0" priority="2" operator="equal">
      <formula>43.75%</formula>
    </cfRule>
  </conditionalFormatting>
  <dataValidations count="1">
    <dataValidation type="decimal" allowBlank="1" showErrorMessage="1" sqref="O2:P2" xr:uid="{00000000-0002-0000-0200-000000000000}">
      <formula1>-0.99</formula1>
      <formula2>0</formula2>
    </dataValidation>
  </dataValidations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C99"/>
  </sheetPr>
  <dimension ref="A1:AE1069"/>
  <sheetViews>
    <sheetView workbookViewId="0"/>
  </sheetViews>
  <sheetFormatPr defaultColWidth="14.42578125" defaultRowHeight="15" customHeight="1" x14ac:dyDescent="0.2"/>
  <cols>
    <col min="1" max="1" width="15.28515625" customWidth="1"/>
    <col min="2" max="2" width="8.85546875" customWidth="1"/>
    <col min="3" max="3" width="8" customWidth="1"/>
    <col min="4" max="4" width="8.5703125" customWidth="1"/>
    <col min="5" max="5" width="8.85546875" customWidth="1"/>
    <col min="6" max="6" width="8.5703125" customWidth="1"/>
    <col min="7" max="7" width="8.28515625" customWidth="1"/>
    <col min="8" max="8" width="7.42578125" customWidth="1"/>
    <col min="9" max="9" width="9.5703125" customWidth="1"/>
    <col min="10" max="10" width="9.28515625" customWidth="1"/>
    <col min="11" max="12" width="10.28515625" customWidth="1"/>
    <col min="13" max="13" width="9.5703125" customWidth="1"/>
    <col min="14" max="14" width="11.28515625" customWidth="1"/>
    <col min="15" max="15" width="8.7109375" customWidth="1"/>
    <col min="16" max="16" width="12.140625" customWidth="1"/>
    <col min="17" max="17" width="9.28515625" customWidth="1"/>
    <col min="18" max="18" width="8.7109375" customWidth="1"/>
    <col min="19" max="19" width="9.7109375" customWidth="1"/>
    <col min="20" max="20" width="8.28515625" customWidth="1"/>
    <col min="21" max="21" width="8.140625" customWidth="1"/>
    <col min="22" max="22" width="8.5703125" customWidth="1"/>
    <col min="23" max="23" width="9.28515625" customWidth="1"/>
    <col min="24" max="25" width="8.140625" customWidth="1"/>
    <col min="26" max="26" width="8.7109375" customWidth="1"/>
    <col min="27" max="27" width="10.42578125" customWidth="1"/>
    <col min="28" max="28" width="7.28515625" customWidth="1"/>
    <col min="29" max="29" width="8.42578125" customWidth="1"/>
    <col min="30" max="30" width="8.5703125" customWidth="1"/>
    <col min="31" max="31" width="8.7109375" customWidth="1"/>
  </cols>
  <sheetData>
    <row r="1" spans="1:28" ht="12.75" customHeight="1" x14ac:dyDescent="0.2">
      <c r="A1" t="s">
        <v>380</v>
      </c>
      <c r="Q1" s="3" t="s">
        <v>381</v>
      </c>
      <c r="R1" s="3" t="s">
        <v>382</v>
      </c>
    </row>
    <row r="2" spans="1:28" ht="12.75" customHeight="1" x14ac:dyDescent="0.2">
      <c r="A2" s="1" t="str">
        <f>Setup!B24</f>
        <v>Dimidiation</v>
      </c>
      <c r="F2" s="9"/>
      <c r="I2" t="str">
        <f>VLOOKUP($A$2, WeaponskillData, MATCH("WSC1 Name", WeaponskillDataCols, 0), 0)</f>
        <v>Dex</v>
      </c>
      <c r="J2" s="16">
        <f ca="1">INDIRECT($A$1 &amp; "WS" &amp; I2)</f>
        <v>319</v>
      </c>
      <c r="K2" s="9">
        <f>VLOOKUP($A$2, WeaponskillData, MATCH("WSC1 Value", WeaponskillDataCols, 0), 0)</f>
        <v>0.8</v>
      </c>
      <c r="P2" s="3" t="s">
        <v>383</v>
      </c>
      <c r="Q2" s="12">
        <f ca="1">T533+Set1OverTP</f>
        <v>3.3424309610985694</v>
      </c>
      <c r="R2" s="12">
        <f ca="1">T1069+Set2OverTP</f>
        <v>3.3424309610985694</v>
      </c>
    </row>
    <row r="3" spans="1:28" ht="12.75" customHeight="1" x14ac:dyDescent="0.2">
      <c r="A3" t="s">
        <v>384</v>
      </c>
      <c r="B3" s="3">
        <f ca="1">Set1MeleeTP</f>
        <v>189</v>
      </c>
      <c r="D3" t="s">
        <v>385</v>
      </c>
      <c r="E3" s="9">
        <f ca="1">Set1DA</f>
        <v>0.22999999999999998</v>
      </c>
      <c r="F3" s="9">
        <f ca="1">Set1DA</f>
        <v>0.22999999999999998</v>
      </c>
      <c r="I3" t="str">
        <f>VLOOKUP($A$2, WeaponskillData, MATCH("WSC2 Name", WeaponskillDataCols, 0), 0)</f>
        <v>N/A</v>
      </c>
      <c r="J3" s="16">
        <f ca="1">IF(I3&lt;&gt;"N/A", INDIRECT($A$1 &amp; "WS" &amp; I3), 0)</f>
        <v>0</v>
      </c>
      <c r="K3" s="9">
        <f>IF(I3&lt;&gt;"N/A", VLOOKUP($A$2, WeaponskillData, MATCH("WSC2 Value", WeaponskillDataCols, 0), 0), 0)</f>
        <v>0</v>
      </c>
      <c r="P3" s="3" t="s">
        <v>386</v>
      </c>
      <c r="Q3" s="19">
        <f ca="1">AA533</f>
        <v>3280.5823627754135</v>
      </c>
      <c r="R3" s="19">
        <f ca="1">AA1069</f>
        <v>3280.5823627754135</v>
      </c>
    </row>
    <row r="4" spans="1:28" ht="12.75" customHeight="1" x14ac:dyDescent="0.2">
      <c r="A4" t="s">
        <v>387</v>
      </c>
      <c r="B4">
        <f ca="1">Set1WSTP</f>
        <v>161</v>
      </c>
      <c r="D4" t="s">
        <v>388</v>
      </c>
      <c r="E4" s="9">
        <f ca="1">Set1TA</f>
        <v>0.04</v>
      </c>
      <c r="F4" s="9">
        <f ca="1">Set1TA</f>
        <v>0.04</v>
      </c>
      <c r="I4" t="s">
        <v>389</v>
      </c>
      <c r="J4" s="16">
        <f ca="1">INDIRECT($A$1 &amp; "WSDex")</f>
        <v>319</v>
      </c>
      <c r="K4" s="9">
        <f>IF(Gear!B4="Utu Grip", 10%, 0%)</f>
        <v>0</v>
      </c>
    </row>
    <row r="5" spans="1:28" ht="12.75" customHeight="1" x14ac:dyDescent="0.2">
      <c r="A5" t="s">
        <v>390</v>
      </c>
      <c r="B5" s="25">
        <f ca="1">Set1WSStoreTP</f>
        <v>19</v>
      </c>
      <c r="D5" t="s">
        <v>391</v>
      </c>
      <c r="E5" s="9">
        <f ca="1">Set1QA</f>
        <v>0.03</v>
      </c>
      <c r="F5" s="9">
        <f ca="1">Set1QA</f>
        <v>0.03</v>
      </c>
      <c r="I5" t="s">
        <v>392</v>
      </c>
      <c r="J5">
        <f ca="1">TRUNC(J2*K2+J3*K3+J4*K4)</f>
        <v>255</v>
      </c>
    </row>
    <row r="6" spans="1:28" ht="12.75" customHeight="1" x14ac:dyDescent="0.2">
      <c r="A6" t="s">
        <v>393</v>
      </c>
      <c r="B6">
        <f ca="1">TRUNC(10*(1+B5/100))</f>
        <v>11</v>
      </c>
      <c r="D6" t="s">
        <v>394</v>
      </c>
      <c r="E6" s="9">
        <f ca="1">Melee!B25</f>
        <v>0.6</v>
      </c>
      <c r="F6" s="9">
        <v>0</v>
      </c>
      <c r="I6" t="s">
        <v>395</v>
      </c>
      <c r="J6" s="59">
        <f>VLOOKUP($A$2, WeaponskillData, MATCH("FTP1", WeaponskillDataCols, 0), 0)</f>
        <v>2.25</v>
      </c>
      <c r="K6" s="59">
        <f>VLOOKUP($A$2, WeaponskillData, MATCH("FTP2", WeaponskillDataCols, 0), 0)</f>
        <v>4.5</v>
      </c>
      <c r="L6" s="59">
        <f>VLOOKUP($A$2, WeaponskillData, MATCH("FTP3", WeaponskillDataCols, 0), 0)</f>
        <v>6.5</v>
      </c>
      <c r="N6" t="s">
        <v>396</v>
      </c>
    </row>
    <row r="7" spans="1:28" ht="12.75" customHeight="1" x14ac:dyDescent="0.2">
      <c r="A7" t="s">
        <v>397</v>
      </c>
      <c r="B7" s="65">
        <f ca="1">Set1WSHitRate</f>
        <v>0.95</v>
      </c>
      <c r="D7" t="s">
        <v>398</v>
      </c>
      <c r="E7" s="9">
        <f ca="1">Melee!B26</f>
        <v>0.66600000000000004</v>
      </c>
      <c r="F7" s="9">
        <v>0</v>
      </c>
      <c r="I7" s="3" t="s">
        <v>399</v>
      </c>
      <c r="J7" s="59">
        <f ca="1">J6+Set1FTP</f>
        <v>2.25</v>
      </c>
      <c r="K7" s="59">
        <f ca="1">K6+Set1FTP</f>
        <v>4.5</v>
      </c>
      <c r="L7" s="59">
        <f ca="1">L6+Set1FTP</f>
        <v>6.5</v>
      </c>
      <c r="N7" s="61">
        <f ca="1">VLOOKUP($A$2,WeaponskillData,MATCH("Def0",WeaponskillDataCols,0),0) + (MIN(MAX($J$8-1000, 0),1000)/1000)*VLOOKUP($A$2,WeaponskillData,MATCH("Def1",WeaponskillDataCols,0),0) + MAX($J$8-2000,0)/1000*VLOOKUP($A$2,WeaponskillData,MATCH("Def2",WeaponskillDataCols,0),0)</f>
        <v>0</v>
      </c>
    </row>
    <row r="8" spans="1:28" ht="12.75" customHeight="1" x14ac:dyDescent="0.2">
      <c r="D8" t="s">
        <v>400</v>
      </c>
      <c r="E8" s="9">
        <f ca="1">Melee!B27</f>
        <v>0.33400000000000002</v>
      </c>
      <c r="F8" s="9">
        <v>0</v>
      </c>
      <c r="I8" t="s">
        <v>401</v>
      </c>
      <c r="J8" s="3">
        <f ca="1">MIN(TRUNC(V533+Set1TPBonus), 3000)</f>
        <v>1696</v>
      </c>
      <c r="K8" t="s">
        <v>402</v>
      </c>
      <c r="L8" s="59">
        <f ca="1">IF(J8&lt;1000, 0, IF(J8&lt;2000, J7+(J8-1000)/1000*(K7-J7), K7+(J8-2000)/1000*(L7-K7)))</f>
        <v>3.8159999999999998</v>
      </c>
    </row>
    <row r="9" spans="1:28" ht="12.75" customHeight="1" x14ac:dyDescent="0.2">
      <c r="A9" t="s">
        <v>403</v>
      </c>
      <c r="B9">
        <f>VLOOKUP($A$2, WeaponskillData, MATCH("Extra Hits", WeaponskillDataCols, 0), 0)</f>
        <v>1</v>
      </c>
      <c r="I9" t="s">
        <v>404</v>
      </c>
      <c r="J9" s="9">
        <f>VLOOKUP($A$2, WeaponskillData, MATCH("Crit0", WeaponskillDataCols, 0), 0)</f>
        <v>0</v>
      </c>
      <c r="K9" s="61">
        <f ca="1">(MIN($J$8-1000, 1000)/1000)*VLOOKUP($A$2, WeaponskillData, MATCH("Crit1", WeaponskillDataCols, 0), 0) + (MAX($J$8-2000, 0)/1000)*VLOOKUP($A$2, WeaponskillData, MATCH("Crit2", WeaponskillDataCols, 0), 0)</f>
        <v>0</v>
      </c>
      <c r="P9" t="s">
        <v>405</v>
      </c>
      <c r="Q9" s="19">
        <f>Set1OverTP</f>
        <v>0.5</v>
      </c>
    </row>
    <row r="10" spans="1:28" ht="12.75" customHeight="1" x14ac:dyDescent="0.2">
      <c r="A10" t="s">
        <v>406</v>
      </c>
      <c r="B10">
        <f ca="1">IF(Data!G23&gt;0, 1, 0)</f>
        <v>0</v>
      </c>
      <c r="I10" t="s">
        <v>207</v>
      </c>
      <c r="J10" s="9">
        <f ca="1">INDIRECT(A1&amp;"WSDmg")</f>
        <v>1.25</v>
      </c>
      <c r="P10" t="s">
        <v>407</v>
      </c>
      <c r="Q10" s="9">
        <f ca="1">Set1ConserveTP</f>
        <v>0</v>
      </c>
    </row>
    <row r="11" spans="1:28" ht="12.75" customHeight="1" x14ac:dyDescent="0.2">
      <c r="K11" t="s">
        <v>408</v>
      </c>
      <c r="L11" t="s">
        <v>409</v>
      </c>
      <c r="M11" t="s">
        <v>250</v>
      </c>
      <c r="P11" t="s">
        <v>139</v>
      </c>
      <c r="Q11" s="25">
        <f ca="1">Set1SaveTP</f>
        <v>0</v>
      </c>
      <c r="AA11" s="82"/>
    </row>
    <row r="12" spans="1:28" ht="12.75" customHeight="1" x14ac:dyDescent="0.2">
      <c r="A12" t="s">
        <v>50</v>
      </c>
      <c r="B12">
        <f>IF(OR(Setup!$F$15="WS Only", Setup!$F$15="On"), 1, 0)</f>
        <v>0</v>
      </c>
      <c r="I12" t="s">
        <v>410</v>
      </c>
      <c r="J12">
        <f ca="1">Set1MainDmg</f>
        <v>300</v>
      </c>
      <c r="K12">
        <f ca="1">FLOOR((J12+J5)*L8*J10, 1)</f>
        <v>2647</v>
      </c>
      <c r="L12" s="61">
        <f>IF(J9=0, 0, MIN($J$9+$K$9+Set1CritMain, 100%))</f>
        <v>0</v>
      </c>
      <c r="M12" s="9">
        <f ca="1">Set1CritDmg</f>
        <v>1</v>
      </c>
      <c r="P12" t="s">
        <v>411</v>
      </c>
      <c r="Q12">
        <f>Set1MinTP</f>
        <v>1000</v>
      </c>
      <c r="V12" s="3"/>
      <c r="AB12" s="19"/>
    </row>
    <row r="13" spans="1:28" ht="12.75" customHeight="1" x14ac:dyDescent="0.2">
      <c r="A13" t="s">
        <v>330</v>
      </c>
      <c r="B13" s="9">
        <f>Data!$D$204</f>
        <v>0.1</v>
      </c>
      <c r="I13" t="s">
        <v>412</v>
      </c>
      <c r="J13">
        <f ca="1">Set1MainDmg</f>
        <v>300</v>
      </c>
      <c r="K13">
        <f ca="1">IF(J13&gt;0, FLOOR((J13+$J$5) * IF(VLOOKUP($A$2, WeaponskillData, MATCH("FTPCarry", WeaponskillDataCols, 0), 0)=1, $L$8, 1), 1), 0)</f>
        <v>555</v>
      </c>
      <c r="L13" s="61">
        <f>IF(J9=0, 0, MIN($J$9+$K$9+Set1CritMain, 100%))</f>
        <v>0</v>
      </c>
      <c r="M13" s="9">
        <f ca="1">Set1CritDmg</f>
        <v>1</v>
      </c>
      <c r="P13" t="s">
        <v>413</v>
      </c>
      <c r="Q13" s="9">
        <f ca="1">Set1WSDmg</f>
        <v>1.25</v>
      </c>
      <c r="AA13" s="16"/>
    </row>
    <row r="14" spans="1:28" ht="12.75" customHeight="1" x14ac:dyDescent="0.2">
      <c r="A14" t="s">
        <v>37</v>
      </c>
      <c r="B14">
        <f ca="1">FLOOR(Setup!F$16*Data!$D$62, 1)</f>
        <v>1658</v>
      </c>
      <c r="I14" t="s">
        <v>414</v>
      </c>
      <c r="J14">
        <v>0</v>
      </c>
      <c r="K14">
        <f>IF(J14&gt;0, FLOOR((J14+$J$5) * IF(VLOOKUP($A$2, WeaponskillData, MATCH("FTPCarry", WeaponskillDataCols, 0), 0)=1, $L$8, 1), 1), 0)</f>
        <v>0</v>
      </c>
      <c r="L14" s="61">
        <f>IF(J9=0, 0, MIN($J$9+$K$9+Set1CritMain, 100%))</f>
        <v>0</v>
      </c>
      <c r="AA14" s="82"/>
    </row>
    <row r="15" spans="1:28" ht="12.75" customHeight="1" x14ac:dyDescent="0.2">
      <c r="I15" t="s">
        <v>415</v>
      </c>
      <c r="J15">
        <f ca="1">Set1OffDmg</f>
        <v>0</v>
      </c>
      <c r="K15">
        <f ca="1">IF(J15&gt;0, FLOOR((J15+$J$5) * IF(VLOOKUP($A$2, WeaponskillData, MATCH("FTPCarry", WeaponskillDataCols, 0), 0)=1, $L$8, 1), 1), 0)</f>
        <v>0</v>
      </c>
      <c r="L15" s="61">
        <f>IF(J9=0, 0, MIN($J$9+$K$9+Set1CritOff, 100%))</f>
        <v>0</v>
      </c>
    </row>
    <row r="16" spans="1:28" ht="12.75" customHeight="1" x14ac:dyDescent="0.2">
      <c r="I16" t="s">
        <v>293</v>
      </c>
      <c r="J16" s="12">
        <f ca="1">Set1CRatio</f>
        <v>0.82037037037037042</v>
      </c>
      <c r="K16" s="3" t="s">
        <v>416</v>
      </c>
      <c r="L16" s="12">
        <f ca="1">Data!D101</f>
        <v>0.87550491898148153</v>
      </c>
      <c r="M16" s="12">
        <f ca="1">Data!D117</f>
        <v>1.8113042534722223</v>
      </c>
    </row>
    <row r="17" spans="1:31" ht="12.75" customHeight="1" x14ac:dyDescent="0.2">
      <c r="I17" t="s">
        <v>417</v>
      </c>
      <c r="J17" s="16">
        <f ca="1">Set1Regain</f>
        <v>0</v>
      </c>
      <c r="K17" s="3" t="s">
        <v>418</v>
      </c>
      <c r="L17" s="12">
        <f ca="1">Data!D160</f>
        <v>0.30315724800035027</v>
      </c>
      <c r="M17" s="12">
        <f ca="1">Data!D176</f>
        <v>1.2342</v>
      </c>
    </row>
    <row r="18" spans="1:31" ht="12.75" customHeight="1" x14ac:dyDescent="0.2">
      <c r="J18" s="16"/>
      <c r="K18" s="3"/>
      <c r="L18" s="12"/>
      <c r="M18" s="12"/>
    </row>
    <row r="19" spans="1:31" ht="12.75" customHeight="1" x14ac:dyDescent="0.2">
      <c r="A19" t="s">
        <v>419</v>
      </c>
      <c r="B19" t="s">
        <v>420</v>
      </c>
      <c r="C19" t="s">
        <v>421</v>
      </c>
      <c r="D19" s="3" t="s">
        <v>422</v>
      </c>
      <c r="E19" t="s">
        <v>423</v>
      </c>
      <c r="F19" t="s">
        <v>424</v>
      </c>
      <c r="G19" t="s">
        <v>425</v>
      </c>
      <c r="H19" t="s">
        <v>426</v>
      </c>
      <c r="I19" t="s">
        <v>427</v>
      </c>
      <c r="J19" t="s">
        <v>428</v>
      </c>
      <c r="K19" s="9" t="s">
        <v>429</v>
      </c>
      <c r="L19" t="s">
        <v>267</v>
      </c>
      <c r="M19" t="s">
        <v>430</v>
      </c>
      <c r="N19" s="3" t="s">
        <v>431</v>
      </c>
      <c r="O19" s="59" t="s">
        <v>360</v>
      </c>
      <c r="P19" s="59" t="s">
        <v>432</v>
      </c>
      <c r="Q19" s="59" t="s">
        <v>433</v>
      </c>
      <c r="R19" s="59" t="s">
        <v>434</v>
      </c>
      <c r="S19" s="59" t="s">
        <v>435</v>
      </c>
      <c r="T19" s="3" t="s">
        <v>436</v>
      </c>
      <c r="U19" s="3" t="s">
        <v>437</v>
      </c>
      <c r="V19" s="3" t="s">
        <v>438</v>
      </c>
      <c r="W19" s="3" t="s">
        <v>439</v>
      </c>
      <c r="X19" s="3" t="s">
        <v>440</v>
      </c>
      <c r="Y19" s="59" t="s">
        <v>441</v>
      </c>
      <c r="Z19" s="59" t="s">
        <v>442</v>
      </c>
      <c r="AA19" t="s">
        <v>443</v>
      </c>
    </row>
    <row r="20" spans="1:31" ht="12.75" customHeight="1" x14ac:dyDescent="0.2">
      <c r="A20">
        <v>0</v>
      </c>
      <c r="B20">
        <v>0</v>
      </c>
      <c r="C20">
        <f t="shared" ref="C20:C83" ca="1" si="0">MIN(8, 1+$B$10+$B$9+A20+B20)</f>
        <v>2</v>
      </c>
      <c r="D20">
        <f t="shared" ref="D20:D83" ca="1" si="1">C20-(1+$B$10)</f>
        <v>1</v>
      </c>
      <c r="E20">
        <f t="shared" ref="E20:E83" ca="1" si="2">MIN(A20, C20-(1+$B$10+$B$9))</f>
        <v>0</v>
      </c>
      <c r="F20" s="61">
        <f t="shared" ref="F20:F83" ca="1" si="3">IF(A20=3, Set1QA, IF(A20=2, (1-Set1QA)*Set1TA + (1-Set1QA)*(1-Set1TA)*(1-Set1DA)*Set1AM3*Set1AM33, IF(A20=1, (1-Set1QA)*(1-Set1TA)*Set1DA + (1-Set1QA)*(1-Set1TA)*(1-Set1DA)*Set1AM3*Set1AM32, (1-Set1QA)*(1-Set1TA)*(1-Set1DA)*(1-Set1AM3)))) * IF($B$9+$B$10&gt;0, IF(B20=3, Set1QA, IF(B20=2, (1-Set1QA)*Set1TA, IF(B20=1, (1-Set1QA)*(1-Set1TA)*Set1DA, (1-Set1QA)*(1-Set1TA)*(1-Set1DA)))), IF(B20=0, 1, 0))</f>
        <v>0.20564936663040001</v>
      </c>
      <c r="G20">
        <v>1</v>
      </c>
      <c r="H20">
        <v>1</v>
      </c>
      <c r="I20">
        <v>7</v>
      </c>
      <c r="J20" s="61">
        <f t="shared" ref="J20:J83" ca="1" si="4">POWER(95%,G20)*POWER(5%, 1-G20) * IF($B$10=0, IF(H20=0, 1, 0), POWER(Set1WSHitRate,H20)*POWER(1-Set1WSHitRate, 1-H20)) * IF(I20&lt;=D20, POWER(Set1WSHitRate, I20)*POWER(1-Set1WSHitRate, D20-I20)*COMBIN(D20,I20), 0)</f>
        <v>0</v>
      </c>
      <c r="K20" s="61">
        <f t="shared" ref="K20:K83" ca="1" si="5">F20*J20</f>
        <v>0</v>
      </c>
      <c r="L20" s="82">
        <f t="shared" ref="L20:L83" ca="1" si="6">MAX((G20+H20)*Set1WSTP + I20*$B$6, Set1SaveTP)</f>
        <v>399</v>
      </c>
      <c r="M20" s="16">
        <f t="shared" ref="M20:M83" ca="1" si="7">MAX(Set1MinTP-(L20+Set1Regain), 0)</f>
        <v>601</v>
      </c>
      <c r="N20" s="3">
        <f t="shared" ref="N20:N83" ca="1" si="8">CEILING(M20/Set1MeleeTP, 1)</f>
        <v>4</v>
      </c>
      <c r="O20" s="19">
        <f t="shared" ref="O20:O83" ca="1" si="9">VLOOKUP(N20,AvgRoundsSet1,2)</f>
        <v>2.3453053758100548</v>
      </c>
      <c r="P20" s="19">
        <f t="shared" ref="P20:P83" ca="1" si="10">VLOOKUP(CEILING(MAX(M20-1, 0)/Set1MeleeTP, 1), AvgRoundsSet1, 2) + VLOOKUP(CEILING(MAX(M20-2, 0)/Set1MeleeTP, 1), AvgRoundsSet1, 2) + VLOOKUP(CEILING(MAX(M20-3, 0)/Set1MeleeTP, 1), AvgRoundsSet1, 2) + VLOOKUP(CEILING(MAX(M20-4, 0)/Set1MeleeTP, 1), AvgRoundsSet1, 2) + VLOOKUP(CEILING(MAX(M20-5, 0)/Set1MeleeTP, 1), AvgRoundsSet1, 2) + VLOOKUP(CEILING(MAX(M20-6, 0)/Set1MeleeTP, 1), AvgRoundsSet1, 2) + VLOOKUP(CEILING(MAX(M20-7, 0)/Set1MeleeTP, 1), AvgRoundsSet1, 2) + VLOOKUP(CEILING(MAX(M20-8, 0)/Set1MeleeTP, 1), AvgRoundsSet1, 2) + VLOOKUP(CEILING(MAX(M20-9, 0)/Set1MeleeTP, 1), AvgRoundsSet1, 2) + VLOOKUP(CEILING(MAX(M20-10, 0)/Set1MeleeTP, 1), AvgRoundsSet1, 2)</f>
        <v>23.453053758100552</v>
      </c>
      <c r="Q20" s="19">
        <f t="shared" ref="Q20:Q83" ca="1" si="11">VLOOKUP(CEILING(MAX(M20-11, 0)/Set1MeleeTP, 1), AvgRoundsSet1, 2) + VLOOKUP(CEILING(MAX(M20-12, 0)/Set1MeleeTP, 1), AvgRoundsSet1, 2) + VLOOKUP(CEILING(MAX(M20-13, 0)/Set1MeleeTP, 1), AvgRoundsSet1, 2) + VLOOKUP(CEILING(MAX(M20-14, 0)/Set1MeleeTP, 1), AvgRoundsSet1, 2) + VLOOKUP(CEILING(MAX(M20-15, 0)/Set1MeleeTP, 1), AvgRoundsSet1, 2) + VLOOKUP(CEILING(MAX(M20-16, 0)/Set1MeleeTP, 1), AvgRoundsSet1, 2) + VLOOKUP(CEILING(MAX(M20-17, 0)/Set1MeleeTP, 1), AvgRoundsSet1, 2) + VLOOKUP(CEILING(MAX(M20-18, 0)/Set1MeleeTP, 1), AvgRoundsSet1, 2) + VLOOKUP(CEILING(MAX(M20-19, 0)/Set1MeleeTP, 1), AvgRoundsSet1, 2) + VLOOKUP(CEILING(MAX(M20-20, 0)/Set1MeleeTP, 1), AvgRoundsSet1, 2)</f>
        <v>23.453053758100552</v>
      </c>
      <c r="R20" s="19">
        <f t="shared" ref="R20:R83" ca="1" si="12">(P20+Q20)/20</f>
        <v>2.3453053758100553</v>
      </c>
      <c r="S20" s="19">
        <f t="shared" ref="S20:S83" ca="1" si="13">R20*Set1ConserveTP + O20*(1-Set1ConserveTP)</f>
        <v>2.3453053758100548</v>
      </c>
      <c r="T20" s="19">
        <f t="shared" ref="T20:T83" ca="1" si="14">K20*S20</f>
        <v>0</v>
      </c>
      <c r="U20" s="19">
        <f t="shared" ref="U20:U83" ca="1" si="15">MIN(L20+(S20+Set1OverTP)*AvgHitsPerRound1*Set1MeleeTP + Set1Regain + 10.5*Set1ConserveTP, 3000)</f>
        <v>1478.9587218163997</v>
      </c>
      <c r="V20" s="19">
        <f t="shared" ref="V20:V83" ca="1" si="16">U20*K20</f>
        <v>0</v>
      </c>
      <c r="W20" s="82">
        <f t="shared" ref="W20:W83" ca="1" si="17">G20*$K$12*((1-$L$12)*$L$16 + $L$12*$M$16*$M$12)+ H20*$K$15*((1-$L$15)*$L$17 + $L$15*$M$17*$M$13) + I20*$K$13*((1-$L$13)*$L$16 + $L$13*$M$16*$M$13) + E20*$K$14*$L$14*$M$12</f>
        <v>5718.7981307870377</v>
      </c>
      <c r="X20" s="19">
        <f t="shared" ref="X20:X83" ca="1" si="18">K20*W20</f>
        <v>0</v>
      </c>
      <c r="Y20" s="19">
        <f t="shared" ref="Y20:Y83" si="19">IF($B$12=1, (VLOOKUP(C20, IF($B$13=10%,Souleater10,Souleater12), 6, 0) * $B$14), 0)</f>
        <v>0</v>
      </c>
      <c r="Z20" s="82">
        <f t="shared" ref="Z20:Z83" ca="1" si="20">Y20+W20</f>
        <v>5718.7981307870377</v>
      </c>
      <c r="AA20" s="19">
        <f t="shared" ref="AA20:AA83" ca="1" si="21">Z20*K20</f>
        <v>0</v>
      </c>
      <c r="AE20" s="19"/>
    </row>
    <row r="21" spans="1:31" ht="12.75" customHeight="1" x14ac:dyDescent="0.2">
      <c r="A21">
        <v>0</v>
      </c>
      <c r="B21">
        <v>0</v>
      </c>
      <c r="C21">
        <f t="shared" ca="1" si="0"/>
        <v>2</v>
      </c>
      <c r="D21">
        <f t="shared" ca="1" si="1"/>
        <v>1</v>
      </c>
      <c r="E21">
        <f t="shared" ca="1" si="2"/>
        <v>0</v>
      </c>
      <c r="F21" s="61">
        <f t="shared" ca="1" si="3"/>
        <v>0.20564936663040001</v>
      </c>
      <c r="G21">
        <v>1</v>
      </c>
      <c r="H21">
        <v>1</v>
      </c>
      <c r="I21">
        <v>6</v>
      </c>
      <c r="J21" s="61">
        <f t="shared" ca="1" si="4"/>
        <v>0</v>
      </c>
      <c r="K21" s="61">
        <f t="shared" ca="1" si="5"/>
        <v>0</v>
      </c>
      <c r="L21" s="82">
        <f t="shared" ca="1" si="6"/>
        <v>388</v>
      </c>
      <c r="M21" s="16">
        <f t="shared" ca="1" si="7"/>
        <v>612</v>
      </c>
      <c r="N21" s="3">
        <f t="shared" ca="1" si="8"/>
        <v>4</v>
      </c>
      <c r="O21" s="19">
        <f t="shared" ca="1" si="9"/>
        <v>2.3453053758100548</v>
      </c>
      <c r="P21" s="19">
        <f t="shared" ca="1" si="10"/>
        <v>23.453053758100552</v>
      </c>
      <c r="Q21" s="19">
        <f t="shared" ca="1" si="11"/>
        <v>23.453053758100552</v>
      </c>
      <c r="R21" s="19">
        <f t="shared" ca="1" si="12"/>
        <v>2.3453053758100553</v>
      </c>
      <c r="S21" s="19">
        <f t="shared" ca="1" si="13"/>
        <v>2.3453053758100548</v>
      </c>
      <c r="T21" s="19">
        <f t="shared" ca="1" si="14"/>
        <v>0</v>
      </c>
      <c r="U21" s="19">
        <f t="shared" ca="1" si="15"/>
        <v>1467.9587218163997</v>
      </c>
      <c r="V21" s="19">
        <f t="shared" ca="1" si="16"/>
        <v>0</v>
      </c>
      <c r="W21" s="82">
        <f t="shared" ca="1" si="17"/>
        <v>5232.8929007523147</v>
      </c>
      <c r="X21" s="19">
        <f t="shared" ca="1" si="18"/>
        <v>0</v>
      </c>
      <c r="Y21" s="19">
        <f t="shared" si="19"/>
        <v>0</v>
      </c>
      <c r="Z21" s="82">
        <f t="shared" ca="1" si="20"/>
        <v>5232.8929007523147</v>
      </c>
      <c r="AA21" s="19">
        <f t="shared" ca="1" si="21"/>
        <v>0</v>
      </c>
      <c r="AE21" s="19"/>
    </row>
    <row r="22" spans="1:31" ht="12.75" customHeight="1" x14ac:dyDescent="0.2">
      <c r="A22">
        <v>0</v>
      </c>
      <c r="B22">
        <v>0</v>
      </c>
      <c r="C22">
        <f t="shared" ca="1" si="0"/>
        <v>2</v>
      </c>
      <c r="D22">
        <f t="shared" ca="1" si="1"/>
        <v>1</v>
      </c>
      <c r="E22">
        <f t="shared" ca="1" si="2"/>
        <v>0</v>
      </c>
      <c r="F22" s="61">
        <f t="shared" ca="1" si="3"/>
        <v>0.20564936663040001</v>
      </c>
      <c r="G22">
        <v>1</v>
      </c>
      <c r="H22">
        <v>1</v>
      </c>
      <c r="I22">
        <v>5</v>
      </c>
      <c r="J22" s="61">
        <f t="shared" ca="1" si="4"/>
        <v>0</v>
      </c>
      <c r="K22" s="61">
        <f t="shared" ca="1" si="5"/>
        <v>0</v>
      </c>
      <c r="L22" s="82">
        <f t="shared" ca="1" si="6"/>
        <v>377</v>
      </c>
      <c r="M22" s="16">
        <f t="shared" ca="1" si="7"/>
        <v>623</v>
      </c>
      <c r="N22" s="3">
        <f t="shared" ca="1" si="8"/>
        <v>4</v>
      </c>
      <c r="O22" s="19">
        <f t="shared" ca="1" si="9"/>
        <v>2.3453053758100548</v>
      </c>
      <c r="P22" s="19">
        <f t="shared" ca="1" si="10"/>
        <v>23.453053758100552</v>
      </c>
      <c r="Q22" s="19">
        <f t="shared" ca="1" si="11"/>
        <v>23.453053758100552</v>
      </c>
      <c r="R22" s="19">
        <f t="shared" ca="1" si="12"/>
        <v>2.3453053758100553</v>
      </c>
      <c r="S22" s="19">
        <f t="shared" ca="1" si="13"/>
        <v>2.3453053758100548</v>
      </c>
      <c r="T22" s="19">
        <f t="shared" ca="1" si="14"/>
        <v>0</v>
      </c>
      <c r="U22" s="19">
        <f t="shared" ca="1" si="15"/>
        <v>1456.9587218163997</v>
      </c>
      <c r="V22" s="19">
        <f t="shared" ca="1" si="16"/>
        <v>0</v>
      </c>
      <c r="W22" s="82">
        <f t="shared" ca="1" si="17"/>
        <v>4746.9876707175936</v>
      </c>
      <c r="X22" s="19">
        <f t="shared" ca="1" si="18"/>
        <v>0</v>
      </c>
      <c r="Y22" s="19">
        <f t="shared" si="19"/>
        <v>0</v>
      </c>
      <c r="Z22" s="82">
        <f t="shared" ca="1" si="20"/>
        <v>4746.9876707175936</v>
      </c>
      <c r="AA22" s="19">
        <f t="shared" ca="1" si="21"/>
        <v>0</v>
      </c>
      <c r="AE22" s="19"/>
    </row>
    <row r="23" spans="1:31" ht="12.75" customHeight="1" x14ac:dyDescent="0.2">
      <c r="A23">
        <v>0</v>
      </c>
      <c r="B23">
        <v>0</v>
      </c>
      <c r="C23">
        <f t="shared" ca="1" si="0"/>
        <v>2</v>
      </c>
      <c r="D23">
        <f t="shared" ca="1" si="1"/>
        <v>1</v>
      </c>
      <c r="E23">
        <f t="shared" ca="1" si="2"/>
        <v>0</v>
      </c>
      <c r="F23" s="61">
        <f t="shared" ca="1" si="3"/>
        <v>0.20564936663040001</v>
      </c>
      <c r="G23">
        <v>1</v>
      </c>
      <c r="H23">
        <v>1</v>
      </c>
      <c r="I23">
        <v>4</v>
      </c>
      <c r="J23" s="61">
        <f t="shared" ca="1" si="4"/>
        <v>0</v>
      </c>
      <c r="K23" s="61">
        <f t="shared" ca="1" si="5"/>
        <v>0</v>
      </c>
      <c r="L23" s="82">
        <f t="shared" ca="1" si="6"/>
        <v>366</v>
      </c>
      <c r="M23" s="16">
        <f t="shared" ca="1" si="7"/>
        <v>634</v>
      </c>
      <c r="N23" s="3">
        <f t="shared" ca="1" si="8"/>
        <v>4</v>
      </c>
      <c r="O23" s="19">
        <f t="shared" ca="1" si="9"/>
        <v>2.3453053758100548</v>
      </c>
      <c r="P23" s="19">
        <f t="shared" ca="1" si="10"/>
        <v>23.453053758100552</v>
      </c>
      <c r="Q23" s="19">
        <f t="shared" ca="1" si="11"/>
        <v>23.453053758100552</v>
      </c>
      <c r="R23" s="19">
        <f t="shared" ca="1" si="12"/>
        <v>2.3453053758100553</v>
      </c>
      <c r="S23" s="19">
        <f t="shared" ca="1" si="13"/>
        <v>2.3453053758100548</v>
      </c>
      <c r="T23" s="19">
        <f t="shared" ca="1" si="14"/>
        <v>0</v>
      </c>
      <c r="U23" s="19">
        <f t="shared" ca="1" si="15"/>
        <v>1445.9587218163997</v>
      </c>
      <c r="V23" s="19">
        <f t="shared" ca="1" si="16"/>
        <v>0</v>
      </c>
      <c r="W23" s="82">
        <f t="shared" ca="1" si="17"/>
        <v>4261.0824406828706</v>
      </c>
      <c r="X23" s="19">
        <f t="shared" ca="1" si="18"/>
        <v>0</v>
      </c>
      <c r="Y23" s="19">
        <f t="shared" si="19"/>
        <v>0</v>
      </c>
      <c r="Z23" s="82">
        <f t="shared" ca="1" si="20"/>
        <v>4261.0824406828706</v>
      </c>
      <c r="AA23" s="19">
        <f t="shared" ca="1" si="21"/>
        <v>0</v>
      </c>
      <c r="AE23" s="19"/>
    </row>
    <row r="24" spans="1:31" ht="12.75" customHeight="1" x14ac:dyDescent="0.2">
      <c r="A24">
        <v>0</v>
      </c>
      <c r="B24">
        <v>0</v>
      </c>
      <c r="C24">
        <f t="shared" ca="1" si="0"/>
        <v>2</v>
      </c>
      <c r="D24">
        <f t="shared" ca="1" si="1"/>
        <v>1</v>
      </c>
      <c r="E24">
        <f t="shared" ca="1" si="2"/>
        <v>0</v>
      </c>
      <c r="F24" s="61">
        <f t="shared" ca="1" si="3"/>
        <v>0.20564936663040001</v>
      </c>
      <c r="G24">
        <v>1</v>
      </c>
      <c r="H24">
        <v>1</v>
      </c>
      <c r="I24">
        <v>3</v>
      </c>
      <c r="J24" s="61">
        <f t="shared" ca="1" si="4"/>
        <v>0</v>
      </c>
      <c r="K24" s="61">
        <f t="shared" ca="1" si="5"/>
        <v>0</v>
      </c>
      <c r="L24" s="82">
        <f t="shared" ca="1" si="6"/>
        <v>355</v>
      </c>
      <c r="M24" s="16">
        <f t="shared" ca="1" si="7"/>
        <v>645</v>
      </c>
      <c r="N24" s="3">
        <f t="shared" ca="1" si="8"/>
        <v>4</v>
      </c>
      <c r="O24" s="19">
        <f t="shared" ca="1" si="9"/>
        <v>2.3453053758100548</v>
      </c>
      <c r="P24" s="19">
        <f t="shared" ca="1" si="10"/>
        <v>23.453053758100552</v>
      </c>
      <c r="Q24" s="19">
        <f t="shared" ca="1" si="11"/>
        <v>23.453053758100552</v>
      </c>
      <c r="R24" s="19">
        <f t="shared" ca="1" si="12"/>
        <v>2.3453053758100553</v>
      </c>
      <c r="S24" s="19">
        <f t="shared" ca="1" si="13"/>
        <v>2.3453053758100548</v>
      </c>
      <c r="T24" s="19">
        <f t="shared" ca="1" si="14"/>
        <v>0</v>
      </c>
      <c r="U24" s="19">
        <f t="shared" ca="1" si="15"/>
        <v>1434.9587218163997</v>
      </c>
      <c r="V24" s="19">
        <f t="shared" ca="1" si="16"/>
        <v>0</v>
      </c>
      <c r="W24" s="82">
        <f t="shared" ca="1" si="17"/>
        <v>3775.1772106481485</v>
      </c>
      <c r="X24" s="19">
        <f t="shared" ca="1" si="18"/>
        <v>0</v>
      </c>
      <c r="Y24" s="19">
        <f t="shared" si="19"/>
        <v>0</v>
      </c>
      <c r="Z24" s="82">
        <f t="shared" ca="1" si="20"/>
        <v>3775.1772106481485</v>
      </c>
      <c r="AA24" s="19">
        <f t="shared" ca="1" si="21"/>
        <v>0</v>
      </c>
      <c r="AE24" s="19"/>
    </row>
    <row r="25" spans="1:31" ht="12.75" customHeight="1" x14ac:dyDescent="0.2">
      <c r="A25">
        <v>0</v>
      </c>
      <c r="B25">
        <v>0</v>
      </c>
      <c r="C25">
        <f t="shared" ca="1" si="0"/>
        <v>2</v>
      </c>
      <c r="D25">
        <f t="shared" ca="1" si="1"/>
        <v>1</v>
      </c>
      <c r="E25">
        <f t="shared" ca="1" si="2"/>
        <v>0</v>
      </c>
      <c r="F25" s="61">
        <f t="shared" ca="1" si="3"/>
        <v>0.20564936663040001</v>
      </c>
      <c r="G25">
        <v>1</v>
      </c>
      <c r="H25">
        <v>1</v>
      </c>
      <c r="I25">
        <v>2</v>
      </c>
      <c r="J25" s="61">
        <f t="shared" ca="1" si="4"/>
        <v>0</v>
      </c>
      <c r="K25" s="61">
        <f t="shared" ca="1" si="5"/>
        <v>0</v>
      </c>
      <c r="L25" s="82">
        <f t="shared" ca="1" si="6"/>
        <v>344</v>
      </c>
      <c r="M25" s="16">
        <f t="shared" ca="1" si="7"/>
        <v>656</v>
      </c>
      <c r="N25" s="3">
        <f t="shared" ca="1" si="8"/>
        <v>4</v>
      </c>
      <c r="O25" s="19">
        <f t="shared" ca="1" si="9"/>
        <v>2.3453053758100548</v>
      </c>
      <c r="P25" s="19">
        <f t="shared" ca="1" si="10"/>
        <v>23.453053758100552</v>
      </c>
      <c r="Q25" s="19">
        <f t="shared" ca="1" si="11"/>
        <v>23.453053758100552</v>
      </c>
      <c r="R25" s="19">
        <f t="shared" ca="1" si="12"/>
        <v>2.3453053758100553</v>
      </c>
      <c r="S25" s="19">
        <f t="shared" ca="1" si="13"/>
        <v>2.3453053758100548</v>
      </c>
      <c r="T25" s="19">
        <f t="shared" ca="1" si="14"/>
        <v>0</v>
      </c>
      <c r="U25" s="19">
        <f t="shared" ca="1" si="15"/>
        <v>1423.9587218163997</v>
      </c>
      <c r="V25" s="19">
        <f t="shared" ca="1" si="16"/>
        <v>0</v>
      </c>
      <c r="W25" s="82">
        <f t="shared" ca="1" si="17"/>
        <v>3289.2719806134264</v>
      </c>
      <c r="X25" s="19">
        <f t="shared" ca="1" si="18"/>
        <v>0</v>
      </c>
      <c r="Y25" s="19">
        <f t="shared" si="19"/>
        <v>0</v>
      </c>
      <c r="Z25" s="82">
        <f t="shared" ca="1" si="20"/>
        <v>3289.2719806134264</v>
      </c>
      <c r="AA25" s="19">
        <f t="shared" ca="1" si="21"/>
        <v>0</v>
      </c>
      <c r="AE25" s="19"/>
    </row>
    <row r="26" spans="1:31" ht="12.75" customHeight="1" x14ac:dyDescent="0.2">
      <c r="A26">
        <v>0</v>
      </c>
      <c r="B26">
        <v>0</v>
      </c>
      <c r="C26">
        <f t="shared" ca="1" si="0"/>
        <v>2</v>
      </c>
      <c r="D26">
        <f t="shared" ca="1" si="1"/>
        <v>1</v>
      </c>
      <c r="E26">
        <f t="shared" ca="1" si="2"/>
        <v>0</v>
      </c>
      <c r="F26" s="61">
        <f t="shared" ca="1" si="3"/>
        <v>0.20564936663040001</v>
      </c>
      <c r="G26">
        <v>1</v>
      </c>
      <c r="H26">
        <v>1</v>
      </c>
      <c r="I26">
        <v>1</v>
      </c>
      <c r="J26" s="61">
        <f t="shared" ca="1" si="4"/>
        <v>0</v>
      </c>
      <c r="K26" s="61">
        <f t="shared" ca="1" si="5"/>
        <v>0</v>
      </c>
      <c r="L26" s="82">
        <f t="shared" ca="1" si="6"/>
        <v>333</v>
      </c>
      <c r="M26" s="16">
        <f t="shared" ca="1" si="7"/>
        <v>667</v>
      </c>
      <c r="N26" s="3">
        <f t="shared" ca="1" si="8"/>
        <v>4</v>
      </c>
      <c r="O26" s="19">
        <f t="shared" ca="1" si="9"/>
        <v>2.3453053758100548</v>
      </c>
      <c r="P26" s="19">
        <f t="shared" ca="1" si="10"/>
        <v>23.453053758100552</v>
      </c>
      <c r="Q26" s="19">
        <f t="shared" ca="1" si="11"/>
        <v>23.453053758100552</v>
      </c>
      <c r="R26" s="19">
        <f t="shared" ca="1" si="12"/>
        <v>2.3453053758100553</v>
      </c>
      <c r="S26" s="19">
        <f t="shared" ca="1" si="13"/>
        <v>2.3453053758100548</v>
      </c>
      <c r="T26" s="19">
        <f t="shared" ca="1" si="14"/>
        <v>0</v>
      </c>
      <c r="U26" s="19">
        <f t="shared" ca="1" si="15"/>
        <v>1412.9587218163997</v>
      </c>
      <c r="V26" s="19">
        <f t="shared" ca="1" si="16"/>
        <v>0</v>
      </c>
      <c r="W26" s="82">
        <f t="shared" ca="1" si="17"/>
        <v>2803.3667505787039</v>
      </c>
      <c r="X26" s="19">
        <f t="shared" ca="1" si="18"/>
        <v>0</v>
      </c>
      <c r="Y26" s="19">
        <f t="shared" si="19"/>
        <v>0</v>
      </c>
      <c r="Z26" s="82">
        <f t="shared" ca="1" si="20"/>
        <v>2803.3667505787039</v>
      </c>
      <c r="AA26" s="19">
        <f t="shared" ca="1" si="21"/>
        <v>0</v>
      </c>
      <c r="AE26" s="19"/>
    </row>
    <row r="27" spans="1:31" ht="12.75" customHeight="1" x14ac:dyDescent="0.2">
      <c r="A27">
        <v>0</v>
      </c>
      <c r="B27">
        <v>0</v>
      </c>
      <c r="C27">
        <f t="shared" ca="1" si="0"/>
        <v>2</v>
      </c>
      <c r="D27">
        <f t="shared" ca="1" si="1"/>
        <v>1</v>
      </c>
      <c r="E27">
        <f t="shared" ca="1" si="2"/>
        <v>0</v>
      </c>
      <c r="F27" s="61">
        <f t="shared" ca="1" si="3"/>
        <v>0.20564936663040001</v>
      </c>
      <c r="G27">
        <v>1</v>
      </c>
      <c r="H27">
        <v>1</v>
      </c>
      <c r="I27">
        <v>0</v>
      </c>
      <c r="J27" s="61">
        <f t="shared" ca="1" si="4"/>
        <v>0</v>
      </c>
      <c r="K27" s="61">
        <f t="shared" ca="1" si="5"/>
        <v>0</v>
      </c>
      <c r="L27" s="82">
        <f t="shared" ca="1" si="6"/>
        <v>322</v>
      </c>
      <c r="M27" s="16">
        <f t="shared" ca="1" si="7"/>
        <v>678</v>
      </c>
      <c r="N27" s="3">
        <f t="shared" ca="1" si="8"/>
        <v>4</v>
      </c>
      <c r="O27" s="19">
        <f t="shared" ca="1" si="9"/>
        <v>2.3453053758100548</v>
      </c>
      <c r="P27" s="19">
        <f t="shared" ca="1" si="10"/>
        <v>23.453053758100552</v>
      </c>
      <c r="Q27" s="19">
        <f t="shared" ca="1" si="11"/>
        <v>23.453053758100552</v>
      </c>
      <c r="R27" s="19">
        <f t="shared" ca="1" si="12"/>
        <v>2.3453053758100553</v>
      </c>
      <c r="S27" s="19">
        <f t="shared" ca="1" si="13"/>
        <v>2.3453053758100548</v>
      </c>
      <c r="T27" s="19">
        <f t="shared" ca="1" si="14"/>
        <v>0</v>
      </c>
      <c r="U27" s="19">
        <f t="shared" ca="1" si="15"/>
        <v>1401.9587218163997</v>
      </c>
      <c r="V27" s="19">
        <f t="shared" ca="1" si="16"/>
        <v>0</v>
      </c>
      <c r="W27" s="82">
        <f t="shared" ca="1" si="17"/>
        <v>2317.4615205439818</v>
      </c>
      <c r="X27" s="19">
        <f t="shared" ca="1" si="18"/>
        <v>0</v>
      </c>
      <c r="Y27" s="19">
        <f t="shared" si="19"/>
        <v>0</v>
      </c>
      <c r="Z27" s="82">
        <f t="shared" ca="1" si="20"/>
        <v>2317.4615205439818</v>
      </c>
      <c r="AA27" s="19">
        <f t="shared" ca="1" si="21"/>
        <v>0</v>
      </c>
      <c r="AE27" s="19"/>
    </row>
    <row r="28" spans="1:31" ht="12.75" customHeight="1" x14ac:dyDescent="0.2">
      <c r="A28">
        <v>0</v>
      </c>
      <c r="B28">
        <v>0</v>
      </c>
      <c r="C28">
        <f t="shared" ca="1" si="0"/>
        <v>2</v>
      </c>
      <c r="D28">
        <f t="shared" ca="1" si="1"/>
        <v>1</v>
      </c>
      <c r="E28">
        <f t="shared" ca="1" si="2"/>
        <v>0</v>
      </c>
      <c r="F28" s="61">
        <f t="shared" ca="1" si="3"/>
        <v>0.20564936663040001</v>
      </c>
      <c r="G28">
        <v>1</v>
      </c>
      <c r="H28">
        <v>0</v>
      </c>
      <c r="I28">
        <v>7</v>
      </c>
      <c r="J28" s="61">
        <f t="shared" ca="1" si="4"/>
        <v>0</v>
      </c>
      <c r="K28" s="61">
        <f t="shared" ca="1" si="5"/>
        <v>0</v>
      </c>
      <c r="L28" s="82">
        <f t="shared" ca="1" si="6"/>
        <v>238</v>
      </c>
      <c r="M28" s="16">
        <f t="shared" ca="1" si="7"/>
        <v>762</v>
      </c>
      <c r="N28" s="3">
        <f t="shared" ca="1" si="8"/>
        <v>5</v>
      </c>
      <c r="O28" s="19">
        <f t="shared" ca="1" si="9"/>
        <v>2.8178718937399587</v>
      </c>
      <c r="P28" s="19">
        <f t="shared" ca="1" si="10"/>
        <v>25.815886347750073</v>
      </c>
      <c r="Q28" s="19">
        <f t="shared" ca="1" si="11"/>
        <v>23.453053758100552</v>
      </c>
      <c r="R28" s="19">
        <f t="shared" ca="1" si="12"/>
        <v>2.4634470052925312</v>
      </c>
      <c r="S28" s="19">
        <f t="shared" ca="1" si="13"/>
        <v>2.8178718937399587</v>
      </c>
      <c r="T28" s="19">
        <f t="shared" ca="1" si="14"/>
        <v>0</v>
      </c>
      <c r="U28" s="19">
        <f t="shared" ca="1" si="15"/>
        <v>1497.3251747165598</v>
      </c>
      <c r="V28" s="19">
        <f t="shared" ca="1" si="16"/>
        <v>0</v>
      </c>
      <c r="W28" s="82">
        <f t="shared" ca="1" si="17"/>
        <v>5718.7981307870377</v>
      </c>
      <c r="X28" s="19">
        <f t="shared" ca="1" si="18"/>
        <v>0</v>
      </c>
      <c r="Y28" s="19">
        <f t="shared" si="19"/>
        <v>0</v>
      </c>
      <c r="Z28" s="82">
        <f t="shared" ca="1" si="20"/>
        <v>5718.7981307870377</v>
      </c>
      <c r="AA28" s="19">
        <f t="shared" ca="1" si="21"/>
        <v>0</v>
      </c>
      <c r="AE28" s="19"/>
    </row>
    <row r="29" spans="1:31" ht="12.75" customHeight="1" x14ac:dyDescent="0.2">
      <c r="A29">
        <v>0</v>
      </c>
      <c r="B29">
        <v>0</v>
      </c>
      <c r="C29">
        <f t="shared" ca="1" si="0"/>
        <v>2</v>
      </c>
      <c r="D29">
        <f t="shared" ca="1" si="1"/>
        <v>1</v>
      </c>
      <c r="E29">
        <f t="shared" ca="1" si="2"/>
        <v>0</v>
      </c>
      <c r="F29" s="61">
        <f t="shared" ca="1" si="3"/>
        <v>0.20564936663040001</v>
      </c>
      <c r="G29">
        <v>1</v>
      </c>
      <c r="H29">
        <v>0</v>
      </c>
      <c r="I29">
        <v>6</v>
      </c>
      <c r="J29" s="61">
        <f t="shared" ca="1" si="4"/>
        <v>0</v>
      </c>
      <c r="K29" s="61">
        <f t="shared" ca="1" si="5"/>
        <v>0</v>
      </c>
      <c r="L29" s="82">
        <f t="shared" ca="1" si="6"/>
        <v>227</v>
      </c>
      <c r="M29" s="16">
        <f t="shared" ca="1" si="7"/>
        <v>773</v>
      </c>
      <c r="N29" s="3">
        <f t="shared" ca="1" si="8"/>
        <v>5</v>
      </c>
      <c r="O29" s="19">
        <f t="shared" ca="1" si="9"/>
        <v>2.8178718937399587</v>
      </c>
      <c r="P29" s="19">
        <f t="shared" ca="1" si="10"/>
        <v>28.178718937399587</v>
      </c>
      <c r="Q29" s="19">
        <f t="shared" ca="1" si="11"/>
        <v>26.288452865679979</v>
      </c>
      <c r="R29" s="19">
        <f t="shared" ca="1" si="12"/>
        <v>2.7233585901539783</v>
      </c>
      <c r="S29" s="19">
        <f t="shared" ca="1" si="13"/>
        <v>2.8178718937399587</v>
      </c>
      <c r="T29" s="19">
        <f t="shared" ca="1" si="14"/>
        <v>0</v>
      </c>
      <c r="U29" s="19">
        <f t="shared" ca="1" si="15"/>
        <v>1486.3251747165598</v>
      </c>
      <c r="V29" s="19">
        <f t="shared" ca="1" si="16"/>
        <v>0</v>
      </c>
      <c r="W29" s="82">
        <f t="shared" ca="1" si="17"/>
        <v>5232.8929007523147</v>
      </c>
      <c r="X29" s="19">
        <f t="shared" ca="1" si="18"/>
        <v>0</v>
      </c>
      <c r="Y29" s="19">
        <f t="shared" si="19"/>
        <v>0</v>
      </c>
      <c r="Z29" s="82">
        <f t="shared" ca="1" si="20"/>
        <v>5232.8929007523147</v>
      </c>
      <c r="AA29" s="19">
        <f t="shared" ca="1" si="21"/>
        <v>0</v>
      </c>
      <c r="AE29" s="19"/>
    </row>
    <row r="30" spans="1:31" ht="12.75" customHeight="1" x14ac:dyDescent="0.2">
      <c r="A30">
        <v>0</v>
      </c>
      <c r="B30">
        <v>0</v>
      </c>
      <c r="C30">
        <f t="shared" ca="1" si="0"/>
        <v>2</v>
      </c>
      <c r="D30">
        <f t="shared" ca="1" si="1"/>
        <v>1</v>
      </c>
      <c r="E30">
        <f t="shared" ca="1" si="2"/>
        <v>0</v>
      </c>
      <c r="F30" s="61">
        <f t="shared" ca="1" si="3"/>
        <v>0.20564936663040001</v>
      </c>
      <c r="G30">
        <v>1</v>
      </c>
      <c r="H30">
        <v>0</v>
      </c>
      <c r="I30">
        <v>5</v>
      </c>
      <c r="J30" s="61">
        <f t="shared" ca="1" si="4"/>
        <v>0</v>
      </c>
      <c r="K30" s="61">
        <f t="shared" ca="1" si="5"/>
        <v>0</v>
      </c>
      <c r="L30" s="82">
        <f t="shared" ca="1" si="6"/>
        <v>216</v>
      </c>
      <c r="M30" s="16">
        <f t="shared" ca="1" si="7"/>
        <v>784</v>
      </c>
      <c r="N30" s="3">
        <f t="shared" ca="1" si="8"/>
        <v>5</v>
      </c>
      <c r="O30" s="19">
        <f t="shared" ca="1" si="9"/>
        <v>2.8178718937399587</v>
      </c>
      <c r="P30" s="19">
        <f t="shared" ca="1" si="10"/>
        <v>28.178718937399587</v>
      </c>
      <c r="Q30" s="19">
        <f t="shared" ca="1" si="11"/>
        <v>28.178718937399587</v>
      </c>
      <c r="R30" s="19">
        <f t="shared" ca="1" si="12"/>
        <v>2.8178718937399587</v>
      </c>
      <c r="S30" s="19">
        <f t="shared" ca="1" si="13"/>
        <v>2.8178718937399587</v>
      </c>
      <c r="T30" s="19">
        <f t="shared" ca="1" si="14"/>
        <v>0</v>
      </c>
      <c r="U30" s="19">
        <f t="shared" ca="1" si="15"/>
        <v>1475.3251747165598</v>
      </c>
      <c r="V30" s="19">
        <f t="shared" ca="1" si="16"/>
        <v>0</v>
      </c>
      <c r="W30" s="82">
        <f t="shared" ca="1" si="17"/>
        <v>4746.9876707175936</v>
      </c>
      <c r="X30" s="19">
        <f t="shared" ca="1" si="18"/>
        <v>0</v>
      </c>
      <c r="Y30" s="19">
        <f t="shared" si="19"/>
        <v>0</v>
      </c>
      <c r="Z30" s="82">
        <f t="shared" ca="1" si="20"/>
        <v>4746.9876707175936</v>
      </c>
      <c r="AA30" s="19">
        <f t="shared" ca="1" si="21"/>
        <v>0</v>
      </c>
      <c r="AE30" s="19"/>
    </row>
    <row r="31" spans="1:31" ht="12.75" customHeight="1" x14ac:dyDescent="0.2">
      <c r="A31">
        <v>0</v>
      </c>
      <c r="B31">
        <v>0</v>
      </c>
      <c r="C31">
        <f t="shared" ca="1" si="0"/>
        <v>2</v>
      </c>
      <c r="D31">
        <f t="shared" ca="1" si="1"/>
        <v>1</v>
      </c>
      <c r="E31">
        <f t="shared" ca="1" si="2"/>
        <v>0</v>
      </c>
      <c r="F31" s="61">
        <f t="shared" ca="1" si="3"/>
        <v>0.20564936663040001</v>
      </c>
      <c r="G31">
        <v>1</v>
      </c>
      <c r="H31">
        <v>0</v>
      </c>
      <c r="I31">
        <v>4</v>
      </c>
      <c r="J31" s="61">
        <f t="shared" ca="1" si="4"/>
        <v>0</v>
      </c>
      <c r="K31" s="61">
        <f t="shared" ca="1" si="5"/>
        <v>0</v>
      </c>
      <c r="L31" s="82">
        <f t="shared" ca="1" si="6"/>
        <v>205</v>
      </c>
      <c r="M31" s="16">
        <f t="shared" ca="1" si="7"/>
        <v>795</v>
      </c>
      <c r="N31" s="3">
        <f t="shared" ca="1" si="8"/>
        <v>5</v>
      </c>
      <c r="O31" s="19">
        <f t="shared" ca="1" si="9"/>
        <v>2.8178718937399587</v>
      </c>
      <c r="P31" s="19">
        <f t="shared" ca="1" si="10"/>
        <v>28.178718937399587</v>
      </c>
      <c r="Q31" s="19">
        <f t="shared" ca="1" si="11"/>
        <v>28.178718937399587</v>
      </c>
      <c r="R31" s="19">
        <f t="shared" ca="1" si="12"/>
        <v>2.8178718937399587</v>
      </c>
      <c r="S31" s="19">
        <f t="shared" ca="1" si="13"/>
        <v>2.8178718937399587</v>
      </c>
      <c r="T31" s="19">
        <f t="shared" ca="1" si="14"/>
        <v>0</v>
      </c>
      <c r="U31" s="19">
        <f t="shared" ca="1" si="15"/>
        <v>1464.3251747165598</v>
      </c>
      <c r="V31" s="19">
        <f t="shared" ca="1" si="16"/>
        <v>0</v>
      </c>
      <c r="W31" s="82">
        <f t="shared" ca="1" si="17"/>
        <v>4261.0824406828706</v>
      </c>
      <c r="X31" s="19">
        <f t="shared" ca="1" si="18"/>
        <v>0</v>
      </c>
      <c r="Y31" s="19">
        <f t="shared" si="19"/>
        <v>0</v>
      </c>
      <c r="Z31" s="82">
        <f t="shared" ca="1" si="20"/>
        <v>4261.0824406828706</v>
      </c>
      <c r="AA31" s="19">
        <f t="shared" ca="1" si="21"/>
        <v>0</v>
      </c>
      <c r="AE31" s="19"/>
    </row>
    <row r="32" spans="1:31" ht="12.75" customHeight="1" x14ac:dyDescent="0.2">
      <c r="A32">
        <v>0</v>
      </c>
      <c r="B32">
        <v>0</v>
      </c>
      <c r="C32">
        <f t="shared" ca="1" si="0"/>
        <v>2</v>
      </c>
      <c r="D32">
        <f t="shared" ca="1" si="1"/>
        <v>1</v>
      </c>
      <c r="E32">
        <f t="shared" ca="1" si="2"/>
        <v>0</v>
      </c>
      <c r="F32" s="61">
        <f t="shared" ca="1" si="3"/>
        <v>0.20564936663040001</v>
      </c>
      <c r="G32">
        <v>1</v>
      </c>
      <c r="H32">
        <v>0</v>
      </c>
      <c r="I32">
        <v>3</v>
      </c>
      <c r="J32" s="61">
        <f t="shared" ca="1" si="4"/>
        <v>0</v>
      </c>
      <c r="K32" s="61">
        <f t="shared" ca="1" si="5"/>
        <v>0</v>
      </c>
      <c r="L32" s="82">
        <f t="shared" ca="1" si="6"/>
        <v>194</v>
      </c>
      <c r="M32" s="16">
        <f t="shared" ca="1" si="7"/>
        <v>806</v>
      </c>
      <c r="N32" s="3">
        <f t="shared" ca="1" si="8"/>
        <v>5</v>
      </c>
      <c r="O32" s="19">
        <f t="shared" ca="1" si="9"/>
        <v>2.8178718937399587</v>
      </c>
      <c r="P32" s="19">
        <f t="shared" ca="1" si="10"/>
        <v>28.178718937399587</v>
      </c>
      <c r="Q32" s="19">
        <f t="shared" ca="1" si="11"/>
        <v>28.178718937399587</v>
      </c>
      <c r="R32" s="19">
        <f t="shared" ca="1" si="12"/>
        <v>2.8178718937399587</v>
      </c>
      <c r="S32" s="19">
        <f t="shared" ca="1" si="13"/>
        <v>2.8178718937399587</v>
      </c>
      <c r="T32" s="19">
        <f t="shared" ca="1" si="14"/>
        <v>0</v>
      </c>
      <c r="U32" s="19">
        <f t="shared" ca="1" si="15"/>
        <v>1453.3251747165598</v>
      </c>
      <c r="V32" s="19">
        <f t="shared" ca="1" si="16"/>
        <v>0</v>
      </c>
      <c r="W32" s="82">
        <f t="shared" ca="1" si="17"/>
        <v>3775.1772106481485</v>
      </c>
      <c r="X32" s="19">
        <f t="shared" ca="1" si="18"/>
        <v>0</v>
      </c>
      <c r="Y32" s="19">
        <f t="shared" si="19"/>
        <v>0</v>
      </c>
      <c r="Z32" s="82">
        <f t="shared" ca="1" si="20"/>
        <v>3775.1772106481485</v>
      </c>
      <c r="AA32" s="19">
        <f t="shared" ca="1" si="21"/>
        <v>0</v>
      </c>
      <c r="AE32" s="19"/>
    </row>
    <row r="33" spans="1:31" ht="12.75" customHeight="1" x14ac:dyDescent="0.2">
      <c r="A33">
        <v>0</v>
      </c>
      <c r="B33">
        <v>0</v>
      </c>
      <c r="C33">
        <f t="shared" ca="1" si="0"/>
        <v>2</v>
      </c>
      <c r="D33">
        <f t="shared" ca="1" si="1"/>
        <v>1</v>
      </c>
      <c r="E33">
        <f t="shared" ca="1" si="2"/>
        <v>0</v>
      </c>
      <c r="F33" s="61">
        <f t="shared" ca="1" si="3"/>
        <v>0.20564936663040001</v>
      </c>
      <c r="G33">
        <v>1</v>
      </c>
      <c r="H33">
        <v>0</v>
      </c>
      <c r="I33">
        <v>2</v>
      </c>
      <c r="J33" s="61">
        <f t="shared" ca="1" si="4"/>
        <v>0</v>
      </c>
      <c r="K33" s="61">
        <f t="shared" ca="1" si="5"/>
        <v>0</v>
      </c>
      <c r="L33" s="82">
        <f t="shared" ca="1" si="6"/>
        <v>183</v>
      </c>
      <c r="M33" s="16">
        <f t="shared" ca="1" si="7"/>
        <v>817</v>
      </c>
      <c r="N33" s="3">
        <f t="shared" ca="1" si="8"/>
        <v>5</v>
      </c>
      <c r="O33" s="19">
        <f t="shared" ca="1" si="9"/>
        <v>2.8178718937399587</v>
      </c>
      <c r="P33" s="19">
        <f t="shared" ca="1" si="10"/>
        <v>28.178718937399587</v>
      </c>
      <c r="Q33" s="19">
        <f t="shared" ca="1" si="11"/>
        <v>28.178718937399587</v>
      </c>
      <c r="R33" s="19">
        <f t="shared" ca="1" si="12"/>
        <v>2.8178718937399587</v>
      </c>
      <c r="S33" s="19">
        <f t="shared" ca="1" si="13"/>
        <v>2.8178718937399587</v>
      </c>
      <c r="T33" s="19">
        <f t="shared" ca="1" si="14"/>
        <v>0</v>
      </c>
      <c r="U33" s="19">
        <f t="shared" ca="1" si="15"/>
        <v>1442.3251747165598</v>
      </c>
      <c r="V33" s="19">
        <f t="shared" ca="1" si="16"/>
        <v>0</v>
      </c>
      <c r="W33" s="82">
        <f t="shared" ca="1" si="17"/>
        <v>3289.2719806134264</v>
      </c>
      <c r="X33" s="19">
        <f t="shared" ca="1" si="18"/>
        <v>0</v>
      </c>
      <c r="Y33" s="19">
        <f t="shared" si="19"/>
        <v>0</v>
      </c>
      <c r="Z33" s="82">
        <f t="shared" ca="1" si="20"/>
        <v>3289.2719806134264</v>
      </c>
      <c r="AA33" s="19">
        <f t="shared" ca="1" si="21"/>
        <v>0</v>
      </c>
      <c r="AE33" s="19"/>
    </row>
    <row r="34" spans="1:31" ht="12.75" customHeight="1" x14ac:dyDescent="0.2">
      <c r="A34">
        <v>0</v>
      </c>
      <c r="B34">
        <v>0</v>
      </c>
      <c r="C34">
        <f t="shared" ca="1" si="0"/>
        <v>2</v>
      </c>
      <c r="D34">
        <f t="shared" ca="1" si="1"/>
        <v>1</v>
      </c>
      <c r="E34">
        <f t="shared" ca="1" si="2"/>
        <v>0</v>
      </c>
      <c r="F34" s="61">
        <f t="shared" ca="1" si="3"/>
        <v>0.20564936663040001</v>
      </c>
      <c r="G34">
        <v>1</v>
      </c>
      <c r="H34">
        <v>0</v>
      </c>
      <c r="I34">
        <v>1</v>
      </c>
      <c r="J34" s="61">
        <f t="shared" ca="1" si="4"/>
        <v>0.90249999999999997</v>
      </c>
      <c r="K34" s="61">
        <f t="shared" ca="1" si="5"/>
        <v>0.18559855338393599</v>
      </c>
      <c r="L34" s="82">
        <f t="shared" ca="1" si="6"/>
        <v>172</v>
      </c>
      <c r="M34" s="16">
        <f t="shared" ca="1" si="7"/>
        <v>828</v>
      </c>
      <c r="N34" s="3">
        <f t="shared" ca="1" si="8"/>
        <v>5</v>
      </c>
      <c r="O34" s="19">
        <f t="shared" ca="1" si="9"/>
        <v>2.8178718937399587</v>
      </c>
      <c r="P34" s="19">
        <f t="shared" ca="1" si="10"/>
        <v>28.178718937399587</v>
      </c>
      <c r="Q34" s="19">
        <f t="shared" ca="1" si="11"/>
        <v>28.178718937399587</v>
      </c>
      <c r="R34" s="19">
        <f t="shared" ca="1" si="12"/>
        <v>2.8178718937399587</v>
      </c>
      <c r="S34" s="19">
        <f t="shared" ca="1" si="13"/>
        <v>2.8178718937399587</v>
      </c>
      <c r="T34" s="19">
        <f t="shared" ca="1" si="14"/>
        <v>0.52299294709938859</v>
      </c>
      <c r="U34" s="19">
        <f t="shared" ca="1" si="15"/>
        <v>1431.3251747165598</v>
      </c>
      <c r="V34" s="19">
        <f t="shared" ca="1" si="16"/>
        <v>265.65188184940291</v>
      </c>
      <c r="W34" s="82">
        <f t="shared" ca="1" si="17"/>
        <v>2803.3667505787039</v>
      </c>
      <c r="X34" s="19">
        <f t="shared" ca="1" si="18"/>
        <v>520.30081351203273</v>
      </c>
      <c r="Y34" s="19">
        <f t="shared" si="19"/>
        <v>0</v>
      </c>
      <c r="Z34" s="82">
        <f t="shared" ca="1" si="20"/>
        <v>2803.3667505787039</v>
      </c>
      <c r="AA34" s="19">
        <f t="shared" ca="1" si="21"/>
        <v>520.30081351203273</v>
      </c>
      <c r="AE34" s="19"/>
    </row>
    <row r="35" spans="1:31" ht="12.75" customHeight="1" x14ac:dyDescent="0.2">
      <c r="A35">
        <v>0</v>
      </c>
      <c r="B35">
        <v>0</v>
      </c>
      <c r="C35">
        <f t="shared" ca="1" si="0"/>
        <v>2</v>
      </c>
      <c r="D35">
        <f t="shared" ca="1" si="1"/>
        <v>1</v>
      </c>
      <c r="E35">
        <f t="shared" ca="1" si="2"/>
        <v>0</v>
      </c>
      <c r="F35" s="61">
        <f t="shared" ca="1" si="3"/>
        <v>0.20564936663040001</v>
      </c>
      <c r="G35">
        <v>1</v>
      </c>
      <c r="H35">
        <v>0</v>
      </c>
      <c r="I35">
        <v>0</v>
      </c>
      <c r="J35" s="61">
        <f t="shared" ca="1" si="4"/>
        <v>4.7500000000000042E-2</v>
      </c>
      <c r="K35" s="61">
        <f t="shared" ca="1" si="5"/>
        <v>9.7683449149440094E-3</v>
      </c>
      <c r="L35" s="82">
        <f t="shared" ca="1" si="6"/>
        <v>161</v>
      </c>
      <c r="M35" s="16">
        <f t="shared" ca="1" si="7"/>
        <v>839</v>
      </c>
      <c r="N35" s="3">
        <f t="shared" ca="1" si="8"/>
        <v>5</v>
      </c>
      <c r="O35" s="19">
        <f t="shared" ca="1" si="9"/>
        <v>2.8178718937399587</v>
      </c>
      <c r="P35" s="19">
        <f t="shared" ca="1" si="10"/>
        <v>28.178718937399587</v>
      </c>
      <c r="Q35" s="19">
        <f t="shared" ca="1" si="11"/>
        <v>28.178718937399587</v>
      </c>
      <c r="R35" s="19">
        <f t="shared" ca="1" si="12"/>
        <v>2.8178718937399587</v>
      </c>
      <c r="S35" s="19">
        <f t="shared" ca="1" si="13"/>
        <v>2.8178718937399587</v>
      </c>
      <c r="T35" s="19">
        <f t="shared" ca="1" si="14"/>
        <v>2.7525944584178372E-2</v>
      </c>
      <c r="U35" s="19">
        <f t="shared" ca="1" si="15"/>
        <v>1420.3251747165598</v>
      </c>
      <c r="V35" s="19">
        <f t="shared" ca="1" si="16"/>
        <v>13.874226198009469</v>
      </c>
      <c r="W35" s="82">
        <f t="shared" ca="1" si="17"/>
        <v>2317.4615205439818</v>
      </c>
      <c r="X35" s="19">
        <f t="shared" ca="1" si="18"/>
        <v>22.637763459784217</v>
      </c>
      <c r="Y35" s="19">
        <f t="shared" si="19"/>
        <v>0</v>
      </c>
      <c r="Z35" s="82">
        <f t="shared" ca="1" si="20"/>
        <v>2317.4615205439818</v>
      </c>
      <c r="AA35" s="19">
        <f t="shared" ca="1" si="21"/>
        <v>22.637763459784217</v>
      </c>
      <c r="AE35" s="19"/>
    </row>
    <row r="36" spans="1:31" ht="12.75" customHeight="1" x14ac:dyDescent="0.2">
      <c r="A36">
        <v>0</v>
      </c>
      <c r="B36">
        <v>0</v>
      </c>
      <c r="C36">
        <f t="shared" ca="1" si="0"/>
        <v>2</v>
      </c>
      <c r="D36">
        <f t="shared" ca="1" si="1"/>
        <v>1</v>
      </c>
      <c r="E36">
        <f t="shared" ca="1" si="2"/>
        <v>0</v>
      </c>
      <c r="F36" s="61">
        <f t="shared" ca="1" si="3"/>
        <v>0.20564936663040001</v>
      </c>
      <c r="G36">
        <v>0</v>
      </c>
      <c r="H36">
        <v>1</v>
      </c>
      <c r="I36">
        <v>7</v>
      </c>
      <c r="J36" s="61">
        <f t="shared" ca="1" si="4"/>
        <v>0</v>
      </c>
      <c r="K36" s="61">
        <f t="shared" ca="1" si="5"/>
        <v>0</v>
      </c>
      <c r="L36" s="82">
        <f t="shared" ca="1" si="6"/>
        <v>238</v>
      </c>
      <c r="M36" s="16">
        <f t="shared" ca="1" si="7"/>
        <v>762</v>
      </c>
      <c r="N36" s="3">
        <f t="shared" ca="1" si="8"/>
        <v>5</v>
      </c>
      <c r="O36" s="19">
        <f t="shared" ca="1" si="9"/>
        <v>2.8178718937399587</v>
      </c>
      <c r="P36" s="19">
        <f t="shared" ca="1" si="10"/>
        <v>25.815886347750073</v>
      </c>
      <c r="Q36" s="19">
        <f t="shared" ca="1" si="11"/>
        <v>23.453053758100552</v>
      </c>
      <c r="R36" s="19">
        <f t="shared" ca="1" si="12"/>
        <v>2.4634470052925312</v>
      </c>
      <c r="S36" s="19">
        <f t="shared" ca="1" si="13"/>
        <v>2.8178718937399587</v>
      </c>
      <c r="T36" s="19">
        <f t="shared" ca="1" si="14"/>
        <v>0</v>
      </c>
      <c r="U36" s="19">
        <f t="shared" ca="1" si="15"/>
        <v>1497.3251747165598</v>
      </c>
      <c r="V36" s="19">
        <f t="shared" ca="1" si="16"/>
        <v>0</v>
      </c>
      <c r="W36" s="82">
        <f t="shared" ca="1" si="17"/>
        <v>3401.3366102430559</v>
      </c>
      <c r="X36" s="19">
        <f t="shared" ca="1" si="18"/>
        <v>0</v>
      </c>
      <c r="Y36" s="19">
        <f t="shared" si="19"/>
        <v>0</v>
      </c>
      <c r="Z36" s="82">
        <f t="shared" ca="1" si="20"/>
        <v>3401.3366102430559</v>
      </c>
      <c r="AA36" s="19">
        <f t="shared" ca="1" si="21"/>
        <v>0</v>
      </c>
      <c r="AE36" s="19"/>
    </row>
    <row r="37" spans="1:31" ht="12.75" customHeight="1" x14ac:dyDescent="0.2">
      <c r="A37">
        <v>0</v>
      </c>
      <c r="B37">
        <v>0</v>
      </c>
      <c r="C37">
        <f t="shared" ca="1" si="0"/>
        <v>2</v>
      </c>
      <c r="D37">
        <f t="shared" ca="1" si="1"/>
        <v>1</v>
      </c>
      <c r="E37">
        <f t="shared" ca="1" si="2"/>
        <v>0</v>
      </c>
      <c r="F37" s="61">
        <f t="shared" ca="1" si="3"/>
        <v>0.20564936663040001</v>
      </c>
      <c r="G37">
        <v>0</v>
      </c>
      <c r="H37">
        <v>1</v>
      </c>
      <c r="I37">
        <v>6</v>
      </c>
      <c r="J37" s="61">
        <f t="shared" ca="1" si="4"/>
        <v>0</v>
      </c>
      <c r="K37" s="61">
        <f t="shared" ca="1" si="5"/>
        <v>0</v>
      </c>
      <c r="L37" s="82">
        <f t="shared" ca="1" si="6"/>
        <v>227</v>
      </c>
      <c r="M37" s="16">
        <f t="shared" ca="1" si="7"/>
        <v>773</v>
      </c>
      <c r="N37" s="3">
        <f t="shared" ca="1" si="8"/>
        <v>5</v>
      </c>
      <c r="O37" s="19">
        <f t="shared" ca="1" si="9"/>
        <v>2.8178718937399587</v>
      </c>
      <c r="P37" s="19">
        <f t="shared" ca="1" si="10"/>
        <v>28.178718937399587</v>
      </c>
      <c r="Q37" s="19">
        <f t="shared" ca="1" si="11"/>
        <v>26.288452865679979</v>
      </c>
      <c r="R37" s="19">
        <f t="shared" ca="1" si="12"/>
        <v>2.7233585901539783</v>
      </c>
      <c r="S37" s="19">
        <f t="shared" ca="1" si="13"/>
        <v>2.8178718937399587</v>
      </c>
      <c r="T37" s="19">
        <f t="shared" ca="1" si="14"/>
        <v>0</v>
      </c>
      <c r="U37" s="19">
        <f t="shared" ca="1" si="15"/>
        <v>1486.3251747165598</v>
      </c>
      <c r="V37" s="19">
        <f t="shared" ca="1" si="16"/>
        <v>0</v>
      </c>
      <c r="W37" s="82">
        <f t="shared" ca="1" si="17"/>
        <v>2915.4313802083334</v>
      </c>
      <c r="X37" s="19">
        <f t="shared" ca="1" si="18"/>
        <v>0</v>
      </c>
      <c r="Y37" s="19">
        <f t="shared" si="19"/>
        <v>0</v>
      </c>
      <c r="Z37" s="82">
        <f t="shared" ca="1" si="20"/>
        <v>2915.4313802083334</v>
      </c>
      <c r="AA37" s="19">
        <f t="shared" ca="1" si="21"/>
        <v>0</v>
      </c>
      <c r="AE37" s="19"/>
    </row>
    <row r="38" spans="1:31" ht="12.75" customHeight="1" x14ac:dyDescent="0.2">
      <c r="A38">
        <v>0</v>
      </c>
      <c r="B38">
        <v>0</v>
      </c>
      <c r="C38">
        <f t="shared" ca="1" si="0"/>
        <v>2</v>
      </c>
      <c r="D38">
        <f t="shared" ca="1" si="1"/>
        <v>1</v>
      </c>
      <c r="E38">
        <f t="shared" ca="1" si="2"/>
        <v>0</v>
      </c>
      <c r="F38" s="61">
        <f t="shared" ca="1" si="3"/>
        <v>0.20564936663040001</v>
      </c>
      <c r="G38">
        <v>0</v>
      </c>
      <c r="H38">
        <v>1</v>
      </c>
      <c r="I38">
        <v>5</v>
      </c>
      <c r="J38" s="61">
        <f t="shared" ca="1" si="4"/>
        <v>0</v>
      </c>
      <c r="K38" s="61">
        <f t="shared" ca="1" si="5"/>
        <v>0</v>
      </c>
      <c r="L38" s="82">
        <f t="shared" ca="1" si="6"/>
        <v>216</v>
      </c>
      <c r="M38" s="16">
        <f t="shared" ca="1" si="7"/>
        <v>784</v>
      </c>
      <c r="N38" s="3">
        <f t="shared" ca="1" si="8"/>
        <v>5</v>
      </c>
      <c r="O38" s="19">
        <f t="shared" ca="1" si="9"/>
        <v>2.8178718937399587</v>
      </c>
      <c r="P38" s="19">
        <f t="shared" ca="1" si="10"/>
        <v>28.178718937399587</v>
      </c>
      <c r="Q38" s="19">
        <f t="shared" ca="1" si="11"/>
        <v>28.178718937399587</v>
      </c>
      <c r="R38" s="19">
        <f t="shared" ca="1" si="12"/>
        <v>2.8178718937399587</v>
      </c>
      <c r="S38" s="19">
        <f t="shared" ca="1" si="13"/>
        <v>2.8178718937399587</v>
      </c>
      <c r="T38" s="19">
        <f t="shared" ca="1" si="14"/>
        <v>0</v>
      </c>
      <c r="U38" s="19">
        <f t="shared" ca="1" si="15"/>
        <v>1475.3251747165598</v>
      </c>
      <c r="V38" s="19">
        <f t="shared" ca="1" si="16"/>
        <v>0</v>
      </c>
      <c r="W38" s="82">
        <f t="shared" ca="1" si="17"/>
        <v>2429.5261501736113</v>
      </c>
      <c r="X38" s="19">
        <f t="shared" ca="1" si="18"/>
        <v>0</v>
      </c>
      <c r="Y38" s="19">
        <f t="shared" si="19"/>
        <v>0</v>
      </c>
      <c r="Z38" s="82">
        <f t="shared" ca="1" si="20"/>
        <v>2429.5261501736113</v>
      </c>
      <c r="AA38" s="19">
        <f t="shared" ca="1" si="21"/>
        <v>0</v>
      </c>
      <c r="AE38" s="19"/>
    </row>
    <row r="39" spans="1:31" ht="12.75" customHeight="1" x14ac:dyDescent="0.2">
      <c r="A39">
        <v>0</v>
      </c>
      <c r="B39">
        <v>0</v>
      </c>
      <c r="C39">
        <f t="shared" ca="1" si="0"/>
        <v>2</v>
      </c>
      <c r="D39">
        <f t="shared" ca="1" si="1"/>
        <v>1</v>
      </c>
      <c r="E39">
        <f t="shared" ca="1" si="2"/>
        <v>0</v>
      </c>
      <c r="F39" s="61">
        <f t="shared" ca="1" si="3"/>
        <v>0.20564936663040001</v>
      </c>
      <c r="G39">
        <v>0</v>
      </c>
      <c r="H39">
        <v>1</v>
      </c>
      <c r="I39">
        <v>4</v>
      </c>
      <c r="J39" s="61">
        <f t="shared" ca="1" si="4"/>
        <v>0</v>
      </c>
      <c r="K39" s="61">
        <f t="shared" ca="1" si="5"/>
        <v>0</v>
      </c>
      <c r="L39" s="82">
        <f t="shared" ca="1" si="6"/>
        <v>205</v>
      </c>
      <c r="M39" s="16">
        <f t="shared" ca="1" si="7"/>
        <v>795</v>
      </c>
      <c r="N39" s="3">
        <f t="shared" ca="1" si="8"/>
        <v>5</v>
      </c>
      <c r="O39" s="19">
        <f t="shared" ca="1" si="9"/>
        <v>2.8178718937399587</v>
      </c>
      <c r="P39" s="19">
        <f t="shared" ca="1" si="10"/>
        <v>28.178718937399587</v>
      </c>
      <c r="Q39" s="19">
        <f t="shared" ca="1" si="11"/>
        <v>28.178718937399587</v>
      </c>
      <c r="R39" s="19">
        <f t="shared" ca="1" si="12"/>
        <v>2.8178718937399587</v>
      </c>
      <c r="S39" s="19">
        <f t="shared" ca="1" si="13"/>
        <v>2.8178718937399587</v>
      </c>
      <c r="T39" s="19">
        <f t="shared" ca="1" si="14"/>
        <v>0</v>
      </c>
      <c r="U39" s="19">
        <f t="shared" ca="1" si="15"/>
        <v>1464.3251747165598</v>
      </c>
      <c r="V39" s="19">
        <f t="shared" ca="1" si="16"/>
        <v>0</v>
      </c>
      <c r="W39" s="82">
        <f t="shared" ca="1" si="17"/>
        <v>1943.620920138889</v>
      </c>
      <c r="X39" s="19">
        <f t="shared" ca="1" si="18"/>
        <v>0</v>
      </c>
      <c r="Y39" s="19">
        <f t="shared" si="19"/>
        <v>0</v>
      </c>
      <c r="Z39" s="82">
        <f t="shared" ca="1" si="20"/>
        <v>1943.620920138889</v>
      </c>
      <c r="AA39" s="19">
        <f t="shared" ca="1" si="21"/>
        <v>0</v>
      </c>
      <c r="AE39" s="19"/>
    </row>
    <row r="40" spans="1:31" ht="12.75" customHeight="1" x14ac:dyDescent="0.2">
      <c r="A40">
        <v>0</v>
      </c>
      <c r="B40">
        <v>0</v>
      </c>
      <c r="C40">
        <f t="shared" ca="1" si="0"/>
        <v>2</v>
      </c>
      <c r="D40">
        <f t="shared" ca="1" si="1"/>
        <v>1</v>
      </c>
      <c r="E40">
        <f t="shared" ca="1" si="2"/>
        <v>0</v>
      </c>
      <c r="F40" s="61">
        <f t="shared" ca="1" si="3"/>
        <v>0.20564936663040001</v>
      </c>
      <c r="G40">
        <v>0</v>
      </c>
      <c r="H40">
        <v>1</v>
      </c>
      <c r="I40">
        <v>3</v>
      </c>
      <c r="J40" s="61">
        <f t="shared" ca="1" si="4"/>
        <v>0</v>
      </c>
      <c r="K40" s="61">
        <f t="shared" ca="1" si="5"/>
        <v>0</v>
      </c>
      <c r="L40" s="82">
        <f t="shared" ca="1" si="6"/>
        <v>194</v>
      </c>
      <c r="M40" s="16">
        <f t="shared" ca="1" si="7"/>
        <v>806</v>
      </c>
      <c r="N40" s="3">
        <f t="shared" ca="1" si="8"/>
        <v>5</v>
      </c>
      <c r="O40" s="19">
        <f t="shared" ca="1" si="9"/>
        <v>2.8178718937399587</v>
      </c>
      <c r="P40" s="19">
        <f t="shared" ca="1" si="10"/>
        <v>28.178718937399587</v>
      </c>
      <c r="Q40" s="19">
        <f t="shared" ca="1" si="11"/>
        <v>28.178718937399587</v>
      </c>
      <c r="R40" s="19">
        <f t="shared" ca="1" si="12"/>
        <v>2.8178718937399587</v>
      </c>
      <c r="S40" s="19">
        <f t="shared" ca="1" si="13"/>
        <v>2.8178718937399587</v>
      </c>
      <c r="T40" s="19">
        <f t="shared" ca="1" si="14"/>
        <v>0</v>
      </c>
      <c r="U40" s="19">
        <f t="shared" ca="1" si="15"/>
        <v>1453.3251747165598</v>
      </c>
      <c r="V40" s="19">
        <f t="shared" ca="1" si="16"/>
        <v>0</v>
      </c>
      <c r="W40" s="82">
        <f t="shared" ca="1" si="17"/>
        <v>1457.7156901041667</v>
      </c>
      <c r="X40" s="19">
        <f t="shared" ca="1" si="18"/>
        <v>0</v>
      </c>
      <c r="Y40" s="19">
        <f t="shared" si="19"/>
        <v>0</v>
      </c>
      <c r="Z40" s="82">
        <f t="shared" ca="1" si="20"/>
        <v>1457.7156901041667</v>
      </c>
      <c r="AA40" s="19">
        <f t="shared" ca="1" si="21"/>
        <v>0</v>
      </c>
      <c r="AE40" s="19"/>
    </row>
    <row r="41" spans="1:31" ht="12.75" customHeight="1" x14ac:dyDescent="0.2">
      <c r="A41">
        <v>0</v>
      </c>
      <c r="B41">
        <v>0</v>
      </c>
      <c r="C41">
        <f t="shared" ca="1" si="0"/>
        <v>2</v>
      </c>
      <c r="D41">
        <f t="shared" ca="1" si="1"/>
        <v>1</v>
      </c>
      <c r="E41">
        <f t="shared" ca="1" si="2"/>
        <v>0</v>
      </c>
      <c r="F41" s="61">
        <f t="shared" ca="1" si="3"/>
        <v>0.20564936663040001</v>
      </c>
      <c r="G41">
        <v>0</v>
      </c>
      <c r="H41">
        <v>1</v>
      </c>
      <c r="I41">
        <v>2</v>
      </c>
      <c r="J41" s="61">
        <f t="shared" ca="1" si="4"/>
        <v>0</v>
      </c>
      <c r="K41" s="61">
        <f t="shared" ca="1" si="5"/>
        <v>0</v>
      </c>
      <c r="L41" s="82">
        <f t="shared" ca="1" si="6"/>
        <v>183</v>
      </c>
      <c r="M41" s="16">
        <f t="shared" ca="1" si="7"/>
        <v>817</v>
      </c>
      <c r="N41" s="3">
        <f t="shared" ca="1" si="8"/>
        <v>5</v>
      </c>
      <c r="O41" s="19">
        <f t="shared" ca="1" si="9"/>
        <v>2.8178718937399587</v>
      </c>
      <c r="P41" s="19">
        <f t="shared" ca="1" si="10"/>
        <v>28.178718937399587</v>
      </c>
      <c r="Q41" s="19">
        <f t="shared" ca="1" si="11"/>
        <v>28.178718937399587</v>
      </c>
      <c r="R41" s="19">
        <f t="shared" ca="1" si="12"/>
        <v>2.8178718937399587</v>
      </c>
      <c r="S41" s="19">
        <f t="shared" ca="1" si="13"/>
        <v>2.8178718937399587</v>
      </c>
      <c r="T41" s="19">
        <f t="shared" ca="1" si="14"/>
        <v>0</v>
      </c>
      <c r="U41" s="19">
        <f t="shared" ca="1" si="15"/>
        <v>1442.3251747165598</v>
      </c>
      <c r="V41" s="19">
        <f t="shared" ca="1" si="16"/>
        <v>0</v>
      </c>
      <c r="W41" s="82">
        <f t="shared" ca="1" si="17"/>
        <v>971.8104600694445</v>
      </c>
      <c r="X41" s="19">
        <f t="shared" ca="1" si="18"/>
        <v>0</v>
      </c>
      <c r="Y41" s="19">
        <f t="shared" si="19"/>
        <v>0</v>
      </c>
      <c r="Z41" s="82">
        <f t="shared" ca="1" si="20"/>
        <v>971.8104600694445</v>
      </c>
      <c r="AA41" s="19">
        <f t="shared" ca="1" si="21"/>
        <v>0</v>
      </c>
      <c r="AE41" s="19"/>
    </row>
    <row r="42" spans="1:31" ht="12.75" customHeight="1" x14ac:dyDescent="0.2">
      <c r="A42">
        <v>0</v>
      </c>
      <c r="B42">
        <v>0</v>
      </c>
      <c r="C42">
        <f t="shared" ca="1" si="0"/>
        <v>2</v>
      </c>
      <c r="D42">
        <f t="shared" ca="1" si="1"/>
        <v>1</v>
      </c>
      <c r="E42">
        <f t="shared" ca="1" si="2"/>
        <v>0</v>
      </c>
      <c r="F42" s="61">
        <f t="shared" ca="1" si="3"/>
        <v>0.20564936663040001</v>
      </c>
      <c r="G42">
        <v>0</v>
      </c>
      <c r="H42">
        <v>1</v>
      </c>
      <c r="I42">
        <v>1</v>
      </c>
      <c r="J42" s="61">
        <f t="shared" ca="1" si="4"/>
        <v>0</v>
      </c>
      <c r="K42" s="61">
        <f t="shared" ca="1" si="5"/>
        <v>0</v>
      </c>
      <c r="L42" s="82">
        <f t="shared" ca="1" si="6"/>
        <v>172</v>
      </c>
      <c r="M42" s="16">
        <f t="shared" ca="1" si="7"/>
        <v>828</v>
      </c>
      <c r="N42" s="3">
        <f t="shared" ca="1" si="8"/>
        <v>5</v>
      </c>
      <c r="O42" s="19">
        <f t="shared" ca="1" si="9"/>
        <v>2.8178718937399587</v>
      </c>
      <c r="P42" s="19">
        <f t="shared" ca="1" si="10"/>
        <v>28.178718937399587</v>
      </c>
      <c r="Q42" s="19">
        <f t="shared" ca="1" si="11"/>
        <v>28.178718937399587</v>
      </c>
      <c r="R42" s="19">
        <f t="shared" ca="1" si="12"/>
        <v>2.8178718937399587</v>
      </c>
      <c r="S42" s="19">
        <f t="shared" ca="1" si="13"/>
        <v>2.8178718937399587</v>
      </c>
      <c r="T42" s="19">
        <f t="shared" ca="1" si="14"/>
        <v>0</v>
      </c>
      <c r="U42" s="19">
        <f t="shared" ca="1" si="15"/>
        <v>1431.3251747165598</v>
      </c>
      <c r="V42" s="19">
        <f t="shared" ca="1" si="16"/>
        <v>0</v>
      </c>
      <c r="W42" s="82">
        <f t="shared" ca="1" si="17"/>
        <v>485.90523003472225</v>
      </c>
      <c r="X42" s="19">
        <f t="shared" ca="1" si="18"/>
        <v>0</v>
      </c>
      <c r="Y42" s="19">
        <f t="shared" si="19"/>
        <v>0</v>
      </c>
      <c r="Z42" s="82">
        <f t="shared" ca="1" si="20"/>
        <v>485.90523003472225</v>
      </c>
      <c r="AA42" s="19">
        <f t="shared" ca="1" si="21"/>
        <v>0</v>
      </c>
      <c r="AE42" s="19"/>
    </row>
    <row r="43" spans="1:31" ht="12.75" customHeight="1" x14ac:dyDescent="0.2">
      <c r="A43">
        <v>0</v>
      </c>
      <c r="B43">
        <v>0</v>
      </c>
      <c r="C43">
        <f t="shared" ca="1" si="0"/>
        <v>2</v>
      </c>
      <c r="D43">
        <f t="shared" ca="1" si="1"/>
        <v>1</v>
      </c>
      <c r="E43">
        <f t="shared" ca="1" si="2"/>
        <v>0</v>
      </c>
      <c r="F43" s="61">
        <f t="shared" ca="1" si="3"/>
        <v>0.20564936663040001</v>
      </c>
      <c r="G43">
        <v>0</v>
      </c>
      <c r="H43">
        <v>1</v>
      </c>
      <c r="I43">
        <v>0</v>
      </c>
      <c r="J43" s="61">
        <f t="shared" ca="1" si="4"/>
        <v>0</v>
      </c>
      <c r="K43" s="61">
        <f t="shared" ca="1" si="5"/>
        <v>0</v>
      </c>
      <c r="L43" s="82">
        <f t="shared" ca="1" si="6"/>
        <v>161</v>
      </c>
      <c r="M43" s="16">
        <f t="shared" ca="1" si="7"/>
        <v>839</v>
      </c>
      <c r="N43" s="3">
        <f t="shared" ca="1" si="8"/>
        <v>5</v>
      </c>
      <c r="O43" s="19">
        <f t="shared" ca="1" si="9"/>
        <v>2.8178718937399587</v>
      </c>
      <c r="P43" s="19">
        <f t="shared" ca="1" si="10"/>
        <v>28.178718937399587</v>
      </c>
      <c r="Q43" s="19">
        <f t="shared" ca="1" si="11"/>
        <v>28.178718937399587</v>
      </c>
      <c r="R43" s="19">
        <f t="shared" ca="1" si="12"/>
        <v>2.8178718937399587</v>
      </c>
      <c r="S43" s="19">
        <f t="shared" ca="1" si="13"/>
        <v>2.8178718937399587</v>
      </c>
      <c r="T43" s="19">
        <f t="shared" ca="1" si="14"/>
        <v>0</v>
      </c>
      <c r="U43" s="19">
        <f t="shared" ca="1" si="15"/>
        <v>1420.3251747165598</v>
      </c>
      <c r="V43" s="19">
        <f t="shared" ca="1" si="16"/>
        <v>0</v>
      </c>
      <c r="W43" s="82">
        <f t="shared" ca="1" si="17"/>
        <v>0</v>
      </c>
      <c r="X43" s="19">
        <f t="shared" ca="1" si="18"/>
        <v>0</v>
      </c>
      <c r="Y43" s="19">
        <f t="shared" si="19"/>
        <v>0</v>
      </c>
      <c r="Z43" s="82">
        <f t="shared" ca="1" si="20"/>
        <v>0</v>
      </c>
      <c r="AA43" s="19">
        <f t="shared" ca="1" si="21"/>
        <v>0</v>
      </c>
      <c r="AE43" s="19"/>
    </row>
    <row r="44" spans="1:31" ht="12.75" customHeight="1" x14ac:dyDescent="0.2">
      <c r="A44">
        <v>0</v>
      </c>
      <c r="B44">
        <v>0</v>
      </c>
      <c r="C44">
        <f t="shared" ca="1" si="0"/>
        <v>2</v>
      </c>
      <c r="D44">
        <f t="shared" ca="1" si="1"/>
        <v>1</v>
      </c>
      <c r="E44">
        <f t="shared" ca="1" si="2"/>
        <v>0</v>
      </c>
      <c r="F44" s="61">
        <f t="shared" ca="1" si="3"/>
        <v>0.20564936663040001</v>
      </c>
      <c r="G44">
        <v>0</v>
      </c>
      <c r="H44">
        <v>0</v>
      </c>
      <c r="I44">
        <v>7</v>
      </c>
      <c r="J44" s="61">
        <f t="shared" ca="1" si="4"/>
        <v>0</v>
      </c>
      <c r="K44" s="61">
        <f t="shared" ca="1" si="5"/>
        <v>0</v>
      </c>
      <c r="L44" s="82">
        <f t="shared" ca="1" si="6"/>
        <v>77</v>
      </c>
      <c r="M44" s="16">
        <f t="shared" ca="1" si="7"/>
        <v>923</v>
      </c>
      <c r="N44" s="3">
        <f t="shared" ca="1" si="8"/>
        <v>5</v>
      </c>
      <c r="O44" s="19">
        <f t="shared" ca="1" si="9"/>
        <v>2.8178718937399587</v>
      </c>
      <c r="P44" s="19">
        <f t="shared" ca="1" si="10"/>
        <v>28.178718937399587</v>
      </c>
      <c r="Q44" s="19">
        <f t="shared" ca="1" si="11"/>
        <v>28.178718937399587</v>
      </c>
      <c r="R44" s="19">
        <f t="shared" ca="1" si="12"/>
        <v>2.8178718937399587</v>
      </c>
      <c r="S44" s="19">
        <f t="shared" ca="1" si="13"/>
        <v>2.8178718937399587</v>
      </c>
      <c r="T44" s="19">
        <f t="shared" ca="1" si="14"/>
        <v>0</v>
      </c>
      <c r="U44" s="19">
        <f t="shared" ca="1" si="15"/>
        <v>1336.3251747165598</v>
      </c>
      <c r="V44" s="19">
        <f t="shared" ca="1" si="16"/>
        <v>0</v>
      </c>
      <c r="W44" s="82">
        <f t="shared" ca="1" si="17"/>
        <v>3401.3366102430559</v>
      </c>
      <c r="X44" s="19">
        <f t="shared" ca="1" si="18"/>
        <v>0</v>
      </c>
      <c r="Y44" s="19">
        <f t="shared" si="19"/>
        <v>0</v>
      </c>
      <c r="Z44" s="82">
        <f t="shared" ca="1" si="20"/>
        <v>3401.3366102430559</v>
      </c>
      <c r="AA44" s="19">
        <f t="shared" ca="1" si="21"/>
        <v>0</v>
      </c>
      <c r="AE44" s="19"/>
    </row>
    <row r="45" spans="1:31" ht="12.75" customHeight="1" x14ac:dyDescent="0.2">
      <c r="A45">
        <v>0</v>
      </c>
      <c r="B45">
        <v>0</v>
      </c>
      <c r="C45">
        <f t="shared" ca="1" si="0"/>
        <v>2</v>
      </c>
      <c r="D45">
        <f t="shared" ca="1" si="1"/>
        <v>1</v>
      </c>
      <c r="E45">
        <f t="shared" ca="1" si="2"/>
        <v>0</v>
      </c>
      <c r="F45" s="61">
        <f t="shared" ca="1" si="3"/>
        <v>0.20564936663040001</v>
      </c>
      <c r="G45">
        <v>0</v>
      </c>
      <c r="H45">
        <v>0</v>
      </c>
      <c r="I45">
        <v>6</v>
      </c>
      <c r="J45" s="61">
        <f t="shared" ca="1" si="4"/>
        <v>0</v>
      </c>
      <c r="K45" s="61">
        <f t="shared" ca="1" si="5"/>
        <v>0</v>
      </c>
      <c r="L45" s="82">
        <f t="shared" ca="1" si="6"/>
        <v>66</v>
      </c>
      <c r="M45" s="16">
        <f t="shared" ca="1" si="7"/>
        <v>934</v>
      </c>
      <c r="N45" s="3">
        <f t="shared" ca="1" si="8"/>
        <v>5</v>
      </c>
      <c r="O45" s="19">
        <f t="shared" ca="1" si="9"/>
        <v>2.8178718937399587</v>
      </c>
      <c r="P45" s="19">
        <f t="shared" ca="1" si="10"/>
        <v>28.178718937399587</v>
      </c>
      <c r="Q45" s="19">
        <f t="shared" ca="1" si="11"/>
        <v>28.178718937399587</v>
      </c>
      <c r="R45" s="19">
        <f t="shared" ca="1" si="12"/>
        <v>2.8178718937399587</v>
      </c>
      <c r="S45" s="19">
        <f t="shared" ca="1" si="13"/>
        <v>2.8178718937399587</v>
      </c>
      <c r="T45" s="19">
        <f t="shared" ca="1" si="14"/>
        <v>0</v>
      </c>
      <c r="U45" s="19">
        <f t="shared" ca="1" si="15"/>
        <v>1325.3251747165598</v>
      </c>
      <c r="V45" s="19">
        <f t="shared" ca="1" si="16"/>
        <v>0</v>
      </c>
      <c r="W45" s="82">
        <f t="shared" ca="1" si="17"/>
        <v>2915.4313802083334</v>
      </c>
      <c r="X45" s="19">
        <f t="shared" ca="1" si="18"/>
        <v>0</v>
      </c>
      <c r="Y45" s="19">
        <f t="shared" si="19"/>
        <v>0</v>
      </c>
      <c r="Z45" s="82">
        <f t="shared" ca="1" si="20"/>
        <v>2915.4313802083334</v>
      </c>
      <c r="AA45" s="19">
        <f t="shared" ca="1" si="21"/>
        <v>0</v>
      </c>
      <c r="AE45" s="19"/>
    </row>
    <row r="46" spans="1:31" ht="12.75" customHeight="1" x14ac:dyDescent="0.2">
      <c r="A46">
        <v>0</v>
      </c>
      <c r="B46">
        <v>0</v>
      </c>
      <c r="C46">
        <f t="shared" ca="1" si="0"/>
        <v>2</v>
      </c>
      <c r="D46">
        <f t="shared" ca="1" si="1"/>
        <v>1</v>
      </c>
      <c r="E46">
        <f t="shared" ca="1" si="2"/>
        <v>0</v>
      </c>
      <c r="F46" s="61">
        <f t="shared" ca="1" si="3"/>
        <v>0.20564936663040001</v>
      </c>
      <c r="G46">
        <v>0</v>
      </c>
      <c r="H46">
        <v>0</v>
      </c>
      <c r="I46">
        <v>5</v>
      </c>
      <c r="J46" s="61">
        <f t="shared" ca="1" si="4"/>
        <v>0</v>
      </c>
      <c r="K46" s="61">
        <f t="shared" ca="1" si="5"/>
        <v>0</v>
      </c>
      <c r="L46" s="82">
        <f t="shared" ca="1" si="6"/>
        <v>55</v>
      </c>
      <c r="M46" s="16">
        <f t="shared" ca="1" si="7"/>
        <v>945</v>
      </c>
      <c r="N46" s="3">
        <f t="shared" ca="1" si="8"/>
        <v>5</v>
      </c>
      <c r="O46" s="19">
        <f t="shared" ca="1" si="9"/>
        <v>2.8178718937399587</v>
      </c>
      <c r="P46" s="19">
        <f t="shared" ca="1" si="10"/>
        <v>28.178718937399587</v>
      </c>
      <c r="Q46" s="19">
        <f t="shared" ca="1" si="11"/>
        <v>28.178718937399587</v>
      </c>
      <c r="R46" s="19">
        <f t="shared" ca="1" si="12"/>
        <v>2.8178718937399587</v>
      </c>
      <c r="S46" s="19">
        <f t="shared" ca="1" si="13"/>
        <v>2.8178718937399587</v>
      </c>
      <c r="T46" s="19">
        <f t="shared" ca="1" si="14"/>
        <v>0</v>
      </c>
      <c r="U46" s="19">
        <f t="shared" ca="1" si="15"/>
        <v>1314.3251747165598</v>
      </c>
      <c r="V46" s="19">
        <f t="shared" ca="1" si="16"/>
        <v>0</v>
      </c>
      <c r="W46" s="82">
        <f t="shared" ca="1" si="17"/>
        <v>2429.5261501736113</v>
      </c>
      <c r="X46" s="19">
        <f t="shared" ca="1" si="18"/>
        <v>0</v>
      </c>
      <c r="Y46" s="19">
        <f t="shared" si="19"/>
        <v>0</v>
      </c>
      <c r="Z46" s="82">
        <f t="shared" ca="1" si="20"/>
        <v>2429.5261501736113</v>
      </c>
      <c r="AA46" s="19">
        <f t="shared" ca="1" si="21"/>
        <v>0</v>
      </c>
      <c r="AE46" s="19"/>
    </row>
    <row r="47" spans="1:31" ht="12.75" customHeight="1" x14ac:dyDescent="0.2">
      <c r="A47">
        <v>0</v>
      </c>
      <c r="B47">
        <v>0</v>
      </c>
      <c r="C47">
        <f t="shared" ca="1" si="0"/>
        <v>2</v>
      </c>
      <c r="D47">
        <f t="shared" ca="1" si="1"/>
        <v>1</v>
      </c>
      <c r="E47">
        <f t="shared" ca="1" si="2"/>
        <v>0</v>
      </c>
      <c r="F47" s="61">
        <f t="shared" ca="1" si="3"/>
        <v>0.20564936663040001</v>
      </c>
      <c r="G47">
        <v>0</v>
      </c>
      <c r="H47">
        <v>0</v>
      </c>
      <c r="I47">
        <v>4</v>
      </c>
      <c r="J47" s="61">
        <f t="shared" ca="1" si="4"/>
        <v>0</v>
      </c>
      <c r="K47" s="61">
        <f t="shared" ca="1" si="5"/>
        <v>0</v>
      </c>
      <c r="L47" s="82">
        <f t="shared" ca="1" si="6"/>
        <v>44</v>
      </c>
      <c r="M47" s="16">
        <f t="shared" ca="1" si="7"/>
        <v>956</v>
      </c>
      <c r="N47" s="3">
        <f t="shared" ca="1" si="8"/>
        <v>6</v>
      </c>
      <c r="O47" s="19">
        <f t="shared" ca="1" si="9"/>
        <v>3.3239268932937667</v>
      </c>
      <c r="P47" s="19">
        <f t="shared" ca="1" si="10"/>
        <v>33.239268932937669</v>
      </c>
      <c r="Q47" s="19">
        <f t="shared" ca="1" si="11"/>
        <v>28.178718937399587</v>
      </c>
      <c r="R47" s="19">
        <f t="shared" ca="1" si="12"/>
        <v>3.0708993935168629</v>
      </c>
      <c r="S47" s="19">
        <f t="shared" ca="1" si="13"/>
        <v>3.3239268932937667</v>
      </c>
      <c r="T47" s="19">
        <f t="shared" ca="1" si="14"/>
        <v>0</v>
      </c>
      <c r="U47" s="19">
        <f t="shared" ca="1" si="15"/>
        <v>1495.4024523027438</v>
      </c>
      <c r="V47" s="19">
        <f t="shared" ca="1" si="16"/>
        <v>0</v>
      </c>
      <c r="W47" s="82">
        <f t="shared" ca="1" si="17"/>
        <v>1943.620920138889</v>
      </c>
      <c r="X47" s="19">
        <f t="shared" ca="1" si="18"/>
        <v>0</v>
      </c>
      <c r="Y47" s="19">
        <f t="shared" si="19"/>
        <v>0</v>
      </c>
      <c r="Z47" s="82">
        <f t="shared" ca="1" si="20"/>
        <v>1943.620920138889</v>
      </c>
      <c r="AA47" s="19">
        <f t="shared" ca="1" si="21"/>
        <v>0</v>
      </c>
      <c r="AE47" s="19"/>
    </row>
    <row r="48" spans="1:31" ht="12.75" customHeight="1" x14ac:dyDescent="0.2">
      <c r="A48">
        <v>0</v>
      </c>
      <c r="B48">
        <v>0</v>
      </c>
      <c r="C48">
        <f t="shared" ca="1" si="0"/>
        <v>2</v>
      </c>
      <c r="D48">
        <f t="shared" ca="1" si="1"/>
        <v>1</v>
      </c>
      <c r="E48">
        <f t="shared" ca="1" si="2"/>
        <v>0</v>
      </c>
      <c r="F48" s="61">
        <f t="shared" ca="1" si="3"/>
        <v>0.20564936663040001</v>
      </c>
      <c r="G48">
        <v>0</v>
      </c>
      <c r="H48">
        <v>0</v>
      </c>
      <c r="I48">
        <v>3</v>
      </c>
      <c r="J48" s="61">
        <f t="shared" ca="1" si="4"/>
        <v>0</v>
      </c>
      <c r="K48" s="61">
        <f t="shared" ca="1" si="5"/>
        <v>0</v>
      </c>
      <c r="L48" s="82">
        <f t="shared" ca="1" si="6"/>
        <v>33</v>
      </c>
      <c r="M48" s="16">
        <f t="shared" ca="1" si="7"/>
        <v>967</v>
      </c>
      <c r="N48" s="3">
        <f t="shared" ca="1" si="8"/>
        <v>6</v>
      </c>
      <c r="O48" s="19">
        <f t="shared" ca="1" si="9"/>
        <v>3.3239268932937667</v>
      </c>
      <c r="P48" s="19">
        <f t="shared" ca="1" si="10"/>
        <v>33.239268932937669</v>
      </c>
      <c r="Q48" s="19">
        <f t="shared" ca="1" si="11"/>
        <v>33.239268932937669</v>
      </c>
      <c r="R48" s="19">
        <f t="shared" ca="1" si="12"/>
        <v>3.3239268932937671</v>
      </c>
      <c r="S48" s="19">
        <f t="shared" ca="1" si="13"/>
        <v>3.3239268932937667</v>
      </c>
      <c r="T48" s="19">
        <f t="shared" ca="1" si="14"/>
        <v>0</v>
      </c>
      <c r="U48" s="19">
        <f t="shared" ca="1" si="15"/>
        <v>1484.4024523027438</v>
      </c>
      <c r="V48" s="19">
        <f t="shared" ca="1" si="16"/>
        <v>0</v>
      </c>
      <c r="W48" s="82">
        <f t="shared" ca="1" si="17"/>
        <v>1457.7156901041667</v>
      </c>
      <c r="X48" s="19">
        <f t="shared" ca="1" si="18"/>
        <v>0</v>
      </c>
      <c r="Y48" s="19">
        <f t="shared" si="19"/>
        <v>0</v>
      </c>
      <c r="Z48" s="82">
        <f t="shared" ca="1" si="20"/>
        <v>1457.7156901041667</v>
      </c>
      <c r="AA48" s="19">
        <f t="shared" ca="1" si="21"/>
        <v>0</v>
      </c>
      <c r="AE48" s="19"/>
    </row>
    <row r="49" spans="1:31" ht="12.75" customHeight="1" x14ac:dyDescent="0.2">
      <c r="A49">
        <v>0</v>
      </c>
      <c r="B49">
        <v>0</v>
      </c>
      <c r="C49">
        <f t="shared" ca="1" si="0"/>
        <v>2</v>
      </c>
      <c r="D49">
        <f t="shared" ca="1" si="1"/>
        <v>1</v>
      </c>
      <c r="E49">
        <f t="shared" ca="1" si="2"/>
        <v>0</v>
      </c>
      <c r="F49" s="61">
        <f t="shared" ca="1" si="3"/>
        <v>0.20564936663040001</v>
      </c>
      <c r="G49">
        <v>0</v>
      </c>
      <c r="H49">
        <v>0</v>
      </c>
      <c r="I49">
        <v>2</v>
      </c>
      <c r="J49" s="61">
        <f t="shared" ca="1" si="4"/>
        <v>0</v>
      </c>
      <c r="K49" s="61">
        <f t="shared" ca="1" si="5"/>
        <v>0</v>
      </c>
      <c r="L49" s="82">
        <f t="shared" ca="1" si="6"/>
        <v>22</v>
      </c>
      <c r="M49" s="16">
        <f t="shared" ca="1" si="7"/>
        <v>978</v>
      </c>
      <c r="N49" s="3">
        <f t="shared" ca="1" si="8"/>
        <v>6</v>
      </c>
      <c r="O49" s="19">
        <f t="shared" ca="1" si="9"/>
        <v>3.3239268932937667</v>
      </c>
      <c r="P49" s="19">
        <f t="shared" ca="1" si="10"/>
        <v>33.239268932937669</v>
      </c>
      <c r="Q49" s="19">
        <f t="shared" ca="1" si="11"/>
        <v>33.239268932937669</v>
      </c>
      <c r="R49" s="19">
        <f t="shared" ca="1" si="12"/>
        <v>3.3239268932937671</v>
      </c>
      <c r="S49" s="19">
        <f t="shared" ca="1" si="13"/>
        <v>3.3239268932937667</v>
      </c>
      <c r="T49" s="19">
        <f t="shared" ca="1" si="14"/>
        <v>0</v>
      </c>
      <c r="U49" s="19">
        <f t="shared" ca="1" si="15"/>
        <v>1473.4024523027438</v>
      </c>
      <c r="V49" s="19">
        <f t="shared" ca="1" si="16"/>
        <v>0</v>
      </c>
      <c r="W49" s="82">
        <f t="shared" ca="1" si="17"/>
        <v>971.8104600694445</v>
      </c>
      <c r="X49" s="19">
        <f t="shared" ca="1" si="18"/>
        <v>0</v>
      </c>
      <c r="Y49" s="19">
        <f t="shared" si="19"/>
        <v>0</v>
      </c>
      <c r="Z49" s="82">
        <f t="shared" ca="1" si="20"/>
        <v>971.8104600694445</v>
      </c>
      <c r="AA49" s="19">
        <f t="shared" ca="1" si="21"/>
        <v>0</v>
      </c>
      <c r="AE49" s="19"/>
    </row>
    <row r="50" spans="1:31" ht="12.75" customHeight="1" x14ac:dyDescent="0.2">
      <c r="A50">
        <v>0</v>
      </c>
      <c r="B50">
        <v>0</v>
      </c>
      <c r="C50">
        <f t="shared" ca="1" si="0"/>
        <v>2</v>
      </c>
      <c r="D50">
        <f t="shared" ca="1" si="1"/>
        <v>1</v>
      </c>
      <c r="E50">
        <f t="shared" ca="1" si="2"/>
        <v>0</v>
      </c>
      <c r="F50" s="61">
        <f t="shared" ca="1" si="3"/>
        <v>0.20564936663040001</v>
      </c>
      <c r="G50">
        <v>0</v>
      </c>
      <c r="H50">
        <v>0</v>
      </c>
      <c r="I50">
        <v>1</v>
      </c>
      <c r="J50" s="61">
        <f t="shared" ca="1" si="4"/>
        <v>4.7500000000000001E-2</v>
      </c>
      <c r="K50" s="61">
        <f t="shared" ca="1" si="5"/>
        <v>9.7683449149440008E-3</v>
      </c>
      <c r="L50" s="82">
        <f t="shared" ca="1" si="6"/>
        <v>11</v>
      </c>
      <c r="M50" s="16">
        <f t="shared" ca="1" si="7"/>
        <v>989</v>
      </c>
      <c r="N50" s="3">
        <f t="shared" ca="1" si="8"/>
        <v>6</v>
      </c>
      <c r="O50" s="19">
        <f t="shared" ca="1" si="9"/>
        <v>3.3239268932937667</v>
      </c>
      <c r="P50" s="19">
        <f t="shared" ca="1" si="10"/>
        <v>33.239268932937669</v>
      </c>
      <c r="Q50" s="19">
        <f t="shared" ca="1" si="11"/>
        <v>33.239268932937669</v>
      </c>
      <c r="R50" s="19">
        <f t="shared" ca="1" si="12"/>
        <v>3.3239268932937671</v>
      </c>
      <c r="S50" s="19">
        <f t="shared" ca="1" si="13"/>
        <v>3.3239268932937667</v>
      </c>
      <c r="T50" s="19">
        <f t="shared" ca="1" si="14"/>
        <v>3.2469264365751774E-2</v>
      </c>
      <c r="U50" s="19">
        <f t="shared" ca="1" si="15"/>
        <v>1462.4024523027438</v>
      </c>
      <c r="V50" s="19">
        <f t="shared" ca="1" si="16"/>
        <v>14.285251558553144</v>
      </c>
      <c r="W50" s="82">
        <f t="shared" ca="1" si="17"/>
        <v>485.90523003472225</v>
      </c>
      <c r="X50" s="19">
        <f t="shared" ca="1" si="18"/>
        <v>4.746489882954374</v>
      </c>
      <c r="Y50" s="19">
        <f t="shared" si="19"/>
        <v>0</v>
      </c>
      <c r="Z50" s="82">
        <f t="shared" ca="1" si="20"/>
        <v>485.90523003472225</v>
      </c>
      <c r="AA50" s="19">
        <f t="shared" ca="1" si="21"/>
        <v>4.746489882954374</v>
      </c>
      <c r="AE50" s="19"/>
    </row>
    <row r="51" spans="1:31" ht="12.75" customHeight="1" x14ac:dyDescent="0.2">
      <c r="A51">
        <v>0</v>
      </c>
      <c r="B51">
        <v>0</v>
      </c>
      <c r="C51">
        <f t="shared" ca="1" si="0"/>
        <v>2</v>
      </c>
      <c r="D51">
        <f t="shared" ca="1" si="1"/>
        <v>1</v>
      </c>
      <c r="E51">
        <f t="shared" ca="1" si="2"/>
        <v>0</v>
      </c>
      <c r="F51" s="61">
        <f t="shared" ca="1" si="3"/>
        <v>0.20564936663040001</v>
      </c>
      <c r="G51">
        <v>0</v>
      </c>
      <c r="H51">
        <v>0</v>
      </c>
      <c r="I51">
        <v>0</v>
      </c>
      <c r="J51" s="61">
        <f t="shared" ca="1" si="4"/>
        <v>2.5000000000000022E-3</v>
      </c>
      <c r="K51" s="61">
        <f t="shared" ca="1" si="5"/>
        <v>5.1412341657600048E-4</v>
      </c>
      <c r="L51" s="82">
        <f t="shared" ca="1" si="6"/>
        <v>0</v>
      </c>
      <c r="M51" s="16">
        <f t="shared" ca="1" si="7"/>
        <v>1000</v>
      </c>
      <c r="N51" s="3">
        <f t="shared" ca="1" si="8"/>
        <v>6</v>
      </c>
      <c r="O51" s="19">
        <f t="shared" ca="1" si="9"/>
        <v>3.3239268932937667</v>
      </c>
      <c r="P51" s="19">
        <f t="shared" ca="1" si="10"/>
        <v>33.239268932937669</v>
      </c>
      <c r="Q51" s="19">
        <f t="shared" ca="1" si="11"/>
        <v>33.239268932937669</v>
      </c>
      <c r="R51" s="19">
        <f t="shared" ca="1" si="12"/>
        <v>3.3239268932937671</v>
      </c>
      <c r="S51" s="19">
        <f t="shared" ca="1" si="13"/>
        <v>3.3239268932937667</v>
      </c>
      <c r="T51" s="19">
        <f t="shared" ca="1" si="14"/>
        <v>1.7089086508290422E-3</v>
      </c>
      <c r="U51" s="19">
        <f t="shared" ca="1" si="15"/>
        <v>1451.4024523027438</v>
      </c>
      <c r="V51" s="19">
        <f t="shared" ca="1" si="16"/>
        <v>0.74619998760467221</v>
      </c>
      <c r="W51" s="82">
        <f t="shared" ca="1" si="17"/>
        <v>0</v>
      </c>
      <c r="X51" s="19">
        <f t="shared" ca="1" si="18"/>
        <v>0</v>
      </c>
      <c r="Y51" s="19">
        <f t="shared" si="19"/>
        <v>0</v>
      </c>
      <c r="Z51" s="82">
        <f t="shared" ca="1" si="20"/>
        <v>0</v>
      </c>
      <c r="AA51" s="19">
        <f t="shared" ca="1" si="21"/>
        <v>0</v>
      </c>
      <c r="AE51" s="19"/>
    </row>
    <row r="52" spans="1:31" ht="12.75" customHeight="1" x14ac:dyDescent="0.2">
      <c r="A52">
        <v>0</v>
      </c>
      <c r="B52">
        <v>1</v>
      </c>
      <c r="C52">
        <f t="shared" ca="1" si="0"/>
        <v>3</v>
      </c>
      <c r="D52">
        <f t="shared" ca="1" si="1"/>
        <v>2</v>
      </c>
      <c r="E52">
        <f t="shared" ca="1" si="2"/>
        <v>0</v>
      </c>
      <c r="F52" s="61">
        <f t="shared" ca="1" si="3"/>
        <v>6.142773288959999E-2</v>
      </c>
      <c r="G52">
        <v>1</v>
      </c>
      <c r="H52">
        <v>1</v>
      </c>
      <c r="I52">
        <v>7</v>
      </c>
      <c r="J52" s="61">
        <f t="shared" ca="1" si="4"/>
        <v>0</v>
      </c>
      <c r="K52" s="61">
        <f t="shared" ca="1" si="5"/>
        <v>0</v>
      </c>
      <c r="L52" s="82">
        <f t="shared" ca="1" si="6"/>
        <v>399</v>
      </c>
      <c r="M52" s="16">
        <f t="shared" ca="1" si="7"/>
        <v>601</v>
      </c>
      <c r="N52" s="3">
        <f t="shared" ca="1" si="8"/>
        <v>4</v>
      </c>
      <c r="O52" s="19">
        <f t="shared" ca="1" si="9"/>
        <v>2.3453053758100548</v>
      </c>
      <c r="P52" s="19">
        <f t="shared" ca="1" si="10"/>
        <v>23.453053758100552</v>
      </c>
      <c r="Q52" s="19">
        <f t="shared" ca="1" si="11"/>
        <v>23.453053758100552</v>
      </c>
      <c r="R52" s="19">
        <f t="shared" ca="1" si="12"/>
        <v>2.3453053758100553</v>
      </c>
      <c r="S52" s="19">
        <f t="shared" ca="1" si="13"/>
        <v>2.3453053758100548</v>
      </c>
      <c r="T52" s="19">
        <f t="shared" ca="1" si="14"/>
        <v>0</v>
      </c>
      <c r="U52" s="19">
        <f t="shared" ca="1" si="15"/>
        <v>1478.9587218163997</v>
      </c>
      <c r="V52" s="19">
        <f t="shared" ca="1" si="16"/>
        <v>0</v>
      </c>
      <c r="W52" s="82">
        <f t="shared" ca="1" si="17"/>
        <v>5718.7981307870377</v>
      </c>
      <c r="X52" s="19">
        <f t="shared" ca="1" si="18"/>
        <v>0</v>
      </c>
      <c r="Y52" s="19">
        <f t="shared" si="19"/>
        <v>0</v>
      </c>
      <c r="Z52" s="82">
        <f t="shared" ca="1" si="20"/>
        <v>5718.7981307870377</v>
      </c>
      <c r="AA52" s="19">
        <f t="shared" ca="1" si="21"/>
        <v>0</v>
      </c>
      <c r="AE52" s="19"/>
    </row>
    <row r="53" spans="1:31" ht="12.75" customHeight="1" x14ac:dyDescent="0.2">
      <c r="A53">
        <v>0</v>
      </c>
      <c r="B53">
        <v>1</v>
      </c>
      <c r="C53">
        <f t="shared" ca="1" si="0"/>
        <v>3</v>
      </c>
      <c r="D53">
        <f t="shared" ca="1" si="1"/>
        <v>2</v>
      </c>
      <c r="E53">
        <f t="shared" ca="1" si="2"/>
        <v>0</v>
      </c>
      <c r="F53" s="61">
        <f t="shared" ca="1" si="3"/>
        <v>6.142773288959999E-2</v>
      </c>
      <c r="G53">
        <v>1</v>
      </c>
      <c r="H53">
        <v>1</v>
      </c>
      <c r="I53">
        <v>6</v>
      </c>
      <c r="J53" s="61">
        <f t="shared" ca="1" si="4"/>
        <v>0</v>
      </c>
      <c r="K53" s="61">
        <f t="shared" ca="1" si="5"/>
        <v>0</v>
      </c>
      <c r="L53" s="82">
        <f t="shared" ca="1" si="6"/>
        <v>388</v>
      </c>
      <c r="M53" s="16">
        <f t="shared" ca="1" si="7"/>
        <v>612</v>
      </c>
      <c r="N53" s="3">
        <f t="shared" ca="1" si="8"/>
        <v>4</v>
      </c>
      <c r="O53" s="19">
        <f t="shared" ca="1" si="9"/>
        <v>2.3453053758100548</v>
      </c>
      <c r="P53" s="19">
        <f t="shared" ca="1" si="10"/>
        <v>23.453053758100552</v>
      </c>
      <c r="Q53" s="19">
        <f t="shared" ca="1" si="11"/>
        <v>23.453053758100552</v>
      </c>
      <c r="R53" s="19">
        <f t="shared" ca="1" si="12"/>
        <v>2.3453053758100553</v>
      </c>
      <c r="S53" s="19">
        <f t="shared" ca="1" si="13"/>
        <v>2.3453053758100548</v>
      </c>
      <c r="T53" s="19">
        <f t="shared" ca="1" si="14"/>
        <v>0</v>
      </c>
      <c r="U53" s="19">
        <f t="shared" ca="1" si="15"/>
        <v>1467.9587218163997</v>
      </c>
      <c r="V53" s="19">
        <f t="shared" ca="1" si="16"/>
        <v>0</v>
      </c>
      <c r="W53" s="82">
        <f t="shared" ca="1" si="17"/>
        <v>5232.8929007523147</v>
      </c>
      <c r="X53" s="19">
        <f t="shared" ca="1" si="18"/>
        <v>0</v>
      </c>
      <c r="Y53" s="19">
        <f t="shared" si="19"/>
        <v>0</v>
      </c>
      <c r="Z53" s="82">
        <f t="shared" ca="1" si="20"/>
        <v>5232.8929007523147</v>
      </c>
      <c r="AA53" s="19">
        <f t="shared" ca="1" si="21"/>
        <v>0</v>
      </c>
      <c r="AE53" s="19"/>
    </row>
    <row r="54" spans="1:31" ht="12.75" customHeight="1" x14ac:dyDescent="0.2">
      <c r="A54">
        <v>0</v>
      </c>
      <c r="B54">
        <v>1</v>
      </c>
      <c r="C54">
        <f t="shared" ca="1" si="0"/>
        <v>3</v>
      </c>
      <c r="D54">
        <f t="shared" ca="1" si="1"/>
        <v>2</v>
      </c>
      <c r="E54">
        <f t="shared" ca="1" si="2"/>
        <v>0</v>
      </c>
      <c r="F54" s="61">
        <f t="shared" ca="1" si="3"/>
        <v>6.142773288959999E-2</v>
      </c>
      <c r="G54">
        <v>1</v>
      </c>
      <c r="H54">
        <v>1</v>
      </c>
      <c r="I54">
        <v>5</v>
      </c>
      <c r="J54" s="61">
        <f t="shared" ca="1" si="4"/>
        <v>0</v>
      </c>
      <c r="K54" s="61">
        <f t="shared" ca="1" si="5"/>
        <v>0</v>
      </c>
      <c r="L54" s="82">
        <f t="shared" ca="1" si="6"/>
        <v>377</v>
      </c>
      <c r="M54" s="16">
        <f t="shared" ca="1" si="7"/>
        <v>623</v>
      </c>
      <c r="N54" s="3">
        <f t="shared" ca="1" si="8"/>
        <v>4</v>
      </c>
      <c r="O54" s="19">
        <f t="shared" ca="1" si="9"/>
        <v>2.3453053758100548</v>
      </c>
      <c r="P54" s="19">
        <f t="shared" ca="1" si="10"/>
        <v>23.453053758100552</v>
      </c>
      <c r="Q54" s="19">
        <f t="shared" ca="1" si="11"/>
        <v>23.453053758100552</v>
      </c>
      <c r="R54" s="19">
        <f t="shared" ca="1" si="12"/>
        <v>2.3453053758100553</v>
      </c>
      <c r="S54" s="19">
        <f t="shared" ca="1" si="13"/>
        <v>2.3453053758100548</v>
      </c>
      <c r="T54" s="19">
        <f t="shared" ca="1" si="14"/>
        <v>0</v>
      </c>
      <c r="U54" s="19">
        <f t="shared" ca="1" si="15"/>
        <v>1456.9587218163997</v>
      </c>
      <c r="V54" s="19">
        <f t="shared" ca="1" si="16"/>
        <v>0</v>
      </c>
      <c r="W54" s="82">
        <f t="shared" ca="1" si="17"/>
        <v>4746.9876707175936</v>
      </c>
      <c r="X54" s="19">
        <f t="shared" ca="1" si="18"/>
        <v>0</v>
      </c>
      <c r="Y54" s="19">
        <f t="shared" si="19"/>
        <v>0</v>
      </c>
      <c r="Z54" s="82">
        <f t="shared" ca="1" si="20"/>
        <v>4746.9876707175936</v>
      </c>
      <c r="AA54" s="19">
        <f t="shared" ca="1" si="21"/>
        <v>0</v>
      </c>
      <c r="AE54" s="19"/>
    </row>
    <row r="55" spans="1:31" ht="12.75" customHeight="1" x14ac:dyDescent="0.2">
      <c r="A55">
        <v>0</v>
      </c>
      <c r="B55">
        <v>1</v>
      </c>
      <c r="C55">
        <f t="shared" ca="1" si="0"/>
        <v>3</v>
      </c>
      <c r="D55">
        <f t="shared" ca="1" si="1"/>
        <v>2</v>
      </c>
      <c r="E55">
        <f t="shared" ca="1" si="2"/>
        <v>0</v>
      </c>
      <c r="F55" s="61">
        <f t="shared" ca="1" si="3"/>
        <v>6.142773288959999E-2</v>
      </c>
      <c r="G55">
        <v>1</v>
      </c>
      <c r="H55">
        <v>1</v>
      </c>
      <c r="I55">
        <v>4</v>
      </c>
      <c r="J55" s="61">
        <f t="shared" ca="1" si="4"/>
        <v>0</v>
      </c>
      <c r="K55" s="61">
        <f t="shared" ca="1" si="5"/>
        <v>0</v>
      </c>
      <c r="L55" s="82">
        <f t="shared" ca="1" si="6"/>
        <v>366</v>
      </c>
      <c r="M55" s="16">
        <f t="shared" ca="1" si="7"/>
        <v>634</v>
      </c>
      <c r="N55" s="3">
        <f t="shared" ca="1" si="8"/>
        <v>4</v>
      </c>
      <c r="O55" s="19">
        <f t="shared" ca="1" si="9"/>
        <v>2.3453053758100548</v>
      </c>
      <c r="P55" s="19">
        <f t="shared" ca="1" si="10"/>
        <v>23.453053758100552</v>
      </c>
      <c r="Q55" s="19">
        <f t="shared" ca="1" si="11"/>
        <v>23.453053758100552</v>
      </c>
      <c r="R55" s="19">
        <f t="shared" ca="1" si="12"/>
        <v>2.3453053758100553</v>
      </c>
      <c r="S55" s="19">
        <f t="shared" ca="1" si="13"/>
        <v>2.3453053758100548</v>
      </c>
      <c r="T55" s="19">
        <f t="shared" ca="1" si="14"/>
        <v>0</v>
      </c>
      <c r="U55" s="19">
        <f t="shared" ca="1" si="15"/>
        <v>1445.9587218163997</v>
      </c>
      <c r="V55" s="19">
        <f t="shared" ca="1" si="16"/>
        <v>0</v>
      </c>
      <c r="W55" s="82">
        <f t="shared" ca="1" si="17"/>
        <v>4261.0824406828706</v>
      </c>
      <c r="X55" s="19">
        <f t="shared" ca="1" si="18"/>
        <v>0</v>
      </c>
      <c r="Y55" s="19">
        <f t="shared" si="19"/>
        <v>0</v>
      </c>
      <c r="Z55" s="82">
        <f t="shared" ca="1" si="20"/>
        <v>4261.0824406828706</v>
      </c>
      <c r="AA55" s="19">
        <f t="shared" ca="1" si="21"/>
        <v>0</v>
      </c>
      <c r="AE55" s="19"/>
    </row>
    <row r="56" spans="1:31" ht="12.75" customHeight="1" x14ac:dyDescent="0.2">
      <c r="A56">
        <v>0</v>
      </c>
      <c r="B56">
        <v>1</v>
      </c>
      <c r="C56">
        <f t="shared" ca="1" si="0"/>
        <v>3</v>
      </c>
      <c r="D56">
        <f t="shared" ca="1" si="1"/>
        <v>2</v>
      </c>
      <c r="E56">
        <f t="shared" ca="1" si="2"/>
        <v>0</v>
      </c>
      <c r="F56" s="61">
        <f t="shared" ca="1" si="3"/>
        <v>6.142773288959999E-2</v>
      </c>
      <c r="G56">
        <v>1</v>
      </c>
      <c r="H56">
        <v>1</v>
      </c>
      <c r="I56">
        <v>3</v>
      </c>
      <c r="J56" s="61">
        <f t="shared" ca="1" si="4"/>
        <v>0</v>
      </c>
      <c r="K56" s="61">
        <f t="shared" ca="1" si="5"/>
        <v>0</v>
      </c>
      <c r="L56" s="82">
        <f t="shared" ca="1" si="6"/>
        <v>355</v>
      </c>
      <c r="M56" s="16">
        <f t="shared" ca="1" si="7"/>
        <v>645</v>
      </c>
      <c r="N56" s="3">
        <f t="shared" ca="1" si="8"/>
        <v>4</v>
      </c>
      <c r="O56" s="19">
        <f t="shared" ca="1" si="9"/>
        <v>2.3453053758100548</v>
      </c>
      <c r="P56" s="19">
        <f t="shared" ca="1" si="10"/>
        <v>23.453053758100552</v>
      </c>
      <c r="Q56" s="19">
        <f t="shared" ca="1" si="11"/>
        <v>23.453053758100552</v>
      </c>
      <c r="R56" s="19">
        <f t="shared" ca="1" si="12"/>
        <v>2.3453053758100553</v>
      </c>
      <c r="S56" s="19">
        <f t="shared" ca="1" si="13"/>
        <v>2.3453053758100548</v>
      </c>
      <c r="T56" s="19">
        <f t="shared" ca="1" si="14"/>
        <v>0</v>
      </c>
      <c r="U56" s="19">
        <f t="shared" ca="1" si="15"/>
        <v>1434.9587218163997</v>
      </c>
      <c r="V56" s="19">
        <f t="shared" ca="1" si="16"/>
        <v>0</v>
      </c>
      <c r="W56" s="82">
        <f t="shared" ca="1" si="17"/>
        <v>3775.1772106481485</v>
      </c>
      <c r="X56" s="19">
        <f t="shared" ca="1" si="18"/>
        <v>0</v>
      </c>
      <c r="Y56" s="19">
        <f t="shared" si="19"/>
        <v>0</v>
      </c>
      <c r="Z56" s="82">
        <f t="shared" ca="1" si="20"/>
        <v>3775.1772106481485</v>
      </c>
      <c r="AA56" s="19">
        <f t="shared" ca="1" si="21"/>
        <v>0</v>
      </c>
      <c r="AE56" s="19"/>
    </row>
    <row r="57" spans="1:31" ht="12.75" customHeight="1" x14ac:dyDescent="0.2">
      <c r="A57">
        <v>0</v>
      </c>
      <c r="B57">
        <v>1</v>
      </c>
      <c r="C57">
        <f t="shared" ca="1" si="0"/>
        <v>3</v>
      </c>
      <c r="D57">
        <f t="shared" ca="1" si="1"/>
        <v>2</v>
      </c>
      <c r="E57">
        <f t="shared" ca="1" si="2"/>
        <v>0</v>
      </c>
      <c r="F57" s="61">
        <f t="shared" ca="1" si="3"/>
        <v>6.142773288959999E-2</v>
      </c>
      <c r="G57">
        <v>1</v>
      </c>
      <c r="H57">
        <v>1</v>
      </c>
      <c r="I57">
        <v>2</v>
      </c>
      <c r="J57" s="61">
        <f t="shared" ca="1" si="4"/>
        <v>0</v>
      </c>
      <c r="K57" s="61">
        <f t="shared" ca="1" si="5"/>
        <v>0</v>
      </c>
      <c r="L57" s="82">
        <f t="shared" ca="1" si="6"/>
        <v>344</v>
      </c>
      <c r="M57" s="16">
        <f t="shared" ca="1" si="7"/>
        <v>656</v>
      </c>
      <c r="N57" s="3">
        <f t="shared" ca="1" si="8"/>
        <v>4</v>
      </c>
      <c r="O57" s="19">
        <f t="shared" ca="1" si="9"/>
        <v>2.3453053758100548</v>
      </c>
      <c r="P57" s="19">
        <f t="shared" ca="1" si="10"/>
        <v>23.453053758100552</v>
      </c>
      <c r="Q57" s="19">
        <f t="shared" ca="1" si="11"/>
        <v>23.453053758100552</v>
      </c>
      <c r="R57" s="19">
        <f t="shared" ca="1" si="12"/>
        <v>2.3453053758100553</v>
      </c>
      <c r="S57" s="19">
        <f t="shared" ca="1" si="13"/>
        <v>2.3453053758100548</v>
      </c>
      <c r="T57" s="19">
        <f t="shared" ca="1" si="14"/>
        <v>0</v>
      </c>
      <c r="U57" s="19">
        <f t="shared" ca="1" si="15"/>
        <v>1423.9587218163997</v>
      </c>
      <c r="V57" s="19">
        <f t="shared" ca="1" si="16"/>
        <v>0</v>
      </c>
      <c r="W57" s="82">
        <f t="shared" ca="1" si="17"/>
        <v>3289.2719806134264</v>
      </c>
      <c r="X57" s="19">
        <f t="shared" ca="1" si="18"/>
        <v>0</v>
      </c>
      <c r="Y57" s="19">
        <f t="shared" si="19"/>
        <v>0</v>
      </c>
      <c r="Z57" s="82">
        <f t="shared" ca="1" si="20"/>
        <v>3289.2719806134264</v>
      </c>
      <c r="AA57" s="19">
        <f t="shared" ca="1" si="21"/>
        <v>0</v>
      </c>
      <c r="AE57" s="19"/>
    </row>
    <row r="58" spans="1:31" ht="12.75" customHeight="1" x14ac:dyDescent="0.2">
      <c r="A58">
        <v>0</v>
      </c>
      <c r="B58">
        <v>1</v>
      </c>
      <c r="C58">
        <f t="shared" ca="1" si="0"/>
        <v>3</v>
      </c>
      <c r="D58">
        <f t="shared" ca="1" si="1"/>
        <v>2</v>
      </c>
      <c r="E58">
        <f t="shared" ca="1" si="2"/>
        <v>0</v>
      </c>
      <c r="F58" s="61">
        <f t="shared" ca="1" si="3"/>
        <v>6.142773288959999E-2</v>
      </c>
      <c r="G58">
        <v>1</v>
      </c>
      <c r="H58">
        <v>1</v>
      </c>
      <c r="I58">
        <v>1</v>
      </c>
      <c r="J58" s="61">
        <f t="shared" ca="1" si="4"/>
        <v>0</v>
      </c>
      <c r="K58" s="61">
        <f t="shared" ca="1" si="5"/>
        <v>0</v>
      </c>
      <c r="L58" s="82">
        <f t="shared" ca="1" si="6"/>
        <v>333</v>
      </c>
      <c r="M58" s="16">
        <f t="shared" ca="1" si="7"/>
        <v>667</v>
      </c>
      <c r="N58" s="3">
        <f t="shared" ca="1" si="8"/>
        <v>4</v>
      </c>
      <c r="O58" s="19">
        <f t="shared" ca="1" si="9"/>
        <v>2.3453053758100548</v>
      </c>
      <c r="P58" s="19">
        <f t="shared" ca="1" si="10"/>
        <v>23.453053758100552</v>
      </c>
      <c r="Q58" s="19">
        <f t="shared" ca="1" si="11"/>
        <v>23.453053758100552</v>
      </c>
      <c r="R58" s="19">
        <f t="shared" ca="1" si="12"/>
        <v>2.3453053758100553</v>
      </c>
      <c r="S58" s="19">
        <f t="shared" ca="1" si="13"/>
        <v>2.3453053758100548</v>
      </c>
      <c r="T58" s="19">
        <f t="shared" ca="1" si="14"/>
        <v>0</v>
      </c>
      <c r="U58" s="19">
        <f t="shared" ca="1" si="15"/>
        <v>1412.9587218163997</v>
      </c>
      <c r="V58" s="19">
        <f t="shared" ca="1" si="16"/>
        <v>0</v>
      </c>
      <c r="W58" s="82">
        <f t="shared" ca="1" si="17"/>
        <v>2803.3667505787039</v>
      </c>
      <c r="X58" s="19">
        <f t="shared" ca="1" si="18"/>
        <v>0</v>
      </c>
      <c r="Y58" s="19">
        <f t="shared" si="19"/>
        <v>0</v>
      </c>
      <c r="Z58" s="82">
        <f t="shared" ca="1" si="20"/>
        <v>2803.3667505787039</v>
      </c>
      <c r="AA58" s="19">
        <f t="shared" ca="1" si="21"/>
        <v>0</v>
      </c>
      <c r="AE58" s="19"/>
    </row>
    <row r="59" spans="1:31" ht="12.75" customHeight="1" x14ac:dyDescent="0.2">
      <c r="A59">
        <v>0</v>
      </c>
      <c r="B59">
        <v>1</v>
      </c>
      <c r="C59">
        <f t="shared" ca="1" si="0"/>
        <v>3</v>
      </c>
      <c r="D59">
        <f t="shared" ca="1" si="1"/>
        <v>2</v>
      </c>
      <c r="E59">
        <f t="shared" ca="1" si="2"/>
        <v>0</v>
      </c>
      <c r="F59" s="61">
        <f t="shared" ca="1" si="3"/>
        <v>6.142773288959999E-2</v>
      </c>
      <c r="G59">
        <v>1</v>
      </c>
      <c r="H59">
        <v>1</v>
      </c>
      <c r="I59">
        <v>0</v>
      </c>
      <c r="J59" s="61">
        <f t="shared" ca="1" si="4"/>
        <v>0</v>
      </c>
      <c r="K59" s="61">
        <f t="shared" ca="1" si="5"/>
        <v>0</v>
      </c>
      <c r="L59" s="82">
        <f t="shared" ca="1" si="6"/>
        <v>322</v>
      </c>
      <c r="M59" s="16">
        <f t="shared" ca="1" si="7"/>
        <v>678</v>
      </c>
      <c r="N59" s="3">
        <f t="shared" ca="1" si="8"/>
        <v>4</v>
      </c>
      <c r="O59" s="19">
        <f t="shared" ca="1" si="9"/>
        <v>2.3453053758100548</v>
      </c>
      <c r="P59" s="19">
        <f t="shared" ca="1" si="10"/>
        <v>23.453053758100552</v>
      </c>
      <c r="Q59" s="19">
        <f t="shared" ca="1" si="11"/>
        <v>23.453053758100552</v>
      </c>
      <c r="R59" s="19">
        <f t="shared" ca="1" si="12"/>
        <v>2.3453053758100553</v>
      </c>
      <c r="S59" s="19">
        <f t="shared" ca="1" si="13"/>
        <v>2.3453053758100548</v>
      </c>
      <c r="T59" s="19">
        <f t="shared" ca="1" si="14"/>
        <v>0</v>
      </c>
      <c r="U59" s="19">
        <f t="shared" ca="1" si="15"/>
        <v>1401.9587218163997</v>
      </c>
      <c r="V59" s="19">
        <f t="shared" ca="1" si="16"/>
        <v>0</v>
      </c>
      <c r="W59" s="82">
        <f t="shared" ca="1" si="17"/>
        <v>2317.4615205439818</v>
      </c>
      <c r="X59" s="19">
        <f t="shared" ca="1" si="18"/>
        <v>0</v>
      </c>
      <c r="Y59" s="19">
        <f t="shared" si="19"/>
        <v>0</v>
      </c>
      <c r="Z59" s="82">
        <f t="shared" ca="1" si="20"/>
        <v>2317.4615205439818</v>
      </c>
      <c r="AA59" s="19">
        <f t="shared" ca="1" si="21"/>
        <v>0</v>
      </c>
      <c r="AE59" s="19"/>
    </row>
    <row r="60" spans="1:31" ht="12.75" customHeight="1" x14ac:dyDescent="0.2">
      <c r="A60">
        <v>0</v>
      </c>
      <c r="B60">
        <v>1</v>
      </c>
      <c r="C60">
        <f t="shared" ca="1" si="0"/>
        <v>3</v>
      </c>
      <c r="D60">
        <f t="shared" ca="1" si="1"/>
        <v>2</v>
      </c>
      <c r="E60">
        <f t="shared" ca="1" si="2"/>
        <v>0</v>
      </c>
      <c r="F60" s="61">
        <f t="shared" ca="1" si="3"/>
        <v>6.142773288959999E-2</v>
      </c>
      <c r="G60">
        <v>1</v>
      </c>
      <c r="H60">
        <v>0</v>
      </c>
      <c r="I60">
        <v>7</v>
      </c>
      <c r="J60" s="61">
        <f t="shared" ca="1" si="4"/>
        <v>0</v>
      </c>
      <c r="K60" s="61">
        <f t="shared" ca="1" si="5"/>
        <v>0</v>
      </c>
      <c r="L60" s="82">
        <f t="shared" ca="1" si="6"/>
        <v>238</v>
      </c>
      <c r="M60" s="16">
        <f t="shared" ca="1" si="7"/>
        <v>762</v>
      </c>
      <c r="N60" s="3">
        <f t="shared" ca="1" si="8"/>
        <v>5</v>
      </c>
      <c r="O60" s="19">
        <f t="shared" ca="1" si="9"/>
        <v>2.8178718937399587</v>
      </c>
      <c r="P60" s="19">
        <f t="shared" ca="1" si="10"/>
        <v>25.815886347750073</v>
      </c>
      <c r="Q60" s="19">
        <f t="shared" ca="1" si="11"/>
        <v>23.453053758100552</v>
      </c>
      <c r="R60" s="19">
        <f t="shared" ca="1" si="12"/>
        <v>2.4634470052925312</v>
      </c>
      <c r="S60" s="19">
        <f t="shared" ca="1" si="13"/>
        <v>2.8178718937399587</v>
      </c>
      <c r="T60" s="19">
        <f t="shared" ca="1" si="14"/>
        <v>0</v>
      </c>
      <c r="U60" s="19">
        <f t="shared" ca="1" si="15"/>
        <v>1497.3251747165598</v>
      </c>
      <c r="V60" s="19">
        <f t="shared" ca="1" si="16"/>
        <v>0</v>
      </c>
      <c r="W60" s="82">
        <f t="shared" ca="1" si="17"/>
        <v>5718.7981307870377</v>
      </c>
      <c r="X60" s="19">
        <f t="shared" ca="1" si="18"/>
        <v>0</v>
      </c>
      <c r="Y60" s="19">
        <f t="shared" si="19"/>
        <v>0</v>
      </c>
      <c r="Z60" s="82">
        <f t="shared" ca="1" si="20"/>
        <v>5718.7981307870377</v>
      </c>
      <c r="AA60" s="19">
        <f t="shared" ca="1" si="21"/>
        <v>0</v>
      </c>
      <c r="AE60" s="19"/>
    </row>
    <row r="61" spans="1:31" ht="12.75" customHeight="1" x14ac:dyDescent="0.2">
      <c r="A61">
        <v>0</v>
      </c>
      <c r="B61">
        <v>1</v>
      </c>
      <c r="C61">
        <f t="shared" ca="1" si="0"/>
        <v>3</v>
      </c>
      <c r="D61">
        <f t="shared" ca="1" si="1"/>
        <v>2</v>
      </c>
      <c r="E61">
        <f t="shared" ca="1" si="2"/>
        <v>0</v>
      </c>
      <c r="F61" s="61">
        <f t="shared" ca="1" si="3"/>
        <v>6.142773288959999E-2</v>
      </c>
      <c r="G61">
        <v>1</v>
      </c>
      <c r="H61">
        <v>0</v>
      </c>
      <c r="I61">
        <v>6</v>
      </c>
      <c r="J61" s="61">
        <f t="shared" ca="1" si="4"/>
        <v>0</v>
      </c>
      <c r="K61" s="61">
        <f t="shared" ca="1" si="5"/>
        <v>0</v>
      </c>
      <c r="L61" s="82">
        <f t="shared" ca="1" si="6"/>
        <v>227</v>
      </c>
      <c r="M61" s="16">
        <f t="shared" ca="1" si="7"/>
        <v>773</v>
      </c>
      <c r="N61" s="3">
        <f t="shared" ca="1" si="8"/>
        <v>5</v>
      </c>
      <c r="O61" s="19">
        <f t="shared" ca="1" si="9"/>
        <v>2.8178718937399587</v>
      </c>
      <c r="P61" s="19">
        <f t="shared" ca="1" si="10"/>
        <v>28.178718937399587</v>
      </c>
      <c r="Q61" s="19">
        <f t="shared" ca="1" si="11"/>
        <v>26.288452865679979</v>
      </c>
      <c r="R61" s="19">
        <f t="shared" ca="1" si="12"/>
        <v>2.7233585901539783</v>
      </c>
      <c r="S61" s="19">
        <f t="shared" ca="1" si="13"/>
        <v>2.8178718937399587</v>
      </c>
      <c r="T61" s="19">
        <f t="shared" ca="1" si="14"/>
        <v>0</v>
      </c>
      <c r="U61" s="19">
        <f t="shared" ca="1" si="15"/>
        <v>1486.3251747165598</v>
      </c>
      <c r="V61" s="19">
        <f t="shared" ca="1" si="16"/>
        <v>0</v>
      </c>
      <c r="W61" s="82">
        <f t="shared" ca="1" si="17"/>
        <v>5232.8929007523147</v>
      </c>
      <c r="X61" s="19">
        <f t="shared" ca="1" si="18"/>
        <v>0</v>
      </c>
      <c r="Y61" s="19">
        <f t="shared" si="19"/>
        <v>0</v>
      </c>
      <c r="Z61" s="82">
        <f t="shared" ca="1" si="20"/>
        <v>5232.8929007523147</v>
      </c>
      <c r="AA61" s="19">
        <f t="shared" ca="1" si="21"/>
        <v>0</v>
      </c>
      <c r="AE61" s="19"/>
    </row>
    <row r="62" spans="1:31" ht="12.75" customHeight="1" x14ac:dyDescent="0.2">
      <c r="A62">
        <v>0</v>
      </c>
      <c r="B62">
        <v>1</v>
      </c>
      <c r="C62">
        <f t="shared" ca="1" si="0"/>
        <v>3</v>
      </c>
      <c r="D62">
        <f t="shared" ca="1" si="1"/>
        <v>2</v>
      </c>
      <c r="E62">
        <f t="shared" ca="1" si="2"/>
        <v>0</v>
      </c>
      <c r="F62" s="61">
        <f t="shared" ca="1" si="3"/>
        <v>6.142773288959999E-2</v>
      </c>
      <c r="G62">
        <v>1</v>
      </c>
      <c r="H62">
        <v>0</v>
      </c>
      <c r="I62">
        <v>5</v>
      </c>
      <c r="J62" s="61">
        <f t="shared" ca="1" si="4"/>
        <v>0</v>
      </c>
      <c r="K62" s="61">
        <f t="shared" ca="1" si="5"/>
        <v>0</v>
      </c>
      <c r="L62" s="82">
        <f t="shared" ca="1" si="6"/>
        <v>216</v>
      </c>
      <c r="M62" s="16">
        <f t="shared" ca="1" si="7"/>
        <v>784</v>
      </c>
      <c r="N62" s="3">
        <f t="shared" ca="1" si="8"/>
        <v>5</v>
      </c>
      <c r="O62" s="19">
        <f t="shared" ca="1" si="9"/>
        <v>2.8178718937399587</v>
      </c>
      <c r="P62" s="19">
        <f t="shared" ca="1" si="10"/>
        <v>28.178718937399587</v>
      </c>
      <c r="Q62" s="19">
        <f t="shared" ca="1" si="11"/>
        <v>28.178718937399587</v>
      </c>
      <c r="R62" s="19">
        <f t="shared" ca="1" si="12"/>
        <v>2.8178718937399587</v>
      </c>
      <c r="S62" s="19">
        <f t="shared" ca="1" si="13"/>
        <v>2.8178718937399587</v>
      </c>
      <c r="T62" s="19">
        <f t="shared" ca="1" si="14"/>
        <v>0</v>
      </c>
      <c r="U62" s="19">
        <f t="shared" ca="1" si="15"/>
        <v>1475.3251747165598</v>
      </c>
      <c r="V62" s="19">
        <f t="shared" ca="1" si="16"/>
        <v>0</v>
      </c>
      <c r="W62" s="82">
        <f t="shared" ca="1" si="17"/>
        <v>4746.9876707175936</v>
      </c>
      <c r="X62" s="19">
        <f t="shared" ca="1" si="18"/>
        <v>0</v>
      </c>
      <c r="Y62" s="19">
        <f t="shared" si="19"/>
        <v>0</v>
      </c>
      <c r="Z62" s="82">
        <f t="shared" ca="1" si="20"/>
        <v>4746.9876707175936</v>
      </c>
      <c r="AA62" s="19">
        <f t="shared" ca="1" si="21"/>
        <v>0</v>
      </c>
      <c r="AE62" s="19"/>
    </row>
    <row r="63" spans="1:31" ht="12.75" customHeight="1" x14ac:dyDescent="0.2">
      <c r="A63">
        <v>0</v>
      </c>
      <c r="B63">
        <v>1</v>
      </c>
      <c r="C63">
        <f t="shared" ca="1" si="0"/>
        <v>3</v>
      </c>
      <c r="D63">
        <f t="shared" ca="1" si="1"/>
        <v>2</v>
      </c>
      <c r="E63">
        <f t="shared" ca="1" si="2"/>
        <v>0</v>
      </c>
      <c r="F63" s="61">
        <f t="shared" ca="1" si="3"/>
        <v>6.142773288959999E-2</v>
      </c>
      <c r="G63">
        <v>1</v>
      </c>
      <c r="H63">
        <v>0</v>
      </c>
      <c r="I63">
        <v>4</v>
      </c>
      <c r="J63" s="61">
        <f t="shared" ca="1" si="4"/>
        <v>0</v>
      </c>
      <c r="K63" s="61">
        <f t="shared" ca="1" si="5"/>
        <v>0</v>
      </c>
      <c r="L63" s="82">
        <f t="shared" ca="1" si="6"/>
        <v>205</v>
      </c>
      <c r="M63" s="16">
        <f t="shared" ca="1" si="7"/>
        <v>795</v>
      </c>
      <c r="N63" s="3">
        <f t="shared" ca="1" si="8"/>
        <v>5</v>
      </c>
      <c r="O63" s="19">
        <f t="shared" ca="1" si="9"/>
        <v>2.8178718937399587</v>
      </c>
      <c r="P63" s="19">
        <f t="shared" ca="1" si="10"/>
        <v>28.178718937399587</v>
      </c>
      <c r="Q63" s="19">
        <f t="shared" ca="1" si="11"/>
        <v>28.178718937399587</v>
      </c>
      <c r="R63" s="19">
        <f t="shared" ca="1" si="12"/>
        <v>2.8178718937399587</v>
      </c>
      <c r="S63" s="19">
        <f t="shared" ca="1" si="13"/>
        <v>2.8178718937399587</v>
      </c>
      <c r="T63" s="19">
        <f t="shared" ca="1" si="14"/>
        <v>0</v>
      </c>
      <c r="U63" s="19">
        <f t="shared" ca="1" si="15"/>
        <v>1464.3251747165598</v>
      </c>
      <c r="V63" s="19">
        <f t="shared" ca="1" si="16"/>
        <v>0</v>
      </c>
      <c r="W63" s="82">
        <f t="shared" ca="1" si="17"/>
        <v>4261.0824406828706</v>
      </c>
      <c r="X63" s="19">
        <f t="shared" ca="1" si="18"/>
        <v>0</v>
      </c>
      <c r="Y63" s="19">
        <f t="shared" si="19"/>
        <v>0</v>
      </c>
      <c r="Z63" s="82">
        <f t="shared" ca="1" si="20"/>
        <v>4261.0824406828706</v>
      </c>
      <c r="AA63" s="19">
        <f t="shared" ca="1" si="21"/>
        <v>0</v>
      </c>
      <c r="AE63" s="19"/>
    </row>
    <row r="64" spans="1:31" ht="12.75" customHeight="1" x14ac:dyDescent="0.2">
      <c r="A64">
        <v>0</v>
      </c>
      <c r="B64">
        <v>1</v>
      </c>
      <c r="C64">
        <f t="shared" ca="1" si="0"/>
        <v>3</v>
      </c>
      <c r="D64">
        <f t="shared" ca="1" si="1"/>
        <v>2</v>
      </c>
      <c r="E64">
        <f t="shared" ca="1" si="2"/>
        <v>0</v>
      </c>
      <c r="F64" s="61">
        <f t="shared" ca="1" si="3"/>
        <v>6.142773288959999E-2</v>
      </c>
      <c r="G64">
        <v>1</v>
      </c>
      <c r="H64">
        <v>0</v>
      </c>
      <c r="I64">
        <v>3</v>
      </c>
      <c r="J64" s="61">
        <f t="shared" ca="1" si="4"/>
        <v>0</v>
      </c>
      <c r="K64" s="61">
        <f t="shared" ca="1" si="5"/>
        <v>0</v>
      </c>
      <c r="L64" s="82">
        <f t="shared" ca="1" si="6"/>
        <v>194</v>
      </c>
      <c r="M64" s="16">
        <f t="shared" ca="1" si="7"/>
        <v>806</v>
      </c>
      <c r="N64" s="3">
        <f t="shared" ca="1" si="8"/>
        <v>5</v>
      </c>
      <c r="O64" s="19">
        <f t="shared" ca="1" si="9"/>
        <v>2.8178718937399587</v>
      </c>
      <c r="P64" s="19">
        <f t="shared" ca="1" si="10"/>
        <v>28.178718937399587</v>
      </c>
      <c r="Q64" s="19">
        <f t="shared" ca="1" si="11"/>
        <v>28.178718937399587</v>
      </c>
      <c r="R64" s="19">
        <f t="shared" ca="1" si="12"/>
        <v>2.8178718937399587</v>
      </c>
      <c r="S64" s="19">
        <f t="shared" ca="1" si="13"/>
        <v>2.8178718937399587</v>
      </c>
      <c r="T64" s="19">
        <f t="shared" ca="1" si="14"/>
        <v>0</v>
      </c>
      <c r="U64" s="19">
        <f t="shared" ca="1" si="15"/>
        <v>1453.3251747165598</v>
      </c>
      <c r="V64" s="19">
        <f t="shared" ca="1" si="16"/>
        <v>0</v>
      </c>
      <c r="W64" s="82">
        <f t="shared" ca="1" si="17"/>
        <v>3775.1772106481485</v>
      </c>
      <c r="X64" s="19">
        <f t="shared" ca="1" si="18"/>
        <v>0</v>
      </c>
      <c r="Y64" s="19">
        <f t="shared" si="19"/>
        <v>0</v>
      </c>
      <c r="Z64" s="82">
        <f t="shared" ca="1" si="20"/>
        <v>3775.1772106481485</v>
      </c>
      <c r="AA64" s="19">
        <f t="shared" ca="1" si="21"/>
        <v>0</v>
      </c>
      <c r="AE64" s="19"/>
    </row>
    <row r="65" spans="1:31" ht="12.75" customHeight="1" x14ac:dyDescent="0.2">
      <c r="A65">
        <v>0</v>
      </c>
      <c r="B65">
        <v>1</v>
      </c>
      <c r="C65">
        <f t="shared" ca="1" si="0"/>
        <v>3</v>
      </c>
      <c r="D65">
        <f t="shared" ca="1" si="1"/>
        <v>2</v>
      </c>
      <c r="E65">
        <f t="shared" ca="1" si="2"/>
        <v>0</v>
      </c>
      <c r="F65" s="61">
        <f t="shared" ca="1" si="3"/>
        <v>6.142773288959999E-2</v>
      </c>
      <c r="G65">
        <v>1</v>
      </c>
      <c r="H65">
        <v>0</v>
      </c>
      <c r="I65">
        <v>2</v>
      </c>
      <c r="J65" s="61">
        <f t="shared" ca="1" si="4"/>
        <v>0.85737499999999989</v>
      </c>
      <c r="K65" s="61">
        <f t="shared" ca="1" si="5"/>
        <v>5.2666602486220786E-2</v>
      </c>
      <c r="L65" s="82">
        <f t="shared" ca="1" si="6"/>
        <v>183</v>
      </c>
      <c r="M65" s="16">
        <f t="shared" ca="1" si="7"/>
        <v>817</v>
      </c>
      <c r="N65" s="3">
        <f t="shared" ca="1" si="8"/>
        <v>5</v>
      </c>
      <c r="O65" s="19">
        <f t="shared" ca="1" si="9"/>
        <v>2.8178718937399587</v>
      </c>
      <c r="P65" s="19">
        <f t="shared" ca="1" si="10"/>
        <v>28.178718937399587</v>
      </c>
      <c r="Q65" s="19">
        <f t="shared" ca="1" si="11"/>
        <v>28.178718937399587</v>
      </c>
      <c r="R65" s="19">
        <f t="shared" ca="1" si="12"/>
        <v>2.8178718937399587</v>
      </c>
      <c r="S65" s="19">
        <f t="shared" ca="1" si="13"/>
        <v>2.8178718937399587</v>
      </c>
      <c r="T65" s="19">
        <f t="shared" ca="1" si="14"/>
        <v>0.14840773888469658</v>
      </c>
      <c r="U65" s="19">
        <f t="shared" ca="1" si="15"/>
        <v>1442.3251747165598</v>
      </c>
      <c r="V65" s="19">
        <f t="shared" ca="1" si="16"/>
        <v>75.96236663266599</v>
      </c>
      <c r="W65" s="82">
        <f t="shared" ca="1" si="17"/>
        <v>3289.2719806134264</v>
      </c>
      <c r="X65" s="19">
        <f t="shared" ca="1" si="18"/>
        <v>173.23477987203145</v>
      </c>
      <c r="Y65" s="19">
        <f t="shared" si="19"/>
        <v>0</v>
      </c>
      <c r="Z65" s="82">
        <f t="shared" ca="1" si="20"/>
        <v>3289.2719806134264</v>
      </c>
      <c r="AA65" s="19">
        <f t="shared" ca="1" si="21"/>
        <v>173.23477987203145</v>
      </c>
      <c r="AE65" s="19"/>
    </row>
    <row r="66" spans="1:31" ht="12.75" customHeight="1" x14ac:dyDescent="0.2">
      <c r="A66">
        <v>0</v>
      </c>
      <c r="B66">
        <v>1</v>
      </c>
      <c r="C66">
        <f t="shared" ca="1" si="0"/>
        <v>3</v>
      </c>
      <c r="D66">
        <f t="shared" ca="1" si="1"/>
        <v>2</v>
      </c>
      <c r="E66">
        <f t="shared" ca="1" si="2"/>
        <v>0</v>
      </c>
      <c r="F66" s="61">
        <f t="shared" ca="1" si="3"/>
        <v>6.142773288959999E-2</v>
      </c>
      <c r="G66">
        <v>1</v>
      </c>
      <c r="H66">
        <v>0</v>
      </c>
      <c r="I66">
        <v>1</v>
      </c>
      <c r="J66" s="61">
        <f t="shared" ca="1" si="4"/>
        <v>9.025000000000008E-2</v>
      </c>
      <c r="K66" s="61">
        <f t="shared" ca="1" si="5"/>
        <v>5.5438528932864042E-3</v>
      </c>
      <c r="L66" s="82">
        <f t="shared" ca="1" si="6"/>
        <v>172</v>
      </c>
      <c r="M66" s="16">
        <f t="shared" ca="1" si="7"/>
        <v>828</v>
      </c>
      <c r="N66" s="3">
        <f t="shared" ca="1" si="8"/>
        <v>5</v>
      </c>
      <c r="O66" s="19">
        <f t="shared" ca="1" si="9"/>
        <v>2.8178718937399587</v>
      </c>
      <c r="P66" s="19">
        <f t="shared" ca="1" si="10"/>
        <v>28.178718937399587</v>
      </c>
      <c r="Q66" s="19">
        <f t="shared" ca="1" si="11"/>
        <v>28.178718937399587</v>
      </c>
      <c r="R66" s="19">
        <f t="shared" ca="1" si="12"/>
        <v>2.8178718937399587</v>
      </c>
      <c r="S66" s="19">
        <f t="shared" ca="1" si="13"/>
        <v>2.8178718937399587</v>
      </c>
      <c r="T66" s="19">
        <f t="shared" ca="1" si="14"/>
        <v>1.5621867251020709E-2</v>
      </c>
      <c r="U66" s="19">
        <f t="shared" ca="1" si="15"/>
        <v>1431.3251747165598</v>
      </c>
      <c r="V66" s="19">
        <f t="shared" ca="1" si="16"/>
        <v>7.9350562110860681</v>
      </c>
      <c r="W66" s="82">
        <f t="shared" ca="1" si="17"/>
        <v>2803.3667505787039</v>
      </c>
      <c r="X66" s="19">
        <f t="shared" ca="1" si="18"/>
        <v>15.541452871138652</v>
      </c>
      <c r="Y66" s="19">
        <f t="shared" si="19"/>
        <v>0</v>
      </c>
      <c r="Z66" s="82">
        <f t="shared" ca="1" si="20"/>
        <v>2803.3667505787039</v>
      </c>
      <c r="AA66" s="19">
        <f t="shared" ca="1" si="21"/>
        <v>15.541452871138652</v>
      </c>
      <c r="AE66" s="19"/>
    </row>
    <row r="67" spans="1:31" ht="12.75" customHeight="1" x14ac:dyDescent="0.2">
      <c r="A67">
        <v>0</v>
      </c>
      <c r="B67">
        <v>1</v>
      </c>
      <c r="C67">
        <f t="shared" ca="1" si="0"/>
        <v>3</v>
      </c>
      <c r="D67">
        <f t="shared" ca="1" si="1"/>
        <v>2</v>
      </c>
      <c r="E67">
        <f t="shared" ca="1" si="2"/>
        <v>0</v>
      </c>
      <c r="F67" s="61">
        <f t="shared" ca="1" si="3"/>
        <v>6.142773288959999E-2</v>
      </c>
      <c r="G67">
        <v>1</v>
      </c>
      <c r="H67">
        <v>0</v>
      </c>
      <c r="I67">
        <v>0</v>
      </c>
      <c r="J67" s="61">
        <f t="shared" ca="1" si="4"/>
        <v>2.3750000000000038E-3</v>
      </c>
      <c r="K67" s="61">
        <f t="shared" ca="1" si="5"/>
        <v>1.4589086561280022E-4</v>
      </c>
      <c r="L67" s="82">
        <f t="shared" ca="1" si="6"/>
        <v>161</v>
      </c>
      <c r="M67" s="16">
        <f t="shared" ca="1" si="7"/>
        <v>839</v>
      </c>
      <c r="N67" s="3">
        <f t="shared" ca="1" si="8"/>
        <v>5</v>
      </c>
      <c r="O67" s="19">
        <f t="shared" ca="1" si="9"/>
        <v>2.8178718937399587</v>
      </c>
      <c r="P67" s="19">
        <f t="shared" ca="1" si="10"/>
        <v>28.178718937399587</v>
      </c>
      <c r="Q67" s="19">
        <f t="shared" ca="1" si="11"/>
        <v>28.178718937399587</v>
      </c>
      <c r="R67" s="19">
        <f t="shared" ca="1" si="12"/>
        <v>2.8178718937399587</v>
      </c>
      <c r="S67" s="19">
        <f t="shared" ca="1" si="13"/>
        <v>2.8178718937399587</v>
      </c>
      <c r="T67" s="19">
        <f t="shared" ca="1" si="14"/>
        <v>4.1110176976370317E-4</v>
      </c>
      <c r="U67" s="19">
        <f t="shared" ca="1" si="15"/>
        <v>1420.3251747165598</v>
      </c>
      <c r="V67" s="19">
        <f t="shared" ca="1" si="16"/>
        <v>0.2072124691910506</v>
      </c>
      <c r="W67" s="82">
        <f t="shared" ca="1" si="17"/>
        <v>2317.4615205439818</v>
      </c>
      <c r="X67" s="19">
        <f t="shared" ca="1" si="18"/>
        <v>0.33809646725651771</v>
      </c>
      <c r="Y67" s="19">
        <f t="shared" si="19"/>
        <v>0</v>
      </c>
      <c r="Z67" s="82">
        <f t="shared" ca="1" si="20"/>
        <v>2317.4615205439818</v>
      </c>
      <c r="AA67" s="19">
        <f t="shared" ca="1" si="21"/>
        <v>0.33809646725651771</v>
      </c>
      <c r="AE67" s="19"/>
    </row>
    <row r="68" spans="1:31" ht="12.75" customHeight="1" x14ac:dyDescent="0.2">
      <c r="A68">
        <v>0</v>
      </c>
      <c r="B68">
        <v>1</v>
      </c>
      <c r="C68">
        <f t="shared" ca="1" si="0"/>
        <v>3</v>
      </c>
      <c r="D68">
        <f t="shared" ca="1" si="1"/>
        <v>2</v>
      </c>
      <c r="E68">
        <f t="shared" ca="1" si="2"/>
        <v>0</v>
      </c>
      <c r="F68" s="61">
        <f t="shared" ca="1" si="3"/>
        <v>6.142773288959999E-2</v>
      </c>
      <c r="G68">
        <v>0</v>
      </c>
      <c r="H68">
        <v>1</v>
      </c>
      <c r="I68">
        <v>7</v>
      </c>
      <c r="J68" s="61">
        <f t="shared" ca="1" si="4"/>
        <v>0</v>
      </c>
      <c r="K68" s="61">
        <f t="shared" ca="1" si="5"/>
        <v>0</v>
      </c>
      <c r="L68" s="82">
        <f t="shared" ca="1" si="6"/>
        <v>238</v>
      </c>
      <c r="M68" s="16">
        <f t="shared" ca="1" si="7"/>
        <v>762</v>
      </c>
      <c r="N68" s="3">
        <f t="shared" ca="1" si="8"/>
        <v>5</v>
      </c>
      <c r="O68" s="19">
        <f t="shared" ca="1" si="9"/>
        <v>2.8178718937399587</v>
      </c>
      <c r="P68" s="19">
        <f t="shared" ca="1" si="10"/>
        <v>25.815886347750073</v>
      </c>
      <c r="Q68" s="19">
        <f t="shared" ca="1" si="11"/>
        <v>23.453053758100552</v>
      </c>
      <c r="R68" s="19">
        <f t="shared" ca="1" si="12"/>
        <v>2.4634470052925312</v>
      </c>
      <c r="S68" s="19">
        <f t="shared" ca="1" si="13"/>
        <v>2.8178718937399587</v>
      </c>
      <c r="T68" s="19">
        <f t="shared" ca="1" si="14"/>
        <v>0</v>
      </c>
      <c r="U68" s="19">
        <f t="shared" ca="1" si="15"/>
        <v>1497.3251747165598</v>
      </c>
      <c r="V68" s="19">
        <f t="shared" ca="1" si="16"/>
        <v>0</v>
      </c>
      <c r="W68" s="82">
        <f t="shared" ca="1" si="17"/>
        <v>3401.3366102430559</v>
      </c>
      <c r="X68" s="19">
        <f t="shared" ca="1" si="18"/>
        <v>0</v>
      </c>
      <c r="Y68" s="19">
        <f t="shared" si="19"/>
        <v>0</v>
      </c>
      <c r="Z68" s="82">
        <f t="shared" ca="1" si="20"/>
        <v>3401.3366102430559</v>
      </c>
      <c r="AA68" s="19">
        <f t="shared" ca="1" si="21"/>
        <v>0</v>
      </c>
      <c r="AE68" s="19"/>
    </row>
    <row r="69" spans="1:31" ht="12.75" customHeight="1" x14ac:dyDescent="0.2">
      <c r="A69">
        <v>0</v>
      </c>
      <c r="B69">
        <v>1</v>
      </c>
      <c r="C69">
        <f t="shared" ca="1" si="0"/>
        <v>3</v>
      </c>
      <c r="D69">
        <f t="shared" ca="1" si="1"/>
        <v>2</v>
      </c>
      <c r="E69">
        <f t="shared" ca="1" si="2"/>
        <v>0</v>
      </c>
      <c r="F69" s="61">
        <f t="shared" ca="1" si="3"/>
        <v>6.142773288959999E-2</v>
      </c>
      <c r="G69">
        <v>0</v>
      </c>
      <c r="H69">
        <v>1</v>
      </c>
      <c r="I69">
        <v>6</v>
      </c>
      <c r="J69" s="61">
        <f t="shared" ca="1" si="4"/>
        <v>0</v>
      </c>
      <c r="K69" s="61">
        <f t="shared" ca="1" si="5"/>
        <v>0</v>
      </c>
      <c r="L69" s="82">
        <f t="shared" ca="1" si="6"/>
        <v>227</v>
      </c>
      <c r="M69" s="16">
        <f t="shared" ca="1" si="7"/>
        <v>773</v>
      </c>
      <c r="N69" s="3">
        <f t="shared" ca="1" si="8"/>
        <v>5</v>
      </c>
      <c r="O69" s="19">
        <f t="shared" ca="1" si="9"/>
        <v>2.8178718937399587</v>
      </c>
      <c r="P69" s="19">
        <f t="shared" ca="1" si="10"/>
        <v>28.178718937399587</v>
      </c>
      <c r="Q69" s="19">
        <f t="shared" ca="1" si="11"/>
        <v>26.288452865679979</v>
      </c>
      <c r="R69" s="19">
        <f t="shared" ca="1" si="12"/>
        <v>2.7233585901539783</v>
      </c>
      <c r="S69" s="19">
        <f t="shared" ca="1" si="13"/>
        <v>2.8178718937399587</v>
      </c>
      <c r="T69" s="19">
        <f t="shared" ca="1" si="14"/>
        <v>0</v>
      </c>
      <c r="U69" s="19">
        <f t="shared" ca="1" si="15"/>
        <v>1486.3251747165598</v>
      </c>
      <c r="V69" s="19">
        <f t="shared" ca="1" si="16"/>
        <v>0</v>
      </c>
      <c r="W69" s="82">
        <f t="shared" ca="1" si="17"/>
        <v>2915.4313802083334</v>
      </c>
      <c r="X69" s="19">
        <f t="shared" ca="1" si="18"/>
        <v>0</v>
      </c>
      <c r="Y69" s="19">
        <f t="shared" si="19"/>
        <v>0</v>
      </c>
      <c r="Z69" s="82">
        <f t="shared" ca="1" si="20"/>
        <v>2915.4313802083334</v>
      </c>
      <c r="AA69" s="19">
        <f t="shared" ca="1" si="21"/>
        <v>0</v>
      </c>
      <c r="AE69" s="19"/>
    </row>
    <row r="70" spans="1:31" ht="12.75" customHeight="1" x14ac:dyDescent="0.2">
      <c r="A70">
        <v>0</v>
      </c>
      <c r="B70">
        <v>1</v>
      </c>
      <c r="C70">
        <f t="shared" ca="1" si="0"/>
        <v>3</v>
      </c>
      <c r="D70">
        <f t="shared" ca="1" si="1"/>
        <v>2</v>
      </c>
      <c r="E70">
        <f t="shared" ca="1" si="2"/>
        <v>0</v>
      </c>
      <c r="F70" s="61">
        <f t="shared" ca="1" si="3"/>
        <v>6.142773288959999E-2</v>
      </c>
      <c r="G70">
        <v>0</v>
      </c>
      <c r="H70">
        <v>1</v>
      </c>
      <c r="I70">
        <v>5</v>
      </c>
      <c r="J70" s="61">
        <f t="shared" ca="1" si="4"/>
        <v>0</v>
      </c>
      <c r="K70" s="61">
        <f t="shared" ca="1" si="5"/>
        <v>0</v>
      </c>
      <c r="L70" s="82">
        <f t="shared" ca="1" si="6"/>
        <v>216</v>
      </c>
      <c r="M70" s="16">
        <f t="shared" ca="1" si="7"/>
        <v>784</v>
      </c>
      <c r="N70" s="3">
        <f t="shared" ca="1" si="8"/>
        <v>5</v>
      </c>
      <c r="O70" s="19">
        <f t="shared" ca="1" si="9"/>
        <v>2.8178718937399587</v>
      </c>
      <c r="P70" s="19">
        <f t="shared" ca="1" si="10"/>
        <v>28.178718937399587</v>
      </c>
      <c r="Q70" s="19">
        <f t="shared" ca="1" si="11"/>
        <v>28.178718937399587</v>
      </c>
      <c r="R70" s="19">
        <f t="shared" ca="1" si="12"/>
        <v>2.8178718937399587</v>
      </c>
      <c r="S70" s="19">
        <f t="shared" ca="1" si="13"/>
        <v>2.8178718937399587</v>
      </c>
      <c r="T70" s="19">
        <f t="shared" ca="1" si="14"/>
        <v>0</v>
      </c>
      <c r="U70" s="19">
        <f t="shared" ca="1" si="15"/>
        <v>1475.3251747165598</v>
      </c>
      <c r="V70" s="19">
        <f t="shared" ca="1" si="16"/>
        <v>0</v>
      </c>
      <c r="W70" s="82">
        <f t="shared" ca="1" si="17"/>
        <v>2429.5261501736113</v>
      </c>
      <c r="X70" s="19">
        <f t="shared" ca="1" si="18"/>
        <v>0</v>
      </c>
      <c r="Y70" s="19">
        <f t="shared" si="19"/>
        <v>0</v>
      </c>
      <c r="Z70" s="82">
        <f t="shared" ca="1" si="20"/>
        <v>2429.5261501736113</v>
      </c>
      <c r="AA70" s="19">
        <f t="shared" ca="1" si="21"/>
        <v>0</v>
      </c>
      <c r="AE70" s="19"/>
    </row>
    <row r="71" spans="1:31" ht="12.75" customHeight="1" x14ac:dyDescent="0.2">
      <c r="A71">
        <v>0</v>
      </c>
      <c r="B71">
        <v>1</v>
      </c>
      <c r="C71">
        <f t="shared" ca="1" si="0"/>
        <v>3</v>
      </c>
      <c r="D71">
        <f t="shared" ca="1" si="1"/>
        <v>2</v>
      </c>
      <c r="E71">
        <f t="shared" ca="1" si="2"/>
        <v>0</v>
      </c>
      <c r="F71" s="61">
        <f t="shared" ca="1" si="3"/>
        <v>6.142773288959999E-2</v>
      </c>
      <c r="G71">
        <v>0</v>
      </c>
      <c r="H71">
        <v>1</v>
      </c>
      <c r="I71">
        <v>4</v>
      </c>
      <c r="J71" s="61">
        <f t="shared" ca="1" si="4"/>
        <v>0</v>
      </c>
      <c r="K71" s="61">
        <f t="shared" ca="1" si="5"/>
        <v>0</v>
      </c>
      <c r="L71" s="82">
        <f t="shared" ca="1" si="6"/>
        <v>205</v>
      </c>
      <c r="M71" s="16">
        <f t="shared" ca="1" si="7"/>
        <v>795</v>
      </c>
      <c r="N71" s="3">
        <f t="shared" ca="1" si="8"/>
        <v>5</v>
      </c>
      <c r="O71" s="19">
        <f t="shared" ca="1" si="9"/>
        <v>2.8178718937399587</v>
      </c>
      <c r="P71" s="19">
        <f t="shared" ca="1" si="10"/>
        <v>28.178718937399587</v>
      </c>
      <c r="Q71" s="19">
        <f t="shared" ca="1" si="11"/>
        <v>28.178718937399587</v>
      </c>
      <c r="R71" s="19">
        <f t="shared" ca="1" si="12"/>
        <v>2.8178718937399587</v>
      </c>
      <c r="S71" s="19">
        <f t="shared" ca="1" si="13"/>
        <v>2.8178718937399587</v>
      </c>
      <c r="T71" s="19">
        <f t="shared" ca="1" si="14"/>
        <v>0</v>
      </c>
      <c r="U71" s="19">
        <f t="shared" ca="1" si="15"/>
        <v>1464.3251747165598</v>
      </c>
      <c r="V71" s="19">
        <f t="shared" ca="1" si="16"/>
        <v>0</v>
      </c>
      <c r="W71" s="82">
        <f t="shared" ca="1" si="17"/>
        <v>1943.620920138889</v>
      </c>
      <c r="X71" s="19">
        <f t="shared" ca="1" si="18"/>
        <v>0</v>
      </c>
      <c r="Y71" s="19">
        <f t="shared" si="19"/>
        <v>0</v>
      </c>
      <c r="Z71" s="82">
        <f t="shared" ca="1" si="20"/>
        <v>1943.620920138889</v>
      </c>
      <c r="AA71" s="19">
        <f t="shared" ca="1" si="21"/>
        <v>0</v>
      </c>
      <c r="AE71" s="19"/>
    </row>
    <row r="72" spans="1:31" ht="12.75" customHeight="1" x14ac:dyDescent="0.2">
      <c r="A72">
        <v>0</v>
      </c>
      <c r="B72">
        <v>1</v>
      </c>
      <c r="C72">
        <f t="shared" ca="1" si="0"/>
        <v>3</v>
      </c>
      <c r="D72">
        <f t="shared" ca="1" si="1"/>
        <v>2</v>
      </c>
      <c r="E72">
        <f t="shared" ca="1" si="2"/>
        <v>0</v>
      </c>
      <c r="F72" s="61">
        <f t="shared" ca="1" si="3"/>
        <v>6.142773288959999E-2</v>
      </c>
      <c r="G72">
        <v>0</v>
      </c>
      <c r="H72">
        <v>1</v>
      </c>
      <c r="I72">
        <v>3</v>
      </c>
      <c r="J72" s="61">
        <f t="shared" ca="1" si="4"/>
        <v>0</v>
      </c>
      <c r="K72" s="61">
        <f t="shared" ca="1" si="5"/>
        <v>0</v>
      </c>
      <c r="L72" s="82">
        <f t="shared" ca="1" si="6"/>
        <v>194</v>
      </c>
      <c r="M72" s="16">
        <f t="shared" ca="1" si="7"/>
        <v>806</v>
      </c>
      <c r="N72" s="3">
        <f t="shared" ca="1" si="8"/>
        <v>5</v>
      </c>
      <c r="O72" s="19">
        <f t="shared" ca="1" si="9"/>
        <v>2.8178718937399587</v>
      </c>
      <c r="P72" s="19">
        <f t="shared" ca="1" si="10"/>
        <v>28.178718937399587</v>
      </c>
      <c r="Q72" s="19">
        <f t="shared" ca="1" si="11"/>
        <v>28.178718937399587</v>
      </c>
      <c r="R72" s="19">
        <f t="shared" ca="1" si="12"/>
        <v>2.8178718937399587</v>
      </c>
      <c r="S72" s="19">
        <f t="shared" ca="1" si="13"/>
        <v>2.8178718937399587</v>
      </c>
      <c r="T72" s="19">
        <f t="shared" ca="1" si="14"/>
        <v>0</v>
      </c>
      <c r="U72" s="19">
        <f t="shared" ca="1" si="15"/>
        <v>1453.3251747165598</v>
      </c>
      <c r="V72" s="19">
        <f t="shared" ca="1" si="16"/>
        <v>0</v>
      </c>
      <c r="W72" s="82">
        <f t="shared" ca="1" si="17"/>
        <v>1457.7156901041667</v>
      </c>
      <c r="X72" s="19">
        <f t="shared" ca="1" si="18"/>
        <v>0</v>
      </c>
      <c r="Y72" s="19">
        <f t="shared" si="19"/>
        <v>0</v>
      </c>
      <c r="Z72" s="82">
        <f t="shared" ca="1" si="20"/>
        <v>1457.7156901041667</v>
      </c>
      <c r="AA72" s="19">
        <f t="shared" ca="1" si="21"/>
        <v>0</v>
      </c>
      <c r="AE72" s="19"/>
    </row>
    <row r="73" spans="1:31" ht="12.75" customHeight="1" x14ac:dyDescent="0.2">
      <c r="A73">
        <v>0</v>
      </c>
      <c r="B73">
        <v>1</v>
      </c>
      <c r="C73">
        <f t="shared" ca="1" si="0"/>
        <v>3</v>
      </c>
      <c r="D73">
        <f t="shared" ca="1" si="1"/>
        <v>2</v>
      </c>
      <c r="E73">
        <f t="shared" ca="1" si="2"/>
        <v>0</v>
      </c>
      <c r="F73" s="61">
        <f t="shared" ca="1" si="3"/>
        <v>6.142773288959999E-2</v>
      </c>
      <c r="G73">
        <v>0</v>
      </c>
      <c r="H73">
        <v>1</v>
      </c>
      <c r="I73">
        <v>2</v>
      </c>
      <c r="J73" s="61">
        <f t="shared" ca="1" si="4"/>
        <v>0</v>
      </c>
      <c r="K73" s="61">
        <f t="shared" ca="1" si="5"/>
        <v>0</v>
      </c>
      <c r="L73" s="82">
        <f t="shared" ca="1" si="6"/>
        <v>183</v>
      </c>
      <c r="M73" s="16">
        <f t="shared" ca="1" si="7"/>
        <v>817</v>
      </c>
      <c r="N73" s="3">
        <f t="shared" ca="1" si="8"/>
        <v>5</v>
      </c>
      <c r="O73" s="19">
        <f t="shared" ca="1" si="9"/>
        <v>2.8178718937399587</v>
      </c>
      <c r="P73" s="19">
        <f t="shared" ca="1" si="10"/>
        <v>28.178718937399587</v>
      </c>
      <c r="Q73" s="19">
        <f t="shared" ca="1" si="11"/>
        <v>28.178718937399587</v>
      </c>
      <c r="R73" s="19">
        <f t="shared" ca="1" si="12"/>
        <v>2.8178718937399587</v>
      </c>
      <c r="S73" s="19">
        <f t="shared" ca="1" si="13"/>
        <v>2.8178718937399587</v>
      </c>
      <c r="T73" s="19">
        <f t="shared" ca="1" si="14"/>
        <v>0</v>
      </c>
      <c r="U73" s="19">
        <f t="shared" ca="1" si="15"/>
        <v>1442.3251747165598</v>
      </c>
      <c r="V73" s="19">
        <f t="shared" ca="1" si="16"/>
        <v>0</v>
      </c>
      <c r="W73" s="82">
        <f t="shared" ca="1" si="17"/>
        <v>971.8104600694445</v>
      </c>
      <c r="X73" s="19">
        <f t="shared" ca="1" si="18"/>
        <v>0</v>
      </c>
      <c r="Y73" s="19">
        <f t="shared" si="19"/>
        <v>0</v>
      </c>
      <c r="Z73" s="82">
        <f t="shared" ca="1" si="20"/>
        <v>971.8104600694445</v>
      </c>
      <c r="AA73" s="19">
        <f t="shared" ca="1" si="21"/>
        <v>0</v>
      </c>
      <c r="AE73" s="19"/>
    </row>
    <row r="74" spans="1:31" ht="12.75" customHeight="1" x14ac:dyDescent="0.2">
      <c r="A74">
        <v>0</v>
      </c>
      <c r="B74">
        <v>1</v>
      </c>
      <c r="C74">
        <f t="shared" ca="1" si="0"/>
        <v>3</v>
      </c>
      <c r="D74">
        <f t="shared" ca="1" si="1"/>
        <v>2</v>
      </c>
      <c r="E74">
        <f t="shared" ca="1" si="2"/>
        <v>0</v>
      </c>
      <c r="F74" s="61">
        <f t="shared" ca="1" si="3"/>
        <v>6.142773288959999E-2</v>
      </c>
      <c r="G74">
        <v>0</v>
      </c>
      <c r="H74">
        <v>1</v>
      </c>
      <c r="I74">
        <v>1</v>
      </c>
      <c r="J74" s="61">
        <f t="shared" ca="1" si="4"/>
        <v>0</v>
      </c>
      <c r="K74" s="61">
        <f t="shared" ca="1" si="5"/>
        <v>0</v>
      </c>
      <c r="L74" s="82">
        <f t="shared" ca="1" si="6"/>
        <v>172</v>
      </c>
      <c r="M74" s="16">
        <f t="shared" ca="1" si="7"/>
        <v>828</v>
      </c>
      <c r="N74" s="3">
        <f t="shared" ca="1" si="8"/>
        <v>5</v>
      </c>
      <c r="O74" s="19">
        <f t="shared" ca="1" si="9"/>
        <v>2.8178718937399587</v>
      </c>
      <c r="P74" s="19">
        <f t="shared" ca="1" si="10"/>
        <v>28.178718937399587</v>
      </c>
      <c r="Q74" s="19">
        <f t="shared" ca="1" si="11"/>
        <v>28.178718937399587</v>
      </c>
      <c r="R74" s="19">
        <f t="shared" ca="1" si="12"/>
        <v>2.8178718937399587</v>
      </c>
      <c r="S74" s="19">
        <f t="shared" ca="1" si="13"/>
        <v>2.8178718937399587</v>
      </c>
      <c r="T74" s="19">
        <f t="shared" ca="1" si="14"/>
        <v>0</v>
      </c>
      <c r="U74" s="19">
        <f t="shared" ca="1" si="15"/>
        <v>1431.3251747165598</v>
      </c>
      <c r="V74" s="19">
        <f t="shared" ca="1" si="16"/>
        <v>0</v>
      </c>
      <c r="W74" s="82">
        <f t="shared" ca="1" si="17"/>
        <v>485.90523003472225</v>
      </c>
      <c r="X74" s="19">
        <f t="shared" ca="1" si="18"/>
        <v>0</v>
      </c>
      <c r="Y74" s="19">
        <f t="shared" si="19"/>
        <v>0</v>
      </c>
      <c r="Z74" s="82">
        <f t="shared" ca="1" si="20"/>
        <v>485.90523003472225</v>
      </c>
      <c r="AA74" s="19">
        <f t="shared" ca="1" si="21"/>
        <v>0</v>
      </c>
      <c r="AE74" s="19"/>
    </row>
    <row r="75" spans="1:31" ht="12.75" customHeight="1" x14ac:dyDescent="0.2">
      <c r="A75">
        <v>0</v>
      </c>
      <c r="B75">
        <v>1</v>
      </c>
      <c r="C75">
        <f t="shared" ca="1" si="0"/>
        <v>3</v>
      </c>
      <c r="D75">
        <f t="shared" ca="1" si="1"/>
        <v>2</v>
      </c>
      <c r="E75">
        <f t="shared" ca="1" si="2"/>
        <v>0</v>
      </c>
      <c r="F75" s="61">
        <f t="shared" ca="1" si="3"/>
        <v>6.142773288959999E-2</v>
      </c>
      <c r="G75">
        <v>0</v>
      </c>
      <c r="H75">
        <v>1</v>
      </c>
      <c r="I75">
        <v>0</v>
      </c>
      <c r="J75" s="61">
        <f t="shared" ca="1" si="4"/>
        <v>0</v>
      </c>
      <c r="K75" s="61">
        <f t="shared" ca="1" si="5"/>
        <v>0</v>
      </c>
      <c r="L75" s="82">
        <f t="shared" ca="1" si="6"/>
        <v>161</v>
      </c>
      <c r="M75" s="16">
        <f t="shared" ca="1" si="7"/>
        <v>839</v>
      </c>
      <c r="N75" s="3">
        <f t="shared" ca="1" si="8"/>
        <v>5</v>
      </c>
      <c r="O75" s="19">
        <f t="shared" ca="1" si="9"/>
        <v>2.8178718937399587</v>
      </c>
      <c r="P75" s="19">
        <f t="shared" ca="1" si="10"/>
        <v>28.178718937399587</v>
      </c>
      <c r="Q75" s="19">
        <f t="shared" ca="1" si="11"/>
        <v>28.178718937399587</v>
      </c>
      <c r="R75" s="19">
        <f t="shared" ca="1" si="12"/>
        <v>2.8178718937399587</v>
      </c>
      <c r="S75" s="19">
        <f t="shared" ca="1" si="13"/>
        <v>2.8178718937399587</v>
      </c>
      <c r="T75" s="19">
        <f t="shared" ca="1" si="14"/>
        <v>0</v>
      </c>
      <c r="U75" s="19">
        <f t="shared" ca="1" si="15"/>
        <v>1420.3251747165598</v>
      </c>
      <c r="V75" s="19">
        <f t="shared" ca="1" si="16"/>
        <v>0</v>
      </c>
      <c r="W75" s="82">
        <f t="shared" ca="1" si="17"/>
        <v>0</v>
      </c>
      <c r="X75" s="19">
        <f t="shared" ca="1" si="18"/>
        <v>0</v>
      </c>
      <c r="Y75" s="19">
        <f t="shared" si="19"/>
        <v>0</v>
      </c>
      <c r="Z75" s="82">
        <f t="shared" ca="1" si="20"/>
        <v>0</v>
      </c>
      <c r="AA75" s="19">
        <f t="shared" ca="1" si="21"/>
        <v>0</v>
      </c>
      <c r="AE75" s="19"/>
    </row>
    <row r="76" spans="1:31" ht="12.75" customHeight="1" x14ac:dyDescent="0.2">
      <c r="A76">
        <v>0</v>
      </c>
      <c r="B76">
        <v>1</v>
      </c>
      <c r="C76">
        <f t="shared" ca="1" si="0"/>
        <v>3</v>
      </c>
      <c r="D76">
        <f t="shared" ca="1" si="1"/>
        <v>2</v>
      </c>
      <c r="E76">
        <f t="shared" ca="1" si="2"/>
        <v>0</v>
      </c>
      <c r="F76" s="61">
        <f t="shared" ca="1" si="3"/>
        <v>6.142773288959999E-2</v>
      </c>
      <c r="G76">
        <v>0</v>
      </c>
      <c r="H76">
        <v>0</v>
      </c>
      <c r="I76">
        <v>7</v>
      </c>
      <c r="J76" s="61">
        <f t="shared" ca="1" si="4"/>
        <v>0</v>
      </c>
      <c r="K76" s="61">
        <f t="shared" ca="1" si="5"/>
        <v>0</v>
      </c>
      <c r="L76" s="82">
        <f t="shared" ca="1" si="6"/>
        <v>77</v>
      </c>
      <c r="M76" s="16">
        <f t="shared" ca="1" si="7"/>
        <v>923</v>
      </c>
      <c r="N76" s="3">
        <f t="shared" ca="1" si="8"/>
        <v>5</v>
      </c>
      <c r="O76" s="19">
        <f t="shared" ca="1" si="9"/>
        <v>2.8178718937399587</v>
      </c>
      <c r="P76" s="19">
        <f t="shared" ca="1" si="10"/>
        <v>28.178718937399587</v>
      </c>
      <c r="Q76" s="19">
        <f t="shared" ca="1" si="11"/>
        <v>28.178718937399587</v>
      </c>
      <c r="R76" s="19">
        <f t="shared" ca="1" si="12"/>
        <v>2.8178718937399587</v>
      </c>
      <c r="S76" s="19">
        <f t="shared" ca="1" si="13"/>
        <v>2.8178718937399587</v>
      </c>
      <c r="T76" s="19">
        <f t="shared" ca="1" si="14"/>
        <v>0</v>
      </c>
      <c r="U76" s="19">
        <f t="shared" ca="1" si="15"/>
        <v>1336.3251747165598</v>
      </c>
      <c r="V76" s="19">
        <f t="shared" ca="1" si="16"/>
        <v>0</v>
      </c>
      <c r="W76" s="82">
        <f t="shared" ca="1" si="17"/>
        <v>3401.3366102430559</v>
      </c>
      <c r="X76" s="19">
        <f t="shared" ca="1" si="18"/>
        <v>0</v>
      </c>
      <c r="Y76" s="19">
        <f t="shared" si="19"/>
        <v>0</v>
      </c>
      <c r="Z76" s="82">
        <f t="shared" ca="1" si="20"/>
        <v>3401.3366102430559</v>
      </c>
      <c r="AA76" s="19">
        <f t="shared" ca="1" si="21"/>
        <v>0</v>
      </c>
      <c r="AE76" s="19"/>
    </row>
    <row r="77" spans="1:31" ht="12.75" customHeight="1" x14ac:dyDescent="0.2">
      <c r="A77">
        <v>0</v>
      </c>
      <c r="B77">
        <v>1</v>
      </c>
      <c r="C77">
        <f t="shared" ca="1" si="0"/>
        <v>3</v>
      </c>
      <c r="D77">
        <f t="shared" ca="1" si="1"/>
        <v>2</v>
      </c>
      <c r="E77">
        <f t="shared" ca="1" si="2"/>
        <v>0</v>
      </c>
      <c r="F77" s="61">
        <f t="shared" ca="1" si="3"/>
        <v>6.142773288959999E-2</v>
      </c>
      <c r="G77">
        <v>0</v>
      </c>
      <c r="H77">
        <v>0</v>
      </c>
      <c r="I77">
        <v>6</v>
      </c>
      <c r="J77" s="61">
        <f t="shared" ca="1" si="4"/>
        <v>0</v>
      </c>
      <c r="K77" s="61">
        <f t="shared" ca="1" si="5"/>
        <v>0</v>
      </c>
      <c r="L77" s="82">
        <f t="shared" ca="1" si="6"/>
        <v>66</v>
      </c>
      <c r="M77" s="16">
        <f t="shared" ca="1" si="7"/>
        <v>934</v>
      </c>
      <c r="N77" s="3">
        <f t="shared" ca="1" si="8"/>
        <v>5</v>
      </c>
      <c r="O77" s="19">
        <f t="shared" ca="1" si="9"/>
        <v>2.8178718937399587</v>
      </c>
      <c r="P77" s="19">
        <f t="shared" ca="1" si="10"/>
        <v>28.178718937399587</v>
      </c>
      <c r="Q77" s="19">
        <f t="shared" ca="1" si="11"/>
        <v>28.178718937399587</v>
      </c>
      <c r="R77" s="19">
        <f t="shared" ca="1" si="12"/>
        <v>2.8178718937399587</v>
      </c>
      <c r="S77" s="19">
        <f t="shared" ca="1" si="13"/>
        <v>2.8178718937399587</v>
      </c>
      <c r="T77" s="19">
        <f t="shared" ca="1" si="14"/>
        <v>0</v>
      </c>
      <c r="U77" s="19">
        <f t="shared" ca="1" si="15"/>
        <v>1325.3251747165598</v>
      </c>
      <c r="V77" s="19">
        <f t="shared" ca="1" si="16"/>
        <v>0</v>
      </c>
      <c r="W77" s="82">
        <f t="shared" ca="1" si="17"/>
        <v>2915.4313802083334</v>
      </c>
      <c r="X77" s="19">
        <f t="shared" ca="1" si="18"/>
        <v>0</v>
      </c>
      <c r="Y77" s="19">
        <f t="shared" si="19"/>
        <v>0</v>
      </c>
      <c r="Z77" s="82">
        <f t="shared" ca="1" si="20"/>
        <v>2915.4313802083334</v>
      </c>
      <c r="AA77" s="19">
        <f t="shared" ca="1" si="21"/>
        <v>0</v>
      </c>
      <c r="AE77" s="19"/>
    </row>
    <row r="78" spans="1:31" ht="12.75" customHeight="1" x14ac:dyDescent="0.2">
      <c r="A78">
        <v>0</v>
      </c>
      <c r="B78">
        <v>1</v>
      </c>
      <c r="C78">
        <f t="shared" ca="1" si="0"/>
        <v>3</v>
      </c>
      <c r="D78">
        <f t="shared" ca="1" si="1"/>
        <v>2</v>
      </c>
      <c r="E78">
        <f t="shared" ca="1" si="2"/>
        <v>0</v>
      </c>
      <c r="F78" s="61">
        <f t="shared" ca="1" si="3"/>
        <v>6.142773288959999E-2</v>
      </c>
      <c r="G78">
        <v>0</v>
      </c>
      <c r="H78">
        <v>0</v>
      </c>
      <c r="I78">
        <v>5</v>
      </c>
      <c r="J78" s="61">
        <f t="shared" ca="1" si="4"/>
        <v>0</v>
      </c>
      <c r="K78" s="61">
        <f t="shared" ca="1" si="5"/>
        <v>0</v>
      </c>
      <c r="L78" s="82">
        <f t="shared" ca="1" si="6"/>
        <v>55</v>
      </c>
      <c r="M78" s="16">
        <f t="shared" ca="1" si="7"/>
        <v>945</v>
      </c>
      <c r="N78" s="3">
        <f t="shared" ca="1" si="8"/>
        <v>5</v>
      </c>
      <c r="O78" s="19">
        <f t="shared" ca="1" si="9"/>
        <v>2.8178718937399587</v>
      </c>
      <c r="P78" s="19">
        <f t="shared" ca="1" si="10"/>
        <v>28.178718937399587</v>
      </c>
      <c r="Q78" s="19">
        <f t="shared" ca="1" si="11"/>
        <v>28.178718937399587</v>
      </c>
      <c r="R78" s="19">
        <f t="shared" ca="1" si="12"/>
        <v>2.8178718937399587</v>
      </c>
      <c r="S78" s="19">
        <f t="shared" ca="1" si="13"/>
        <v>2.8178718937399587</v>
      </c>
      <c r="T78" s="19">
        <f t="shared" ca="1" si="14"/>
        <v>0</v>
      </c>
      <c r="U78" s="19">
        <f t="shared" ca="1" si="15"/>
        <v>1314.3251747165598</v>
      </c>
      <c r="V78" s="19">
        <f t="shared" ca="1" si="16"/>
        <v>0</v>
      </c>
      <c r="W78" s="82">
        <f t="shared" ca="1" si="17"/>
        <v>2429.5261501736113</v>
      </c>
      <c r="X78" s="19">
        <f t="shared" ca="1" si="18"/>
        <v>0</v>
      </c>
      <c r="Y78" s="19">
        <f t="shared" si="19"/>
        <v>0</v>
      </c>
      <c r="Z78" s="82">
        <f t="shared" ca="1" si="20"/>
        <v>2429.5261501736113</v>
      </c>
      <c r="AA78" s="19">
        <f t="shared" ca="1" si="21"/>
        <v>0</v>
      </c>
      <c r="AE78" s="19"/>
    </row>
    <row r="79" spans="1:31" ht="12.75" customHeight="1" x14ac:dyDescent="0.2">
      <c r="A79">
        <v>0</v>
      </c>
      <c r="B79">
        <v>1</v>
      </c>
      <c r="C79">
        <f t="shared" ca="1" si="0"/>
        <v>3</v>
      </c>
      <c r="D79">
        <f t="shared" ca="1" si="1"/>
        <v>2</v>
      </c>
      <c r="E79">
        <f t="shared" ca="1" si="2"/>
        <v>0</v>
      </c>
      <c r="F79" s="61">
        <f t="shared" ca="1" si="3"/>
        <v>6.142773288959999E-2</v>
      </c>
      <c r="G79">
        <v>0</v>
      </c>
      <c r="H79">
        <v>0</v>
      </c>
      <c r="I79">
        <v>4</v>
      </c>
      <c r="J79" s="61">
        <f t="shared" ca="1" si="4"/>
        <v>0</v>
      </c>
      <c r="K79" s="61">
        <f t="shared" ca="1" si="5"/>
        <v>0</v>
      </c>
      <c r="L79" s="82">
        <f t="shared" ca="1" si="6"/>
        <v>44</v>
      </c>
      <c r="M79" s="16">
        <f t="shared" ca="1" si="7"/>
        <v>956</v>
      </c>
      <c r="N79" s="3">
        <f t="shared" ca="1" si="8"/>
        <v>6</v>
      </c>
      <c r="O79" s="19">
        <f t="shared" ca="1" si="9"/>
        <v>3.3239268932937667</v>
      </c>
      <c r="P79" s="19">
        <f t="shared" ca="1" si="10"/>
        <v>33.239268932937669</v>
      </c>
      <c r="Q79" s="19">
        <f t="shared" ca="1" si="11"/>
        <v>28.178718937399587</v>
      </c>
      <c r="R79" s="19">
        <f t="shared" ca="1" si="12"/>
        <v>3.0708993935168629</v>
      </c>
      <c r="S79" s="19">
        <f t="shared" ca="1" si="13"/>
        <v>3.3239268932937667</v>
      </c>
      <c r="T79" s="19">
        <f t="shared" ca="1" si="14"/>
        <v>0</v>
      </c>
      <c r="U79" s="19">
        <f t="shared" ca="1" si="15"/>
        <v>1495.4024523027438</v>
      </c>
      <c r="V79" s="19">
        <f t="shared" ca="1" si="16"/>
        <v>0</v>
      </c>
      <c r="W79" s="82">
        <f t="shared" ca="1" si="17"/>
        <v>1943.620920138889</v>
      </c>
      <c r="X79" s="19">
        <f t="shared" ca="1" si="18"/>
        <v>0</v>
      </c>
      <c r="Y79" s="19">
        <f t="shared" si="19"/>
        <v>0</v>
      </c>
      <c r="Z79" s="82">
        <f t="shared" ca="1" si="20"/>
        <v>1943.620920138889</v>
      </c>
      <c r="AA79" s="19">
        <f t="shared" ca="1" si="21"/>
        <v>0</v>
      </c>
      <c r="AE79" s="19"/>
    </row>
    <row r="80" spans="1:31" ht="12.75" customHeight="1" x14ac:dyDescent="0.2">
      <c r="A80">
        <v>0</v>
      </c>
      <c r="B80">
        <v>1</v>
      </c>
      <c r="C80">
        <f t="shared" ca="1" si="0"/>
        <v>3</v>
      </c>
      <c r="D80">
        <f t="shared" ca="1" si="1"/>
        <v>2</v>
      </c>
      <c r="E80">
        <f t="shared" ca="1" si="2"/>
        <v>0</v>
      </c>
      <c r="F80" s="61">
        <f t="shared" ca="1" si="3"/>
        <v>6.142773288959999E-2</v>
      </c>
      <c r="G80">
        <v>0</v>
      </c>
      <c r="H80">
        <v>0</v>
      </c>
      <c r="I80">
        <v>3</v>
      </c>
      <c r="J80" s="61">
        <f t="shared" ca="1" si="4"/>
        <v>0</v>
      </c>
      <c r="K80" s="61">
        <f t="shared" ca="1" si="5"/>
        <v>0</v>
      </c>
      <c r="L80" s="82">
        <f t="shared" ca="1" si="6"/>
        <v>33</v>
      </c>
      <c r="M80" s="16">
        <f t="shared" ca="1" si="7"/>
        <v>967</v>
      </c>
      <c r="N80" s="3">
        <f t="shared" ca="1" si="8"/>
        <v>6</v>
      </c>
      <c r="O80" s="19">
        <f t="shared" ca="1" si="9"/>
        <v>3.3239268932937667</v>
      </c>
      <c r="P80" s="19">
        <f t="shared" ca="1" si="10"/>
        <v>33.239268932937669</v>
      </c>
      <c r="Q80" s="19">
        <f t="shared" ca="1" si="11"/>
        <v>33.239268932937669</v>
      </c>
      <c r="R80" s="19">
        <f t="shared" ca="1" si="12"/>
        <v>3.3239268932937671</v>
      </c>
      <c r="S80" s="19">
        <f t="shared" ca="1" si="13"/>
        <v>3.3239268932937667</v>
      </c>
      <c r="T80" s="19">
        <f t="shared" ca="1" si="14"/>
        <v>0</v>
      </c>
      <c r="U80" s="19">
        <f t="shared" ca="1" si="15"/>
        <v>1484.4024523027438</v>
      </c>
      <c r="V80" s="19">
        <f t="shared" ca="1" si="16"/>
        <v>0</v>
      </c>
      <c r="W80" s="82">
        <f t="shared" ca="1" si="17"/>
        <v>1457.7156901041667</v>
      </c>
      <c r="X80" s="19">
        <f t="shared" ca="1" si="18"/>
        <v>0</v>
      </c>
      <c r="Y80" s="19">
        <f t="shared" si="19"/>
        <v>0</v>
      </c>
      <c r="Z80" s="82">
        <f t="shared" ca="1" si="20"/>
        <v>1457.7156901041667</v>
      </c>
      <c r="AA80" s="19">
        <f t="shared" ca="1" si="21"/>
        <v>0</v>
      </c>
      <c r="AE80" s="19"/>
    </row>
    <row r="81" spans="1:31" ht="12.75" customHeight="1" x14ac:dyDescent="0.2">
      <c r="A81">
        <v>0</v>
      </c>
      <c r="B81">
        <v>1</v>
      </c>
      <c r="C81">
        <f t="shared" ca="1" si="0"/>
        <v>3</v>
      </c>
      <c r="D81">
        <f t="shared" ca="1" si="1"/>
        <v>2</v>
      </c>
      <c r="E81">
        <f t="shared" ca="1" si="2"/>
        <v>0</v>
      </c>
      <c r="F81" s="61">
        <f t="shared" ca="1" si="3"/>
        <v>6.142773288959999E-2</v>
      </c>
      <c r="G81">
        <v>0</v>
      </c>
      <c r="H81">
        <v>0</v>
      </c>
      <c r="I81">
        <v>2</v>
      </c>
      <c r="J81" s="61">
        <f t="shared" ca="1" si="4"/>
        <v>4.5124999999999998E-2</v>
      </c>
      <c r="K81" s="61">
        <f t="shared" ca="1" si="5"/>
        <v>2.7719264466431995E-3</v>
      </c>
      <c r="L81" s="82">
        <f t="shared" ca="1" si="6"/>
        <v>22</v>
      </c>
      <c r="M81" s="16">
        <f t="shared" ca="1" si="7"/>
        <v>978</v>
      </c>
      <c r="N81" s="3">
        <f t="shared" ca="1" si="8"/>
        <v>6</v>
      </c>
      <c r="O81" s="19">
        <f t="shared" ca="1" si="9"/>
        <v>3.3239268932937667</v>
      </c>
      <c r="P81" s="19">
        <f t="shared" ca="1" si="10"/>
        <v>33.239268932937669</v>
      </c>
      <c r="Q81" s="19">
        <f t="shared" ca="1" si="11"/>
        <v>33.239268932937669</v>
      </c>
      <c r="R81" s="19">
        <f t="shared" ca="1" si="12"/>
        <v>3.3239268932937671</v>
      </c>
      <c r="S81" s="19">
        <f t="shared" ca="1" si="13"/>
        <v>3.3239268932937667</v>
      </c>
      <c r="T81" s="19">
        <f t="shared" ca="1" si="14"/>
        <v>9.2136808622295605E-3</v>
      </c>
      <c r="U81" s="19">
        <f t="shared" ca="1" si="15"/>
        <v>1473.4024523027438</v>
      </c>
      <c r="V81" s="19">
        <f t="shared" ca="1" si="16"/>
        <v>4.0841632240869208</v>
      </c>
      <c r="W81" s="82">
        <f t="shared" ca="1" si="17"/>
        <v>971.8104600694445</v>
      </c>
      <c r="X81" s="19">
        <f t="shared" ca="1" si="18"/>
        <v>2.6937871153909883</v>
      </c>
      <c r="Y81" s="19">
        <f t="shared" si="19"/>
        <v>0</v>
      </c>
      <c r="Z81" s="82">
        <f t="shared" ca="1" si="20"/>
        <v>971.8104600694445</v>
      </c>
      <c r="AA81" s="19">
        <f t="shared" ca="1" si="21"/>
        <v>2.6937871153909883</v>
      </c>
      <c r="AE81" s="19"/>
    </row>
    <row r="82" spans="1:31" ht="12.75" customHeight="1" x14ac:dyDescent="0.2">
      <c r="A82">
        <v>0</v>
      </c>
      <c r="B82">
        <v>1</v>
      </c>
      <c r="C82">
        <f t="shared" ca="1" si="0"/>
        <v>3</v>
      </c>
      <c r="D82">
        <f t="shared" ca="1" si="1"/>
        <v>2</v>
      </c>
      <c r="E82">
        <f t="shared" ca="1" si="2"/>
        <v>0</v>
      </c>
      <c r="F82" s="61">
        <f t="shared" ca="1" si="3"/>
        <v>6.142773288959999E-2</v>
      </c>
      <c r="G82">
        <v>0</v>
      </c>
      <c r="H82">
        <v>0</v>
      </c>
      <c r="I82">
        <v>1</v>
      </c>
      <c r="J82" s="61">
        <f t="shared" ca="1" si="4"/>
        <v>4.7500000000000042E-3</v>
      </c>
      <c r="K82" s="61">
        <f t="shared" ca="1" si="5"/>
        <v>2.9178173122560022E-4</v>
      </c>
      <c r="L82" s="82">
        <f t="shared" ca="1" si="6"/>
        <v>11</v>
      </c>
      <c r="M82" s="16">
        <f t="shared" ca="1" si="7"/>
        <v>989</v>
      </c>
      <c r="N82" s="3">
        <f t="shared" ca="1" si="8"/>
        <v>6</v>
      </c>
      <c r="O82" s="19">
        <f t="shared" ca="1" si="9"/>
        <v>3.3239268932937667</v>
      </c>
      <c r="P82" s="19">
        <f t="shared" ca="1" si="10"/>
        <v>33.239268932937669</v>
      </c>
      <c r="Q82" s="19">
        <f t="shared" ca="1" si="11"/>
        <v>33.239268932937669</v>
      </c>
      <c r="R82" s="19">
        <f t="shared" ca="1" si="12"/>
        <v>3.3239268932937671</v>
      </c>
      <c r="S82" s="19">
        <f t="shared" ca="1" si="13"/>
        <v>3.3239268932937667</v>
      </c>
      <c r="T82" s="19">
        <f t="shared" ca="1" si="14"/>
        <v>9.6986114339258614E-4</v>
      </c>
      <c r="U82" s="19">
        <f t="shared" ca="1" si="15"/>
        <v>1462.4024523027438</v>
      </c>
      <c r="V82" s="19">
        <f t="shared" ca="1" si="16"/>
        <v>0.4267023192814578</v>
      </c>
      <c r="W82" s="82">
        <f t="shared" ca="1" si="17"/>
        <v>485.90523003472225</v>
      </c>
      <c r="X82" s="19">
        <f t="shared" ca="1" si="18"/>
        <v>0.14177826923110479</v>
      </c>
      <c r="Y82" s="19">
        <f t="shared" si="19"/>
        <v>0</v>
      </c>
      <c r="Z82" s="82">
        <f t="shared" ca="1" si="20"/>
        <v>485.90523003472225</v>
      </c>
      <c r="AA82" s="19">
        <f t="shared" ca="1" si="21"/>
        <v>0.14177826923110479</v>
      </c>
      <c r="AE82" s="19"/>
    </row>
    <row r="83" spans="1:31" ht="12.75" customHeight="1" x14ac:dyDescent="0.2">
      <c r="A83">
        <v>0</v>
      </c>
      <c r="B83">
        <v>1</v>
      </c>
      <c r="C83">
        <f t="shared" ca="1" si="0"/>
        <v>3</v>
      </c>
      <c r="D83">
        <f t="shared" ca="1" si="1"/>
        <v>2</v>
      </c>
      <c r="E83">
        <f t="shared" ca="1" si="2"/>
        <v>0</v>
      </c>
      <c r="F83" s="61">
        <f t="shared" ca="1" si="3"/>
        <v>6.142773288959999E-2</v>
      </c>
      <c r="G83">
        <v>0</v>
      </c>
      <c r="H83">
        <v>0</v>
      </c>
      <c r="I83">
        <v>0</v>
      </c>
      <c r="J83" s="61">
        <f t="shared" ca="1" si="4"/>
        <v>1.2500000000000022E-4</v>
      </c>
      <c r="K83" s="61">
        <f t="shared" ca="1" si="5"/>
        <v>7.6784666112000128E-6</v>
      </c>
      <c r="L83" s="82">
        <f t="shared" ca="1" si="6"/>
        <v>0</v>
      </c>
      <c r="M83" s="16">
        <f t="shared" ca="1" si="7"/>
        <v>1000</v>
      </c>
      <c r="N83" s="3">
        <f t="shared" ca="1" si="8"/>
        <v>6</v>
      </c>
      <c r="O83" s="19">
        <f t="shared" ca="1" si="9"/>
        <v>3.3239268932937667</v>
      </c>
      <c r="P83" s="19">
        <f t="shared" ca="1" si="10"/>
        <v>33.239268932937669</v>
      </c>
      <c r="Q83" s="19">
        <f t="shared" ca="1" si="11"/>
        <v>33.239268932937669</v>
      </c>
      <c r="R83" s="19">
        <f t="shared" ca="1" si="12"/>
        <v>3.3239268932937671</v>
      </c>
      <c r="S83" s="19">
        <f t="shared" ca="1" si="13"/>
        <v>3.3239268932937667</v>
      </c>
      <c r="T83" s="19">
        <f t="shared" ca="1" si="14"/>
        <v>2.5522661668225975E-5</v>
      </c>
      <c r="U83" s="19">
        <f t="shared" ca="1" si="15"/>
        <v>1451.4024523027438</v>
      </c>
      <c r="V83" s="19">
        <f t="shared" ca="1" si="16"/>
        <v>1.1144545269420438E-2</v>
      </c>
      <c r="W83" s="82">
        <f t="shared" ca="1" si="17"/>
        <v>0</v>
      </c>
      <c r="X83" s="19">
        <f t="shared" ca="1" si="18"/>
        <v>0</v>
      </c>
      <c r="Y83" s="19">
        <f t="shared" si="19"/>
        <v>0</v>
      </c>
      <c r="Z83" s="82">
        <f t="shared" ca="1" si="20"/>
        <v>0</v>
      </c>
      <c r="AA83" s="19">
        <f t="shared" ca="1" si="21"/>
        <v>0</v>
      </c>
      <c r="AE83" s="19"/>
    </row>
    <row r="84" spans="1:31" ht="12.75" customHeight="1" x14ac:dyDescent="0.2">
      <c r="A84">
        <v>0</v>
      </c>
      <c r="B84">
        <v>2</v>
      </c>
      <c r="C84">
        <f t="shared" ref="C84:C147" ca="1" si="22">MIN(8, 1+$B$10+$B$9+A84+B84)</f>
        <v>4</v>
      </c>
      <c r="D84">
        <f t="shared" ref="D84:D147" ca="1" si="23">C84-(1+$B$10)</f>
        <v>3</v>
      </c>
      <c r="E84">
        <f t="shared" ref="E84:E147" ca="1" si="24">MIN(A84, C84-(1+$B$10+$B$9))</f>
        <v>0</v>
      </c>
      <c r="F84" s="61">
        <f t="shared" ref="F84:F147" ca="1" si="25">IF(A84=3, Set1QA, IF(A84=2, (1-Set1QA)*Set1TA + (1-Set1QA)*(1-Set1TA)*(1-Set1DA)*Set1AM3*Set1AM33, IF(A84=1, (1-Set1QA)*(1-Set1TA)*Set1DA + (1-Set1QA)*(1-Set1TA)*(1-Set1DA)*Set1AM3*Set1AM32, (1-Set1QA)*(1-Set1TA)*(1-Set1DA)*(1-Set1AM3)))) * IF($B$9+$B$10&gt;0, IF(B84=3, Set1QA, IF(B84=2, (1-Set1QA)*Set1TA, IF(B84=1, (1-Set1QA)*(1-Set1TA)*Set1DA, (1-Set1QA)*(1-Set1TA)*(1-Set1DA)))), IF(B84=0, 1, 0))</f>
        <v>1.112821248E-2</v>
      </c>
      <c r="G84">
        <v>1</v>
      </c>
      <c r="H84">
        <v>1</v>
      </c>
      <c r="I84">
        <v>7</v>
      </c>
      <c r="J84" s="61">
        <f t="shared" ref="J84:J147" ca="1" si="26">POWER(95%,G84)*POWER(5%, 1-G84) * IF($B$10=0, IF(H84=0, 1, 0), POWER(Set1WSHitRate,H84)*POWER(1-Set1WSHitRate, 1-H84)) * IF(I84&lt;=D84, POWER(Set1WSHitRate, I84)*POWER(1-Set1WSHitRate, D84-I84)*COMBIN(D84,I84), 0)</f>
        <v>0</v>
      </c>
      <c r="K84" s="61">
        <f t="shared" ref="K84:K147" ca="1" si="27">F84*J84</f>
        <v>0</v>
      </c>
      <c r="L84" s="82">
        <f t="shared" ref="L84:L147" ca="1" si="28">MAX((G84+H84)*Set1WSTP + I84*$B$6, Set1SaveTP)</f>
        <v>399</v>
      </c>
      <c r="M84" s="16">
        <f t="shared" ref="M84:M147" ca="1" si="29">MAX(Set1MinTP-(L84+Set1Regain), 0)</f>
        <v>601</v>
      </c>
      <c r="N84" s="3">
        <f t="shared" ref="N84:N147" ca="1" si="30">CEILING(M84/Set1MeleeTP, 1)</f>
        <v>4</v>
      </c>
      <c r="O84" s="19">
        <f t="shared" ref="O84:O147" ca="1" si="31">VLOOKUP(N84,AvgRoundsSet1,2)</f>
        <v>2.3453053758100548</v>
      </c>
      <c r="P84" s="19">
        <f t="shared" ref="P84:P147" ca="1" si="32">VLOOKUP(CEILING(MAX(M84-1, 0)/Set1MeleeTP, 1), AvgRoundsSet1, 2) + VLOOKUP(CEILING(MAX(M84-2, 0)/Set1MeleeTP, 1), AvgRoundsSet1, 2) + VLOOKUP(CEILING(MAX(M84-3, 0)/Set1MeleeTP, 1), AvgRoundsSet1, 2) + VLOOKUP(CEILING(MAX(M84-4, 0)/Set1MeleeTP, 1), AvgRoundsSet1, 2) + VLOOKUP(CEILING(MAX(M84-5, 0)/Set1MeleeTP, 1), AvgRoundsSet1, 2) + VLOOKUP(CEILING(MAX(M84-6, 0)/Set1MeleeTP, 1), AvgRoundsSet1, 2) + VLOOKUP(CEILING(MAX(M84-7, 0)/Set1MeleeTP, 1), AvgRoundsSet1, 2) + VLOOKUP(CEILING(MAX(M84-8, 0)/Set1MeleeTP, 1), AvgRoundsSet1, 2) + VLOOKUP(CEILING(MAX(M84-9, 0)/Set1MeleeTP, 1), AvgRoundsSet1, 2) + VLOOKUP(CEILING(MAX(M84-10, 0)/Set1MeleeTP, 1), AvgRoundsSet1, 2)</f>
        <v>23.453053758100552</v>
      </c>
      <c r="Q84" s="19">
        <f t="shared" ref="Q84:Q147" ca="1" si="33">VLOOKUP(CEILING(MAX(M84-11, 0)/Set1MeleeTP, 1), AvgRoundsSet1, 2) + VLOOKUP(CEILING(MAX(M84-12, 0)/Set1MeleeTP, 1), AvgRoundsSet1, 2) + VLOOKUP(CEILING(MAX(M84-13, 0)/Set1MeleeTP, 1), AvgRoundsSet1, 2) + VLOOKUP(CEILING(MAX(M84-14, 0)/Set1MeleeTP, 1), AvgRoundsSet1, 2) + VLOOKUP(CEILING(MAX(M84-15, 0)/Set1MeleeTP, 1), AvgRoundsSet1, 2) + VLOOKUP(CEILING(MAX(M84-16, 0)/Set1MeleeTP, 1), AvgRoundsSet1, 2) + VLOOKUP(CEILING(MAX(M84-17, 0)/Set1MeleeTP, 1), AvgRoundsSet1, 2) + VLOOKUP(CEILING(MAX(M84-18, 0)/Set1MeleeTP, 1), AvgRoundsSet1, 2) + VLOOKUP(CEILING(MAX(M84-19, 0)/Set1MeleeTP, 1), AvgRoundsSet1, 2) + VLOOKUP(CEILING(MAX(M84-20, 0)/Set1MeleeTP, 1), AvgRoundsSet1, 2)</f>
        <v>23.453053758100552</v>
      </c>
      <c r="R84" s="19">
        <f t="shared" ref="R84:R147" ca="1" si="34">(P84+Q84)/20</f>
        <v>2.3453053758100553</v>
      </c>
      <c r="S84" s="19">
        <f t="shared" ref="S84:S147" ca="1" si="35">R84*Set1ConserveTP + O84*(1-Set1ConserveTP)</f>
        <v>2.3453053758100548</v>
      </c>
      <c r="T84" s="19">
        <f t="shared" ref="T84:T147" ca="1" si="36">K84*S84</f>
        <v>0</v>
      </c>
      <c r="U84" s="19">
        <f t="shared" ref="U84:U147" ca="1" si="37">MIN(L84+(S84+Set1OverTP)*AvgHitsPerRound1*Set1MeleeTP + Set1Regain + 10.5*Set1ConserveTP, 3000)</f>
        <v>1478.9587218163997</v>
      </c>
      <c r="V84" s="19">
        <f t="shared" ref="V84:V147" ca="1" si="38">U84*K84</f>
        <v>0</v>
      </c>
      <c r="W84" s="82">
        <f t="shared" ref="W84:W147" ca="1" si="39">G84*$K$12*((1-$L$12)*$L$16 + $L$12*$M$16*$M$12)+ H84*$K$15*((1-$L$15)*$L$17 + $L$15*$M$17*$M$13) + I84*$K$13*((1-$L$13)*$L$16 + $L$13*$M$16*$M$13) + E84*$K$14*$L$14*$M$12</f>
        <v>5718.7981307870377</v>
      </c>
      <c r="X84" s="19">
        <f t="shared" ref="X84:X147" ca="1" si="40">K84*W84</f>
        <v>0</v>
      </c>
      <c r="Y84" s="19">
        <f t="shared" ref="Y84:Y147" si="41">IF($B$12=1, (VLOOKUP(C84, IF($B$13=10%,Souleater10,Souleater12), 6, 0) * $B$14), 0)</f>
        <v>0</v>
      </c>
      <c r="Z84" s="82">
        <f t="shared" ref="Z84:Z147" ca="1" si="42">Y84+W84</f>
        <v>5718.7981307870377</v>
      </c>
      <c r="AA84" s="19">
        <f t="shared" ref="AA84:AA147" ca="1" si="43">Z84*K84</f>
        <v>0</v>
      </c>
      <c r="AE84" s="19"/>
    </row>
    <row r="85" spans="1:31" ht="12.75" customHeight="1" x14ac:dyDescent="0.2">
      <c r="A85">
        <v>0</v>
      </c>
      <c r="B85">
        <v>2</v>
      </c>
      <c r="C85">
        <f t="shared" ca="1" si="22"/>
        <v>4</v>
      </c>
      <c r="D85">
        <f t="shared" ca="1" si="23"/>
        <v>3</v>
      </c>
      <c r="E85">
        <f t="shared" ca="1" si="24"/>
        <v>0</v>
      </c>
      <c r="F85" s="61">
        <f t="shared" ca="1" si="25"/>
        <v>1.112821248E-2</v>
      </c>
      <c r="G85">
        <v>1</v>
      </c>
      <c r="H85">
        <v>1</v>
      </c>
      <c r="I85">
        <v>6</v>
      </c>
      <c r="J85" s="61">
        <f t="shared" ca="1" si="26"/>
        <v>0</v>
      </c>
      <c r="K85" s="61">
        <f t="shared" ca="1" si="27"/>
        <v>0</v>
      </c>
      <c r="L85" s="82">
        <f t="shared" ca="1" si="28"/>
        <v>388</v>
      </c>
      <c r="M85" s="16">
        <f t="shared" ca="1" si="29"/>
        <v>612</v>
      </c>
      <c r="N85" s="3">
        <f t="shared" ca="1" si="30"/>
        <v>4</v>
      </c>
      <c r="O85" s="19">
        <f t="shared" ca="1" si="31"/>
        <v>2.3453053758100548</v>
      </c>
      <c r="P85" s="19">
        <f t="shared" ca="1" si="32"/>
        <v>23.453053758100552</v>
      </c>
      <c r="Q85" s="19">
        <f t="shared" ca="1" si="33"/>
        <v>23.453053758100552</v>
      </c>
      <c r="R85" s="19">
        <f t="shared" ca="1" si="34"/>
        <v>2.3453053758100553</v>
      </c>
      <c r="S85" s="19">
        <f t="shared" ca="1" si="35"/>
        <v>2.3453053758100548</v>
      </c>
      <c r="T85" s="19">
        <f t="shared" ca="1" si="36"/>
        <v>0</v>
      </c>
      <c r="U85" s="19">
        <f t="shared" ca="1" si="37"/>
        <v>1467.9587218163997</v>
      </c>
      <c r="V85" s="19">
        <f t="shared" ca="1" si="38"/>
        <v>0</v>
      </c>
      <c r="W85" s="82">
        <f t="shared" ca="1" si="39"/>
        <v>5232.8929007523147</v>
      </c>
      <c r="X85" s="19">
        <f t="shared" ca="1" si="40"/>
        <v>0</v>
      </c>
      <c r="Y85" s="19">
        <f t="shared" si="41"/>
        <v>0</v>
      </c>
      <c r="Z85" s="82">
        <f t="shared" ca="1" si="42"/>
        <v>5232.8929007523147</v>
      </c>
      <c r="AA85" s="19">
        <f t="shared" ca="1" si="43"/>
        <v>0</v>
      </c>
      <c r="AE85" s="19"/>
    </row>
    <row r="86" spans="1:31" ht="12.75" customHeight="1" x14ac:dyDescent="0.2">
      <c r="A86">
        <v>0</v>
      </c>
      <c r="B86">
        <v>2</v>
      </c>
      <c r="C86">
        <f t="shared" ca="1" si="22"/>
        <v>4</v>
      </c>
      <c r="D86">
        <f t="shared" ca="1" si="23"/>
        <v>3</v>
      </c>
      <c r="E86">
        <f t="shared" ca="1" si="24"/>
        <v>0</v>
      </c>
      <c r="F86" s="61">
        <f t="shared" ca="1" si="25"/>
        <v>1.112821248E-2</v>
      </c>
      <c r="G86">
        <v>1</v>
      </c>
      <c r="H86">
        <v>1</v>
      </c>
      <c r="I86">
        <v>5</v>
      </c>
      <c r="J86" s="61">
        <f t="shared" ca="1" si="26"/>
        <v>0</v>
      </c>
      <c r="K86" s="61">
        <f t="shared" ca="1" si="27"/>
        <v>0</v>
      </c>
      <c r="L86" s="82">
        <f t="shared" ca="1" si="28"/>
        <v>377</v>
      </c>
      <c r="M86" s="16">
        <f t="shared" ca="1" si="29"/>
        <v>623</v>
      </c>
      <c r="N86" s="3">
        <f t="shared" ca="1" si="30"/>
        <v>4</v>
      </c>
      <c r="O86" s="19">
        <f t="shared" ca="1" si="31"/>
        <v>2.3453053758100548</v>
      </c>
      <c r="P86" s="19">
        <f t="shared" ca="1" si="32"/>
        <v>23.453053758100552</v>
      </c>
      <c r="Q86" s="19">
        <f t="shared" ca="1" si="33"/>
        <v>23.453053758100552</v>
      </c>
      <c r="R86" s="19">
        <f t="shared" ca="1" si="34"/>
        <v>2.3453053758100553</v>
      </c>
      <c r="S86" s="19">
        <f t="shared" ca="1" si="35"/>
        <v>2.3453053758100548</v>
      </c>
      <c r="T86" s="19">
        <f t="shared" ca="1" si="36"/>
        <v>0</v>
      </c>
      <c r="U86" s="19">
        <f t="shared" ca="1" si="37"/>
        <v>1456.9587218163997</v>
      </c>
      <c r="V86" s="19">
        <f t="shared" ca="1" si="38"/>
        <v>0</v>
      </c>
      <c r="W86" s="82">
        <f t="shared" ca="1" si="39"/>
        <v>4746.9876707175936</v>
      </c>
      <c r="X86" s="19">
        <f t="shared" ca="1" si="40"/>
        <v>0</v>
      </c>
      <c r="Y86" s="19">
        <f t="shared" si="41"/>
        <v>0</v>
      </c>
      <c r="Z86" s="82">
        <f t="shared" ca="1" si="42"/>
        <v>4746.9876707175936</v>
      </c>
      <c r="AA86" s="19">
        <f t="shared" ca="1" si="43"/>
        <v>0</v>
      </c>
      <c r="AE86" s="19"/>
    </row>
    <row r="87" spans="1:31" ht="12.75" customHeight="1" x14ac:dyDescent="0.2">
      <c r="A87">
        <v>0</v>
      </c>
      <c r="B87">
        <v>2</v>
      </c>
      <c r="C87">
        <f t="shared" ca="1" si="22"/>
        <v>4</v>
      </c>
      <c r="D87">
        <f t="shared" ca="1" si="23"/>
        <v>3</v>
      </c>
      <c r="E87">
        <f t="shared" ca="1" si="24"/>
        <v>0</v>
      </c>
      <c r="F87" s="61">
        <f t="shared" ca="1" si="25"/>
        <v>1.112821248E-2</v>
      </c>
      <c r="G87">
        <v>1</v>
      </c>
      <c r="H87">
        <v>1</v>
      </c>
      <c r="I87">
        <v>4</v>
      </c>
      <c r="J87" s="61">
        <f t="shared" ca="1" si="26"/>
        <v>0</v>
      </c>
      <c r="K87" s="61">
        <f t="shared" ca="1" si="27"/>
        <v>0</v>
      </c>
      <c r="L87" s="82">
        <f t="shared" ca="1" si="28"/>
        <v>366</v>
      </c>
      <c r="M87" s="16">
        <f t="shared" ca="1" si="29"/>
        <v>634</v>
      </c>
      <c r="N87" s="3">
        <f t="shared" ca="1" si="30"/>
        <v>4</v>
      </c>
      <c r="O87" s="19">
        <f t="shared" ca="1" si="31"/>
        <v>2.3453053758100548</v>
      </c>
      <c r="P87" s="19">
        <f t="shared" ca="1" si="32"/>
        <v>23.453053758100552</v>
      </c>
      <c r="Q87" s="19">
        <f t="shared" ca="1" si="33"/>
        <v>23.453053758100552</v>
      </c>
      <c r="R87" s="19">
        <f t="shared" ca="1" si="34"/>
        <v>2.3453053758100553</v>
      </c>
      <c r="S87" s="19">
        <f t="shared" ca="1" si="35"/>
        <v>2.3453053758100548</v>
      </c>
      <c r="T87" s="19">
        <f t="shared" ca="1" si="36"/>
        <v>0</v>
      </c>
      <c r="U87" s="19">
        <f t="shared" ca="1" si="37"/>
        <v>1445.9587218163997</v>
      </c>
      <c r="V87" s="19">
        <f t="shared" ca="1" si="38"/>
        <v>0</v>
      </c>
      <c r="W87" s="82">
        <f t="shared" ca="1" si="39"/>
        <v>4261.0824406828706</v>
      </c>
      <c r="X87" s="19">
        <f t="shared" ca="1" si="40"/>
        <v>0</v>
      </c>
      <c r="Y87" s="19">
        <f t="shared" si="41"/>
        <v>0</v>
      </c>
      <c r="Z87" s="82">
        <f t="shared" ca="1" si="42"/>
        <v>4261.0824406828706</v>
      </c>
      <c r="AA87" s="19">
        <f t="shared" ca="1" si="43"/>
        <v>0</v>
      </c>
      <c r="AE87" s="19"/>
    </row>
    <row r="88" spans="1:31" ht="12.75" customHeight="1" x14ac:dyDescent="0.2">
      <c r="A88">
        <v>0</v>
      </c>
      <c r="B88">
        <v>2</v>
      </c>
      <c r="C88">
        <f t="shared" ca="1" si="22"/>
        <v>4</v>
      </c>
      <c r="D88">
        <f t="shared" ca="1" si="23"/>
        <v>3</v>
      </c>
      <c r="E88">
        <f t="shared" ca="1" si="24"/>
        <v>0</v>
      </c>
      <c r="F88" s="61">
        <f t="shared" ca="1" si="25"/>
        <v>1.112821248E-2</v>
      </c>
      <c r="G88">
        <v>1</v>
      </c>
      <c r="H88">
        <v>1</v>
      </c>
      <c r="I88">
        <v>3</v>
      </c>
      <c r="J88" s="61">
        <f t="shared" ca="1" si="26"/>
        <v>0</v>
      </c>
      <c r="K88" s="61">
        <f t="shared" ca="1" si="27"/>
        <v>0</v>
      </c>
      <c r="L88" s="82">
        <f t="shared" ca="1" si="28"/>
        <v>355</v>
      </c>
      <c r="M88" s="16">
        <f t="shared" ca="1" si="29"/>
        <v>645</v>
      </c>
      <c r="N88" s="3">
        <f t="shared" ca="1" si="30"/>
        <v>4</v>
      </c>
      <c r="O88" s="19">
        <f t="shared" ca="1" si="31"/>
        <v>2.3453053758100548</v>
      </c>
      <c r="P88" s="19">
        <f t="shared" ca="1" si="32"/>
        <v>23.453053758100552</v>
      </c>
      <c r="Q88" s="19">
        <f t="shared" ca="1" si="33"/>
        <v>23.453053758100552</v>
      </c>
      <c r="R88" s="19">
        <f t="shared" ca="1" si="34"/>
        <v>2.3453053758100553</v>
      </c>
      <c r="S88" s="19">
        <f t="shared" ca="1" si="35"/>
        <v>2.3453053758100548</v>
      </c>
      <c r="T88" s="19">
        <f t="shared" ca="1" si="36"/>
        <v>0</v>
      </c>
      <c r="U88" s="19">
        <f t="shared" ca="1" si="37"/>
        <v>1434.9587218163997</v>
      </c>
      <c r="V88" s="19">
        <f t="shared" ca="1" si="38"/>
        <v>0</v>
      </c>
      <c r="W88" s="82">
        <f t="shared" ca="1" si="39"/>
        <v>3775.1772106481485</v>
      </c>
      <c r="X88" s="19">
        <f t="shared" ca="1" si="40"/>
        <v>0</v>
      </c>
      <c r="Y88" s="19">
        <f t="shared" si="41"/>
        <v>0</v>
      </c>
      <c r="Z88" s="82">
        <f t="shared" ca="1" si="42"/>
        <v>3775.1772106481485</v>
      </c>
      <c r="AA88" s="19">
        <f t="shared" ca="1" si="43"/>
        <v>0</v>
      </c>
      <c r="AE88" s="19"/>
    </row>
    <row r="89" spans="1:31" ht="12.75" customHeight="1" x14ac:dyDescent="0.2">
      <c r="A89">
        <v>0</v>
      </c>
      <c r="B89">
        <v>2</v>
      </c>
      <c r="C89">
        <f t="shared" ca="1" si="22"/>
        <v>4</v>
      </c>
      <c r="D89">
        <f t="shared" ca="1" si="23"/>
        <v>3</v>
      </c>
      <c r="E89">
        <f t="shared" ca="1" si="24"/>
        <v>0</v>
      </c>
      <c r="F89" s="61">
        <f t="shared" ca="1" si="25"/>
        <v>1.112821248E-2</v>
      </c>
      <c r="G89">
        <v>1</v>
      </c>
      <c r="H89">
        <v>1</v>
      </c>
      <c r="I89">
        <v>2</v>
      </c>
      <c r="J89" s="61">
        <f t="shared" ca="1" si="26"/>
        <v>0</v>
      </c>
      <c r="K89" s="61">
        <f t="shared" ca="1" si="27"/>
        <v>0</v>
      </c>
      <c r="L89" s="82">
        <f t="shared" ca="1" si="28"/>
        <v>344</v>
      </c>
      <c r="M89" s="16">
        <f t="shared" ca="1" si="29"/>
        <v>656</v>
      </c>
      <c r="N89" s="3">
        <f t="shared" ca="1" si="30"/>
        <v>4</v>
      </c>
      <c r="O89" s="19">
        <f t="shared" ca="1" si="31"/>
        <v>2.3453053758100548</v>
      </c>
      <c r="P89" s="19">
        <f t="shared" ca="1" si="32"/>
        <v>23.453053758100552</v>
      </c>
      <c r="Q89" s="19">
        <f t="shared" ca="1" si="33"/>
        <v>23.453053758100552</v>
      </c>
      <c r="R89" s="19">
        <f t="shared" ca="1" si="34"/>
        <v>2.3453053758100553</v>
      </c>
      <c r="S89" s="19">
        <f t="shared" ca="1" si="35"/>
        <v>2.3453053758100548</v>
      </c>
      <c r="T89" s="19">
        <f t="shared" ca="1" si="36"/>
        <v>0</v>
      </c>
      <c r="U89" s="19">
        <f t="shared" ca="1" si="37"/>
        <v>1423.9587218163997</v>
      </c>
      <c r="V89" s="19">
        <f t="shared" ca="1" si="38"/>
        <v>0</v>
      </c>
      <c r="W89" s="82">
        <f t="shared" ca="1" si="39"/>
        <v>3289.2719806134264</v>
      </c>
      <c r="X89" s="19">
        <f t="shared" ca="1" si="40"/>
        <v>0</v>
      </c>
      <c r="Y89" s="19">
        <f t="shared" si="41"/>
        <v>0</v>
      </c>
      <c r="Z89" s="82">
        <f t="shared" ca="1" si="42"/>
        <v>3289.2719806134264</v>
      </c>
      <c r="AA89" s="19">
        <f t="shared" ca="1" si="43"/>
        <v>0</v>
      </c>
      <c r="AE89" s="19"/>
    </row>
    <row r="90" spans="1:31" ht="12.75" customHeight="1" x14ac:dyDescent="0.2">
      <c r="A90">
        <v>0</v>
      </c>
      <c r="B90">
        <v>2</v>
      </c>
      <c r="C90">
        <f t="shared" ca="1" si="22"/>
        <v>4</v>
      </c>
      <c r="D90">
        <f t="shared" ca="1" si="23"/>
        <v>3</v>
      </c>
      <c r="E90">
        <f t="shared" ca="1" si="24"/>
        <v>0</v>
      </c>
      <c r="F90" s="61">
        <f t="shared" ca="1" si="25"/>
        <v>1.112821248E-2</v>
      </c>
      <c r="G90">
        <v>1</v>
      </c>
      <c r="H90">
        <v>1</v>
      </c>
      <c r="I90">
        <v>1</v>
      </c>
      <c r="J90" s="61">
        <f t="shared" ca="1" si="26"/>
        <v>0</v>
      </c>
      <c r="K90" s="61">
        <f t="shared" ca="1" si="27"/>
        <v>0</v>
      </c>
      <c r="L90" s="82">
        <f t="shared" ca="1" si="28"/>
        <v>333</v>
      </c>
      <c r="M90" s="16">
        <f t="shared" ca="1" si="29"/>
        <v>667</v>
      </c>
      <c r="N90" s="3">
        <f t="shared" ca="1" si="30"/>
        <v>4</v>
      </c>
      <c r="O90" s="19">
        <f t="shared" ca="1" si="31"/>
        <v>2.3453053758100548</v>
      </c>
      <c r="P90" s="19">
        <f t="shared" ca="1" si="32"/>
        <v>23.453053758100552</v>
      </c>
      <c r="Q90" s="19">
        <f t="shared" ca="1" si="33"/>
        <v>23.453053758100552</v>
      </c>
      <c r="R90" s="19">
        <f t="shared" ca="1" si="34"/>
        <v>2.3453053758100553</v>
      </c>
      <c r="S90" s="19">
        <f t="shared" ca="1" si="35"/>
        <v>2.3453053758100548</v>
      </c>
      <c r="T90" s="19">
        <f t="shared" ca="1" si="36"/>
        <v>0</v>
      </c>
      <c r="U90" s="19">
        <f t="shared" ca="1" si="37"/>
        <v>1412.9587218163997</v>
      </c>
      <c r="V90" s="19">
        <f t="shared" ca="1" si="38"/>
        <v>0</v>
      </c>
      <c r="W90" s="82">
        <f t="shared" ca="1" si="39"/>
        <v>2803.3667505787039</v>
      </c>
      <c r="X90" s="19">
        <f t="shared" ca="1" si="40"/>
        <v>0</v>
      </c>
      <c r="Y90" s="19">
        <f t="shared" si="41"/>
        <v>0</v>
      </c>
      <c r="Z90" s="82">
        <f t="shared" ca="1" si="42"/>
        <v>2803.3667505787039</v>
      </c>
      <c r="AA90" s="19">
        <f t="shared" ca="1" si="43"/>
        <v>0</v>
      </c>
      <c r="AE90" s="19"/>
    </row>
    <row r="91" spans="1:31" ht="12.75" customHeight="1" x14ac:dyDescent="0.2">
      <c r="A91">
        <v>0</v>
      </c>
      <c r="B91">
        <v>2</v>
      </c>
      <c r="C91">
        <f t="shared" ca="1" si="22"/>
        <v>4</v>
      </c>
      <c r="D91">
        <f t="shared" ca="1" si="23"/>
        <v>3</v>
      </c>
      <c r="E91">
        <f t="shared" ca="1" si="24"/>
        <v>0</v>
      </c>
      <c r="F91" s="61">
        <f t="shared" ca="1" si="25"/>
        <v>1.112821248E-2</v>
      </c>
      <c r="G91">
        <v>1</v>
      </c>
      <c r="H91">
        <v>1</v>
      </c>
      <c r="I91">
        <v>0</v>
      </c>
      <c r="J91" s="61">
        <f t="shared" ca="1" si="26"/>
        <v>0</v>
      </c>
      <c r="K91" s="61">
        <f t="shared" ca="1" si="27"/>
        <v>0</v>
      </c>
      <c r="L91" s="82">
        <f t="shared" ca="1" si="28"/>
        <v>322</v>
      </c>
      <c r="M91" s="16">
        <f t="shared" ca="1" si="29"/>
        <v>678</v>
      </c>
      <c r="N91" s="3">
        <f t="shared" ca="1" si="30"/>
        <v>4</v>
      </c>
      <c r="O91" s="19">
        <f t="shared" ca="1" si="31"/>
        <v>2.3453053758100548</v>
      </c>
      <c r="P91" s="19">
        <f t="shared" ca="1" si="32"/>
        <v>23.453053758100552</v>
      </c>
      <c r="Q91" s="19">
        <f t="shared" ca="1" si="33"/>
        <v>23.453053758100552</v>
      </c>
      <c r="R91" s="19">
        <f t="shared" ca="1" si="34"/>
        <v>2.3453053758100553</v>
      </c>
      <c r="S91" s="19">
        <f t="shared" ca="1" si="35"/>
        <v>2.3453053758100548</v>
      </c>
      <c r="T91" s="19">
        <f t="shared" ca="1" si="36"/>
        <v>0</v>
      </c>
      <c r="U91" s="19">
        <f t="shared" ca="1" si="37"/>
        <v>1401.9587218163997</v>
      </c>
      <c r="V91" s="19">
        <f t="shared" ca="1" si="38"/>
        <v>0</v>
      </c>
      <c r="W91" s="82">
        <f t="shared" ca="1" si="39"/>
        <v>2317.4615205439818</v>
      </c>
      <c r="X91" s="19">
        <f t="shared" ca="1" si="40"/>
        <v>0</v>
      </c>
      <c r="Y91" s="19">
        <f t="shared" si="41"/>
        <v>0</v>
      </c>
      <c r="Z91" s="82">
        <f t="shared" ca="1" si="42"/>
        <v>2317.4615205439818</v>
      </c>
      <c r="AA91" s="19">
        <f t="shared" ca="1" si="43"/>
        <v>0</v>
      </c>
      <c r="AE91" s="19"/>
    </row>
    <row r="92" spans="1:31" ht="12.75" customHeight="1" x14ac:dyDescent="0.2">
      <c r="A92">
        <v>0</v>
      </c>
      <c r="B92">
        <v>2</v>
      </c>
      <c r="C92">
        <f t="shared" ca="1" si="22"/>
        <v>4</v>
      </c>
      <c r="D92">
        <f t="shared" ca="1" si="23"/>
        <v>3</v>
      </c>
      <c r="E92">
        <f t="shared" ca="1" si="24"/>
        <v>0</v>
      </c>
      <c r="F92" s="61">
        <f t="shared" ca="1" si="25"/>
        <v>1.112821248E-2</v>
      </c>
      <c r="G92">
        <v>1</v>
      </c>
      <c r="H92">
        <v>0</v>
      </c>
      <c r="I92">
        <v>7</v>
      </c>
      <c r="J92" s="61">
        <f t="shared" ca="1" si="26"/>
        <v>0</v>
      </c>
      <c r="K92" s="61">
        <f t="shared" ca="1" si="27"/>
        <v>0</v>
      </c>
      <c r="L92" s="82">
        <f t="shared" ca="1" si="28"/>
        <v>238</v>
      </c>
      <c r="M92" s="16">
        <f t="shared" ca="1" si="29"/>
        <v>762</v>
      </c>
      <c r="N92" s="3">
        <f t="shared" ca="1" si="30"/>
        <v>5</v>
      </c>
      <c r="O92" s="19">
        <f t="shared" ca="1" si="31"/>
        <v>2.8178718937399587</v>
      </c>
      <c r="P92" s="19">
        <f t="shared" ca="1" si="32"/>
        <v>25.815886347750073</v>
      </c>
      <c r="Q92" s="19">
        <f t="shared" ca="1" si="33"/>
        <v>23.453053758100552</v>
      </c>
      <c r="R92" s="19">
        <f t="shared" ca="1" si="34"/>
        <v>2.4634470052925312</v>
      </c>
      <c r="S92" s="19">
        <f t="shared" ca="1" si="35"/>
        <v>2.8178718937399587</v>
      </c>
      <c r="T92" s="19">
        <f t="shared" ca="1" si="36"/>
        <v>0</v>
      </c>
      <c r="U92" s="19">
        <f t="shared" ca="1" si="37"/>
        <v>1497.3251747165598</v>
      </c>
      <c r="V92" s="19">
        <f t="shared" ca="1" si="38"/>
        <v>0</v>
      </c>
      <c r="W92" s="82">
        <f t="shared" ca="1" si="39"/>
        <v>5718.7981307870377</v>
      </c>
      <c r="X92" s="19">
        <f t="shared" ca="1" si="40"/>
        <v>0</v>
      </c>
      <c r="Y92" s="19">
        <f t="shared" si="41"/>
        <v>0</v>
      </c>
      <c r="Z92" s="82">
        <f t="shared" ca="1" si="42"/>
        <v>5718.7981307870377</v>
      </c>
      <c r="AA92" s="19">
        <f t="shared" ca="1" si="43"/>
        <v>0</v>
      </c>
      <c r="AE92" s="19"/>
    </row>
    <row r="93" spans="1:31" ht="12.75" customHeight="1" x14ac:dyDescent="0.2">
      <c r="A93">
        <v>0</v>
      </c>
      <c r="B93">
        <v>2</v>
      </c>
      <c r="C93">
        <f t="shared" ca="1" si="22"/>
        <v>4</v>
      </c>
      <c r="D93">
        <f t="shared" ca="1" si="23"/>
        <v>3</v>
      </c>
      <c r="E93">
        <f t="shared" ca="1" si="24"/>
        <v>0</v>
      </c>
      <c r="F93" s="61">
        <f t="shared" ca="1" si="25"/>
        <v>1.112821248E-2</v>
      </c>
      <c r="G93">
        <v>1</v>
      </c>
      <c r="H93">
        <v>0</v>
      </c>
      <c r="I93">
        <v>6</v>
      </c>
      <c r="J93" s="61">
        <f t="shared" ca="1" si="26"/>
        <v>0</v>
      </c>
      <c r="K93" s="61">
        <f t="shared" ca="1" si="27"/>
        <v>0</v>
      </c>
      <c r="L93" s="82">
        <f t="shared" ca="1" si="28"/>
        <v>227</v>
      </c>
      <c r="M93" s="16">
        <f t="shared" ca="1" si="29"/>
        <v>773</v>
      </c>
      <c r="N93" s="3">
        <f t="shared" ca="1" si="30"/>
        <v>5</v>
      </c>
      <c r="O93" s="19">
        <f t="shared" ca="1" si="31"/>
        <v>2.8178718937399587</v>
      </c>
      <c r="P93" s="19">
        <f t="shared" ca="1" si="32"/>
        <v>28.178718937399587</v>
      </c>
      <c r="Q93" s="19">
        <f t="shared" ca="1" si="33"/>
        <v>26.288452865679979</v>
      </c>
      <c r="R93" s="19">
        <f t="shared" ca="1" si="34"/>
        <v>2.7233585901539783</v>
      </c>
      <c r="S93" s="19">
        <f t="shared" ca="1" si="35"/>
        <v>2.8178718937399587</v>
      </c>
      <c r="T93" s="19">
        <f t="shared" ca="1" si="36"/>
        <v>0</v>
      </c>
      <c r="U93" s="19">
        <f t="shared" ca="1" si="37"/>
        <v>1486.3251747165598</v>
      </c>
      <c r="V93" s="19">
        <f t="shared" ca="1" si="38"/>
        <v>0</v>
      </c>
      <c r="W93" s="82">
        <f t="shared" ca="1" si="39"/>
        <v>5232.8929007523147</v>
      </c>
      <c r="X93" s="19">
        <f t="shared" ca="1" si="40"/>
        <v>0</v>
      </c>
      <c r="Y93" s="19">
        <f t="shared" si="41"/>
        <v>0</v>
      </c>
      <c r="Z93" s="82">
        <f t="shared" ca="1" si="42"/>
        <v>5232.8929007523147</v>
      </c>
      <c r="AA93" s="19">
        <f t="shared" ca="1" si="43"/>
        <v>0</v>
      </c>
      <c r="AE93" s="19"/>
    </row>
    <row r="94" spans="1:31" ht="12.75" customHeight="1" x14ac:dyDescent="0.2">
      <c r="A94">
        <v>0</v>
      </c>
      <c r="B94">
        <v>2</v>
      </c>
      <c r="C94">
        <f t="shared" ca="1" si="22"/>
        <v>4</v>
      </c>
      <c r="D94">
        <f t="shared" ca="1" si="23"/>
        <v>3</v>
      </c>
      <c r="E94">
        <f t="shared" ca="1" si="24"/>
        <v>0</v>
      </c>
      <c r="F94" s="61">
        <f t="shared" ca="1" si="25"/>
        <v>1.112821248E-2</v>
      </c>
      <c r="G94">
        <v>1</v>
      </c>
      <c r="H94">
        <v>0</v>
      </c>
      <c r="I94">
        <v>5</v>
      </c>
      <c r="J94" s="61">
        <f t="shared" ca="1" si="26"/>
        <v>0</v>
      </c>
      <c r="K94" s="61">
        <f t="shared" ca="1" si="27"/>
        <v>0</v>
      </c>
      <c r="L94" s="82">
        <f t="shared" ca="1" si="28"/>
        <v>216</v>
      </c>
      <c r="M94" s="16">
        <f t="shared" ca="1" si="29"/>
        <v>784</v>
      </c>
      <c r="N94" s="3">
        <f t="shared" ca="1" si="30"/>
        <v>5</v>
      </c>
      <c r="O94" s="19">
        <f t="shared" ca="1" si="31"/>
        <v>2.8178718937399587</v>
      </c>
      <c r="P94" s="19">
        <f t="shared" ca="1" si="32"/>
        <v>28.178718937399587</v>
      </c>
      <c r="Q94" s="19">
        <f t="shared" ca="1" si="33"/>
        <v>28.178718937399587</v>
      </c>
      <c r="R94" s="19">
        <f t="shared" ca="1" si="34"/>
        <v>2.8178718937399587</v>
      </c>
      <c r="S94" s="19">
        <f t="shared" ca="1" si="35"/>
        <v>2.8178718937399587</v>
      </c>
      <c r="T94" s="19">
        <f t="shared" ca="1" si="36"/>
        <v>0</v>
      </c>
      <c r="U94" s="19">
        <f t="shared" ca="1" si="37"/>
        <v>1475.3251747165598</v>
      </c>
      <c r="V94" s="19">
        <f t="shared" ca="1" si="38"/>
        <v>0</v>
      </c>
      <c r="W94" s="82">
        <f t="shared" ca="1" si="39"/>
        <v>4746.9876707175936</v>
      </c>
      <c r="X94" s="19">
        <f t="shared" ca="1" si="40"/>
        <v>0</v>
      </c>
      <c r="Y94" s="19">
        <f t="shared" si="41"/>
        <v>0</v>
      </c>
      <c r="Z94" s="82">
        <f t="shared" ca="1" si="42"/>
        <v>4746.9876707175936</v>
      </c>
      <c r="AA94" s="19">
        <f t="shared" ca="1" si="43"/>
        <v>0</v>
      </c>
      <c r="AE94" s="19"/>
    </row>
    <row r="95" spans="1:31" ht="12.75" customHeight="1" x14ac:dyDescent="0.2">
      <c r="A95">
        <v>0</v>
      </c>
      <c r="B95">
        <v>2</v>
      </c>
      <c r="C95">
        <f t="shared" ca="1" si="22"/>
        <v>4</v>
      </c>
      <c r="D95">
        <f t="shared" ca="1" si="23"/>
        <v>3</v>
      </c>
      <c r="E95">
        <f t="shared" ca="1" si="24"/>
        <v>0</v>
      </c>
      <c r="F95" s="61">
        <f t="shared" ca="1" si="25"/>
        <v>1.112821248E-2</v>
      </c>
      <c r="G95">
        <v>1</v>
      </c>
      <c r="H95">
        <v>0</v>
      </c>
      <c r="I95">
        <v>4</v>
      </c>
      <c r="J95" s="61">
        <f t="shared" ca="1" si="26"/>
        <v>0</v>
      </c>
      <c r="K95" s="61">
        <f t="shared" ca="1" si="27"/>
        <v>0</v>
      </c>
      <c r="L95" s="82">
        <f t="shared" ca="1" si="28"/>
        <v>205</v>
      </c>
      <c r="M95" s="16">
        <f t="shared" ca="1" si="29"/>
        <v>795</v>
      </c>
      <c r="N95" s="3">
        <f t="shared" ca="1" si="30"/>
        <v>5</v>
      </c>
      <c r="O95" s="19">
        <f t="shared" ca="1" si="31"/>
        <v>2.8178718937399587</v>
      </c>
      <c r="P95" s="19">
        <f t="shared" ca="1" si="32"/>
        <v>28.178718937399587</v>
      </c>
      <c r="Q95" s="19">
        <f t="shared" ca="1" si="33"/>
        <v>28.178718937399587</v>
      </c>
      <c r="R95" s="19">
        <f t="shared" ca="1" si="34"/>
        <v>2.8178718937399587</v>
      </c>
      <c r="S95" s="19">
        <f t="shared" ca="1" si="35"/>
        <v>2.8178718937399587</v>
      </c>
      <c r="T95" s="19">
        <f t="shared" ca="1" si="36"/>
        <v>0</v>
      </c>
      <c r="U95" s="19">
        <f t="shared" ca="1" si="37"/>
        <v>1464.3251747165598</v>
      </c>
      <c r="V95" s="19">
        <f t="shared" ca="1" si="38"/>
        <v>0</v>
      </c>
      <c r="W95" s="82">
        <f t="shared" ca="1" si="39"/>
        <v>4261.0824406828706</v>
      </c>
      <c r="X95" s="19">
        <f t="shared" ca="1" si="40"/>
        <v>0</v>
      </c>
      <c r="Y95" s="19">
        <f t="shared" si="41"/>
        <v>0</v>
      </c>
      <c r="Z95" s="82">
        <f t="shared" ca="1" si="42"/>
        <v>4261.0824406828706</v>
      </c>
      <c r="AA95" s="19">
        <f t="shared" ca="1" si="43"/>
        <v>0</v>
      </c>
      <c r="AE95" s="19"/>
    </row>
    <row r="96" spans="1:31" ht="12.75" customHeight="1" x14ac:dyDescent="0.2">
      <c r="A96">
        <v>0</v>
      </c>
      <c r="B96">
        <v>2</v>
      </c>
      <c r="C96">
        <f t="shared" ca="1" si="22"/>
        <v>4</v>
      </c>
      <c r="D96">
        <f t="shared" ca="1" si="23"/>
        <v>3</v>
      </c>
      <c r="E96">
        <f t="shared" ca="1" si="24"/>
        <v>0</v>
      </c>
      <c r="F96" s="61">
        <f t="shared" ca="1" si="25"/>
        <v>1.112821248E-2</v>
      </c>
      <c r="G96">
        <v>1</v>
      </c>
      <c r="H96">
        <v>0</v>
      </c>
      <c r="I96">
        <v>3</v>
      </c>
      <c r="J96" s="61">
        <f t="shared" ca="1" si="26"/>
        <v>0.81450624999999988</v>
      </c>
      <c r="K96" s="61">
        <f t="shared" ca="1" si="27"/>
        <v>9.0639986162879983E-3</v>
      </c>
      <c r="L96" s="82">
        <f t="shared" ca="1" si="28"/>
        <v>194</v>
      </c>
      <c r="M96" s="16">
        <f t="shared" ca="1" si="29"/>
        <v>806</v>
      </c>
      <c r="N96" s="3">
        <f t="shared" ca="1" si="30"/>
        <v>5</v>
      </c>
      <c r="O96" s="19">
        <f t="shared" ca="1" si="31"/>
        <v>2.8178718937399587</v>
      </c>
      <c r="P96" s="19">
        <f t="shared" ca="1" si="32"/>
        <v>28.178718937399587</v>
      </c>
      <c r="Q96" s="19">
        <f t="shared" ca="1" si="33"/>
        <v>28.178718937399587</v>
      </c>
      <c r="R96" s="19">
        <f t="shared" ca="1" si="34"/>
        <v>2.8178718937399587</v>
      </c>
      <c r="S96" s="19">
        <f t="shared" ca="1" si="35"/>
        <v>2.8178718937399587</v>
      </c>
      <c r="T96" s="19">
        <f t="shared" ca="1" si="36"/>
        <v>2.5541186945735827E-2</v>
      </c>
      <c r="U96" s="19">
        <f t="shared" ca="1" si="37"/>
        <v>1453.3251747165598</v>
      </c>
      <c r="V96" s="19">
        <f t="shared" ca="1" si="38"/>
        <v>13.172937372647411</v>
      </c>
      <c r="W96" s="82">
        <f t="shared" ca="1" si="39"/>
        <v>3775.1772106481485</v>
      </c>
      <c r="X96" s="19">
        <f t="shared" ca="1" si="40"/>
        <v>34.218201013556801</v>
      </c>
      <c r="Y96" s="19">
        <f t="shared" si="41"/>
        <v>0</v>
      </c>
      <c r="Z96" s="82">
        <f t="shared" ca="1" si="42"/>
        <v>3775.1772106481485</v>
      </c>
      <c r="AA96" s="19">
        <f t="shared" ca="1" si="43"/>
        <v>34.218201013556801</v>
      </c>
      <c r="AE96" s="19"/>
    </row>
    <row r="97" spans="1:31" ht="12.75" customHeight="1" x14ac:dyDescent="0.2">
      <c r="A97">
        <v>0</v>
      </c>
      <c r="B97">
        <v>2</v>
      </c>
      <c r="C97">
        <f t="shared" ca="1" si="22"/>
        <v>4</v>
      </c>
      <c r="D97">
        <f t="shared" ca="1" si="23"/>
        <v>3</v>
      </c>
      <c r="E97">
        <f t="shared" ca="1" si="24"/>
        <v>0</v>
      </c>
      <c r="F97" s="61">
        <f t="shared" ca="1" si="25"/>
        <v>1.112821248E-2</v>
      </c>
      <c r="G97">
        <v>1</v>
      </c>
      <c r="H97">
        <v>0</v>
      </c>
      <c r="I97">
        <v>2</v>
      </c>
      <c r="J97" s="61">
        <f t="shared" ca="1" si="26"/>
        <v>0.12860625000000012</v>
      </c>
      <c r="K97" s="61">
        <f t="shared" ca="1" si="27"/>
        <v>1.4311576762560012E-3</v>
      </c>
      <c r="L97" s="82">
        <f t="shared" ca="1" si="28"/>
        <v>183</v>
      </c>
      <c r="M97" s="16">
        <f t="shared" ca="1" si="29"/>
        <v>817</v>
      </c>
      <c r="N97" s="3">
        <f t="shared" ca="1" si="30"/>
        <v>5</v>
      </c>
      <c r="O97" s="19">
        <f t="shared" ca="1" si="31"/>
        <v>2.8178718937399587</v>
      </c>
      <c r="P97" s="19">
        <f t="shared" ca="1" si="32"/>
        <v>28.178718937399587</v>
      </c>
      <c r="Q97" s="19">
        <f t="shared" ca="1" si="33"/>
        <v>28.178718937399587</v>
      </c>
      <c r="R97" s="19">
        <f t="shared" ca="1" si="34"/>
        <v>2.8178718937399587</v>
      </c>
      <c r="S97" s="19">
        <f t="shared" ca="1" si="35"/>
        <v>2.8178718937399587</v>
      </c>
      <c r="T97" s="19">
        <f t="shared" ca="1" si="36"/>
        <v>4.032818991431977E-3</v>
      </c>
      <c r="U97" s="19">
        <f t="shared" ca="1" si="37"/>
        <v>1442.3251747165598</v>
      </c>
      <c r="V97" s="19">
        <f t="shared" ca="1" si="38"/>
        <v>2.0641947454528826</v>
      </c>
      <c r="W97" s="82">
        <f t="shared" ca="1" si="39"/>
        <v>3289.2719806134264</v>
      </c>
      <c r="X97" s="19">
        <f t="shared" ca="1" si="40"/>
        <v>4.7074668443486862</v>
      </c>
      <c r="Y97" s="19">
        <f t="shared" si="41"/>
        <v>0</v>
      </c>
      <c r="Z97" s="82">
        <f t="shared" ca="1" si="42"/>
        <v>3289.2719806134264</v>
      </c>
      <c r="AA97" s="19">
        <f t="shared" ca="1" si="43"/>
        <v>4.7074668443486862</v>
      </c>
      <c r="AE97" s="19"/>
    </row>
    <row r="98" spans="1:31" ht="12.75" customHeight="1" x14ac:dyDescent="0.2">
      <c r="A98">
        <v>0</v>
      </c>
      <c r="B98">
        <v>2</v>
      </c>
      <c r="C98">
        <f t="shared" ca="1" si="22"/>
        <v>4</v>
      </c>
      <c r="D98">
        <f t="shared" ca="1" si="23"/>
        <v>3</v>
      </c>
      <c r="E98">
        <f t="shared" ca="1" si="24"/>
        <v>0</v>
      </c>
      <c r="F98" s="61">
        <f t="shared" ca="1" si="25"/>
        <v>1.112821248E-2</v>
      </c>
      <c r="G98">
        <v>1</v>
      </c>
      <c r="H98">
        <v>0</v>
      </c>
      <c r="I98">
        <v>1</v>
      </c>
      <c r="J98" s="61">
        <f t="shared" ca="1" si="26"/>
        <v>6.7687500000000109E-3</v>
      </c>
      <c r="K98" s="61">
        <f t="shared" ca="1" si="27"/>
        <v>7.5324088224000126E-5</v>
      </c>
      <c r="L98" s="82">
        <f t="shared" ca="1" si="28"/>
        <v>172</v>
      </c>
      <c r="M98" s="16">
        <f t="shared" ca="1" si="29"/>
        <v>828</v>
      </c>
      <c r="N98" s="3">
        <f t="shared" ca="1" si="30"/>
        <v>5</v>
      </c>
      <c r="O98" s="19">
        <f t="shared" ca="1" si="31"/>
        <v>2.8178718937399587</v>
      </c>
      <c r="P98" s="19">
        <f t="shared" ca="1" si="32"/>
        <v>28.178718937399587</v>
      </c>
      <c r="Q98" s="19">
        <f t="shared" ca="1" si="33"/>
        <v>28.178718937399587</v>
      </c>
      <c r="R98" s="19">
        <f t="shared" ca="1" si="34"/>
        <v>2.8178718937399587</v>
      </c>
      <c r="S98" s="19">
        <f t="shared" ca="1" si="35"/>
        <v>2.8178718937399587</v>
      </c>
      <c r="T98" s="19">
        <f t="shared" ca="1" si="36"/>
        <v>2.1225363112799896E-4</v>
      </c>
      <c r="U98" s="19">
        <f t="shared" ca="1" si="37"/>
        <v>1431.3251747165598</v>
      </c>
      <c r="V98" s="19">
        <f t="shared" ca="1" si="38"/>
        <v>0.10781326373758254</v>
      </c>
      <c r="W98" s="82">
        <f t="shared" ca="1" si="39"/>
        <v>2803.3667505787039</v>
      </c>
      <c r="X98" s="19">
        <f t="shared" ca="1" si="40"/>
        <v>0.21116104444481884</v>
      </c>
      <c r="Y98" s="19">
        <f t="shared" si="41"/>
        <v>0</v>
      </c>
      <c r="Z98" s="82">
        <f t="shared" ca="1" si="42"/>
        <v>2803.3667505787039</v>
      </c>
      <c r="AA98" s="19">
        <f t="shared" ca="1" si="43"/>
        <v>0.21116104444481884</v>
      </c>
      <c r="AE98" s="19"/>
    </row>
    <row r="99" spans="1:31" ht="12.75" customHeight="1" x14ac:dyDescent="0.2">
      <c r="A99">
        <v>0</v>
      </c>
      <c r="B99">
        <v>2</v>
      </c>
      <c r="C99">
        <f t="shared" ca="1" si="22"/>
        <v>4</v>
      </c>
      <c r="D99">
        <f t="shared" ca="1" si="23"/>
        <v>3</v>
      </c>
      <c r="E99">
        <f t="shared" ca="1" si="24"/>
        <v>0</v>
      </c>
      <c r="F99" s="61">
        <f t="shared" ca="1" si="25"/>
        <v>1.112821248E-2</v>
      </c>
      <c r="G99">
        <v>1</v>
      </c>
      <c r="H99">
        <v>0</v>
      </c>
      <c r="I99">
        <v>0</v>
      </c>
      <c r="J99" s="61">
        <f t="shared" ca="1" si="26"/>
        <v>1.1875000000000031E-4</v>
      </c>
      <c r="K99" s="61">
        <f t="shared" ca="1" si="27"/>
        <v>1.3214752320000035E-6</v>
      </c>
      <c r="L99" s="82">
        <f t="shared" ca="1" si="28"/>
        <v>161</v>
      </c>
      <c r="M99" s="16">
        <f t="shared" ca="1" si="29"/>
        <v>839</v>
      </c>
      <c r="N99" s="3">
        <f t="shared" ca="1" si="30"/>
        <v>5</v>
      </c>
      <c r="O99" s="19">
        <f t="shared" ca="1" si="31"/>
        <v>2.8178718937399587</v>
      </c>
      <c r="P99" s="19">
        <f t="shared" ca="1" si="32"/>
        <v>28.178718937399587</v>
      </c>
      <c r="Q99" s="19">
        <f t="shared" ca="1" si="33"/>
        <v>28.178718937399587</v>
      </c>
      <c r="R99" s="19">
        <f t="shared" ca="1" si="34"/>
        <v>2.8178718937399587</v>
      </c>
      <c r="S99" s="19">
        <f t="shared" ca="1" si="35"/>
        <v>2.8178718937399587</v>
      </c>
      <c r="T99" s="19">
        <f t="shared" ca="1" si="36"/>
        <v>3.7237479145263014E-6</v>
      </c>
      <c r="U99" s="19">
        <f t="shared" ca="1" si="37"/>
        <v>1420.3251747165598</v>
      </c>
      <c r="V99" s="19">
        <f t="shared" ca="1" si="38"/>
        <v>1.8769245397740114E-3</v>
      </c>
      <c r="W99" s="82">
        <f t="shared" ca="1" si="39"/>
        <v>2317.4615205439818</v>
      </c>
      <c r="X99" s="19">
        <f t="shared" ca="1" si="40"/>
        <v>3.0624680005119391E-3</v>
      </c>
      <c r="Y99" s="19">
        <f t="shared" si="41"/>
        <v>0</v>
      </c>
      <c r="Z99" s="82">
        <f t="shared" ca="1" si="42"/>
        <v>2317.4615205439818</v>
      </c>
      <c r="AA99" s="19">
        <f t="shared" ca="1" si="43"/>
        <v>3.0624680005119391E-3</v>
      </c>
      <c r="AE99" s="19"/>
    </row>
    <row r="100" spans="1:31" ht="12.75" customHeight="1" x14ac:dyDescent="0.2">
      <c r="A100">
        <v>0</v>
      </c>
      <c r="B100">
        <v>2</v>
      </c>
      <c r="C100">
        <f t="shared" ca="1" si="22"/>
        <v>4</v>
      </c>
      <c r="D100">
        <f t="shared" ca="1" si="23"/>
        <v>3</v>
      </c>
      <c r="E100">
        <f t="shared" ca="1" si="24"/>
        <v>0</v>
      </c>
      <c r="F100" s="61">
        <f t="shared" ca="1" si="25"/>
        <v>1.112821248E-2</v>
      </c>
      <c r="G100">
        <v>0</v>
      </c>
      <c r="H100">
        <v>1</v>
      </c>
      <c r="I100">
        <v>7</v>
      </c>
      <c r="J100" s="61">
        <f t="shared" ca="1" si="26"/>
        <v>0</v>
      </c>
      <c r="K100" s="61">
        <f t="shared" ca="1" si="27"/>
        <v>0</v>
      </c>
      <c r="L100" s="82">
        <f t="shared" ca="1" si="28"/>
        <v>238</v>
      </c>
      <c r="M100" s="16">
        <f t="shared" ca="1" si="29"/>
        <v>762</v>
      </c>
      <c r="N100" s="3">
        <f t="shared" ca="1" si="30"/>
        <v>5</v>
      </c>
      <c r="O100" s="19">
        <f t="shared" ca="1" si="31"/>
        <v>2.8178718937399587</v>
      </c>
      <c r="P100" s="19">
        <f t="shared" ca="1" si="32"/>
        <v>25.815886347750073</v>
      </c>
      <c r="Q100" s="19">
        <f t="shared" ca="1" si="33"/>
        <v>23.453053758100552</v>
      </c>
      <c r="R100" s="19">
        <f t="shared" ca="1" si="34"/>
        <v>2.4634470052925312</v>
      </c>
      <c r="S100" s="19">
        <f t="shared" ca="1" si="35"/>
        <v>2.8178718937399587</v>
      </c>
      <c r="T100" s="19">
        <f t="shared" ca="1" si="36"/>
        <v>0</v>
      </c>
      <c r="U100" s="19">
        <f t="shared" ca="1" si="37"/>
        <v>1497.3251747165598</v>
      </c>
      <c r="V100" s="19">
        <f t="shared" ca="1" si="38"/>
        <v>0</v>
      </c>
      <c r="W100" s="82">
        <f t="shared" ca="1" si="39"/>
        <v>3401.3366102430559</v>
      </c>
      <c r="X100" s="19">
        <f t="shared" ca="1" si="40"/>
        <v>0</v>
      </c>
      <c r="Y100" s="19">
        <f t="shared" si="41"/>
        <v>0</v>
      </c>
      <c r="Z100" s="82">
        <f t="shared" ca="1" si="42"/>
        <v>3401.3366102430559</v>
      </c>
      <c r="AA100" s="19">
        <f t="shared" ca="1" si="43"/>
        <v>0</v>
      </c>
      <c r="AE100" s="19"/>
    </row>
    <row r="101" spans="1:31" ht="12.75" customHeight="1" x14ac:dyDescent="0.2">
      <c r="A101">
        <v>0</v>
      </c>
      <c r="B101">
        <v>2</v>
      </c>
      <c r="C101">
        <f t="shared" ca="1" si="22"/>
        <v>4</v>
      </c>
      <c r="D101">
        <f t="shared" ca="1" si="23"/>
        <v>3</v>
      </c>
      <c r="E101">
        <f t="shared" ca="1" si="24"/>
        <v>0</v>
      </c>
      <c r="F101" s="61">
        <f t="shared" ca="1" si="25"/>
        <v>1.112821248E-2</v>
      </c>
      <c r="G101">
        <v>0</v>
      </c>
      <c r="H101">
        <v>1</v>
      </c>
      <c r="I101">
        <v>6</v>
      </c>
      <c r="J101" s="61">
        <f t="shared" ca="1" si="26"/>
        <v>0</v>
      </c>
      <c r="K101" s="61">
        <f t="shared" ca="1" si="27"/>
        <v>0</v>
      </c>
      <c r="L101" s="82">
        <f t="shared" ca="1" si="28"/>
        <v>227</v>
      </c>
      <c r="M101" s="16">
        <f t="shared" ca="1" si="29"/>
        <v>773</v>
      </c>
      <c r="N101" s="3">
        <f t="shared" ca="1" si="30"/>
        <v>5</v>
      </c>
      <c r="O101" s="19">
        <f t="shared" ca="1" si="31"/>
        <v>2.8178718937399587</v>
      </c>
      <c r="P101" s="19">
        <f t="shared" ca="1" si="32"/>
        <v>28.178718937399587</v>
      </c>
      <c r="Q101" s="19">
        <f t="shared" ca="1" si="33"/>
        <v>26.288452865679979</v>
      </c>
      <c r="R101" s="19">
        <f t="shared" ca="1" si="34"/>
        <v>2.7233585901539783</v>
      </c>
      <c r="S101" s="19">
        <f t="shared" ca="1" si="35"/>
        <v>2.8178718937399587</v>
      </c>
      <c r="T101" s="19">
        <f t="shared" ca="1" si="36"/>
        <v>0</v>
      </c>
      <c r="U101" s="19">
        <f t="shared" ca="1" si="37"/>
        <v>1486.3251747165598</v>
      </c>
      <c r="V101" s="19">
        <f t="shared" ca="1" si="38"/>
        <v>0</v>
      </c>
      <c r="W101" s="82">
        <f t="shared" ca="1" si="39"/>
        <v>2915.4313802083334</v>
      </c>
      <c r="X101" s="19">
        <f t="shared" ca="1" si="40"/>
        <v>0</v>
      </c>
      <c r="Y101" s="19">
        <f t="shared" si="41"/>
        <v>0</v>
      </c>
      <c r="Z101" s="82">
        <f t="shared" ca="1" si="42"/>
        <v>2915.4313802083334</v>
      </c>
      <c r="AA101" s="19">
        <f t="shared" ca="1" si="43"/>
        <v>0</v>
      </c>
      <c r="AE101" s="19"/>
    </row>
    <row r="102" spans="1:31" ht="12.75" customHeight="1" x14ac:dyDescent="0.2">
      <c r="A102">
        <v>0</v>
      </c>
      <c r="B102">
        <v>2</v>
      </c>
      <c r="C102">
        <f t="shared" ca="1" si="22"/>
        <v>4</v>
      </c>
      <c r="D102">
        <f t="shared" ca="1" si="23"/>
        <v>3</v>
      </c>
      <c r="E102">
        <f t="shared" ca="1" si="24"/>
        <v>0</v>
      </c>
      <c r="F102" s="61">
        <f t="shared" ca="1" si="25"/>
        <v>1.112821248E-2</v>
      </c>
      <c r="G102">
        <v>0</v>
      </c>
      <c r="H102">
        <v>1</v>
      </c>
      <c r="I102">
        <v>5</v>
      </c>
      <c r="J102" s="61">
        <f t="shared" ca="1" si="26"/>
        <v>0</v>
      </c>
      <c r="K102" s="61">
        <f t="shared" ca="1" si="27"/>
        <v>0</v>
      </c>
      <c r="L102" s="82">
        <f t="shared" ca="1" si="28"/>
        <v>216</v>
      </c>
      <c r="M102" s="16">
        <f t="shared" ca="1" si="29"/>
        <v>784</v>
      </c>
      <c r="N102" s="3">
        <f t="shared" ca="1" si="30"/>
        <v>5</v>
      </c>
      <c r="O102" s="19">
        <f t="shared" ca="1" si="31"/>
        <v>2.8178718937399587</v>
      </c>
      <c r="P102" s="19">
        <f t="shared" ca="1" si="32"/>
        <v>28.178718937399587</v>
      </c>
      <c r="Q102" s="19">
        <f t="shared" ca="1" si="33"/>
        <v>28.178718937399587</v>
      </c>
      <c r="R102" s="19">
        <f t="shared" ca="1" si="34"/>
        <v>2.8178718937399587</v>
      </c>
      <c r="S102" s="19">
        <f t="shared" ca="1" si="35"/>
        <v>2.8178718937399587</v>
      </c>
      <c r="T102" s="19">
        <f t="shared" ca="1" si="36"/>
        <v>0</v>
      </c>
      <c r="U102" s="19">
        <f t="shared" ca="1" si="37"/>
        <v>1475.3251747165598</v>
      </c>
      <c r="V102" s="19">
        <f t="shared" ca="1" si="38"/>
        <v>0</v>
      </c>
      <c r="W102" s="82">
        <f t="shared" ca="1" si="39"/>
        <v>2429.5261501736113</v>
      </c>
      <c r="X102" s="19">
        <f t="shared" ca="1" si="40"/>
        <v>0</v>
      </c>
      <c r="Y102" s="19">
        <f t="shared" si="41"/>
        <v>0</v>
      </c>
      <c r="Z102" s="82">
        <f t="shared" ca="1" si="42"/>
        <v>2429.5261501736113</v>
      </c>
      <c r="AA102" s="19">
        <f t="shared" ca="1" si="43"/>
        <v>0</v>
      </c>
      <c r="AE102" s="19"/>
    </row>
    <row r="103" spans="1:31" ht="12.75" customHeight="1" x14ac:dyDescent="0.2">
      <c r="A103">
        <v>0</v>
      </c>
      <c r="B103">
        <v>2</v>
      </c>
      <c r="C103">
        <f t="shared" ca="1" si="22"/>
        <v>4</v>
      </c>
      <c r="D103">
        <f t="shared" ca="1" si="23"/>
        <v>3</v>
      </c>
      <c r="E103">
        <f t="shared" ca="1" si="24"/>
        <v>0</v>
      </c>
      <c r="F103" s="61">
        <f t="shared" ca="1" si="25"/>
        <v>1.112821248E-2</v>
      </c>
      <c r="G103">
        <v>0</v>
      </c>
      <c r="H103">
        <v>1</v>
      </c>
      <c r="I103">
        <v>4</v>
      </c>
      <c r="J103" s="61">
        <f t="shared" ca="1" si="26"/>
        <v>0</v>
      </c>
      <c r="K103" s="61">
        <f t="shared" ca="1" si="27"/>
        <v>0</v>
      </c>
      <c r="L103" s="82">
        <f t="shared" ca="1" si="28"/>
        <v>205</v>
      </c>
      <c r="M103" s="16">
        <f t="shared" ca="1" si="29"/>
        <v>795</v>
      </c>
      <c r="N103" s="3">
        <f t="shared" ca="1" si="30"/>
        <v>5</v>
      </c>
      <c r="O103" s="19">
        <f t="shared" ca="1" si="31"/>
        <v>2.8178718937399587</v>
      </c>
      <c r="P103" s="19">
        <f t="shared" ca="1" si="32"/>
        <v>28.178718937399587</v>
      </c>
      <c r="Q103" s="19">
        <f t="shared" ca="1" si="33"/>
        <v>28.178718937399587</v>
      </c>
      <c r="R103" s="19">
        <f t="shared" ca="1" si="34"/>
        <v>2.8178718937399587</v>
      </c>
      <c r="S103" s="19">
        <f t="shared" ca="1" si="35"/>
        <v>2.8178718937399587</v>
      </c>
      <c r="T103" s="19">
        <f t="shared" ca="1" si="36"/>
        <v>0</v>
      </c>
      <c r="U103" s="19">
        <f t="shared" ca="1" si="37"/>
        <v>1464.3251747165598</v>
      </c>
      <c r="V103" s="19">
        <f t="shared" ca="1" si="38"/>
        <v>0</v>
      </c>
      <c r="W103" s="82">
        <f t="shared" ca="1" si="39"/>
        <v>1943.620920138889</v>
      </c>
      <c r="X103" s="19">
        <f t="shared" ca="1" si="40"/>
        <v>0</v>
      </c>
      <c r="Y103" s="19">
        <f t="shared" si="41"/>
        <v>0</v>
      </c>
      <c r="Z103" s="82">
        <f t="shared" ca="1" si="42"/>
        <v>1943.620920138889</v>
      </c>
      <c r="AA103" s="19">
        <f t="shared" ca="1" si="43"/>
        <v>0</v>
      </c>
      <c r="AE103" s="19"/>
    </row>
    <row r="104" spans="1:31" ht="12.75" customHeight="1" x14ac:dyDescent="0.2">
      <c r="A104">
        <v>0</v>
      </c>
      <c r="B104">
        <v>2</v>
      </c>
      <c r="C104">
        <f t="shared" ca="1" si="22"/>
        <v>4</v>
      </c>
      <c r="D104">
        <f t="shared" ca="1" si="23"/>
        <v>3</v>
      </c>
      <c r="E104">
        <f t="shared" ca="1" si="24"/>
        <v>0</v>
      </c>
      <c r="F104" s="61">
        <f t="shared" ca="1" si="25"/>
        <v>1.112821248E-2</v>
      </c>
      <c r="G104">
        <v>0</v>
      </c>
      <c r="H104">
        <v>1</v>
      </c>
      <c r="I104">
        <v>3</v>
      </c>
      <c r="J104" s="61">
        <f t="shared" ca="1" si="26"/>
        <v>0</v>
      </c>
      <c r="K104" s="61">
        <f t="shared" ca="1" si="27"/>
        <v>0</v>
      </c>
      <c r="L104" s="82">
        <f t="shared" ca="1" si="28"/>
        <v>194</v>
      </c>
      <c r="M104" s="16">
        <f t="shared" ca="1" si="29"/>
        <v>806</v>
      </c>
      <c r="N104" s="3">
        <f t="shared" ca="1" si="30"/>
        <v>5</v>
      </c>
      <c r="O104" s="19">
        <f t="shared" ca="1" si="31"/>
        <v>2.8178718937399587</v>
      </c>
      <c r="P104" s="19">
        <f t="shared" ca="1" si="32"/>
        <v>28.178718937399587</v>
      </c>
      <c r="Q104" s="19">
        <f t="shared" ca="1" si="33"/>
        <v>28.178718937399587</v>
      </c>
      <c r="R104" s="19">
        <f t="shared" ca="1" si="34"/>
        <v>2.8178718937399587</v>
      </c>
      <c r="S104" s="19">
        <f t="shared" ca="1" si="35"/>
        <v>2.8178718937399587</v>
      </c>
      <c r="T104" s="19">
        <f t="shared" ca="1" si="36"/>
        <v>0</v>
      </c>
      <c r="U104" s="19">
        <f t="shared" ca="1" si="37"/>
        <v>1453.3251747165598</v>
      </c>
      <c r="V104" s="19">
        <f t="shared" ca="1" si="38"/>
        <v>0</v>
      </c>
      <c r="W104" s="82">
        <f t="shared" ca="1" si="39"/>
        <v>1457.7156901041667</v>
      </c>
      <c r="X104" s="19">
        <f t="shared" ca="1" si="40"/>
        <v>0</v>
      </c>
      <c r="Y104" s="19">
        <f t="shared" si="41"/>
        <v>0</v>
      </c>
      <c r="Z104" s="82">
        <f t="shared" ca="1" si="42"/>
        <v>1457.7156901041667</v>
      </c>
      <c r="AA104" s="19">
        <f t="shared" ca="1" si="43"/>
        <v>0</v>
      </c>
      <c r="AE104" s="19"/>
    </row>
    <row r="105" spans="1:31" ht="12.75" customHeight="1" x14ac:dyDescent="0.2">
      <c r="A105">
        <v>0</v>
      </c>
      <c r="B105">
        <v>2</v>
      </c>
      <c r="C105">
        <f t="shared" ca="1" si="22"/>
        <v>4</v>
      </c>
      <c r="D105">
        <f t="shared" ca="1" si="23"/>
        <v>3</v>
      </c>
      <c r="E105">
        <f t="shared" ca="1" si="24"/>
        <v>0</v>
      </c>
      <c r="F105" s="61">
        <f t="shared" ca="1" si="25"/>
        <v>1.112821248E-2</v>
      </c>
      <c r="G105">
        <v>0</v>
      </c>
      <c r="H105">
        <v>1</v>
      </c>
      <c r="I105">
        <v>2</v>
      </c>
      <c r="J105" s="61">
        <f t="shared" ca="1" si="26"/>
        <v>0</v>
      </c>
      <c r="K105" s="61">
        <f t="shared" ca="1" si="27"/>
        <v>0</v>
      </c>
      <c r="L105" s="82">
        <f t="shared" ca="1" si="28"/>
        <v>183</v>
      </c>
      <c r="M105" s="16">
        <f t="shared" ca="1" si="29"/>
        <v>817</v>
      </c>
      <c r="N105" s="3">
        <f t="shared" ca="1" si="30"/>
        <v>5</v>
      </c>
      <c r="O105" s="19">
        <f t="shared" ca="1" si="31"/>
        <v>2.8178718937399587</v>
      </c>
      <c r="P105" s="19">
        <f t="shared" ca="1" si="32"/>
        <v>28.178718937399587</v>
      </c>
      <c r="Q105" s="19">
        <f t="shared" ca="1" si="33"/>
        <v>28.178718937399587</v>
      </c>
      <c r="R105" s="19">
        <f t="shared" ca="1" si="34"/>
        <v>2.8178718937399587</v>
      </c>
      <c r="S105" s="19">
        <f t="shared" ca="1" si="35"/>
        <v>2.8178718937399587</v>
      </c>
      <c r="T105" s="19">
        <f t="shared" ca="1" si="36"/>
        <v>0</v>
      </c>
      <c r="U105" s="19">
        <f t="shared" ca="1" si="37"/>
        <v>1442.3251747165598</v>
      </c>
      <c r="V105" s="19">
        <f t="shared" ca="1" si="38"/>
        <v>0</v>
      </c>
      <c r="W105" s="82">
        <f t="shared" ca="1" si="39"/>
        <v>971.8104600694445</v>
      </c>
      <c r="X105" s="19">
        <f t="shared" ca="1" si="40"/>
        <v>0</v>
      </c>
      <c r="Y105" s="19">
        <f t="shared" si="41"/>
        <v>0</v>
      </c>
      <c r="Z105" s="82">
        <f t="shared" ca="1" si="42"/>
        <v>971.8104600694445</v>
      </c>
      <c r="AA105" s="19">
        <f t="shared" ca="1" si="43"/>
        <v>0</v>
      </c>
      <c r="AE105" s="19"/>
    </row>
    <row r="106" spans="1:31" ht="12.75" customHeight="1" x14ac:dyDescent="0.2">
      <c r="A106">
        <v>0</v>
      </c>
      <c r="B106">
        <v>2</v>
      </c>
      <c r="C106">
        <f t="shared" ca="1" si="22"/>
        <v>4</v>
      </c>
      <c r="D106">
        <f t="shared" ca="1" si="23"/>
        <v>3</v>
      </c>
      <c r="E106">
        <f t="shared" ca="1" si="24"/>
        <v>0</v>
      </c>
      <c r="F106" s="61">
        <f t="shared" ca="1" si="25"/>
        <v>1.112821248E-2</v>
      </c>
      <c r="G106">
        <v>0</v>
      </c>
      <c r="H106">
        <v>1</v>
      </c>
      <c r="I106">
        <v>1</v>
      </c>
      <c r="J106" s="61">
        <f t="shared" ca="1" si="26"/>
        <v>0</v>
      </c>
      <c r="K106" s="61">
        <f t="shared" ca="1" si="27"/>
        <v>0</v>
      </c>
      <c r="L106" s="82">
        <f t="shared" ca="1" si="28"/>
        <v>172</v>
      </c>
      <c r="M106" s="16">
        <f t="shared" ca="1" si="29"/>
        <v>828</v>
      </c>
      <c r="N106" s="3">
        <f t="shared" ca="1" si="30"/>
        <v>5</v>
      </c>
      <c r="O106" s="19">
        <f t="shared" ca="1" si="31"/>
        <v>2.8178718937399587</v>
      </c>
      <c r="P106" s="19">
        <f t="shared" ca="1" si="32"/>
        <v>28.178718937399587</v>
      </c>
      <c r="Q106" s="19">
        <f t="shared" ca="1" si="33"/>
        <v>28.178718937399587</v>
      </c>
      <c r="R106" s="19">
        <f t="shared" ca="1" si="34"/>
        <v>2.8178718937399587</v>
      </c>
      <c r="S106" s="19">
        <f t="shared" ca="1" si="35"/>
        <v>2.8178718937399587</v>
      </c>
      <c r="T106" s="19">
        <f t="shared" ca="1" si="36"/>
        <v>0</v>
      </c>
      <c r="U106" s="19">
        <f t="shared" ca="1" si="37"/>
        <v>1431.3251747165598</v>
      </c>
      <c r="V106" s="19">
        <f t="shared" ca="1" si="38"/>
        <v>0</v>
      </c>
      <c r="W106" s="82">
        <f t="shared" ca="1" si="39"/>
        <v>485.90523003472225</v>
      </c>
      <c r="X106" s="19">
        <f t="shared" ca="1" si="40"/>
        <v>0</v>
      </c>
      <c r="Y106" s="19">
        <f t="shared" si="41"/>
        <v>0</v>
      </c>
      <c r="Z106" s="82">
        <f t="shared" ca="1" si="42"/>
        <v>485.90523003472225</v>
      </c>
      <c r="AA106" s="19">
        <f t="shared" ca="1" si="43"/>
        <v>0</v>
      </c>
      <c r="AE106" s="19"/>
    </row>
    <row r="107" spans="1:31" ht="12.75" customHeight="1" x14ac:dyDescent="0.2">
      <c r="A107">
        <v>0</v>
      </c>
      <c r="B107">
        <v>2</v>
      </c>
      <c r="C107">
        <f t="shared" ca="1" si="22"/>
        <v>4</v>
      </c>
      <c r="D107">
        <f t="shared" ca="1" si="23"/>
        <v>3</v>
      </c>
      <c r="E107">
        <f t="shared" ca="1" si="24"/>
        <v>0</v>
      </c>
      <c r="F107" s="61">
        <f t="shared" ca="1" si="25"/>
        <v>1.112821248E-2</v>
      </c>
      <c r="G107">
        <v>0</v>
      </c>
      <c r="H107">
        <v>1</v>
      </c>
      <c r="I107">
        <v>0</v>
      </c>
      <c r="J107" s="61">
        <f t="shared" ca="1" si="26"/>
        <v>0</v>
      </c>
      <c r="K107" s="61">
        <f t="shared" ca="1" si="27"/>
        <v>0</v>
      </c>
      <c r="L107" s="82">
        <f t="shared" ca="1" si="28"/>
        <v>161</v>
      </c>
      <c r="M107" s="16">
        <f t="shared" ca="1" si="29"/>
        <v>839</v>
      </c>
      <c r="N107" s="3">
        <f t="shared" ca="1" si="30"/>
        <v>5</v>
      </c>
      <c r="O107" s="19">
        <f t="shared" ca="1" si="31"/>
        <v>2.8178718937399587</v>
      </c>
      <c r="P107" s="19">
        <f t="shared" ca="1" si="32"/>
        <v>28.178718937399587</v>
      </c>
      <c r="Q107" s="19">
        <f t="shared" ca="1" si="33"/>
        <v>28.178718937399587</v>
      </c>
      <c r="R107" s="19">
        <f t="shared" ca="1" si="34"/>
        <v>2.8178718937399587</v>
      </c>
      <c r="S107" s="19">
        <f t="shared" ca="1" si="35"/>
        <v>2.8178718937399587</v>
      </c>
      <c r="T107" s="19">
        <f t="shared" ca="1" si="36"/>
        <v>0</v>
      </c>
      <c r="U107" s="19">
        <f t="shared" ca="1" si="37"/>
        <v>1420.3251747165598</v>
      </c>
      <c r="V107" s="19">
        <f t="shared" ca="1" si="38"/>
        <v>0</v>
      </c>
      <c r="W107" s="82">
        <f t="shared" ca="1" si="39"/>
        <v>0</v>
      </c>
      <c r="X107" s="19">
        <f t="shared" ca="1" si="40"/>
        <v>0</v>
      </c>
      <c r="Y107" s="19">
        <f t="shared" si="41"/>
        <v>0</v>
      </c>
      <c r="Z107" s="82">
        <f t="shared" ca="1" si="42"/>
        <v>0</v>
      </c>
      <c r="AA107" s="19">
        <f t="shared" ca="1" si="43"/>
        <v>0</v>
      </c>
      <c r="AE107" s="19"/>
    </row>
    <row r="108" spans="1:31" ht="12.75" customHeight="1" x14ac:dyDescent="0.2">
      <c r="A108">
        <v>0</v>
      </c>
      <c r="B108">
        <v>2</v>
      </c>
      <c r="C108">
        <f t="shared" ca="1" si="22"/>
        <v>4</v>
      </c>
      <c r="D108">
        <f t="shared" ca="1" si="23"/>
        <v>3</v>
      </c>
      <c r="E108">
        <f t="shared" ca="1" si="24"/>
        <v>0</v>
      </c>
      <c r="F108" s="61">
        <f t="shared" ca="1" si="25"/>
        <v>1.112821248E-2</v>
      </c>
      <c r="G108">
        <v>0</v>
      </c>
      <c r="H108">
        <v>0</v>
      </c>
      <c r="I108">
        <v>7</v>
      </c>
      <c r="J108" s="61">
        <f t="shared" ca="1" si="26"/>
        <v>0</v>
      </c>
      <c r="K108" s="61">
        <f t="shared" ca="1" si="27"/>
        <v>0</v>
      </c>
      <c r="L108" s="82">
        <f t="shared" ca="1" si="28"/>
        <v>77</v>
      </c>
      <c r="M108" s="16">
        <f t="shared" ca="1" si="29"/>
        <v>923</v>
      </c>
      <c r="N108" s="3">
        <f t="shared" ca="1" si="30"/>
        <v>5</v>
      </c>
      <c r="O108" s="19">
        <f t="shared" ca="1" si="31"/>
        <v>2.8178718937399587</v>
      </c>
      <c r="P108" s="19">
        <f t="shared" ca="1" si="32"/>
        <v>28.178718937399587</v>
      </c>
      <c r="Q108" s="19">
        <f t="shared" ca="1" si="33"/>
        <v>28.178718937399587</v>
      </c>
      <c r="R108" s="19">
        <f t="shared" ca="1" si="34"/>
        <v>2.8178718937399587</v>
      </c>
      <c r="S108" s="19">
        <f t="shared" ca="1" si="35"/>
        <v>2.8178718937399587</v>
      </c>
      <c r="T108" s="19">
        <f t="shared" ca="1" si="36"/>
        <v>0</v>
      </c>
      <c r="U108" s="19">
        <f t="shared" ca="1" si="37"/>
        <v>1336.3251747165598</v>
      </c>
      <c r="V108" s="19">
        <f t="shared" ca="1" si="38"/>
        <v>0</v>
      </c>
      <c r="W108" s="82">
        <f t="shared" ca="1" si="39"/>
        <v>3401.3366102430559</v>
      </c>
      <c r="X108" s="19">
        <f t="shared" ca="1" si="40"/>
        <v>0</v>
      </c>
      <c r="Y108" s="19">
        <f t="shared" si="41"/>
        <v>0</v>
      </c>
      <c r="Z108" s="82">
        <f t="shared" ca="1" si="42"/>
        <v>3401.3366102430559</v>
      </c>
      <c r="AA108" s="19">
        <f t="shared" ca="1" si="43"/>
        <v>0</v>
      </c>
      <c r="AE108" s="19"/>
    </row>
    <row r="109" spans="1:31" ht="12.75" customHeight="1" x14ac:dyDescent="0.2">
      <c r="A109">
        <v>0</v>
      </c>
      <c r="B109">
        <v>2</v>
      </c>
      <c r="C109">
        <f t="shared" ca="1" si="22"/>
        <v>4</v>
      </c>
      <c r="D109">
        <f t="shared" ca="1" si="23"/>
        <v>3</v>
      </c>
      <c r="E109">
        <f t="shared" ca="1" si="24"/>
        <v>0</v>
      </c>
      <c r="F109" s="61">
        <f t="shared" ca="1" si="25"/>
        <v>1.112821248E-2</v>
      </c>
      <c r="G109">
        <v>0</v>
      </c>
      <c r="H109">
        <v>0</v>
      </c>
      <c r="I109">
        <v>6</v>
      </c>
      <c r="J109" s="61">
        <f t="shared" ca="1" si="26"/>
        <v>0</v>
      </c>
      <c r="K109" s="61">
        <f t="shared" ca="1" si="27"/>
        <v>0</v>
      </c>
      <c r="L109" s="82">
        <f t="shared" ca="1" si="28"/>
        <v>66</v>
      </c>
      <c r="M109" s="16">
        <f t="shared" ca="1" si="29"/>
        <v>934</v>
      </c>
      <c r="N109" s="3">
        <f t="shared" ca="1" si="30"/>
        <v>5</v>
      </c>
      <c r="O109" s="19">
        <f t="shared" ca="1" si="31"/>
        <v>2.8178718937399587</v>
      </c>
      <c r="P109" s="19">
        <f t="shared" ca="1" si="32"/>
        <v>28.178718937399587</v>
      </c>
      <c r="Q109" s="19">
        <f t="shared" ca="1" si="33"/>
        <v>28.178718937399587</v>
      </c>
      <c r="R109" s="19">
        <f t="shared" ca="1" si="34"/>
        <v>2.8178718937399587</v>
      </c>
      <c r="S109" s="19">
        <f t="shared" ca="1" si="35"/>
        <v>2.8178718937399587</v>
      </c>
      <c r="T109" s="19">
        <f t="shared" ca="1" si="36"/>
        <v>0</v>
      </c>
      <c r="U109" s="19">
        <f t="shared" ca="1" si="37"/>
        <v>1325.3251747165598</v>
      </c>
      <c r="V109" s="19">
        <f t="shared" ca="1" si="38"/>
        <v>0</v>
      </c>
      <c r="W109" s="82">
        <f t="shared" ca="1" si="39"/>
        <v>2915.4313802083334</v>
      </c>
      <c r="X109" s="19">
        <f t="shared" ca="1" si="40"/>
        <v>0</v>
      </c>
      <c r="Y109" s="19">
        <f t="shared" si="41"/>
        <v>0</v>
      </c>
      <c r="Z109" s="82">
        <f t="shared" ca="1" si="42"/>
        <v>2915.4313802083334</v>
      </c>
      <c r="AA109" s="19">
        <f t="shared" ca="1" si="43"/>
        <v>0</v>
      </c>
      <c r="AE109" s="19"/>
    </row>
    <row r="110" spans="1:31" ht="12.75" customHeight="1" x14ac:dyDescent="0.2">
      <c r="A110">
        <v>0</v>
      </c>
      <c r="B110">
        <v>2</v>
      </c>
      <c r="C110">
        <f t="shared" ca="1" si="22"/>
        <v>4</v>
      </c>
      <c r="D110">
        <f t="shared" ca="1" si="23"/>
        <v>3</v>
      </c>
      <c r="E110">
        <f t="shared" ca="1" si="24"/>
        <v>0</v>
      </c>
      <c r="F110" s="61">
        <f t="shared" ca="1" si="25"/>
        <v>1.112821248E-2</v>
      </c>
      <c r="G110">
        <v>0</v>
      </c>
      <c r="H110">
        <v>0</v>
      </c>
      <c r="I110">
        <v>5</v>
      </c>
      <c r="J110" s="61">
        <f t="shared" ca="1" si="26"/>
        <v>0</v>
      </c>
      <c r="K110" s="61">
        <f t="shared" ca="1" si="27"/>
        <v>0</v>
      </c>
      <c r="L110" s="82">
        <f t="shared" ca="1" si="28"/>
        <v>55</v>
      </c>
      <c r="M110" s="16">
        <f t="shared" ca="1" si="29"/>
        <v>945</v>
      </c>
      <c r="N110" s="3">
        <f t="shared" ca="1" si="30"/>
        <v>5</v>
      </c>
      <c r="O110" s="19">
        <f t="shared" ca="1" si="31"/>
        <v>2.8178718937399587</v>
      </c>
      <c r="P110" s="19">
        <f t="shared" ca="1" si="32"/>
        <v>28.178718937399587</v>
      </c>
      <c r="Q110" s="19">
        <f t="shared" ca="1" si="33"/>
        <v>28.178718937399587</v>
      </c>
      <c r="R110" s="19">
        <f t="shared" ca="1" si="34"/>
        <v>2.8178718937399587</v>
      </c>
      <c r="S110" s="19">
        <f t="shared" ca="1" si="35"/>
        <v>2.8178718937399587</v>
      </c>
      <c r="T110" s="19">
        <f t="shared" ca="1" si="36"/>
        <v>0</v>
      </c>
      <c r="U110" s="19">
        <f t="shared" ca="1" si="37"/>
        <v>1314.3251747165598</v>
      </c>
      <c r="V110" s="19">
        <f t="shared" ca="1" si="38"/>
        <v>0</v>
      </c>
      <c r="W110" s="82">
        <f t="shared" ca="1" si="39"/>
        <v>2429.5261501736113</v>
      </c>
      <c r="X110" s="19">
        <f t="shared" ca="1" si="40"/>
        <v>0</v>
      </c>
      <c r="Y110" s="19">
        <f t="shared" si="41"/>
        <v>0</v>
      </c>
      <c r="Z110" s="82">
        <f t="shared" ca="1" si="42"/>
        <v>2429.5261501736113</v>
      </c>
      <c r="AA110" s="19">
        <f t="shared" ca="1" si="43"/>
        <v>0</v>
      </c>
      <c r="AE110" s="19"/>
    </row>
    <row r="111" spans="1:31" ht="12.75" customHeight="1" x14ac:dyDescent="0.2">
      <c r="A111">
        <v>0</v>
      </c>
      <c r="B111">
        <v>2</v>
      </c>
      <c r="C111">
        <f t="shared" ca="1" si="22"/>
        <v>4</v>
      </c>
      <c r="D111">
        <f t="shared" ca="1" si="23"/>
        <v>3</v>
      </c>
      <c r="E111">
        <f t="shared" ca="1" si="24"/>
        <v>0</v>
      </c>
      <c r="F111" s="61">
        <f t="shared" ca="1" si="25"/>
        <v>1.112821248E-2</v>
      </c>
      <c r="G111">
        <v>0</v>
      </c>
      <c r="H111">
        <v>0</v>
      </c>
      <c r="I111">
        <v>4</v>
      </c>
      <c r="J111" s="61">
        <f t="shared" ca="1" si="26"/>
        <v>0</v>
      </c>
      <c r="K111" s="61">
        <f t="shared" ca="1" si="27"/>
        <v>0</v>
      </c>
      <c r="L111" s="82">
        <f t="shared" ca="1" si="28"/>
        <v>44</v>
      </c>
      <c r="M111" s="16">
        <f t="shared" ca="1" si="29"/>
        <v>956</v>
      </c>
      <c r="N111" s="3">
        <f t="shared" ca="1" si="30"/>
        <v>6</v>
      </c>
      <c r="O111" s="19">
        <f t="shared" ca="1" si="31"/>
        <v>3.3239268932937667</v>
      </c>
      <c r="P111" s="19">
        <f t="shared" ca="1" si="32"/>
        <v>33.239268932937669</v>
      </c>
      <c r="Q111" s="19">
        <f t="shared" ca="1" si="33"/>
        <v>28.178718937399587</v>
      </c>
      <c r="R111" s="19">
        <f t="shared" ca="1" si="34"/>
        <v>3.0708993935168629</v>
      </c>
      <c r="S111" s="19">
        <f t="shared" ca="1" si="35"/>
        <v>3.3239268932937667</v>
      </c>
      <c r="T111" s="19">
        <f t="shared" ca="1" si="36"/>
        <v>0</v>
      </c>
      <c r="U111" s="19">
        <f t="shared" ca="1" si="37"/>
        <v>1495.4024523027438</v>
      </c>
      <c r="V111" s="19">
        <f t="shared" ca="1" si="38"/>
        <v>0</v>
      </c>
      <c r="W111" s="82">
        <f t="shared" ca="1" si="39"/>
        <v>1943.620920138889</v>
      </c>
      <c r="X111" s="19">
        <f t="shared" ca="1" si="40"/>
        <v>0</v>
      </c>
      <c r="Y111" s="19">
        <f t="shared" si="41"/>
        <v>0</v>
      </c>
      <c r="Z111" s="82">
        <f t="shared" ca="1" si="42"/>
        <v>1943.620920138889</v>
      </c>
      <c r="AA111" s="19">
        <f t="shared" ca="1" si="43"/>
        <v>0</v>
      </c>
      <c r="AE111" s="19"/>
    </row>
    <row r="112" spans="1:31" ht="12.75" customHeight="1" x14ac:dyDescent="0.2">
      <c r="A112">
        <v>0</v>
      </c>
      <c r="B112">
        <v>2</v>
      </c>
      <c r="C112">
        <f t="shared" ca="1" si="22"/>
        <v>4</v>
      </c>
      <c r="D112">
        <f t="shared" ca="1" si="23"/>
        <v>3</v>
      </c>
      <c r="E112">
        <f t="shared" ca="1" si="24"/>
        <v>0</v>
      </c>
      <c r="F112" s="61">
        <f t="shared" ca="1" si="25"/>
        <v>1.112821248E-2</v>
      </c>
      <c r="G112">
        <v>0</v>
      </c>
      <c r="H112">
        <v>0</v>
      </c>
      <c r="I112">
        <v>3</v>
      </c>
      <c r="J112" s="61">
        <f t="shared" ca="1" si="26"/>
        <v>4.2868749999999997E-2</v>
      </c>
      <c r="K112" s="61">
        <f t="shared" ca="1" si="27"/>
        <v>4.7705255875199996E-4</v>
      </c>
      <c r="L112" s="82">
        <f t="shared" ca="1" si="28"/>
        <v>33</v>
      </c>
      <c r="M112" s="16">
        <f t="shared" ca="1" si="29"/>
        <v>967</v>
      </c>
      <c r="N112" s="3">
        <f t="shared" ca="1" si="30"/>
        <v>6</v>
      </c>
      <c r="O112" s="19">
        <f t="shared" ca="1" si="31"/>
        <v>3.3239268932937667</v>
      </c>
      <c r="P112" s="19">
        <f t="shared" ca="1" si="32"/>
        <v>33.239268932937669</v>
      </c>
      <c r="Q112" s="19">
        <f t="shared" ca="1" si="33"/>
        <v>33.239268932937669</v>
      </c>
      <c r="R112" s="19">
        <f t="shared" ca="1" si="34"/>
        <v>3.3239268932937671</v>
      </c>
      <c r="S112" s="19">
        <f t="shared" ca="1" si="35"/>
        <v>3.3239268932937667</v>
      </c>
      <c r="T112" s="19">
        <f t="shared" ca="1" si="36"/>
        <v>1.5856878295503773E-3</v>
      </c>
      <c r="U112" s="19">
        <f t="shared" ca="1" si="37"/>
        <v>1484.4024523027438</v>
      </c>
      <c r="V112" s="19">
        <f t="shared" ca="1" si="38"/>
        <v>0.70813798808876749</v>
      </c>
      <c r="W112" s="82">
        <f t="shared" ca="1" si="39"/>
        <v>1457.7156901041667</v>
      </c>
      <c r="X112" s="19">
        <f t="shared" ca="1" si="40"/>
        <v>0.69540699989713017</v>
      </c>
      <c r="Y112" s="19">
        <f t="shared" si="41"/>
        <v>0</v>
      </c>
      <c r="Z112" s="82">
        <f t="shared" ca="1" si="42"/>
        <v>1457.7156901041667</v>
      </c>
      <c r="AA112" s="19">
        <f t="shared" ca="1" si="43"/>
        <v>0.69540699989713017</v>
      </c>
      <c r="AE112" s="19"/>
    </row>
    <row r="113" spans="1:31" ht="12.75" customHeight="1" x14ac:dyDescent="0.2">
      <c r="A113">
        <v>0</v>
      </c>
      <c r="B113">
        <v>2</v>
      </c>
      <c r="C113">
        <f t="shared" ca="1" si="22"/>
        <v>4</v>
      </c>
      <c r="D113">
        <f t="shared" ca="1" si="23"/>
        <v>3</v>
      </c>
      <c r="E113">
        <f t="shared" ca="1" si="24"/>
        <v>0</v>
      </c>
      <c r="F113" s="61">
        <f t="shared" ca="1" si="25"/>
        <v>1.112821248E-2</v>
      </c>
      <c r="G113">
        <v>0</v>
      </c>
      <c r="H113">
        <v>0</v>
      </c>
      <c r="I113">
        <v>2</v>
      </c>
      <c r="J113" s="61">
        <f t="shared" ca="1" si="26"/>
        <v>6.7687500000000074E-3</v>
      </c>
      <c r="K113" s="61">
        <f t="shared" ca="1" si="27"/>
        <v>7.5324088224000085E-5</v>
      </c>
      <c r="L113" s="82">
        <f t="shared" ca="1" si="28"/>
        <v>22</v>
      </c>
      <c r="M113" s="16">
        <f t="shared" ca="1" si="29"/>
        <v>978</v>
      </c>
      <c r="N113" s="3">
        <f t="shared" ca="1" si="30"/>
        <v>6</v>
      </c>
      <c r="O113" s="19">
        <f t="shared" ca="1" si="31"/>
        <v>3.3239268932937667</v>
      </c>
      <c r="P113" s="19">
        <f t="shared" ca="1" si="32"/>
        <v>33.239268932937669</v>
      </c>
      <c r="Q113" s="19">
        <f t="shared" ca="1" si="33"/>
        <v>33.239268932937669</v>
      </c>
      <c r="R113" s="19">
        <f t="shared" ca="1" si="34"/>
        <v>3.3239268932937671</v>
      </c>
      <c r="S113" s="19">
        <f t="shared" ca="1" si="35"/>
        <v>3.3239268932937667</v>
      </c>
      <c r="T113" s="19">
        <f t="shared" ca="1" si="36"/>
        <v>2.5037176256058617E-4</v>
      </c>
      <c r="U113" s="19">
        <f t="shared" ca="1" si="37"/>
        <v>1473.4024523027438</v>
      </c>
      <c r="V113" s="19">
        <f t="shared" ca="1" si="38"/>
        <v>0.11098269630670995</v>
      </c>
      <c r="W113" s="82">
        <f t="shared" ca="1" si="39"/>
        <v>971.8104600694445</v>
      </c>
      <c r="X113" s="19">
        <f t="shared" ca="1" si="40"/>
        <v>7.3200736831276952E-2</v>
      </c>
      <c r="Y113" s="19">
        <f t="shared" si="41"/>
        <v>0</v>
      </c>
      <c r="Z113" s="82">
        <f t="shared" ca="1" si="42"/>
        <v>971.8104600694445</v>
      </c>
      <c r="AA113" s="19">
        <f t="shared" ca="1" si="43"/>
        <v>7.3200736831276952E-2</v>
      </c>
      <c r="AE113" s="19"/>
    </row>
    <row r="114" spans="1:31" ht="12.75" customHeight="1" x14ac:dyDescent="0.2">
      <c r="A114">
        <v>0</v>
      </c>
      <c r="B114">
        <v>2</v>
      </c>
      <c r="C114">
        <f t="shared" ca="1" si="22"/>
        <v>4</v>
      </c>
      <c r="D114">
        <f t="shared" ca="1" si="23"/>
        <v>3</v>
      </c>
      <c r="E114">
        <f t="shared" ca="1" si="24"/>
        <v>0</v>
      </c>
      <c r="F114" s="61">
        <f t="shared" ca="1" si="25"/>
        <v>1.112821248E-2</v>
      </c>
      <c r="G114">
        <v>0</v>
      </c>
      <c r="H114">
        <v>0</v>
      </c>
      <c r="I114">
        <v>1</v>
      </c>
      <c r="J114" s="61">
        <f t="shared" ca="1" si="26"/>
        <v>3.5625000000000061E-4</v>
      </c>
      <c r="K114" s="61">
        <f t="shared" ca="1" si="27"/>
        <v>3.9644256960000065E-6</v>
      </c>
      <c r="L114" s="82">
        <f t="shared" ca="1" si="28"/>
        <v>11</v>
      </c>
      <c r="M114" s="16">
        <f t="shared" ca="1" si="29"/>
        <v>989</v>
      </c>
      <c r="N114" s="3">
        <f t="shared" ca="1" si="30"/>
        <v>6</v>
      </c>
      <c r="O114" s="19">
        <f t="shared" ca="1" si="31"/>
        <v>3.3239268932937667</v>
      </c>
      <c r="P114" s="19">
        <f t="shared" ca="1" si="32"/>
        <v>33.239268932937669</v>
      </c>
      <c r="Q114" s="19">
        <f t="shared" ca="1" si="33"/>
        <v>33.239268932937669</v>
      </c>
      <c r="R114" s="19">
        <f t="shared" ca="1" si="34"/>
        <v>3.3239268932937671</v>
      </c>
      <c r="S114" s="19">
        <f t="shared" ca="1" si="35"/>
        <v>3.3239268932937667</v>
      </c>
      <c r="T114" s="19">
        <f t="shared" ca="1" si="36"/>
        <v>1.3177461187399281E-5</v>
      </c>
      <c r="U114" s="19">
        <f t="shared" ca="1" si="37"/>
        <v>1462.4024523027438</v>
      </c>
      <c r="V114" s="19">
        <f t="shared" ca="1" si="38"/>
        <v>5.7975858598024212E-3</v>
      </c>
      <c r="W114" s="82">
        <f t="shared" ca="1" si="39"/>
        <v>485.90523003472225</v>
      </c>
      <c r="X114" s="19">
        <f t="shared" ca="1" si="40"/>
        <v>1.9263351797704469E-3</v>
      </c>
      <c r="Y114" s="19">
        <f t="shared" si="41"/>
        <v>0</v>
      </c>
      <c r="Z114" s="82">
        <f t="shared" ca="1" si="42"/>
        <v>485.90523003472225</v>
      </c>
      <c r="AA114" s="19">
        <f t="shared" ca="1" si="43"/>
        <v>1.9263351797704469E-3</v>
      </c>
      <c r="AE114" s="19"/>
    </row>
    <row r="115" spans="1:31" ht="12.75" customHeight="1" x14ac:dyDescent="0.2">
      <c r="A115">
        <v>0</v>
      </c>
      <c r="B115">
        <v>2</v>
      </c>
      <c r="C115">
        <f t="shared" ca="1" si="22"/>
        <v>4</v>
      </c>
      <c r="D115">
        <f t="shared" ca="1" si="23"/>
        <v>3</v>
      </c>
      <c r="E115">
        <f t="shared" ca="1" si="24"/>
        <v>0</v>
      </c>
      <c r="F115" s="61">
        <f t="shared" ca="1" si="25"/>
        <v>1.112821248E-2</v>
      </c>
      <c r="G115">
        <v>0</v>
      </c>
      <c r="H115">
        <v>0</v>
      </c>
      <c r="I115">
        <v>0</v>
      </c>
      <c r="J115" s="61">
        <f t="shared" ca="1" si="26"/>
        <v>6.2500000000000164E-6</v>
      </c>
      <c r="K115" s="61">
        <f t="shared" ca="1" si="27"/>
        <v>6.9551328000000183E-8</v>
      </c>
      <c r="L115" s="82">
        <f t="shared" ca="1" si="28"/>
        <v>0</v>
      </c>
      <c r="M115" s="16">
        <f t="shared" ca="1" si="29"/>
        <v>1000</v>
      </c>
      <c r="N115" s="3">
        <f t="shared" ca="1" si="30"/>
        <v>6</v>
      </c>
      <c r="O115" s="19">
        <f t="shared" ca="1" si="31"/>
        <v>3.3239268932937667</v>
      </c>
      <c r="P115" s="19">
        <f t="shared" ca="1" si="32"/>
        <v>33.239268932937669</v>
      </c>
      <c r="Q115" s="19">
        <f t="shared" ca="1" si="33"/>
        <v>33.239268932937669</v>
      </c>
      <c r="R115" s="19">
        <f t="shared" ca="1" si="34"/>
        <v>3.3239268932937671</v>
      </c>
      <c r="S115" s="19">
        <f t="shared" ca="1" si="35"/>
        <v>3.3239268932937667</v>
      </c>
      <c r="T115" s="19">
        <f t="shared" ca="1" si="36"/>
        <v>2.3118352960349636E-7</v>
      </c>
      <c r="U115" s="19">
        <f t="shared" ca="1" si="37"/>
        <v>1451.4024523027438</v>
      </c>
      <c r="V115" s="19">
        <f t="shared" ca="1" si="38"/>
        <v>1.0094696802011275E-4</v>
      </c>
      <c r="W115" s="82">
        <f t="shared" ca="1" si="39"/>
        <v>0</v>
      </c>
      <c r="X115" s="19">
        <f t="shared" ca="1" si="40"/>
        <v>0</v>
      </c>
      <c r="Y115" s="19">
        <f t="shared" si="41"/>
        <v>0</v>
      </c>
      <c r="Z115" s="82">
        <f t="shared" ca="1" si="42"/>
        <v>0</v>
      </c>
      <c r="AA115" s="19">
        <f t="shared" ca="1" si="43"/>
        <v>0</v>
      </c>
      <c r="AE115" s="19"/>
    </row>
    <row r="116" spans="1:31" ht="12.75" customHeight="1" x14ac:dyDescent="0.2">
      <c r="A116">
        <v>0</v>
      </c>
      <c r="B116">
        <v>3</v>
      </c>
      <c r="C116">
        <f t="shared" ca="1" si="22"/>
        <v>5</v>
      </c>
      <c r="D116">
        <f t="shared" ca="1" si="23"/>
        <v>4</v>
      </c>
      <c r="E116">
        <f t="shared" ca="1" si="24"/>
        <v>0</v>
      </c>
      <c r="F116" s="61">
        <f t="shared" ca="1" si="25"/>
        <v>8.6042879999999999E-3</v>
      </c>
      <c r="G116">
        <v>1</v>
      </c>
      <c r="H116">
        <v>1</v>
      </c>
      <c r="I116">
        <v>7</v>
      </c>
      <c r="J116" s="61">
        <f t="shared" ca="1" si="26"/>
        <v>0</v>
      </c>
      <c r="K116" s="61">
        <f t="shared" ca="1" si="27"/>
        <v>0</v>
      </c>
      <c r="L116" s="82">
        <f t="shared" ca="1" si="28"/>
        <v>399</v>
      </c>
      <c r="M116" s="16">
        <f t="shared" ca="1" si="29"/>
        <v>601</v>
      </c>
      <c r="N116" s="3">
        <f t="shared" ca="1" si="30"/>
        <v>4</v>
      </c>
      <c r="O116" s="19">
        <f t="shared" ca="1" si="31"/>
        <v>2.3453053758100548</v>
      </c>
      <c r="P116" s="19">
        <f t="shared" ca="1" si="32"/>
        <v>23.453053758100552</v>
      </c>
      <c r="Q116" s="19">
        <f t="shared" ca="1" si="33"/>
        <v>23.453053758100552</v>
      </c>
      <c r="R116" s="19">
        <f t="shared" ca="1" si="34"/>
        <v>2.3453053758100553</v>
      </c>
      <c r="S116" s="19">
        <f t="shared" ca="1" si="35"/>
        <v>2.3453053758100548</v>
      </c>
      <c r="T116" s="19">
        <f t="shared" ca="1" si="36"/>
        <v>0</v>
      </c>
      <c r="U116" s="19">
        <f t="shared" ca="1" si="37"/>
        <v>1478.9587218163997</v>
      </c>
      <c r="V116" s="19">
        <f t="shared" ca="1" si="38"/>
        <v>0</v>
      </c>
      <c r="W116" s="82">
        <f t="shared" ca="1" si="39"/>
        <v>5718.7981307870377</v>
      </c>
      <c r="X116" s="19">
        <f t="shared" ca="1" si="40"/>
        <v>0</v>
      </c>
      <c r="Y116" s="19">
        <f t="shared" si="41"/>
        <v>0</v>
      </c>
      <c r="Z116" s="82">
        <f t="shared" ca="1" si="42"/>
        <v>5718.7981307870377</v>
      </c>
      <c r="AA116" s="19">
        <f t="shared" ca="1" si="43"/>
        <v>0</v>
      </c>
      <c r="AE116" s="19"/>
    </row>
    <row r="117" spans="1:31" ht="12.75" customHeight="1" x14ac:dyDescent="0.2">
      <c r="A117">
        <v>0</v>
      </c>
      <c r="B117">
        <v>3</v>
      </c>
      <c r="C117">
        <f t="shared" ca="1" si="22"/>
        <v>5</v>
      </c>
      <c r="D117">
        <f t="shared" ca="1" si="23"/>
        <v>4</v>
      </c>
      <c r="E117">
        <f t="shared" ca="1" si="24"/>
        <v>0</v>
      </c>
      <c r="F117" s="61">
        <f t="shared" ca="1" si="25"/>
        <v>8.6042879999999999E-3</v>
      </c>
      <c r="G117">
        <v>1</v>
      </c>
      <c r="H117">
        <v>1</v>
      </c>
      <c r="I117">
        <v>6</v>
      </c>
      <c r="J117" s="61">
        <f t="shared" ca="1" si="26"/>
        <v>0</v>
      </c>
      <c r="K117" s="61">
        <f t="shared" ca="1" si="27"/>
        <v>0</v>
      </c>
      <c r="L117" s="82">
        <f t="shared" ca="1" si="28"/>
        <v>388</v>
      </c>
      <c r="M117" s="16">
        <f t="shared" ca="1" si="29"/>
        <v>612</v>
      </c>
      <c r="N117" s="3">
        <f t="shared" ca="1" si="30"/>
        <v>4</v>
      </c>
      <c r="O117" s="19">
        <f t="shared" ca="1" si="31"/>
        <v>2.3453053758100548</v>
      </c>
      <c r="P117" s="19">
        <f t="shared" ca="1" si="32"/>
        <v>23.453053758100552</v>
      </c>
      <c r="Q117" s="19">
        <f t="shared" ca="1" si="33"/>
        <v>23.453053758100552</v>
      </c>
      <c r="R117" s="19">
        <f t="shared" ca="1" si="34"/>
        <v>2.3453053758100553</v>
      </c>
      <c r="S117" s="19">
        <f t="shared" ca="1" si="35"/>
        <v>2.3453053758100548</v>
      </c>
      <c r="T117" s="19">
        <f t="shared" ca="1" si="36"/>
        <v>0</v>
      </c>
      <c r="U117" s="19">
        <f t="shared" ca="1" si="37"/>
        <v>1467.9587218163997</v>
      </c>
      <c r="V117" s="19">
        <f t="shared" ca="1" si="38"/>
        <v>0</v>
      </c>
      <c r="W117" s="82">
        <f t="shared" ca="1" si="39"/>
        <v>5232.8929007523147</v>
      </c>
      <c r="X117" s="19">
        <f t="shared" ca="1" si="40"/>
        <v>0</v>
      </c>
      <c r="Y117" s="19">
        <f t="shared" si="41"/>
        <v>0</v>
      </c>
      <c r="Z117" s="82">
        <f t="shared" ca="1" si="42"/>
        <v>5232.8929007523147</v>
      </c>
      <c r="AA117" s="19">
        <f t="shared" ca="1" si="43"/>
        <v>0</v>
      </c>
      <c r="AE117" s="19"/>
    </row>
    <row r="118" spans="1:31" ht="12.75" customHeight="1" x14ac:dyDescent="0.2">
      <c r="A118">
        <v>0</v>
      </c>
      <c r="B118">
        <v>3</v>
      </c>
      <c r="C118">
        <f t="shared" ca="1" si="22"/>
        <v>5</v>
      </c>
      <c r="D118">
        <f t="shared" ca="1" si="23"/>
        <v>4</v>
      </c>
      <c r="E118">
        <f t="shared" ca="1" si="24"/>
        <v>0</v>
      </c>
      <c r="F118" s="61">
        <f t="shared" ca="1" si="25"/>
        <v>8.6042879999999999E-3</v>
      </c>
      <c r="G118">
        <v>1</v>
      </c>
      <c r="H118">
        <v>1</v>
      </c>
      <c r="I118">
        <v>5</v>
      </c>
      <c r="J118" s="61">
        <f t="shared" ca="1" si="26"/>
        <v>0</v>
      </c>
      <c r="K118" s="61">
        <f t="shared" ca="1" si="27"/>
        <v>0</v>
      </c>
      <c r="L118" s="82">
        <f t="shared" ca="1" si="28"/>
        <v>377</v>
      </c>
      <c r="M118" s="16">
        <f t="shared" ca="1" si="29"/>
        <v>623</v>
      </c>
      <c r="N118" s="3">
        <f t="shared" ca="1" si="30"/>
        <v>4</v>
      </c>
      <c r="O118" s="19">
        <f t="shared" ca="1" si="31"/>
        <v>2.3453053758100548</v>
      </c>
      <c r="P118" s="19">
        <f t="shared" ca="1" si="32"/>
        <v>23.453053758100552</v>
      </c>
      <c r="Q118" s="19">
        <f t="shared" ca="1" si="33"/>
        <v>23.453053758100552</v>
      </c>
      <c r="R118" s="19">
        <f t="shared" ca="1" si="34"/>
        <v>2.3453053758100553</v>
      </c>
      <c r="S118" s="19">
        <f t="shared" ca="1" si="35"/>
        <v>2.3453053758100548</v>
      </c>
      <c r="T118" s="19">
        <f t="shared" ca="1" si="36"/>
        <v>0</v>
      </c>
      <c r="U118" s="19">
        <f t="shared" ca="1" si="37"/>
        <v>1456.9587218163997</v>
      </c>
      <c r="V118" s="19">
        <f t="shared" ca="1" si="38"/>
        <v>0</v>
      </c>
      <c r="W118" s="82">
        <f t="shared" ca="1" si="39"/>
        <v>4746.9876707175936</v>
      </c>
      <c r="X118" s="19">
        <f t="shared" ca="1" si="40"/>
        <v>0</v>
      </c>
      <c r="Y118" s="19">
        <f t="shared" si="41"/>
        <v>0</v>
      </c>
      <c r="Z118" s="82">
        <f t="shared" ca="1" si="42"/>
        <v>4746.9876707175936</v>
      </c>
      <c r="AA118" s="19">
        <f t="shared" ca="1" si="43"/>
        <v>0</v>
      </c>
      <c r="AE118" s="19"/>
    </row>
    <row r="119" spans="1:31" ht="12.75" customHeight="1" x14ac:dyDescent="0.2">
      <c r="A119">
        <v>0</v>
      </c>
      <c r="B119">
        <v>3</v>
      </c>
      <c r="C119">
        <f t="shared" ca="1" si="22"/>
        <v>5</v>
      </c>
      <c r="D119">
        <f t="shared" ca="1" si="23"/>
        <v>4</v>
      </c>
      <c r="E119">
        <f t="shared" ca="1" si="24"/>
        <v>0</v>
      </c>
      <c r="F119" s="61">
        <f t="shared" ca="1" si="25"/>
        <v>8.6042879999999999E-3</v>
      </c>
      <c r="G119">
        <v>1</v>
      </c>
      <c r="H119">
        <v>1</v>
      </c>
      <c r="I119">
        <v>4</v>
      </c>
      <c r="J119" s="61">
        <f t="shared" ca="1" si="26"/>
        <v>0</v>
      </c>
      <c r="K119" s="61">
        <f t="shared" ca="1" si="27"/>
        <v>0</v>
      </c>
      <c r="L119" s="82">
        <f t="shared" ca="1" si="28"/>
        <v>366</v>
      </c>
      <c r="M119" s="16">
        <f t="shared" ca="1" si="29"/>
        <v>634</v>
      </c>
      <c r="N119" s="3">
        <f t="shared" ca="1" si="30"/>
        <v>4</v>
      </c>
      <c r="O119" s="19">
        <f t="shared" ca="1" si="31"/>
        <v>2.3453053758100548</v>
      </c>
      <c r="P119" s="19">
        <f t="shared" ca="1" si="32"/>
        <v>23.453053758100552</v>
      </c>
      <c r="Q119" s="19">
        <f t="shared" ca="1" si="33"/>
        <v>23.453053758100552</v>
      </c>
      <c r="R119" s="19">
        <f t="shared" ca="1" si="34"/>
        <v>2.3453053758100553</v>
      </c>
      <c r="S119" s="19">
        <f t="shared" ca="1" si="35"/>
        <v>2.3453053758100548</v>
      </c>
      <c r="T119" s="19">
        <f t="shared" ca="1" si="36"/>
        <v>0</v>
      </c>
      <c r="U119" s="19">
        <f t="shared" ca="1" si="37"/>
        <v>1445.9587218163997</v>
      </c>
      <c r="V119" s="19">
        <f t="shared" ca="1" si="38"/>
        <v>0</v>
      </c>
      <c r="W119" s="82">
        <f t="shared" ca="1" si="39"/>
        <v>4261.0824406828706</v>
      </c>
      <c r="X119" s="19">
        <f t="shared" ca="1" si="40"/>
        <v>0</v>
      </c>
      <c r="Y119" s="19">
        <f t="shared" si="41"/>
        <v>0</v>
      </c>
      <c r="Z119" s="82">
        <f t="shared" ca="1" si="42"/>
        <v>4261.0824406828706</v>
      </c>
      <c r="AA119" s="19">
        <f t="shared" ca="1" si="43"/>
        <v>0</v>
      </c>
      <c r="AE119" s="19"/>
    </row>
    <row r="120" spans="1:31" ht="12.75" customHeight="1" x14ac:dyDescent="0.2">
      <c r="A120">
        <v>0</v>
      </c>
      <c r="B120">
        <v>3</v>
      </c>
      <c r="C120">
        <f t="shared" ca="1" si="22"/>
        <v>5</v>
      </c>
      <c r="D120">
        <f t="shared" ca="1" si="23"/>
        <v>4</v>
      </c>
      <c r="E120">
        <f t="shared" ca="1" si="24"/>
        <v>0</v>
      </c>
      <c r="F120" s="61">
        <f t="shared" ca="1" si="25"/>
        <v>8.6042879999999999E-3</v>
      </c>
      <c r="G120">
        <v>1</v>
      </c>
      <c r="H120">
        <v>1</v>
      </c>
      <c r="I120">
        <v>3</v>
      </c>
      <c r="J120" s="61">
        <f t="shared" ca="1" si="26"/>
        <v>0</v>
      </c>
      <c r="K120" s="61">
        <f t="shared" ca="1" si="27"/>
        <v>0</v>
      </c>
      <c r="L120" s="82">
        <f t="shared" ca="1" si="28"/>
        <v>355</v>
      </c>
      <c r="M120" s="16">
        <f t="shared" ca="1" si="29"/>
        <v>645</v>
      </c>
      <c r="N120" s="3">
        <f t="shared" ca="1" si="30"/>
        <v>4</v>
      </c>
      <c r="O120" s="19">
        <f t="shared" ca="1" si="31"/>
        <v>2.3453053758100548</v>
      </c>
      <c r="P120" s="19">
        <f t="shared" ca="1" si="32"/>
        <v>23.453053758100552</v>
      </c>
      <c r="Q120" s="19">
        <f t="shared" ca="1" si="33"/>
        <v>23.453053758100552</v>
      </c>
      <c r="R120" s="19">
        <f t="shared" ca="1" si="34"/>
        <v>2.3453053758100553</v>
      </c>
      <c r="S120" s="19">
        <f t="shared" ca="1" si="35"/>
        <v>2.3453053758100548</v>
      </c>
      <c r="T120" s="19">
        <f t="shared" ca="1" si="36"/>
        <v>0</v>
      </c>
      <c r="U120" s="19">
        <f t="shared" ca="1" si="37"/>
        <v>1434.9587218163997</v>
      </c>
      <c r="V120" s="19">
        <f t="shared" ca="1" si="38"/>
        <v>0</v>
      </c>
      <c r="W120" s="82">
        <f t="shared" ca="1" si="39"/>
        <v>3775.1772106481485</v>
      </c>
      <c r="X120" s="19">
        <f t="shared" ca="1" si="40"/>
        <v>0</v>
      </c>
      <c r="Y120" s="19">
        <f t="shared" si="41"/>
        <v>0</v>
      </c>
      <c r="Z120" s="82">
        <f t="shared" ca="1" si="42"/>
        <v>3775.1772106481485</v>
      </c>
      <c r="AA120" s="19">
        <f t="shared" ca="1" si="43"/>
        <v>0</v>
      </c>
      <c r="AE120" s="19"/>
    </row>
    <row r="121" spans="1:31" ht="12.75" customHeight="1" x14ac:dyDescent="0.2">
      <c r="A121">
        <v>0</v>
      </c>
      <c r="B121">
        <v>3</v>
      </c>
      <c r="C121">
        <f t="shared" ca="1" si="22"/>
        <v>5</v>
      </c>
      <c r="D121">
        <f t="shared" ca="1" si="23"/>
        <v>4</v>
      </c>
      <c r="E121">
        <f t="shared" ca="1" si="24"/>
        <v>0</v>
      </c>
      <c r="F121" s="61">
        <f t="shared" ca="1" si="25"/>
        <v>8.6042879999999999E-3</v>
      </c>
      <c r="G121">
        <v>1</v>
      </c>
      <c r="H121">
        <v>1</v>
      </c>
      <c r="I121">
        <v>2</v>
      </c>
      <c r="J121" s="61">
        <f t="shared" ca="1" si="26"/>
        <v>0</v>
      </c>
      <c r="K121" s="61">
        <f t="shared" ca="1" si="27"/>
        <v>0</v>
      </c>
      <c r="L121" s="82">
        <f t="shared" ca="1" si="28"/>
        <v>344</v>
      </c>
      <c r="M121" s="16">
        <f t="shared" ca="1" si="29"/>
        <v>656</v>
      </c>
      <c r="N121" s="3">
        <f t="shared" ca="1" si="30"/>
        <v>4</v>
      </c>
      <c r="O121" s="19">
        <f t="shared" ca="1" si="31"/>
        <v>2.3453053758100548</v>
      </c>
      <c r="P121" s="19">
        <f t="shared" ca="1" si="32"/>
        <v>23.453053758100552</v>
      </c>
      <c r="Q121" s="19">
        <f t="shared" ca="1" si="33"/>
        <v>23.453053758100552</v>
      </c>
      <c r="R121" s="19">
        <f t="shared" ca="1" si="34"/>
        <v>2.3453053758100553</v>
      </c>
      <c r="S121" s="19">
        <f t="shared" ca="1" si="35"/>
        <v>2.3453053758100548</v>
      </c>
      <c r="T121" s="19">
        <f t="shared" ca="1" si="36"/>
        <v>0</v>
      </c>
      <c r="U121" s="19">
        <f t="shared" ca="1" si="37"/>
        <v>1423.9587218163997</v>
      </c>
      <c r="V121" s="19">
        <f t="shared" ca="1" si="38"/>
        <v>0</v>
      </c>
      <c r="W121" s="82">
        <f t="shared" ca="1" si="39"/>
        <v>3289.2719806134264</v>
      </c>
      <c r="X121" s="19">
        <f t="shared" ca="1" si="40"/>
        <v>0</v>
      </c>
      <c r="Y121" s="19">
        <f t="shared" si="41"/>
        <v>0</v>
      </c>
      <c r="Z121" s="82">
        <f t="shared" ca="1" si="42"/>
        <v>3289.2719806134264</v>
      </c>
      <c r="AA121" s="19">
        <f t="shared" ca="1" si="43"/>
        <v>0</v>
      </c>
      <c r="AE121" s="19"/>
    </row>
    <row r="122" spans="1:31" ht="12.75" customHeight="1" x14ac:dyDescent="0.2">
      <c r="A122">
        <v>0</v>
      </c>
      <c r="B122">
        <v>3</v>
      </c>
      <c r="C122">
        <f t="shared" ca="1" si="22"/>
        <v>5</v>
      </c>
      <c r="D122">
        <f t="shared" ca="1" si="23"/>
        <v>4</v>
      </c>
      <c r="E122">
        <f t="shared" ca="1" si="24"/>
        <v>0</v>
      </c>
      <c r="F122" s="61">
        <f t="shared" ca="1" si="25"/>
        <v>8.6042879999999999E-3</v>
      </c>
      <c r="G122">
        <v>1</v>
      </c>
      <c r="H122">
        <v>1</v>
      </c>
      <c r="I122">
        <v>1</v>
      </c>
      <c r="J122" s="61">
        <f t="shared" ca="1" si="26"/>
        <v>0</v>
      </c>
      <c r="K122" s="61">
        <f t="shared" ca="1" si="27"/>
        <v>0</v>
      </c>
      <c r="L122" s="82">
        <f t="shared" ca="1" si="28"/>
        <v>333</v>
      </c>
      <c r="M122" s="16">
        <f t="shared" ca="1" si="29"/>
        <v>667</v>
      </c>
      <c r="N122" s="3">
        <f t="shared" ca="1" si="30"/>
        <v>4</v>
      </c>
      <c r="O122" s="19">
        <f t="shared" ca="1" si="31"/>
        <v>2.3453053758100548</v>
      </c>
      <c r="P122" s="19">
        <f t="shared" ca="1" si="32"/>
        <v>23.453053758100552</v>
      </c>
      <c r="Q122" s="19">
        <f t="shared" ca="1" si="33"/>
        <v>23.453053758100552</v>
      </c>
      <c r="R122" s="19">
        <f t="shared" ca="1" si="34"/>
        <v>2.3453053758100553</v>
      </c>
      <c r="S122" s="19">
        <f t="shared" ca="1" si="35"/>
        <v>2.3453053758100548</v>
      </c>
      <c r="T122" s="19">
        <f t="shared" ca="1" si="36"/>
        <v>0</v>
      </c>
      <c r="U122" s="19">
        <f t="shared" ca="1" si="37"/>
        <v>1412.9587218163997</v>
      </c>
      <c r="V122" s="19">
        <f t="shared" ca="1" si="38"/>
        <v>0</v>
      </c>
      <c r="W122" s="82">
        <f t="shared" ca="1" si="39"/>
        <v>2803.3667505787039</v>
      </c>
      <c r="X122" s="19">
        <f t="shared" ca="1" si="40"/>
        <v>0</v>
      </c>
      <c r="Y122" s="19">
        <f t="shared" si="41"/>
        <v>0</v>
      </c>
      <c r="Z122" s="82">
        <f t="shared" ca="1" si="42"/>
        <v>2803.3667505787039</v>
      </c>
      <c r="AA122" s="19">
        <f t="shared" ca="1" si="43"/>
        <v>0</v>
      </c>
      <c r="AE122" s="19"/>
    </row>
    <row r="123" spans="1:31" ht="12.75" customHeight="1" x14ac:dyDescent="0.2">
      <c r="A123">
        <v>0</v>
      </c>
      <c r="B123">
        <v>3</v>
      </c>
      <c r="C123">
        <f t="shared" ca="1" si="22"/>
        <v>5</v>
      </c>
      <c r="D123">
        <f t="shared" ca="1" si="23"/>
        <v>4</v>
      </c>
      <c r="E123">
        <f t="shared" ca="1" si="24"/>
        <v>0</v>
      </c>
      <c r="F123" s="61">
        <f t="shared" ca="1" si="25"/>
        <v>8.6042879999999999E-3</v>
      </c>
      <c r="G123">
        <v>1</v>
      </c>
      <c r="H123">
        <v>1</v>
      </c>
      <c r="I123">
        <v>0</v>
      </c>
      <c r="J123" s="61">
        <f t="shared" ca="1" si="26"/>
        <v>0</v>
      </c>
      <c r="K123" s="61">
        <f t="shared" ca="1" si="27"/>
        <v>0</v>
      </c>
      <c r="L123" s="82">
        <f t="shared" ca="1" si="28"/>
        <v>322</v>
      </c>
      <c r="M123" s="16">
        <f t="shared" ca="1" si="29"/>
        <v>678</v>
      </c>
      <c r="N123" s="3">
        <f t="shared" ca="1" si="30"/>
        <v>4</v>
      </c>
      <c r="O123" s="19">
        <f t="shared" ca="1" si="31"/>
        <v>2.3453053758100548</v>
      </c>
      <c r="P123" s="19">
        <f t="shared" ca="1" si="32"/>
        <v>23.453053758100552</v>
      </c>
      <c r="Q123" s="19">
        <f t="shared" ca="1" si="33"/>
        <v>23.453053758100552</v>
      </c>
      <c r="R123" s="19">
        <f t="shared" ca="1" si="34"/>
        <v>2.3453053758100553</v>
      </c>
      <c r="S123" s="19">
        <f t="shared" ca="1" si="35"/>
        <v>2.3453053758100548</v>
      </c>
      <c r="T123" s="19">
        <f t="shared" ca="1" si="36"/>
        <v>0</v>
      </c>
      <c r="U123" s="19">
        <f t="shared" ca="1" si="37"/>
        <v>1401.9587218163997</v>
      </c>
      <c r="V123" s="19">
        <f t="shared" ca="1" si="38"/>
        <v>0</v>
      </c>
      <c r="W123" s="82">
        <f t="shared" ca="1" si="39"/>
        <v>2317.4615205439818</v>
      </c>
      <c r="X123" s="19">
        <f t="shared" ca="1" si="40"/>
        <v>0</v>
      </c>
      <c r="Y123" s="19">
        <f t="shared" si="41"/>
        <v>0</v>
      </c>
      <c r="Z123" s="82">
        <f t="shared" ca="1" si="42"/>
        <v>2317.4615205439818</v>
      </c>
      <c r="AA123" s="19">
        <f t="shared" ca="1" si="43"/>
        <v>0</v>
      </c>
      <c r="AE123" s="19"/>
    </row>
    <row r="124" spans="1:31" ht="12.75" customHeight="1" x14ac:dyDescent="0.2">
      <c r="A124">
        <v>0</v>
      </c>
      <c r="B124">
        <v>3</v>
      </c>
      <c r="C124">
        <f t="shared" ca="1" si="22"/>
        <v>5</v>
      </c>
      <c r="D124">
        <f t="shared" ca="1" si="23"/>
        <v>4</v>
      </c>
      <c r="E124">
        <f t="shared" ca="1" si="24"/>
        <v>0</v>
      </c>
      <c r="F124" s="61">
        <f t="shared" ca="1" si="25"/>
        <v>8.6042879999999999E-3</v>
      </c>
      <c r="G124">
        <v>1</v>
      </c>
      <c r="H124">
        <v>0</v>
      </c>
      <c r="I124">
        <v>7</v>
      </c>
      <c r="J124" s="61">
        <f t="shared" ca="1" si="26"/>
        <v>0</v>
      </c>
      <c r="K124" s="61">
        <f t="shared" ca="1" si="27"/>
        <v>0</v>
      </c>
      <c r="L124" s="82">
        <f t="shared" ca="1" si="28"/>
        <v>238</v>
      </c>
      <c r="M124" s="16">
        <f t="shared" ca="1" si="29"/>
        <v>762</v>
      </c>
      <c r="N124" s="3">
        <f t="shared" ca="1" si="30"/>
        <v>5</v>
      </c>
      <c r="O124" s="19">
        <f t="shared" ca="1" si="31"/>
        <v>2.8178718937399587</v>
      </c>
      <c r="P124" s="19">
        <f t="shared" ca="1" si="32"/>
        <v>25.815886347750073</v>
      </c>
      <c r="Q124" s="19">
        <f t="shared" ca="1" si="33"/>
        <v>23.453053758100552</v>
      </c>
      <c r="R124" s="19">
        <f t="shared" ca="1" si="34"/>
        <v>2.4634470052925312</v>
      </c>
      <c r="S124" s="19">
        <f t="shared" ca="1" si="35"/>
        <v>2.8178718937399587</v>
      </c>
      <c r="T124" s="19">
        <f t="shared" ca="1" si="36"/>
        <v>0</v>
      </c>
      <c r="U124" s="19">
        <f t="shared" ca="1" si="37"/>
        <v>1497.3251747165598</v>
      </c>
      <c r="V124" s="19">
        <f t="shared" ca="1" si="38"/>
        <v>0</v>
      </c>
      <c r="W124" s="82">
        <f t="shared" ca="1" si="39"/>
        <v>5718.7981307870377</v>
      </c>
      <c r="X124" s="19">
        <f t="shared" ca="1" si="40"/>
        <v>0</v>
      </c>
      <c r="Y124" s="19">
        <f t="shared" si="41"/>
        <v>0</v>
      </c>
      <c r="Z124" s="82">
        <f t="shared" ca="1" si="42"/>
        <v>5718.7981307870377</v>
      </c>
      <c r="AA124" s="19">
        <f t="shared" ca="1" si="43"/>
        <v>0</v>
      </c>
      <c r="AE124" s="19"/>
    </row>
    <row r="125" spans="1:31" ht="12.75" customHeight="1" x14ac:dyDescent="0.2">
      <c r="A125">
        <v>0</v>
      </c>
      <c r="B125">
        <v>3</v>
      </c>
      <c r="C125">
        <f t="shared" ca="1" si="22"/>
        <v>5</v>
      </c>
      <c r="D125">
        <f t="shared" ca="1" si="23"/>
        <v>4</v>
      </c>
      <c r="E125">
        <f t="shared" ca="1" si="24"/>
        <v>0</v>
      </c>
      <c r="F125" s="61">
        <f t="shared" ca="1" si="25"/>
        <v>8.6042879999999999E-3</v>
      </c>
      <c r="G125">
        <v>1</v>
      </c>
      <c r="H125">
        <v>0</v>
      </c>
      <c r="I125">
        <v>6</v>
      </c>
      <c r="J125" s="61">
        <f t="shared" ca="1" si="26"/>
        <v>0</v>
      </c>
      <c r="K125" s="61">
        <f t="shared" ca="1" si="27"/>
        <v>0</v>
      </c>
      <c r="L125" s="82">
        <f t="shared" ca="1" si="28"/>
        <v>227</v>
      </c>
      <c r="M125" s="16">
        <f t="shared" ca="1" si="29"/>
        <v>773</v>
      </c>
      <c r="N125" s="3">
        <f t="shared" ca="1" si="30"/>
        <v>5</v>
      </c>
      <c r="O125" s="19">
        <f t="shared" ca="1" si="31"/>
        <v>2.8178718937399587</v>
      </c>
      <c r="P125" s="19">
        <f t="shared" ca="1" si="32"/>
        <v>28.178718937399587</v>
      </c>
      <c r="Q125" s="19">
        <f t="shared" ca="1" si="33"/>
        <v>26.288452865679979</v>
      </c>
      <c r="R125" s="19">
        <f t="shared" ca="1" si="34"/>
        <v>2.7233585901539783</v>
      </c>
      <c r="S125" s="19">
        <f t="shared" ca="1" si="35"/>
        <v>2.8178718937399587</v>
      </c>
      <c r="T125" s="19">
        <f t="shared" ca="1" si="36"/>
        <v>0</v>
      </c>
      <c r="U125" s="19">
        <f t="shared" ca="1" si="37"/>
        <v>1486.3251747165598</v>
      </c>
      <c r="V125" s="19">
        <f t="shared" ca="1" si="38"/>
        <v>0</v>
      </c>
      <c r="W125" s="82">
        <f t="shared" ca="1" si="39"/>
        <v>5232.8929007523147</v>
      </c>
      <c r="X125" s="19">
        <f t="shared" ca="1" si="40"/>
        <v>0</v>
      </c>
      <c r="Y125" s="19">
        <f t="shared" si="41"/>
        <v>0</v>
      </c>
      <c r="Z125" s="82">
        <f t="shared" ca="1" si="42"/>
        <v>5232.8929007523147</v>
      </c>
      <c r="AA125" s="19">
        <f t="shared" ca="1" si="43"/>
        <v>0</v>
      </c>
      <c r="AE125" s="19"/>
    </row>
    <row r="126" spans="1:31" ht="12.75" customHeight="1" x14ac:dyDescent="0.2">
      <c r="A126">
        <v>0</v>
      </c>
      <c r="B126">
        <v>3</v>
      </c>
      <c r="C126">
        <f t="shared" ca="1" si="22"/>
        <v>5</v>
      </c>
      <c r="D126">
        <f t="shared" ca="1" si="23"/>
        <v>4</v>
      </c>
      <c r="E126">
        <f t="shared" ca="1" si="24"/>
        <v>0</v>
      </c>
      <c r="F126" s="61">
        <f t="shared" ca="1" si="25"/>
        <v>8.6042879999999999E-3</v>
      </c>
      <c r="G126">
        <v>1</v>
      </c>
      <c r="H126">
        <v>0</v>
      </c>
      <c r="I126">
        <v>5</v>
      </c>
      <c r="J126" s="61">
        <f t="shared" ca="1" si="26"/>
        <v>0</v>
      </c>
      <c r="K126" s="61">
        <f t="shared" ca="1" si="27"/>
        <v>0</v>
      </c>
      <c r="L126" s="82">
        <f t="shared" ca="1" si="28"/>
        <v>216</v>
      </c>
      <c r="M126" s="16">
        <f t="shared" ca="1" si="29"/>
        <v>784</v>
      </c>
      <c r="N126" s="3">
        <f t="shared" ca="1" si="30"/>
        <v>5</v>
      </c>
      <c r="O126" s="19">
        <f t="shared" ca="1" si="31"/>
        <v>2.8178718937399587</v>
      </c>
      <c r="P126" s="19">
        <f t="shared" ca="1" si="32"/>
        <v>28.178718937399587</v>
      </c>
      <c r="Q126" s="19">
        <f t="shared" ca="1" si="33"/>
        <v>28.178718937399587</v>
      </c>
      <c r="R126" s="19">
        <f t="shared" ca="1" si="34"/>
        <v>2.8178718937399587</v>
      </c>
      <c r="S126" s="19">
        <f t="shared" ca="1" si="35"/>
        <v>2.8178718937399587</v>
      </c>
      <c r="T126" s="19">
        <f t="shared" ca="1" si="36"/>
        <v>0</v>
      </c>
      <c r="U126" s="19">
        <f t="shared" ca="1" si="37"/>
        <v>1475.3251747165598</v>
      </c>
      <c r="V126" s="19">
        <f t="shared" ca="1" si="38"/>
        <v>0</v>
      </c>
      <c r="W126" s="82">
        <f t="shared" ca="1" si="39"/>
        <v>4746.9876707175936</v>
      </c>
      <c r="X126" s="19">
        <f t="shared" ca="1" si="40"/>
        <v>0</v>
      </c>
      <c r="Y126" s="19">
        <f t="shared" si="41"/>
        <v>0</v>
      </c>
      <c r="Z126" s="82">
        <f t="shared" ca="1" si="42"/>
        <v>4746.9876707175936</v>
      </c>
      <c r="AA126" s="19">
        <f t="shared" ca="1" si="43"/>
        <v>0</v>
      </c>
      <c r="AE126" s="19"/>
    </row>
    <row r="127" spans="1:31" ht="12.75" customHeight="1" x14ac:dyDescent="0.2">
      <c r="A127">
        <v>0</v>
      </c>
      <c r="B127">
        <v>3</v>
      </c>
      <c r="C127">
        <f t="shared" ca="1" si="22"/>
        <v>5</v>
      </c>
      <c r="D127">
        <f t="shared" ca="1" si="23"/>
        <v>4</v>
      </c>
      <c r="E127">
        <f t="shared" ca="1" si="24"/>
        <v>0</v>
      </c>
      <c r="F127" s="61">
        <f t="shared" ca="1" si="25"/>
        <v>8.6042879999999999E-3</v>
      </c>
      <c r="G127">
        <v>1</v>
      </c>
      <c r="H127">
        <v>0</v>
      </c>
      <c r="I127">
        <v>4</v>
      </c>
      <c r="J127" s="61">
        <f t="shared" ca="1" si="26"/>
        <v>0.77378093749999999</v>
      </c>
      <c r="K127" s="61">
        <f t="shared" ca="1" si="27"/>
        <v>6.6578340351599995E-3</v>
      </c>
      <c r="L127" s="82">
        <f t="shared" ca="1" si="28"/>
        <v>205</v>
      </c>
      <c r="M127" s="16">
        <f t="shared" ca="1" si="29"/>
        <v>795</v>
      </c>
      <c r="N127" s="3">
        <f t="shared" ca="1" si="30"/>
        <v>5</v>
      </c>
      <c r="O127" s="19">
        <f t="shared" ca="1" si="31"/>
        <v>2.8178718937399587</v>
      </c>
      <c r="P127" s="19">
        <f t="shared" ca="1" si="32"/>
        <v>28.178718937399587</v>
      </c>
      <c r="Q127" s="19">
        <f t="shared" ca="1" si="33"/>
        <v>28.178718937399587</v>
      </c>
      <c r="R127" s="19">
        <f t="shared" ca="1" si="34"/>
        <v>2.8178718937399587</v>
      </c>
      <c r="S127" s="19">
        <f t="shared" ca="1" si="35"/>
        <v>2.8178718937399587</v>
      </c>
      <c r="T127" s="19">
        <f t="shared" ca="1" si="36"/>
        <v>1.8760923400862658E-2</v>
      </c>
      <c r="U127" s="19">
        <f t="shared" ca="1" si="37"/>
        <v>1464.3251747165598</v>
      </c>
      <c r="V127" s="19">
        <f t="shared" ca="1" si="38"/>
        <v>9.749233986769525</v>
      </c>
      <c r="W127" s="82">
        <f t="shared" ca="1" si="39"/>
        <v>4261.0824406828706</v>
      </c>
      <c r="X127" s="19">
        <f t="shared" ca="1" si="40"/>
        <v>28.369579700201054</v>
      </c>
      <c r="Y127" s="19">
        <f t="shared" si="41"/>
        <v>0</v>
      </c>
      <c r="Z127" s="82">
        <f t="shared" ca="1" si="42"/>
        <v>4261.0824406828706</v>
      </c>
      <c r="AA127" s="19">
        <f t="shared" ca="1" si="43"/>
        <v>28.369579700201054</v>
      </c>
      <c r="AE127" s="19"/>
    </row>
    <row r="128" spans="1:31" ht="12.75" customHeight="1" x14ac:dyDescent="0.2">
      <c r="A128">
        <v>0</v>
      </c>
      <c r="B128">
        <v>3</v>
      </c>
      <c r="C128">
        <f t="shared" ca="1" si="22"/>
        <v>5</v>
      </c>
      <c r="D128">
        <f t="shared" ca="1" si="23"/>
        <v>4</v>
      </c>
      <c r="E128">
        <f t="shared" ca="1" si="24"/>
        <v>0</v>
      </c>
      <c r="F128" s="61">
        <f t="shared" ca="1" si="25"/>
        <v>8.6042879999999999E-3</v>
      </c>
      <c r="G128">
        <v>1</v>
      </c>
      <c r="H128">
        <v>0</v>
      </c>
      <c r="I128">
        <v>3</v>
      </c>
      <c r="J128" s="61">
        <f t="shared" ca="1" si="26"/>
        <v>0.16290125000000011</v>
      </c>
      <c r="K128" s="61">
        <f t="shared" ca="1" si="27"/>
        <v>1.4016492705600009E-3</v>
      </c>
      <c r="L128" s="82">
        <f t="shared" ca="1" si="28"/>
        <v>194</v>
      </c>
      <c r="M128" s="16">
        <f t="shared" ca="1" si="29"/>
        <v>806</v>
      </c>
      <c r="N128" s="3">
        <f t="shared" ca="1" si="30"/>
        <v>5</v>
      </c>
      <c r="O128" s="19">
        <f t="shared" ca="1" si="31"/>
        <v>2.8178718937399587</v>
      </c>
      <c r="P128" s="19">
        <f t="shared" ca="1" si="32"/>
        <v>28.178718937399587</v>
      </c>
      <c r="Q128" s="19">
        <f t="shared" ca="1" si="33"/>
        <v>28.178718937399587</v>
      </c>
      <c r="R128" s="19">
        <f t="shared" ca="1" si="34"/>
        <v>2.8178718937399587</v>
      </c>
      <c r="S128" s="19">
        <f t="shared" ca="1" si="35"/>
        <v>2.8178718937399587</v>
      </c>
      <c r="T128" s="19">
        <f t="shared" ca="1" si="36"/>
        <v>3.9496680843921416E-3</v>
      </c>
      <c r="U128" s="19">
        <f t="shared" ca="1" si="37"/>
        <v>1453.3251747165598</v>
      </c>
      <c r="V128" s="19">
        <f t="shared" ca="1" si="38"/>
        <v>2.0370521710279519</v>
      </c>
      <c r="W128" s="82">
        <f t="shared" ca="1" si="39"/>
        <v>3775.1772106481485</v>
      </c>
      <c r="X128" s="19">
        <f t="shared" ca="1" si="40"/>
        <v>5.2914743835397164</v>
      </c>
      <c r="Y128" s="19">
        <f t="shared" si="41"/>
        <v>0</v>
      </c>
      <c r="Z128" s="82">
        <f t="shared" ca="1" si="42"/>
        <v>3775.1772106481485</v>
      </c>
      <c r="AA128" s="19">
        <f t="shared" ca="1" si="43"/>
        <v>5.2914743835397164</v>
      </c>
      <c r="AE128" s="19"/>
    </row>
    <row r="129" spans="1:31" ht="12.75" customHeight="1" x14ac:dyDescent="0.2">
      <c r="A129">
        <v>0</v>
      </c>
      <c r="B129">
        <v>3</v>
      </c>
      <c r="C129">
        <f t="shared" ca="1" si="22"/>
        <v>5</v>
      </c>
      <c r="D129">
        <f t="shared" ca="1" si="23"/>
        <v>4</v>
      </c>
      <c r="E129">
        <f t="shared" ca="1" si="24"/>
        <v>0</v>
      </c>
      <c r="F129" s="61">
        <f t="shared" ca="1" si="25"/>
        <v>8.6042879999999999E-3</v>
      </c>
      <c r="G129">
        <v>1</v>
      </c>
      <c r="H129">
        <v>0</v>
      </c>
      <c r="I129">
        <v>2</v>
      </c>
      <c r="J129" s="61">
        <f t="shared" ca="1" si="26"/>
        <v>1.2860625000000021E-2</v>
      </c>
      <c r="K129" s="61">
        <f t="shared" ca="1" si="27"/>
        <v>1.1065652136000018E-4</v>
      </c>
      <c r="L129" s="82">
        <f t="shared" ca="1" si="28"/>
        <v>183</v>
      </c>
      <c r="M129" s="16">
        <f t="shared" ca="1" si="29"/>
        <v>817</v>
      </c>
      <c r="N129" s="3">
        <f t="shared" ca="1" si="30"/>
        <v>5</v>
      </c>
      <c r="O129" s="19">
        <f t="shared" ca="1" si="31"/>
        <v>2.8178718937399587</v>
      </c>
      <c r="P129" s="19">
        <f t="shared" ca="1" si="32"/>
        <v>28.178718937399587</v>
      </c>
      <c r="Q129" s="19">
        <f t="shared" ca="1" si="33"/>
        <v>28.178718937399587</v>
      </c>
      <c r="R129" s="19">
        <f t="shared" ca="1" si="34"/>
        <v>2.8178718937399587</v>
      </c>
      <c r="S129" s="19">
        <f t="shared" ca="1" si="35"/>
        <v>2.8178718937399587</v>
      </c>
      <c r="T129" s="19">
        <f t="shared" ca="1" si="36"/>
        <v>3.118159013993799E-4</v>
      </c>
      <c r="U129" s="19">
        <f t="shared" ca="1" si="37"/>
        <v>1442.3251747165598</v>
      </c>
      <c r="V129" s="19">
        <f t="shared" ca="1" si="38"/>
        <v>0.15960268650408899</v>
      </c>
      <c r="W129" s="82">
        <f t="shared" ca="1" si="39"/>
        <v>3289.2719806134264</v>
      </c>
      <c r="X129" s="19">
        <f t="shared" ca="1" si="40"/>
        <v>0.36397939518159972</v>
      </c>
      <c r="Y129" s="19">
        <f t="shared" si="41"/>
        <v>0</v>
      </c>
      <c r="Z129" s="82">
        <f t="shared" ca="1" si="42"/>
        <v>3289.2719806134264</v>
      </c>
      <c r="AA129" s="19">
        <f t="shared" ca="1" si="43"/>
        <v>0.36397939518159972</v>
      </c>
      <c r="AE129" s="19"/>
    </row>
    <row r="130" spans="1:31" ht="12.75" customHeight="1" x14ac:dyDescent="0.2">
      <c r="A130">
        <v>0</v>
      </c>
      <c r="B130">
        <v>3</v>
      </c>
      <c r="C130">
        <f t="shared" ca="1" si="22"/>
        <v>5</v>
      </c>
      <c r="D130">
        <f t="shared" ca="1" si="23"/>
        <v>4</v>
      </c>
      <c r="E130">
        <f t="shared" ca="1" si="24"/>
        <v>0</v>
      </c>
      <c r="F130" s="61">
        <f t="shared" ca="1" si="25"/>
        <v>8.6042879999999999E-3</v>
      </c>
      <c r="G130">
        <v>1</v>
      </c>
      <c r="H130">
        <v>0</v>
      </c>
      <c r="I130">
        <v>1</v>
      </c>
      <c r="J130" s="61">
        <f t="shared" ca="1" si="26"/>
        <v>4.5125000000000118E-4</v>
      </c>
      <c r="K130" s="61">
        <f t="shared" ca="1" si="27"/>
        <v>3.8826849600000099E-6</v>
      </c>
      <c r="L130" s="82">
        <f t="shared" ca="1" si="28"/>
        <v>172</v>
      </c>
      <c r="M130" s="16">
        <f t="shared" ca="1" si="29"/>
        <v>828</v>
      </c>
      <c r="N130" s="3">
        <f t="shared" ca="1" si="30"/>
        <v>5</v>
      </c>
      <c r="O130" s="19">
        <f t="shared" ca="1" si="31"/>
        <v>2.8178718937399587</v>
      </c>
      <c r="P130" s="19">
        <f t="shared" ca="1" si="32"/>
        <v>28.178718937399587</v>
      </c>
      <c r="Q130" s="19">
        <f t="shared" ca="1" si="33"/>
        <v>28.178718937399587</v>
      </c>
      <c r="R130" s="19">
        <f t="shared" ca="1" si="34"/>
        <v>2.8178718937399587</v>
      </c>
      <c r="S130" s="19">
        <f t="shared" ca="1" si="35"/>
        <v>2.8178718937399587</v>
      </c>
      <c r="T130" s="19">
        <f t="shared" ca="1" si="36"/>
        <v>1.0940908821030883E-5</v>
      </c>
      <c r="U130" s="19">
        <f t="shared" ca="1" si="37"/>
        <v>1431.3251747165598</v>
      </c>
      <c r="V130" s="19">
        <f t="shared" ca="1" si="38"/>
        <v>5.5573847287413731E-3</v>
      </c>
      <c r="W130" s="82">
        <f t="shared" ca="1" si="39"/>
        <v>2803.3667505787039</v>
      </c>
      <c r="X130" s="19">
        <f t="shared" ca="1" si="40"/>
        <v>1.0884589919836032E-2</v>
      </c>
      <c r="Y130" s="19">
        <f t="shared" si="41"/>
        <v>0</v>
      </c>
      <c r="Z130" s="82">
        <f t="shared" ca="1" si="42"/>
        <v>2803.3667505787039</v>
      </c>
      <c r="AA130" s="19">
        <f t="shared" ca="1" si="43"/>
        <v>1.0884589919836032E-2</v>
      </c>
      <c r="AE130" s="19"/>
    </row>
    <row r="131" spans="1:31" ht="12.75" customHeight="1" x14ac:dyDescent="0.2">
      <c r="A131">
        <v>0</v>
      </c>
      <c r="B131">
        <v>3</v>
      </c>
      <c r="C131">
        <f t="shared" ca="1" si="22"/>
        <v>5</v>
      </c>
      <c r="D131">
        <f t="shared" ca="1" si="23"/>
        <v>4</v>
      </c>
      <c r="E131">
        <f t="shared" ca="1" si="24"/>
        <v>0</v>
      </c>
      <c r="F131" s="61">
        <f t="shared" ca="1" si="25"/>
        <v>8.6042879999999999E-3</v>
      </c>
      <c r="G131">
        <v>1</v>
      </c>
      <c r="H131">
        <v>0</v>
      </c>
      <c r="I131">
        <v>0</v>
      </c>
      <c r="J131" s="61">
        <f t="shared" ca="1" si="26"/>
        <v>5.9375000000000207E-6</v>
      </c>
      <c r="K131" s="61">
        <f t="shared" ca="1" si="27"/>
        <v>5.108796000000018E-8</v>
      </c>
      <c r="L131" s="82">
        <f t="shared" ca="1" si="28"/>
        <v>161</v>
      </c>
      <c r="M131" s="16">
        <f t="shared" ca="1" si="29"/>
        <v>839</v>
      </c>
      <c r="N131" s="3">
        <f t="shared" ca="1" si="30"/>
        <v>5</v>
      </c>
      <c r="O131" s="19">
        <f t="shared" ca="1" si="31"/>
        <v>2.8178718937399587</v>
      </c>
      <c r="P131" s="19">
        <f t="shared" ca="1" si="32"/>
        <v>28.178718937399587</v>
      </c>
      <c r="Q131" s="19">
        <f t="shared" ca="1" si="33"/>
        <v>28.178718937399587</v>
      </c>
      <c r="R131" s="19">
        <f t="shared" ca="1" si="34"/>
        <v>2.8178718937399587</v>
      </c>
      <c r="S131" s="19">
        <f t="shared" ca="1" si="35"/>
        <v>2.8178718937399587</v>
      </c>
      <c r="T131" s="19">
        <f t="shared" ca="1" si="36"/>
        <v>1.4395932659251177E-7</v>
      </c>
      <c r="U131" s="19">
        <f t="shared" ca="1" si="37"/>
        <v>1420.3251747165598</v>
      </c>
      <c r="V131" s="19">
        <f t="shared" ca="1" si="38"/>
        <v>7.256151571291287E-5</v>
      </c>
      <c r="W131" s="82">
        <f t="shared" ca="1" si="39"/>
        <v>2317.4615205439818</v>
      </c>
      <c r="X131" s="19">
        <f t="shared" ca="1" si="40"/>
        <v>1.1839438146309053E-4</v>
      </c>
      <c r="Y131" s="19">
        <f t="shared" si="41"/>
        <v>0</v>
      </c>
      <c r="Z131" s="82">
        <f t="shared" ca="1" si="42"/>
        <v>2317.4615205439818</v>
      </c>
      <c r="AA131" s="19">
        <f t="shared" ca="1" si="43"/>
        <v>1.1839438146309053E-4</v>
      </c>
      <c r="AE131" s="19"/>
    </row>
    <row r="132" spans="1:31" ht="12.75" customHeight="1" x14ac:dyDescent="0.2">
      <c r="A132">
        <v>0</v>
      </c>
      <c r="B132">
        <v>3</v>
      </c>
      <c r="C132">
        <f t="shared" ca="1" si="22"/>
        <v>5</v>
      </c>
      <c r="D132">
        <f t="shared" ca="1" si="23"/>
        <v>4</v>
      </c>
      <c r="E132">
        <f t="shared" ca="1" si="24"/>
        <v>0</v>
      </c>
      <c r="F132" s="61">
        <f t="shared" ca="1" si="25"/>
        <v>8.6042879999999999E-3</v>
      </c>
      <c r="G132">
        <v>0</v>
      </c>
      <c r="H132">
        <v>1</v>
      </c>
      <c r="I132">
        <v>7</v>
      </c>
      <c r="J132" s="61">
        <f t="shared" ca="1" si="26"/>
        <v>0</v>
      </c>
      <c r="K132" s="61">
        <f t="shared" ca="1" si="27"/>
        <v>0</v>
      </c>
      <c r="L132" s="82">
        <f t="shared" ca="1" si="28"/>
        <v>238</v>
      </c>
      <c r="M132" s="16">
        <f t="shared" ca="1" si="29"/>
        <v>762</v>
      </c>
      <c r="N132" s="3">
        <f t="shared" ca="1" si="30"/>
        <v>5</v>
      </c>
      <c r="O132" s="19">
        <f t="shared" ca="1" si="31"/>
        <v>2.8178718937399587</v>
      </c>
      <c r="P132" s="19">
        <f t="shared" ca="1" si="32"/>
        <v>25.815886347750073</v>
      </c>
      <c r="Q132" s="19">
        <f t="shared" ca="1" si="33"/>
        <v>23.453053758100552</v>
      </c>
      <c r="R132" s="19">
        <f t="shared" ca="1" si="34"/>
        <v>2.4634470052925312</v>
      </c>
      <c r="S132" s="19">
        <f t="shared" ca="1" si="35"/>
        <v>2.8178718937399587</v>
      </c>
      <c r="T132" s="19">
        <f t="shared" ca="1" si="36"/>
        <v>0</v>
      </c>
      <c r="U132" s="19">
        <f t="shared" ca="1" si="37"/>
        <v>1497.3251747165598</v>
      </c>
      <c r="V132" s="19">
        <f t="shared" ca="1" si="38"/>
        <v>0</v>
      </c>
      <c r="W132" s="82">
        <f t="shared" ca="1" si="39"/>
        <v>3401.3366102430559</v>
      </c>
      <c r="X132" s="19">
        <f t="shared" ca="1" si="40"/>
        <v>0</v>
      </c>
      <c r="Y132" s="19">
        <f t="shared" si="41"/>
        <v>0</v>
      </c>
      <c r="Z132" s="82">
        <f t="shared" ca="1" si="42"/>
        <v>3401.3366102430559</v>
      </c>
      <c r="AA132" s="19">
        <f t="shared" ca="1" si="43"/>
        <v>0</v>
      </c>
      <c r="AE132" s="19"/>
    </row>
    <row r="133" spans="1:31" ht="12.75" customHeight="1" x14ac:dyDescent="0.2">
      <c r="A133">
        <v>0</v>
      </c>
      <c r="B133">
        <v>3</v>
      </c>
      <c r="C133">
        <f t="shared" ca="1" si="22"/>
        <v>5</v>
      </c>
      <c r="D133">
        <f t="shared" ca="1" si="23"/>
        <v>4</v>
      </c>
      <c r="E133">
        <f t="shared" ca="1" si="24"/>
        <v>0</v>
      </c>
      <c r="F133" s="61">
        <f t="shared" ca="1" si="25"/>
        <v>8.6042879999999999E-3</v>
      </c>
      <c r="G133">
        <v>0</v>
      </c>
      <c r="H133">
        <v>1</v>
      </c>
      <c r="I133">
        <v>6</v>
      </c>
      <c r="J133" s="61">
        <f t="shared" ca="1" si="26"/>
        <v>0</v>
      </c>
      <c r="K133" s="61">
        <f t="shared" ca="1" si="27"/>
        <v>0</v>
      </c>
      <c r="L133" s="82">
        <f t="shared" ca="1" si="28"/>
        <v>227</v>
      </c>
      <c r="M133" s="16">
        <f t="shared" ca="1" si="29"/>
        <v>773</v>
      </c>
      <c r="N133" s="3">
        <f t="shared" ca="1" si="30"/>
        <v>5</v>
      </c>
      <c r="O133" s="19">
        <f t="shared" ca="1" si="31"/>
        <v>2.8178718937399587</v>
      </c>
      <c r="P133" s="19">
        <f t="shared" ca="1" si="32"/>
        <v>28.178718937399587</v>
      </c>
      <c r="Q133" s="19">
        <f t="shared" ca="1" si="33"/>
        <v>26.288452865679979</v>
      </c>
      <c r="R133" s="19">
        <f t="shared" ca="1" si="34"/>
        <v>2.7233585901539783</v>
      </c>
      <c r="S133" s="19">
        <f t="shared" ca="1" si="35"/>
        <v>2.8178718937399587</v>
      </c>
      <c r="T133" s="19">
        <f t="shared" ca="1" si="36"/>
        <v>0</v>
      </c>
      <c r="U133" s="19">
        <f t="shared" ca="1" si="37"/>
        <v>1486.3251747165598</v>
      </c>
      <c r="V133" s="19">
        <f t="shared" ca="1" si="38"/>
        <v>0</v>
      </c>
      <c r="W133" s="82">
        <f t="shared" ca="1" si="39"/>
        <v>2915.4313802083334</v>
      </c>
      <c r="X133" s="19">
        <f t="shared" ca="1" si="40"/>
        <v>0</v>
      </c>
      <c r="Y133" s="19">
        <f t="shared" si="41"/>
        <v>0</v>
      </c>
      <c r="Z133" s="82">
        <f t="shared" ca="1" si="42"/>
        <v>2915.4313802083334</v>
      </c>
      <c r="AA133" s="19">
        <f t="shared" ca="1" si="43"/>
        <v>0</v>
      </c>
      <c r="AE133" s="19"/>
    </row>
    <row r="134" spans="1:31" ht="12.75" customHeight="1" x14ac:dyDescent="0.2">
      <c r="A134">
        <v>0</v>
      </c>
      <c r="B134">
        <v>3</v>
      </c>
      <c r="C134">
        <f t="shared" ca="1" si="22"/>
        <v>5</v>
      </c>
      <c r="D134">
        <f t="shared" ca="1" si="23"/>
        <v>4</v>
      </c>
      <c r="E134">
        <f t="shared" ca="1" si="24"/>
        <v>0</v>
      </c>
      <c r="F134" s="61">
        <f t="shared" ca="1" si="25"/>
        <v>8.6042879999999999E-3</v>
      </c>
      <c r="G134">
        <v>0</v>
      </c>
      <c r="H134">
        <v>1</v>
      </c>
      <c r="I134">
        <v>5</v>
      </c>
      <c r="J134" s="61">
        <f t="shared" ca="1" si="26"/>
        <v>0</v>
      </c>
      <c r="K134" s="61">
        <f t="shared" ca="1" si="27"/>
        <v>0</v>
      </c>
      <c r="L134" s="82">
        <f t="shared" ca="1" si="28"/>
        <v>216</v>
      </c>
      <c r="M134" s="16">
        <f t="shared" ca="1" si="29"/>
        <v>784</v>
      </c>
      <c r="N134" s="3">
        <f t="shared" ca="1" si="30"/>
        <v>5</v>
      </c>
      <c r="O134" s="19">
        <f t="shared" ca="1" si="31"/>
        <v>2.8178718937399587</v>
      </c>
      <c r="P134" s="19">
        <f t="shared" ca="1" si="32"/>
        <v>28.178718937399587</v>
      </c>
      <c r="Q134" s="19">
        <f t="shared" ca="1" si="33"/>
        <v>28.178718937399587</v>
      </c>
      <c r="R134" s="19">
        <f t="shared" ca="1" si="34"/>
        <v>2.8178718937399587</v>
      </c>
      <c r="S134" s="19">
        <f t="shared" ca="1" si="35"/>
        <v>2.8178718937399587</v>
      </c>
      <c r="T134" s="19">
        <f t="shared" ca="1" si="36"/>
        <v>0</v>
      </c>
      <c r="U134" s="19">
        <f t="shared" ca="1" si="37"/>
        <v>1475.3251747165598</v>
      </c>
      <c r="V134" s="19">
        <f t="shared" ca="1" si="38"/>
        <v>0</v>
      </c>
      <c r="W134" s="82">
        <f t="shared" ca="1" si="39"/>
        <v>2429.5261501736113</v>
      </c>
      <c r="X134" s="19">
        <f t="shared" ca="1" si="40"/>
        <v>0</v>
      </c>
      <c r="Y134" s="19">
        <f t="shared" si="41"/>
        <v>0</v>
      </c>
      <c r="Z134" s="82">
        <f t="shared" ca="1" si="42"/>
        <v>2429.5261501736113</v>
      </c>
      <c r="AA134" s="19">
        <f t="shared" ca="1" si="43"/>
        <v>0</v>
      </c>
      <c r="AE134" s="19"/>
    </row>
    <row r="135" spans="1:31" ht="12.75" customHeight="1" x14ac:dyDescent="0.2">
      <c r="A135">
        <v>0</v>
      </c>
      <c r="B135">
        <v>3</v>
      </c>
      <c r="C135">
        <f t="shared" ca="1" si="22"/>
        <v>5</v>
      </c>
      <c r="D135">
        <f t="shared" ca="1" si="23"/>
        <v>4</v>
      </c>
      <c r="E135">
        <f t="shared" ca="1" si="24"/>
        <v>0</v>
      </c>
      <c r="F135" s="61">
        <f t="shared" ca="1" si="25"/>
        <v>8.6042879999999999E-3</v>
      </c>
      <c r="G135">
        <v>0</v>
      </c>
      <c r="H135">
        <v>1</v>
      </c>
      <c r="I135">
        <v>4</v>
      </c>
      <c r="J135" s="61">
        <f t="shared" ca="1" si="26"/>
        <v>0</v>
      </c>
      <c r="K135" s="61">
        <f t="shared" ca="1" si="27"/>
        <v>0</v>
      </c>
      <c r="L135" s="82">
        <f t="shared" ca="1" si="28"/>
        <v>205</v>
      </c>
      <c r="M135" s="16">
        <f t="shared" ca="1" si="29"/>
        <v>795</v>
      </c>
      <c r="N135" s="3">
        <f t="shared" ca="1" si="30"/>
        <v>5</v>
      </c>
      <c r="O135" s="19">
        <f t="shared" ca="1" si="31"/>
        <v>2.8178718937399587</v>
      </c>
      <c r="P135" s="19">
        <f t="shared" ca="1" si="32"/>
        <v>28.178718937399587</v>
      </c>
      <c r="Q135" s="19">
        <f t="shared" ca="1" si="33"/>
        <v>28.178718937399587</v>
      </c>
      <c r="R135" s="19">
        <f t="shared" ca="1" si="34"/>
        <v>2.8178718937399587</v>
      </c>
      <c r="S135" s="19">
        <f t="shared" ca="1" si="35"/>
        <v>2.8178718937399587</v>
      </c>
      <c r="T135" s="19">
        <f t="shared" ca="1" si="36"/>
        <v>0</v>
      </c>
      <c r="U135" s="19">
        <f t="shared" ca="1" si="37"/>
        <v>1464.3251747165598</v>
      </c>
      <c r="V135" s="19">
        <f t="shared" ca="1" si="38"/>
        <v>0</v>
      </c>
      <c r="W135" s="82">
        <f t="shared" ca="1" si="39"/>
        <v>1943.620920138889</v>
      </c>
      <c r="X135" s="19">
        <f t="shared" ca="1" si="40"/>
        <v>0</v>
      </c>
      <c r="Y135" s="19">
        <f t="shared" si="41"/>
        <v>0</v>
      </c>
      <c r="Z135" s="82">
        <f t="shared" ca="1" si="42"/>
        <v>1943.620920138889</v>
      </c>
      <c r="AA135" s="19">
        <f t="shared" ca="1" si="43"/>
        <v>0</v>
      </c>
      <c r="AE135" s="19"/>
    </row>
    <row r="136" spans="1:31" ht="12.75" customHeight="1" x14ac:dyDescent="0.2">
      <c r="A136">
        <v>0</v>
      </c>
      <c r="B136">
        <v>3</v>
      </c>
      <c r="C136">
        <f t="shared" ca="1" si="22"/>
        <v>5</v>
      </c>
      <c r="D136">
        <f t="shared" ca="1" si="23"/>
        <v>4</v>
      </c>
      <c r="E136">
        <f t="shared" ca="1" si="24"/>
        <v>0</v>
      </c>
      <c r="F136" s="61">
        <f t="shared" ca="1" si="25"/>
        <v>8.6042879999999999E-3</v>
      </c>
      <c r="G136">
        <v>0</v>
      </c>
      <c r="H136">
        <v>1</v>
      </c>
      <c r="I136">
        <v>3</v>
      </c>
      <c r="J136" s="61">
        <f t="shared" ca="1" si="26"/>
        <v>0</v>
      </c>
      <c r="K136" s="61">
        <f t="shared" ca="1" si="27"/>
        <v>0</v>
      </c>
      <c r="L136" s="82">
        <f t="shared" ca="1" si="28"/>
        <v>194</v>
      </c>
      <c r="M136" s="16">
        <f t="shared" ca="1" si="29"/>
        <v>806</v>
      </c>
      <c r="N136" s="3">
        <f t="shared" ca="1" si="30"/>
        <v>5</v>
      </c>
      <c r="O136" s="19">
        <f t="shared" ca="1" si="31"/>
        <v>2.8178718937399587</v>
      </c>
      <c r="P136" s="19">
        <f t="shared" ca="1" si="32"/>
        <v>28.178718937399587</v>
      </c>
      <c r="Q136" s="19">
        <f t="shared" ca="1" si="33"/>
        <v>28.178718937399587</v>
      </c>
      <c r="R136" s="19">
        <f t="shared" ca="1" si="34"/>
        <v>2.8178718937399587</v>
      </c>
      <c r="S136" s="19">
        <f t="shared" ca="1" si="35"/>
        <v>2.8178718937399587</v>
      </c>
      <c r="T136" s="19">
        <f t="shared" ca="1" si="36"/>
        <v>0</v>
      </c>
      <c r="U136" s="19">
        <f t="shared" ca="1" si="37"/>
        <v>1453.3251747165598</v>
      </c>
      <c r="V136" s="19">
        <f t="shared" ca="1" si="38"/>
        <v>0</v>
      </c>
      <c r="W136" s="82">
        <f t="shared" ca="1" si="39"/>
        <v>1457.7156901041667</v>
      </c>
      <c r="X136" s="19">
        <f t="shared" ca="1" si="40"/>
        <v>0</v>
      </c>
      <c r="Y136" s="19">
        <f t="shared" si="41"/>
        <v>0</v>
      </c>
      <c r="Z136" s="82">
        <f t="shared" ca="1" si="42"/>
        <v>1457.7156901041667</v>
      </c>
      <c r="AA136" s="19">
        <f t="shared" ca="1" si="43"/>
        <v>0</v>
      </c>
      <c r="AE136" s="19"/>
    </row>
    <row r="137" spans="1:31" ht="12.75" customHeight="1" x14ac:dyDescent="0.2">
      <c r="A137">
        <v>0</v>
      </c>
      <c r="B137">
        <v>3</v>
      </c>
      <c r="C137">
        <f t="shared" ca="1" si="22"/>
        <v>5</v>
      </c>
      <c r="D137">
        <f t="shared" ca="1" si="23"/>
        <v>4</v>
      </c>
      <c r="E137">
        <f t="shared" ca="1" si="24"/>
        <v>0</v>
      </c>
      <c r="F137" s="61">
        <f t="shared" ca="1" si="25"/>
        <v>8.6042879999999999E-3</v>
      </c>
      <c r="G137">
        <v>0</v>
      </c>
      <c r="H137">
        <v>1</v>
      </c>
      <c r="I137">
        <v>2</v>
      </c>
      <c r="J137" s="61">
        <f t="shared" ca="1" si="26"/>
        <v>0</v>
      </c>
      <c r="K137" s="61">
        <f t="shared" ca="1" si="27"/>
        <v>0</v>
      </c>
      <c r="L137" s="82">
        <f t="shared" ca="1" si="28"/>
        <v>183</v>
      </c>
      <c r="M137" s="16">
        <f t="shared" ca="1" si="29"/>
        <v>817</v>
      </c>
      <c r="N137" s="3">
        <f t="shared" ca="1" si="30"/>
        <v>5</v>
      </c>
      <c r="O137" s="19">
        <f t="shared" ca="1" si="31"/>
        <v>2.8178718937399587</v>
      </c>
      <c r="P137" s="19">
        <f t="shared" ca="1" si="32"/>
        <v>28.178718937399587</v>
      </c>
      <c r="Q137" s="19">
        <f t="shared" ca="1" si="33"/>
        <v>28.178718937399587</v>
      </c>
      <c r="R137" s="19">
        <f t="shared" ca="1" si="34"/>
        <v>2.8178718937399587</v>
      </c>
      <c r="S137" s="19">
        <f t="shared" ca="1" si="35"/>
        <v>2.8178718937399587</v>
      </c>
      <c r="T137" s="19">
        <f t="shared" ca="1" si="36"/>
        <v>0</v>
      </c>
      <c r="U137" s="19">
        <f t="shared" ca="1" si="37"/>
        <v>1442.3251747165598</v>
      </c>
      <c r="V137" s="19">
        <f t="shared" ca="1" si="38"/>
        <v>0</v>
      </c>
      <c r="W137" s="82">
        <f t="shared" ca="1" si="39"/>
        <v>971.8104600694445</v>
      </c>
      <c r="X137" s="19">
        <f t="shared" ca="1" si="40"/>
        <v>0</v>
      </c>
      <c r="Y137" s="19">
        <f t="shared" si="41"/>
        <v>0</v>
      </c>
      <c r="Z137" s="82">
        <f t="shared" ca="1" si="42"/>
        <v>971.8104600694445</v>
      </c>
      <c r="AA137" s="19">
        <f t="shared" ca="1" si="43"/>
        <v>0</v>
      </c>
      <c r="AE137" s="19"/>
    </row>
    <row r="138" spans="1:31" ht="12.75" customHeight="1" x14ac:dyDescent="0.2">
      <c r="A138">
        <v>0</v>
      </c>
      <c r="B138">
        <v>3</v>
      </c>
      <c r="C138">
        <f t="shared" ca="1" si="22"/>
        <v>5</v>
      </c>
      <c r="D138">
        <f t="shared" ca="1" si="23"/>
        <v>4</v>
      </c>
      <c r="E138">
        <f t="shared" ca="1" si="24"/>
        <v>0</v>
      </c>
      <c r="F138" s="61">
        <f t="shared" ca="1" si="25"/>
        <v>8.6042879999999999E-3</v>
      </c>
      <c r="G138">
        <v>0</v>
      </c>
      <c r="H138">
        <v>1</v>
      </c>
      <c r="I138">
        <v>1</v>
      </c>
      <c r="J138" s="61">
        <f t="shared" ca="1" si="26"/>
        <v>0</v>
      </c>
      <c r="K138" s="61">
        <f t="shared" ca="1" si="27"/>
        <v>0</v>
      </c>
      <c r="L138" s="82">
        <f t="shared" ca="1" si="28"/>
        <v>172</v>
      </c>
      <c r="M138" s="16">
        <f t="shared" ca="1" si="29"/>
        <v>828</v>
      </c>
      <c r="N138" s="3">
        <f t="shared" ca="1" si="30"/>
        <v>5</v>
      </c>
      <c r="O138" s="19">
        <f t="shared" ca="1" si="31"/>
        <v>2.8178718937399587</v>
      </c>
      <c r="P138" s="19">
        <f t="shared" ca="1" si="32"/>
        <v>28.178718937399587</v>
      </c>
      <c r="Q138" s="19">
        <f t="shared" ca="1" si="33"/>
        <v>28.178718937399587</v>
      </c>
      <c r="R138" s="19">
        <f t="shared" ca="1" si="34"/>
        <v>2.8178718937399587</v>
      </c>
      <c r="S138" s="19">
        <f t="shared" ca="1" si="35"/>
        <v>2.8178718937399587</v>
      </c>
      <c r="T138" s="19">
        <f t="shared" ca="1" si="36"/>
        <v>0</v>
      </c>
      <c r="U138" s="19">
        <f t="shared" ca="1" si="37"/>
        <v>1431.3251747165598</v>
      </c>
      <c r="V138" s="19">
        <f t="shared" ca="1" si="38"/>
        <v>0</v>
      </c>
      <c r="W138" s="82">
        <f t="shared" ca="1" si="39"/>
        <v>485.90523003472225</v>
      </c>
      <c r="X138" s="19">
        <f t="shared" ca="1" si="40"/>
        <v>0</v>
      </c>
      <c r="Y138" s="19">
        <f t="shared" si="41"/>
        <v>0</v>
      </c>
      <c r="Z138" s="82">
        <f t="shared" ca="1" si="42"/>
        <v>485.90523003472225</v>
      </c>
      <c r="AA138" s="19">
        <f t="shared" ca="1" si="43"/>
        <v>0</v>
      </c>
      <c r="AE138" s="19"/>
    </row>
    <row r="139" spans="1:31" ht="12.75" customHeight="1" x14ac:dyDescent="0.2">
      <c r="A139">
        <v>0</v>
      </c>
      <c r="B139">
        <v>3</v>
      </c>
      <c r="C139">
        <f t="shared" ca="1" si="22"/>
        <v>5</v>
      </c>
      <c r="D139">
        <f t="shared" ca="1" si="23"/>
        <v>4</v>
      </c>
      <c r="E139">
        <f t="shared" ca="1" si="24"/>
        <v>0</v>
      </c>
      <c r="F139" s="61">
        <f t="shared" ca="1" si="25"/>
        <v>8.6042879999999999E-3</v>
      </c>
      <c r="G139">
        <v>0</v>
      </c>
      <c r="H139">
        <v>1</v>
      </c>
      <c r="I139">
        <v>0</v>
      </c>
      <c r="J139" s="61">
        <f t="shared" ca="1" si="26"/>
        <v>0</v>
      </c>
      <c r="K139" s="61">
        <f t="shared" ca="1" si="27"/>
        <v>0</v>
      </c>
      <c r="L139" s="82">
        <f t="shared" ca="1" si="28"/>
        <v>161</v>
      </c>
      <c r="M139" s="16">
        <f t="shared" ca="1" si="29"/>
        <v>839</v>
      </c>
      <c r="N139" s="3">
        <f t="shared" ca="1" si="30"/>
        <v>5</v>
      </c>
      <c r="O139" s="19">
        <f t="shared" ca="1" si="31"/>
        <v>2.8178718937399587</v>
      </c>
      <c r="P139" s="19">
        <f t="shared" ca="1" si="32"/>
        <v>28.178718937399587</v>
      </c>
      <c r="Q139" s="19">
        <f t="shared" ca="1" si="33"/>
        <v>28.178718937399587</v>
      </c>
      <c r="R139" s="19">
        <f t="shared" ca="1" si="34"/>
        <v>2.8178718937399587</v>
      </c>
      <c r="S139" s="19">
        <f t="shared" ca="1" si="35"/>
        <v>2.8178718937399587</v>
      </c>
      <c r="T139" s="19">
        <f t="shared" ca="1" si="36"/>
        <v>0</v>
      </c>
      <c r="U139" s="19">
        <f t="shared" ca="1" si="37"/>
        <v>1420.3251747165598</v>
      </c>
      <c r="V139" s="19">
        <f t="shared" ca="1" si="38"/>
        <v>0</v>
      </c>
      <c r="W139" s="82">
        <f t="shared" ca="1" si="39"/>
        <v>0</v>
      </c>
      <c r="X139" s="19">
        <f t="shared" ca="1" si="40"/>
        <v>0</v>
      </c>
      <c r="Y139" s="19">
        <f t="shared" si="41"/>
        <v>0</v>
      </c>
      <c r="Z139" s="82">
        <f t="shared" ca="1" si="42"/>
        <v>0</v>
      </c>
      <c r="AA139" s="19">
        <f t="shared" ca="1" si="43"/>
        <v>0</v>
      </c>
      <c r="AE139" s="19"/>
    </row>
    <row r="140" spans="1:31" ht="12.75" customHeight="1" x14ac:dyDescent="0.2">
      <c r="A140">
        <v>0</v>
      </c>
      <c r="B140">
        <v>3</v>
      </c>
      <c r="C140">
        <f t="shared" ca="1" si="22"/>
        <v>5</v>
      </c>
      <c r="D140">
        <f t="shared" ca="1" si="23"/>
        <v>4</v>
      </c>
      <c r="E140">
        <f t="shared" ca="1" si="24"/>
        <v>0</v>
      </c>
      <c r="F140" s="61">
        <f t="shared" ca="1" si="25"/>
        <v>8.6042879999999999E-3</v>
      </c>
      <c r="G140">
        <v>0</v>
      </c>
      <c r="H140">
        <v>0</v>
      </c>
      <c r="I140">
        <v>7</v>
      </c>
      <c r="J140" s="61">
        <f t="shared" ca="1" si="26"/>
        <v>0</v>
      </c>
      <c r="K140" s="61">
        <f t="shared" ca="1" si="27"/>
        <v>0</v>
      </c>
      <c r="L140" s="82">
        <f t="shared" ca="1" si="28"/>
        <v>77</v>
      </c>
      <c r="M140" s="16">
        <f t="shared" ca="1" si="29"/>
        <v>923</v>
      </c>
      <c r="N140" s="3">
        <f t="shared" ca="1" si="30"/>
        <v>5</v>
      </c>
      <c r="O140" s="19">
        <f t="shared" ca="1" si="31"/>
        <v>2.8178718937399587</v>
      </c>
      <c r="P140" s="19">
        <f t="shared" ca="1" si="32"/>
        <v>28.178718937399587</v>
      </c>
      <c r="Q140" s="19">
        <f t="shared" ca="1" si="33"/>
        <v>28.178718937399587</v>
      </c>
      <c r="R140" s="19">
        <f t="shared" ca="1" si="34"/>
        <v>2.8178718937399587</v>
      </c>
      <c r="S140" s="19">
        <f t="shared" ca="1" si="35"/>
        <v>2.8178718937399587</v>
      </c>
      <c r="T140" s="19">
        <f t="shared" ca="1" si="36"/>
        <v>0</v>
      </c>
      <c r="U140" s="19">
        <f t="shared" ca="1" si="37"/>
        <v>1336.3251747165598</v>
      </c>
      <c r="V140" s="19">
        <f t="shared" ca="1" si="38"/>
        <v>0</v>
      </c>
      <c r="W140" s="82">
        <f t="shared" ca="1" si="39"/>
        <v>3401.3366102430559</v>
      </c>
      <c r="X140" s="19">
        <f t="shared" ca="1" si="40"/>
        <v>0</v>
      </c>
      <c r="Y140" s="19">
        <f t="shared" si="41"/>
        <v>0</v>
      </c>
      <c r="Z140" s="82">
        <f t="shared" ca="1" si="42"/>
        <v>3401.3366102430559</v>
      </c>
      <c r="AA140" s="19">
        <f t="shared" ca="1" si="43"/>
        <v>0</v>
      </c>
      <c r="AE140" s="19"/>
    </row>
    <row r="141" spans="1:31" ht="12.75" customHeight="1" x14ac:dyDescent="0.2">
      <c r="A141">
        <v>0</v>
      </c>
      <c r="B141">
        <v>3</v>
      </c>
      <c r="C141">
        <f t="shared" ca="1" si="22"/>
        <v>5</v>
      </c>
      <c r="D141">
        <f t="shared" ca="1" si="23"/>
        <v>4</v>
      </c>
      <c r="E141">
        <f t="shared" ca="1" si="24"/>
        <v>0</v>
      </c>
      <c r="F141" s="61">
        <f t="shared" ca="1" si="25"/>
        <v>8.6042879999999999E-3</v>
      </c>
      <c r="G141">
        <v>0</v>
      </c>
      <c r="H141">
        <v>0</v>
      </c>
      <c r="I141">
        <v>6</v>
      </c>
      <c r="J141" s="61">
        <f t="shared" ca="1" si="26"/>
        <v>0</v>
      </c>
      <c r="K141" s="61">
        <f t="shared" ca="1" si="27"/>
        <v>0</v>
      </c>
      <c r="L141" s="82">
        <f t="shared" ca="1" si="28"/>
        <v>66</v>
      </c>
      <c r="M141" s="16">
        <f t="shared" ca="1" si="29"/>
        <v>934</v>
      </c>
      <c r="N141" s="3">
        <f t="shared" ca="1" si="30"/>
        <v>5</v>
      </c>
      <c r="O141" s="19">
        <f t="shared" ca="1" si="31"/>
        <v>2.8178718937399587</v>
      </c>
      <c r="P141" s="19">
        <f t="shared" ca="1" si="32"/>
        <v>28.178718937399587</v>
      </c>
      <c r="Q141" s="19">
        <f t="shared" ca="1" si="33"/>
        <v>28.178718937399587</v>
      </c>
      <c r="R141" s="19">
        <f t="shared" ca="1" si="34"/>
        <v>2.8178718937399587</v>
      </c>
      <c r="S141" s="19">
        <f t="shared" ca="1" si="35"/>
        <v>2.8178718937399587</v>
      </c>
      <c r="T141" s="19">
        <f t="shared" ca="1" si="36"/>
        <v>0</v>
      </c>
      <c r="U141" s="19">
        <f t="shared" ca="1" si="37"/>
        <v>1325.3251747165598</v>
      </c>
      <c r="V141" s="19">
        <f t="shared" ca="1" si="38"/>
        <v>0</v>
      </c>
      <c r="W141" s="82">
        <f t="shared" ca="1" si="39"/>
        <v>2915.4313802083334</v>
      </c>
      <c r="X141" s="19">
        <f t="shared" ca="1" si="40"/>
        <v>0</v>
      </c>
      <c r="Y141" s="19">
        <f t="shared" si="41"/>
        <v>0</v>
      </c>
      <c r="Z141" s="82">
        <f t="shared" ca="1" si="42"/>
        <v>2915.4313802083334</v>
      </c>
      <c r="AA141" s="19">
        <f t="shared" ca="1" si="43"/>
        <v>0</v>
      </c>
      <c r="AE141" s="19"/>
    </row>
    <row r="142" spans="1:31" ht="12.75" customHeight="1" x14ac:dyDescent="0.2">
      <c r="A142">
        <v>0</v>
      </c>
      <c r="B142">
        <v>3</v>
      </c>
      <c r="C142">
        <f t="shared" ca="1" si="22"/>
        <v>5</v>
      </c>
      <c r="D142">
        <f t="shared" ca="1" si="23"/>
        <v>4</v>
      </c>
      <c r="E142">
        <f t="shared" ca="1" si="24"/>
        <v>0</v>
      </c>
      <c r="F142" s="61">
        <f t="shared" ca="1" si="25"/>
        <v>8.6042879999999999E-3</v>
      </c>
      <c r="G142">
        <v>0</v>
      </c>
      <c r="H142">
        <v>0</v>
      </c>
      <c r="I142">
        <v>5</v>
      </c>
      <c r="J142" s="61">
        <f t="shared" ca="1" si="26"/>
        <v>0</v>
      </c>
      <c r="K142" s="61">
        <f t="shared" ca="1" si="27"/>
        <v>0</v>
      </c>
      <c r="L142" s="82">
        <f t="shared" ca="1" si="28"/>
        <v>55</v>
      </c>
      <c r="M142" s="16">
        <f t="shared" ca="1" si="29"/>
        <v>945</v>
      </c>
      <c r="N142" s="3">
        <f t="shared" ca="1" si="30"/>
        <v>5</v>
      </c>
      <c r="O142" s="19">
        <f t="shared" ca="1" si="31"/>
        <v>2.8178718937399587</v>
      </c>
      <c r="P142" s="19">
        <f t="shared" ca="1" si="32"/>
        <v>28.178718937399587</v>
      </c>
      <c r="Q142" s="19">
        <f t="shared" ca="1" si="33"/>
        <v>28.178718937399587</v>
      </c>
      <c r="R142" s="19">
        <f t="shared" ca="1" si="34"/>
        <v>2.8178718937399587</v>
      </c>
      <c r="S142" s="19">
        <f t="shared" ca="1" si="35"/>
        <v>2.8178718937399587</v>
      </c>
      <c r="T142" s="19">
        <f t="shared" ca="1" si="36"/>
        <v>0</v>
      </c>
      <c r="U142" s="19">
        <f t="shared" ca="1" si="37"/>
        <v>1314.3251747165598</v>
      </c>
      <c r="V142" s="19">
        <f t="shared" ca="1" si="38"/>
        <v>0</v>
      </c>
      <c r="W142" s="82">
        <f t="shared" ca="1" si="39"/>
        <v>2429.5261501736113</v>
      </c>
      <c r="X142" s="19">
        <f t="shared" ca="1" si="40"/>
        <v>0</v>
      </c>
      <c r="Y142" s="19">
        <f t="shared" si="41"/>
        <v>0</v>
      </c>
      <c r="Z142" s="82">
        <f t="shared" ca="1" si="42"/>
        <v>2429.5261501736113</v>
      </c>
      <c r="AA142" s="19">
        <f t="shared" ca="1" si="43"/>
        <v>0</v>
      </c>
      <c r="AE142" s="19"/>
    </row>
    <row r="143" spans="1:31" ht="12.75" customHeight="1" x14ac:dyDescent="0.2">
      <c r="A143">
        <v>0</v>
      </c>
      <c r="B143">
        <v>3</v>
      </c>
      <c r="C143">
        <f t="shared" ca="1" si="22"/>
        <v>5</v>
      </c>
      <c r="D143">
        <f t="shared" ca="1" si="23"/>
        <v>4</v>
      </c>
      <c r="E143">
        <f t="shared" ca="1" si="24"/>
        <v>0</v>
      </c>
      <c r="F143" s="61">
        <f t="shared" ca="1" si="25"/>
        <v>8.6042879999999999E-3</v>
      </c>
      <c r="G143">
        <v>0</v>
      </c>
      <c r="H143">
        <v>0</v>
      </c>
      <c r="I143">
        <v>4</v>
      </c>
      <c r="J143" s="61">
        <f t="shared" ca="1" si="26"/>
        <v>4.0725312499999999E-2</v>
      </c>
      <c r="K143" s="61">
        <f t="shared" ca="1" si="27"/>
        <v>3.5041231764E-4</v>
      </c>
      <c r="L143" s="82">
        <f t="shared" ca="1" si="28"/>
        <v>44</v>
      </c>
      <c r="M143" s="16">
        <f t="shared" ca="1" si="29"/>
        <v>956</v>
      </c>
      <c r="N143" s="3">
        <f t="shared" ca="1" si="30"/>
        <v>6</v>
      </c>
      <c r="O143" s="19">
        <f t="shared" ca="1" si="31"/>
        <v>3.3239268932937667</v>
      </c>
      <c r="P143" s="19">
        <f t="shared" ca="1" si="32"/>
        <v>33.239268932937669</v>
      </c>
      <c r="Q143" s="19">
        <f t="shared" ca="1" si="33"/>
        <v>28.178718937399587</v>
      </c>
      <c r="R143" s="19">
        <f t="shared" ca="1" si="34"/>
        <v>3.0708993935168629</v>
      </c>
      <c r="S143" s="19">
        <f t="shared" ca="1" si="35"/>
        <v>3.3239268932937667</v>
      </c>
      <c r="T143" s="19">
        <f t="shared" ca="1" si="36"/>
        <v>1.1647449263449937E-3</v>
      </c>
      <c r="U143" s="19">
        <f t="shared" ca="1" si="37"/>
        <v>1495.4024523027438</v>
      </c>
      <c r="V143" s="19">
        <f t="shared" ca="1" si="38"/>
        <v>0.52400743911594405</v>
      </c>
      <c r="W143" s="82">
        <f t="shared" ca="1" si="39"/>
        <v>1943.620920138889</v>
      </c>
      <c r="X143" s="19">
        <f t="shared" ca="1" si="40"/>
        <v>0.68106871123945745</v>
      </c>
      <c r="Y143" s="19">
        <f t="shared" si="41"/>
        <v>0</v>
      </c>
      <c r="Z143" s="82">
        <f t="shared" ca="1" si="42"/>
        <v>1943.620920138889</v>
      </c>
      <c r="AA143" s="19">
        <f t="shared" ca="1" si="43"/>
        <v>0.68106871123945745</v>
      </c>
      <c r="AE143" s="19"/>
    </row>
    <row r="144" spans="1:31" ht="12.75" customHeight="1" x14ac:dyDescent="0.2">
      <c r="A144">
        <v>0</v>
      </c>
      <c r="B144">
        <v>3</v>
      </c>
      <c r="C144">
        <f t="shared" ca="1" si="22"/>
        <v>5</v>
      </c>
      <c r="D144">
        <f t="shared" ca="1" si="23"/>
        <v>4</v>
      </c>
      <c r="E144">
        <f t="shared" ca="1" si="24"/>
        <v>0</v>
      </c>
      <c r="F144" s="61">
        <f t="shared" ca="1" si="25"/>
        <v>8.6042879999999999E-3</v>
      </c>
      <c r="G144">
        <v>0</v>
      </c>
      <c r="H144">
        <v>0</v>
      </c>
      <c r="I144">
        <v>3</v>
      </c>
      <c r="J144" s="61">
        <f t="shared" ca="1" si="26"/>
        <v>8.5737500000000067E-3</v>
      </c>
      <c r="K144" s="61">
        <f t="shared" ca="1" si="27"/>
        <v>7.3771014240000057E-5</v>
      </c>
      <c r="L144" s="82">
        <f t="shared" ca="1" si="28"/>
        <v>33</v>
      </c>
      <c r="M144" s="16">
        <f t="shared" ca="1" si="29"/>
        <v>967</v>
      </c>
      <c r="N144" s="3">
        <f t="shared" ca="1" si="30"/>
        <v>6</v>
      </c>
      <c r="O144" s="19">
        <f t="shared" ca="1" si="31"/>
        <v>3.3239268932937667</v>
      </c>
      <c r="P144" s="19">
        <f t="shared" ca="1" si="32"/>
        <v>33.239268932937669</v>
      </c>
      <c r="Q144" s="19">
        <f t="shared" ca="1" si="33"/>
        <v>33.239268932937669</v>
      </c>
      <c r="R144" s="19">
        <f t="shared" ca="1" si="34"/>
        <v>3.3239268932937671</v>
      </c>
      <c r="S144" s="19">
        <f t="shared" ca="1" si="35"/>
        <v>3.3239268932937667</v>
      </c>
      <c r="T144" s="19">
        <f t="shared" ca="1" si="36"/>
        <v>2.452094581778936E-4</v>
      </c>
      <c r="U144" s="19">
        <f t="shared" ca="1" si="37"/>
        <v>1484.4024523027438</v>
      </c>
      <c r="V144" s="19">
        <f t="shared" ca="1" si="38"/>
        <v>0.10950587444671672</v>
      </c>
      <c r="W144" s="82">
        <f t="shared" ca="1" si="39"/>
        <v>1457.7156901041667</v>
      </c>
      <c r="X144" s="19">
        <f t="shared" ca="1" si="40"/>
        <v>0.10753716493254599</v>
      </c>
      <c r="Y144" s="19">
        <f t="shared" si="41"/>
        <v>0</v>
      </c>
      <c r="Z144" s="82">
        <f t="shared" ca="1" si="42"/>
        <v>1457.7156901041667</v>
      </c>
      <c r="AA144" s="19">
        <f t="shared" ca="1" si="43"/>
        <v>0.10753716493254599</v>
      </c>
      <c r="AE144" s="19"/>
    </row>
    <row r="145" spans="1:31" ht="12.75" customHeight="1" x14ac:dyDescent="0.2">
      <c r="A145">
        <v>0</v>
      </c>
      <c r="B145">
        <v>3</v>
      </c>
      <c r="C145">
        <f t="shared" ca="1" si="22"/>
        <v>5</v>
      </c>
      <c r="D145">
        <f t="shared" ca="1" si="23"/>
        <v>4</v>
      </c>
      <c r="E145">
        <f t="shared" ca="1" si="24"/>
        <v>0</v>
      </c>
      <c r="F145" s="61">
        <f t="shared" ca="1" si="25"/>
        <v>8.6042879999999999E-3</v>
      </c>
      <c r="G145">
        <v>0</v>
      </c>
      <c r="H145">
        <v>0</v>
      </c>
      <c r="I145">
        <v>2</v>
      </c>
      <c r="J145" s="61">
        <f t="shared" ca="1" si="26"/>
        <v>6.7687500000000126E-4</v>
      </c>
      <c r="K145" s="61">
        <f t="shared" ca="1" si="27"/>
        <v>5.8240274400000111E-6</v>
      </c>
      <c r="L145" s="82">
        <f t="shared" ca="1" si="28"/>
        <v>22</v>
      </c>
      <c r="M145" s="16">
        <f t="shared" ca="1" si="29"/>
        <v>978</v>
      </c>
      <c r="N145" s="3">
        <f t="shared" ca="1" si="30"/>
        <v>6</v>
      </c>
      <c r="O145" s="19">
        <f t="shared" ca="1" si="31"/>
        <v>3.3239268932937667</v>
      </c>
      <c r="P145" s="19">
        <f t="shared" ca="1" si="32"/>
        <v>33.239268932937669</v>
      </c>
      <c r="Q145" s="19">
        <f t="shared" ca="1" si="33"/>
        <v>33.239268932937669</v>
      </c>
      <c r="R145" s="19">
        <f t="shared" ca="1" si="34"/>
        <v>3.3239268932937671</v>
      </c>
      <c r="S145" s="19">
        <f t="shared" ca="1" si="35"/>
        <v>3.3239268932937667</v>
      </c>
      <c r="T145" s="19">
        <f t="shared" ca="1" si="36"/>
        <v>1.9358641435096885E-5</v>
      </c>
      <c r="U145" s="19">
        <f t="shared" ca="1" si="37"/>
        <v>1473.4024523027438</v>
      </c>
      <c r="V145" s="19">
        <f t="shared" ca="1" si="38"/>
        <v>8.581136312374487E-3</v>
      </c>
      <c r="W145" s="82">
        <f t="shared" ca="1" si="39"/>
        <v>971.8104600694445</v>
      </c>
      <c r="X145" s="19">
        <f t="shared" ca="1" si="40"/>
        <v>5.6598507859234801E-3</v>
      </c>
      <c r="Y145" s="19">
        <f t="shared" si="41"/>
        <v>0</v>
      </c>
      <c r="Z145" s="82">
        <f t="shared" ca="1" si="42"/>
        <v>971.8104600694445</v>
      </c>
      <c r="AA145" s="19">
        <f t="shared" ca="1" si="43"/>
        <v>5.6598507859234801E-3</v>
      </c>
      <c r="AE145" s="19"/>
    </row>
    <row r="146" spans="1:31" ht="12.75" customHeight="1" x14ac:dyDescent="0.2">
      <c r="A146">
        <v>0</v>
      </c>
      <c r="B146">
        <v>3</v>
      </c>
      <c r="C146">
        <f t="shared" ca="1" si="22"/>
        <v>5</v>
      </c>
      <c r="D146">
        <f t="shared" ca="1" si="23"/>
        <v>4</v>
      </c>
      <c r="E146">
        <f t="shared" ca="1" si="24"/>
        <v>0</v>
      </c>
      <c r="F146" s="61">
        <f t="shared" ca="1" si="25"/>
        <v>8.6042879999999999E-3</v>
      </c>
      <c r="G146">
        <v>0</v>
      </c>
      <c r="H146">
        <v>0</v>
      </c>
      <c r="I146">
        <v>1</v>
      </c>
      <c r="J146" s="61">
        <f t="shared" ca="1" si="26"/>
        <v>2.3750000000000062E-5</v>
      </c>
      <c r="K146" s="61">
        <f t="shared" ca="1" si="27"/>
        <v>2.0435184000000053E-7</v>
      </c>
      <c r="L146" s="82">
        <f t="shared" ca="1" si="28"/>
        <v>11</v>
      </c>
      <c r="M146" s="16">
        <f t="shared" ca="1" si="29"/>
        <v>989</v>
      </c>
      <c r="N146" s="3">
        <f t="shared" ca="1" si="30"/>
        <v>6</v>
      </c>
      <c r="O146" s="19">
        <f t="shared" ca="1" si="31"/>
        <v>3.3239268932937667</v>
      </c>
      <c r="P146" s="19">
        <f t="shared" ca="1" si="32"/>
        <v>33.239268932937669</v>
      </c>
      <c r="Q146" s="19">
        <f t="shared" ca="1" si="33"/>
        <v>33.239268932937669</v>
      </c>
      <c r="R146" s="19">
        <f t="shared" ca="1" si="34"/>
        <v>3.3239268932937671</v>
      </c>
      <c r="S146" s="19">
        <f t="shared" ca="1" si="35"/>
        <v>3.3239268932937667</v>
      </c>
      <c r="T146" s="19">
        <f t="shared" ca="1" si="36"/>
        <v>6.7925057667006666E-7</v>
      </c>
      <c r="U146" s="19">
        <f t="shared" ca="1" si="37"/>
        <v>1462.4024523027438</v>
      </c>
      <c r="V146" s="19">
        <f t="shared" ca="1" si="38"/>
        <v>2.9884463194857869E-4</v>
      </c>
      <c r="W146" s="82">
        <f t="shared" ca="1" si="39"/>
        <v>485.90523003472225</v>
      </c>
      <c r="X146" s="19">
        <f t="shared" ca="1" si="40"/>
        <v>9.9295627823219022E-5</v>
      </c>
      <c r="Y146" s="19">
        <f t="shared" si="41"/>
        <v>0</v>
      </c>
      <c r="Z146" s="82">
        <f t="shared" ca="1" si="42"/>
        <v>485.90523003472225</v>
      </c>
      <c r="AA146" s="19">
        <f t="shared" ca="1" si="43"/>
        <v>9.9295627823219022E-5</v>
      </c>
      <c r="AE146" s="19"/>
    </row>
    <row r="147" spans="1:31" ht="12.75" customHeight="1" x14ac:dyDescent="0.2">
      <c r="A147">
        <v>0</v>
      </c>
      <c r="B147">
        <v>3</v>
      </c>
      <c r="C147">
        <f t="shared" ca="1" si="22"/>
        <v>5</v>
      </c>
      <c r="D147">
        <f t="shared" ca="1" si="23"/>
        <v>4</v>
      </c>
      <c r="E147">
        <f t="shared" ca="1" si="24"/>
        <v>0</v>
      </c>
      <c r="F147" s="61">
        <f t="shared" ca="1" si="25"/>
        <v>8.6042879999999999E-3</v>
      </c>
      <c r="G147">
        <v>0</v>
      </c>
      <c r="H147">
        <v>0</v>
      </c>
      <c r="I147">
        <v>0</v>
      </c>
      <c r="J147" s="61">
        <f t="shared" ca="1" si="26"/>
        <v>3.1250000000000114E-7</v>
      </c>
      <c r="K147" s="61">
        <f t="shared" ca="1" si="27"/>
        <v>2.6888400000000099E-9</v>
      </c>
      <c r="L147" s="82">
        <f t="shared" ca="1" si="28"/>
        <v>0</v>
      </c>
      <c r="M147" s="16">
        <f t="shared" ca="1" si="29"/>
        <v>1000</v>
      </c>
      <c r="N147" s="3">
        <f t="shared" ca="1" si="30"/>
        <v>6</v>
      </c>
      <c r="O147" s="19">
        <f t="shared" ca="1" si="31"/>
        <v>3.3239268932937667</v>
      </c>
      <c r="P147" s="19">
        <f t="shared" ca="1" si="32"/>
        <v>33.239268932937669</v>
      </c>
      <c r="Q147" s="19">
        <f t="shared" ca="1" si="33"/>
        <v>33.239268932937669</v>
      </c>
      <c r="R147" s="19">
        <f t="shared" ca="1" si="34"/>
        <v>3.3239268932937671</v>
      </c>
      <c r="S147" s="19">
        <f t="shared" ca="1" si="35"/>
        <v>3.3239268932937667</v>
      </c>
      <c r="T147" s="19">
        <f t="shared" ca="1" si="36"/>
        <v>8.9375075877640438E-9</v>
      </c>
      <c r="U147" s="19">
        <f t="shared" ca="1" si="37"/>
        <v>1451.4024523027438</v>
      </c>
      <c r="V147" s="19">
        <f t="shared" ca="1" si="38"/>
        <v>3.9025889698497238E-6</v>
      </c>
      <c r="W147" s="82">
        <f t="shared" ca="1" si="39"/>
        <v>0</v>
      </c>
      <c r="X147" s="19">
        <f t="shared" ca="1" si="40"/>
        <v>0</v>
      </c>
      <c r="Y147" s="19">
        <f t="shared" si="41"/>
        <v>0</v>
      </c>
      <c r="Z147" s="82">
        <f t="shared" ca="1" si="42"/>
        <v>0</v>
      </c>
      <c r="AA147" s="19">
        <f t="shared" ca="1" si="43"/>
        <v>0</v>
      </c>
      <c r="AE147" s="19"/>
    </row>
    <row r="148" spans="1:31" ht="12.75" customHeight="1" x14ac:dyDescent="0.2">
      <c r="A148">
        <v>1</v>
      </c>
      <c r="B148">
        <v>0</v>
      </c>
      <c r="C148">
        <f t="shared" ref="C148:C211" ca="1" si="44">MIN(8, 1+$B$10+$B$9+A148+B148)</f>
        <v>3</v>
      </c>
      <c r="D148">
        <f t="shared" ref="D148:D211" ca="1" si="45">C148-(1+$B$10)</f>
        <v>2</v>
      </c>
      <c r="E148">
        <f t="shared" ref="E148:E211" ca="1" si="46">MIN(A148, C148-(1+$B$10+$B$9))</f>
        <v>1</v>
      </c>
      <c r="F148" s="61">
        <f t="shared" ref="F148:F211" ca="1" si="47">IF(A148=3, Set1QA, IF(A148=2, (1-Set1QA)*Set1TA + (1-Set1QA)*(1-Set1TA)*(1-Set1DA)*Set1AM3*Set1AM33, IF(A148=1, (1-Set1QA)*(1-Set1TA)*Set1DA + (1-Set1QA)*(1-Set1TA)*(1-Set1DA)*Set1AM3*Set1AM32, (1-Set1QA)*(1-Set1TA)*(1-Set1DA)*(1-Set1AM3)))) * IF($B$9+$B$10&gt;0, IF(B148=3, Set1QA, IF(B148=2, (1-Set1QA)*Set1TA, IF(B148=1, (1-Set1QA)*(1-Set1TA)*Set1DA, (1-Set1QA)*(1-Set1TA)*(1-Set1DA)))), IF(B148=0, 1, 0))</f>
        <v>0.35901304948776958</v>
      </c>
      <c r="G148">
        <v>1</v>
      </c>
      <c r="H148">
        <v>1</v>
      </c>
      <c r="I148">
        <v>7</v>
      </c>
      <c r="J148" s="61">
        <f t="shared" ref="J148:J211" ca="1" si="48">POWER(95%,G148)*POWER(5%, 1-G148) * IF($B$10=0, IF(H148=0, 1, 0), POWER(Set1WSHitRate,H148)*POWER(1-Set1WSHitRate, 1-H148)) * IF(I148&lt;=D148, POWER(Set1WSHitRate, I148)*POWER(1-Set1WSHitRate, D148-I148)*COMBIN(D148,I148), 0)</f>
        <v>0</v>
      </c>
      <c r="K148" s="61">
        <f t="shared" ref="K148:K211" ca="1" si="49">F148*J148</f>
        <v>0</v>
      </c>
      <c r="L148" s="82">
        <f t="shared" ref="L148:L211" ca="1" si="50">MAX((G148+H148)*Set1WSTP + I148*$B$6, Set1SaveTP)</f>
        <v>399</v>
      </c>
      <c r="M148" s="16">
        <f t="shared" ref="M148:M211" ca="1" si="51">MAX(Set1MinTP-(L148+Set1Regain), 0)</f>
        <v>601</v>
      </c>
      <c r="N148" s="3">
        <f t="shared" ref="N148:N211" ca="1" si="52">CEILING(M148/Set1MeleeTP, 1)</f>
        <v>4</v>
      </c>
      <c r="O148" s="19">
        <f t="shared" ref="O148:O211" ca="1" si="53">VLOOKUP(N148,AvgRoundsSet1,2)</f>
        <v>2.3453053758100548</v>
      </c>
      <c r="P148" s="19">
        <f t="shared" ref="P148:P211" ca="1" si="54">VLOOKUP(CEILING(MAX(M148-1, 0)/Set1MeleeTP, 1), AvgRoundsSet1, 2) + VLOOKUP(CEILING(MAX(M148-2, 0)/Set1MeleeTP, 1), AvgRoundsSet1, 2) + VLOOKUP(CEILING(MAX(M148-3, 0)/Set1MeleeTP, 1), AvgRoundsSet1, 2) + VLOOKUP(CEILING(MAX(M148-4, 0)/Set1MeleeTP, 1), AvgRoundsSet1, 2) + VLOOKUP(CEILING(MAX(M148-5, 0)/Set1MeleeTP, 1), AvgRoundsSet1, 2) + VLOOKUP(CEILING(MAX(M148-6, 0)/Set1MeleeTP, 1), AvgRoundsSet1, 2) + VLOOKUP(CEILING(MAX(M148-7, 0)/Set1MeleeTP, 1), AvgRoundsSet1, 2) + VLOOKUP(CEILING(MAX(M148-8, 0)/Set1MeleeTP, 1), AvgRoundsSet1, 2) + VLOOKUP(CEILING(MAX(M148-9, 0)/Set1MeleeTP, 1), AvgRoundsSet1, 2) + VLOOKUP(CEILING(MAX(M148-10, 0)/Set1MeleeTP, 1), AvgRoundsSet1, 2)</f>
        <v>23.453053758100552</v>
      </c>
      <c r="Q148" s="19">
        <f t="shared" ref="Q148:Q211" ca="1" si="55">VLOOKUP(CEILING(MAX(M148-11, 0)/Set1MeleeTP, 1), AvgRoundsSet1, 2) + VLOOKUP(CEILING(MAX(M148-12, 0)/Set1MeleeTP, 1), AvgRoundsSet1, 2) + VLOOKUP(CEILING(MAX(M148-13, 0)/Set1MeleeTP, 1), AvgRoundsSet1, 2) + VLOOKUP(CEILING(MAX(M148-14, 0)/Set1MeleeTP, 1), AvgRoundsSet1, 2) + VLOOKUP(CEILING(MAX(M148-15, 0)/Set1MeleeTP, 1), AvgRoundsSet1, 2) + VLOOKUP(CEILING(MAX(M148-16, 0)/Set1MeleeTP, 1), AvgRoundsSet1, 2) + VLOOKUP(CEILING(MAX(M148-17, 0)/Set1MeleeTP, 1), AvgRoundsSet1, 2) + VLOOKUP(CEILING(MAX(M148-18, 0)/Set1MeleeTP, 1), AvgRoundsSet1, 2) + VLOOKUP(CEILING(MAX(M148-19, 0)/Set1MeleeTP, 1), AvgRoundsSet1, 2) + VLOOKUP(CEILING(MAX(M148-20, 0)/Set1MeleeTP, 1), AvgRoundsSet1, 2)</f>
        <v>23.453053758100552</v>
      </c>
      <c r="R148" s="19">
        <f t="shared" ref="R148:R211" ca="1" si="56">(P148+Q148)/20</f>
        <v>2.3453053758100553</v>
      </c>
      <c r="S148" s="19">
        <f t="shared" ref="S148:S211" ca="1" si="57">R148*Set1ConserveTP + O148*(1-Set1ConserveTP)</f>
        <v>2.3453053758100548</v>
      </c>
      <c r="T148" s="19">
        <f t="shared" ref="T148:T211" ca="1" si="58">K148*S148</f>
        <v>0</v>
      </c>
      <c r="U148" s="19">
        <f t="shared" ref="U148:U211" ca="1" si="59">MIN(L148+(S148+Set1OverTP)*AvgHitsPerRound1*Set1MeleeTP + Set1Regain + 10.5*Set1ConserveTP, 3000)</f>
        <v>1478.9587218163997</v>
      </c>
      <c r="V148" s="19">
        <f t="shared" ref="V148:V211" ca="1" si="60">U148*K148</f>
        <v>0</v>
      </c>
      <c r="W148" s="82">
        <f t="shared" ref="W148:W211" ca="1" si="61">G148*$K$12*((1-$L$12)*$L$16 + $L$12*$M$16*$M$12)+ H148*$K$15*((1-$L$15)*$L$17 + $L$15*$M$17*$M$13) + I148*$K$13*((1-$L$13)*$L$16 + $L$13*$M$16*$M$13) + E148*$K$14*$L$14*$M$12</f>
        <v>5718.7981307870377</v>
      </c>
      <c r="X148" s="19">
        <f t="shared" ref="X148:X211" ca="1" si="62">K148*W148</f>
        <v>0</v>
      </c>
      <c r="Y148" s="19">
        <f t="shared" ref="Y148:Y211" si="63">IF($B$12=1, (VLOOKUP(C148, IF($B$13=10%,Souleater10,Souleater12), 6, 0) * $B$14), 0)</f>
        <v>0</v>
      </c>
      <c r="Z148" s="82">
        <f t="shared" ref="Z148:Z211" ca="1" si="64">Y148+W148</f>
        <v>5718.7981307870377</v>
      </c>
      <c r="AA148" s="19">
        <f t="shared" ref="AA148:AA211" ca="1" si="65">Z148*K148</f>
        <v>0</v>
      </c>
      <c r="AE148" s="19"/>
    </row>
    <row r="149" spans="1:31" ht="12.75" customHeight="1" x14ac:dyDescent="0.2">
      <c r="A149">
        <v>1</v>
      </c>
      <c r="B149">
        <v>0</v>
      </c>
      <c r="C149">
        <f t="shared" ca="1" si="44"/>
        <v>3</v>
      </c>
      <c r="D149">
        <f t="shared" ca="1" si="45"/>
        <v>2</v>
      </c>
      <c r="E149">
        <f t="shared" ca="1" si="46"/>
        <v>1</v>
      </c>
      <c r="F149" s="61">
        <f t="shared" ca="1" si="47"/>
        <v>0.35901304948776958</v>
      </c>
      <c r="G149">
        <v>1</v>
      </c>
      <c r="H149">
        <v>1</v>
      </c>
      <c r="I149">
        <v>6</v>
      </c>
      <c r="J149" s="61">
        <f t="shared" ca="1" si="48"/>
        <v>0</v>
      </c>
      <c r="K149" s="61">
        <f t="shared" ca="1" si="49"/>
        <v>0</v>
      </c>
      <c r="L149" s="82">
        <f t="shared" ca="1" si="50"/>
        <v>388</v>
      </c>
      <c r="M149" s="16">
        <f t="shared" ca="1" si="51"/>
        <v>612</v>
      </c>
      <c r="N149" s="3">
        <f t="shared" ca="1" si="52"/>
        <v>4</v>
      </c>
      <c r="O149" s="19">
        <f t="shared" ca="1" si="53"/>
        <v>2.3453053758100548</v>
      </c>
      <c r="P149" s="19">
        <f t="shared" ca="1" si="54"/>
        <v>23.453053758100552</v>
      </c>
      <c r="Q149" s="19">
        <f t="shared" ca="1" si="55"/>
        <v>23.453053758100552</v>
      </c>
      <c r="R149" s="19">
        <f t="shared" ca="1" si="56"/>
        <v>2.3453053758100553</v>
      </c>
      <c r="S149" s="19">
        <f t="shared" ca="1" si="57"/>
        <v>2.3453053758100548</v>
      </c>
      <c r="T149" s="19">
        <f t="shared" ca="1" si="58"/>
        <v>0</v>
      </c>
      <c r="U149" s="19">
        <f t="shared" ca="1" si="59"/>
        <v>1467.9587218163997</v>
      </c>
      <c r="V149" s="19">
        <f t="shared" ca="1" si="60"/>
        <v>0</v>
      </c>
      <c r="W149" s="82">
        <f t="shared" ca="1" si="61"/>
        <v>5232.8929007523147</v>
      </c>
      <c r="X149" s="19">
        <f t="shared" ca="1" si="62"/>
        <v>0</v>
      </c>
      <c r="Y149" s="19">
        <f t="shared" si="63"/>
        <v>0</v>
      </c>
      <c r="Z149" s="82">
        <f t="shared" ca="1" si="64"/>
        <v>5232.8929007523147</v>
      </c>
      <c r="AA149" s="19">
        <f t="shared" ca="1" si="65"/>
        <v>0</v>
      </c>
      <c r="AE149" s="19"/>
    </row>
    <row r="150" spans="1:31" ht="12.75" customHeight="1" x14ac:dyDescent="0.2">
      <c r="A150">
        <v>1</v>
      </c>
      <c r="B150">
        <v>0</v>
      </c>
      <c r="C150">
        <f t="shared" ca="1" si="44"/>
        <v>3</v>
      </c>
      <c r="D150">
        <f t="shared" ca="1" si="45"/>
        <v>2</v>
      </c>
      <c r="E150">
        <f t="shared" ca="1" si="46"/>
        <v>1</v>
      </c>
      <c r="F150" s="61">
        <f t="shared" ca="1" si="47"/>
        <v>0.35901304948776958</v>
      </c>
      <c r="G150">
        <v>1</v>
      </c>
      <c r="H150">
        <v>1</v>
      </c>
      <c r="I150">
        <v>5</v>
      </c>
      <c r="J150" s="61">
        <f t="shared" ca="1" si="48"/>
        <v>0</v>
      </c>
      <c r="K150" s="61">
        <f t="shared" ca="1" si="49"/>
        <v>0</v>
      </c>
      <c r="L150" s="82">
        <f t="shared" ca="1" si="50"/>
        <v>377</v>
      </c>
      <c r="M150" s="16">
        <f t="shared" ca="1" si="51"/>
        <v>623</v>
      </c>
      <c r="N150" s="3">
        <f t="shared" ca="1" si="52"/>
        <v>4</v>
      </c>
      <c r="O150" s="19">
        <f t="shared" ca="1" si="53"/>
        <v>2.3453053758100548</v>
      </c>
      <c r="P150" s="19">
        <f t="shared" ca="1" si="54"/>
        <v>23.453053758100552</v>
      </c>
      <c r="Q150" s="19">
        <f t="shared" ca="1" si="55"/>
        <v>23.453053758100552</v>
      </c>
      <c r="R150" s="19">
        <f t="shared" ca="1" si="56"/>
        <v>2.3453053758100553</v>
      </c>
      <c r="S150" s="19">
        <f t="shared" ca="1" si="57"/>
        <v>2.3453053758100548</v>
      </c>
      <c r="T150" s="19">
        <f t="shared" ca="1" si="58"/>
        <v>0</v>
      </c>
      <c r="U150" s="19">
        <f t="shared" ca="1" si="59"/>
        <v>1456.9587218163997</v>
      </c>
      <c r="V150" s="19">
        <f t="shared" ca="1" si="60"/>
        <v>0</v>
      </c>
      <c r="W150" s="82">
        <f t="shared" ca="1" si="61"/>
        <v>4746.9876707175936</v>
      </c>
      <c r="X150" s="19">
        <f t="shared" ca="1" si="62"/>
        <v>0</v>
      </c>
      <c r="Y150" s="19">
        <f t="shared" si="63"/>
        <v>0</v>
      </c>
      <c r="Z150" s="82">
        <f t="shared" ca="1" si="64"/>
        <v>4746.9876707175936</v>
      </c>
      <c r="AA150" s="19">
        <f t="shared" ca="1" si="65"/>
        <v>0</v>
      </c>
      <c r="AE150" s="19"/>
    </row>
    <row r="151" spans="1:31" ht="12.75" customHeight="1" x14ac:dyDescent="0.2">
      <c r="A151">
        <v>1</v>
      </c>
      <c r="B151">
        <v>0</v>
      </c>
      <c r="C151">
        <f t="shared" ca="1" si="44"/>
        <v>3</v>
      </c>
      <c r="D151">
        <f t="shared" ca="1" si="45"/>
        <v>2</v>
      </c>
      <c r="E151">
        <f t="shared" ca="1" si="46"/>
        <v>1</v>
      </c>
      <c r="F151" s="61">
        <f t="shared" ca="1" si="47"/>
        <v>0.35901304948776958</v>
      </c>
      <c r="G151">
        <v>1</v>
      </c>
      <c r="H151">
        <v>1</v>
      </c>
      <c r="I151">
        <v>4</v>
      </c>
      <c r="J151" s="61">
        <f t="shared" ca="1" si="48"/>
        <v>0</v>
      </c>
      <c r="K151" s="61">
        <f t="shared" ca="1" si="49"/>
        <v>0</v>
      </c>
      <c r="L151" s="82">
        <f t="shared" ca="1" si="50"/>
        <v>366</v>
      </c>
      <c r="M151" s="16">
        <f t="shared" ca="1" si="51"/>
        <v>634</v>
      </c>
      <c r="N151" s="3">
        <f t="shared" ca="1" si="52"/>
        <v>4</v>
      </c>
      <c r="O151" s="19">
        <f t="shared" ca="1" si="53"/>
        <v>2.3453053758100548</v>
      </c>
      <c r="P151" s="19">
        <f t="shared" ca="1" si="54"/>
        <v>23.453053758100552</v>
      </c>
      <c r="Q151" s="19">
        <f t="shared" ca="1" si="55"/>
        <v>23.453053758100552</v>
      </c>
      <c r="R151" s="19">
        <f t="shared" ca="1" si="56"/>
        <v>2.3453053758100553</v>
      </c>
      <c r="S151" s="19">
        <f t="shared" ca="1" si="57"/>
        <v>2.3453053758100548</v>
      </c>
      <c r="T151" s="19">
        <f t="shared" ca="1" si="58"/>
        <v>0</v>
      </c>
      <c r="U151" s="19">
        <f t="shared" ca="1" si="59"/>
        <v>1445.9587218163997</v>
      </c>
      <c r="V151" s="19">
        <f t="shared" ca="1" si="60"/>
        <v>0</v>
      </c>
      <c r="W151" s="82">
        <f t="shared" ca="1" si="61"/>
        <v>4261.0824406828706</v>
      </c>
      <c r="X151" s="19">
        <f t="shared" ca="1" si="62"/>
        <v>0</v>
      </c>
      <c r="Y151" s="19">
        <f t="shared" si="63"/>
        <v>0</v>
      </c>
      <c r="Z151" s="82">
        <f t="shared" ca="1" si="64"/>
        <v>4261.0824406828706</v>
      </c>
      <c r="AA151" s="19">
        <f t="shared" ca="1" si="65"/>
        <v>0</v>
      </c>
      <c r="AE151" s="19"/>
    </row>
    <row r="152" spans="1:31" ht="12.75" customHeight="1" x14ac:dyDescent="0.2">
      <c r="A152">
        <v>1</v>
      </c>
      <c r="B152">
        <v>0</v>
      </c>
      <c r="C152">
        <f t="shared" ca="1" si="44"/>
        <v>3</v>
      </c>
      <c r="D152">
        <f t="shared" ca="1" si="45"/>
        <v>2</v>
      </c>
      <c r="E152">
        <f t="shared" ca="1" si="46"/>
        <v>1</v>
      </c>
      <c r="F152" s="61">
        <f t="shared" ca="1" si="47"/>
        <v>0.35901304948776958</v>
      </c>
      <c r="G152">
        <v>1</v>
      </c>
      <c r="H152">
        <v>1</v>
      </c>
      <c r="I152">
        <v>3</v>
      </c>
      <c r="J152" s="61">
        <f t="shared" ca="1" si="48"/>
        <v>0</v>
      </c>
      <c r="K152" s="61">
        <f t="shared" ca="1" si="49"/>
        <v>0</v>
      </c>
      <c r="L152" s="82">
        <f t="shared" ca="1" si="50"/>
        <v>355</v>
      </c>
      <c r="M152" s="16">
        <f t="shared" ca="1" si="51"/>
        <v>645</v>
      </c>
      <c r="N152" s="3">
        <f t="shared" ca="1" si="52"/>
        <v>4</v>
      </c>
      <c r="O152" s="19">
        <f t="shared" ca="1" si="53"/>
        <v>2.3453053758100548</v>
      </c>
      <c r="P152" s="19">
        <f t="shared" ca="1" si="54"/>
        <v>23.453053758100552</v>
      </c>
      <c r="Q152" s="19">
        <f t="shared" ca="1" si="55"/>
        <v>23.453053758100552</v>
      </c>
      <c r="R152" s="19">
        <f t="shared" ca="1" si="56"/>
        <v>2.3453053758100553</v>
      </c>
      <c r="S152" s="19">
        <f t="shared" ca="1" si="57"/>
        <v>2.3453053758100548</v>
      </c>
      <c r="T152" s="19">
        <f t="shared" ca="1" si="58"/>
        <v>0</v>
      </c>
      <c r="U152" s="19">
        <f t="shared" ca="1" si="59"/>
        <v>1434.9587218163997</v>
      </c>
      <c r="V152" s="19">
        <f t="shared" ca="1" si="60"/>
        <v>0</v>
      </c>
      <c r="W152" s="82">
        <f t="shared" ca="1" si="61"/>
        <v>3775.1772106481485</v>
      </c>
      <c r="X152" s="19">
        <f t="shared" ca="1" si="62"/>
        <v>0</v>
      </c>
      <c r="Y152" s="19">
        <f t="shared" si="63"/>
        <v>0</v>
      </c>
      <c r="Z152" s="82">
        <f t="shared" ca="1" si="64"/>
        <v>3775.1772106481485</v>
      </c>
      <c r="AA152" s="19">
        <f t="shared" ca="1" si="65"/>
        <v>0</v>
      </c>
      <c r="AE152" s="19"/>
    </row>
    <row r="153" spans="1:31" ht="12.75" customHeight="1" x14ac:dyDescent="0.2">
      <c r="A153">
        <v>1</v>
      </c>
      <c r="B153">
        <v>0</v>
      </c>
      <c r="C153">
        <f t="shared" ca="1" si="44"/>
        <v>3</v>
      </c>
      <c r="D153">
        <f t="shared" ca="1" si="45"/>
        <v>2</v>
      </c>
      <c r="E153">
        <f t="shared" ca="1" si="46"/>
        <v>1</v>
      </c>
      <c r="F153" s="61">
        <f t="shared" ca="1" si="47"/>
        <v>0.35901304948776958</v>
      </c>
      <c r="G153">
        <v>1</v>
      </c>
      <c r="H153">
        <v>1</v>
      </c>
      <c r="I153">
        <v>2</v>
      </c>
      <c r="J153" s="61">
        <f t="shared" ca="1" si="48"/>
        <v>0</v>
      </c>
      <c r="K153" s="61">
        <f t="shared" ca="1" si="49"/>
        <v>0</v>
      </c>
      <c r="L153" s="82">
        <f t="shared" ca="1" si="50"/>
        <v>344</v>
      </c>
      <c r="M153" s="16">
        <f t="shared" ca="1" si="51"/>
        <v>656</v>
      </c>
      <c r="N153" s="3">
        <f t="shared" ca="1" si="52"/>
        <v>4</v>
      </c>
      <c r="O153" s="19">
        <f t="shared" ca="1" si="53"/>
        <v>2.3453053758100548</v>
      </c>
      <c r="P153" s="19">
        <f t="shared" ca="1" si="54"/>
        <v>23.453053758100552</v>
      </c>
      <c r="Q153" s="19">
        <f t="shared" ca="1" si="55"/>
        <v>23.453053758100552</v>
      </c>
      <c r="R153" s="19">
        <f t="shared" ca="1" si="56"/>
        <v>2.3453053758100553</v>
      </c>
      <c r="S153" s="19">
        <f t="shared" ca="1" si="57"/>
        <v>2.3453053758100548</v>
      </c>
      <c r="T153" s="19">
        <f t="shared" ca="1" si="58"/>
        <v>0</v>
      </c>
      <c r="U153" s="19">
        <f t="shared" ca="1" si="59"/>
        <v>1423.9587218163997</v>
      </c>
      <c r="V153" s="19">
        <f t="shared" ca="1" si="60"/>
        <v>0</v>
      </c>
      <c r="W153" s="82">
        <f t="shared" ca="1" si="61"/>
        <v>3289.2719806134264</v>
      </c>
      <c r="X153" s="19">
        <f t="shared" ca="1" si="62"/>
        <v>0</v>
      </c>
      <c r="Y153" s="19">
        <f t="shared" si="63"/>
        <v>0</v>
      </c>
      <c r="Z153" s="82">
        <f t="shared" ca="1" si="64"/>
        <v>3289.2719806134264</v>
      </c>
      <c r="AA153" s="19">
        <f t="shared" ca="1" si="65"/>
        <v>0</v>
      </c>
      <c r="AE153" s="19"/>
    </row>
    <row r="154" spans="1:31" ht="12.75" customHeight="1" x14ac:dyDescent="0.2">
      <c r="A154">
        <v>1</v>
      </c>
      <c r="B154">
        <v>0</v>
      </c>
      <c r="C154">
        <f t="shared" ca="1" si="44"/>
        <v>3</v>
      </c>
      <c r="D154">
        <f t="shared" ca="1" si="45"/>
        <v>2</v>
      </c>
      <c r="E154">
        <f t="shared" ca="1" si="46"/>
        <v>1</v>
      </c>
      <c r="F154" s="61">
        <f t="shared" ca="1" si="47"/>
        <v>0.35901304948776958</v>
      </c>
      <c r="G154">
        <v>1</v>
      </c>
      <c r="H154">
        <v>1</v>
      </c>
      <c r="I154">
        <v>1</v>
      </c>
      <c r="J154" s="61">
        <f t="shared" ca="1" si="48"/>
        <v>0</v>
      </c>
      <c r="K154" s="61">
        <f t="shared" ca="1" si="49"/>
        <v>0</v>
      </c>
      <c r="L154" s="82">
        <f t="shared" ca="1" si="50"/>
        <v>333</v>
      </c>
      <c r="M154" s="16">
        <f t="shared" ca="1" si="51"/>
        <v>667</v>
      </c>
      <c r="N154" s="3">
        <f t="shared" ca="1" si="52"/>
        <v>4</v>
      </c>
      <c r="O154" s="19">
        <f t="shared" ca="1" si="53"/>
        <v>2.3453053758100548</v>
      </c>
      <c r="P154" s="19">
        <f t="shared" ca="1" si="54"/>
        <v>23.453053758100552</v>
      </c>
      <c r="Q154" s="19">
        <f t="shared" ca="1" si="55"/>
        <v>23.453053758100552</v>
      </c>
      <c r="R154" s="19">
        <f t="shared" ca="1" si="56"/>
        <v>2.3453053758100553</v>
      </c>
      <c r="S154" s="19">
        <f t="shared" ca="1" si="57"/>
        <v>2.3453053758100548</v>
      </c>
      <c r="T154" s="19">
        <f t="shared" ca="1" si="58"/>
        <v>0</v>
      </c>
      <c r="U154" s="19">
        <f t="shared" ca="1" si="59"/>
        <v>1412.9587218163997</v>
      </c>
      <c r="V154" s="19">
        <f t="shared" ca="1" si="60"/>
        <v>0</v>
      </c>
      <c r="W154" s="82">
        <f t="shared" ca="1" si="61"/>
        <v>2803.3667505787039</v>
      </c>
      <c r="X154" s="19">
        <f t="shared" ca="1" si="62"/>
        <v>0</v>
      </c>
      <c r="Y154" s="19">
        <f t="shared" si="63"/>
        <v>0</v>
      </c>
      <c r="Z154" s="82">
        <f t="shared" ca="1" si="64"/>
        <v>2803.3667505787039</v>
      </c>
      <c r="AA154" s="19">
        <f t="shared" ca="1" si="65"/>
        <v>0</v>
      </c>
      <c r="AE154" s="19"/>
    </row>
    <row r="155" spans="1:31" ht="12.75" customHeight="1" x14ac:dyDescent="0.2">
      <c r="A155">
        <v>1</v>
      </c>
      <c r="B155">
        <v>0</v>
      </c>
      <c r="C155">
        <f t="shared" ca="1" si="44"/>
        <v>3</v>
      </c>
      <c r="D155">
        <f t="shared" ca="1" si="45"/>
        <v>2</v>
      </c>
      <c r="E155">
        <f t="shared" ca="1" si="46"/>
        <v>1</v>
      </c>
      <c r="F155" s="61">
        <f t="shared" ca="1" si="47"/>
        <v>0.35901304948776958</v>
      </c>
      <c r="G155">
        <v>1</v>
      </c>
      <c r="H155">
        <v>1</v>
      </c>
      <c r="I155">
        <v>0</v>
      </c>
      <c r="J155" s="61">
        <f t="shared" ca="1" si="48"/>
        <v>0</v>
      </c>
      <c r="K155" s="61">
        <f t="shared" ca="1" si="49"/>
        <v>0</v>
      </c>
      <c r="L155" s="82">
        <f t="shared" ca="1" si="50"/>
        <v>322</v>
      </c>
      <c r="M155" s="16">
        <f t="shared" ca="1" si="51"/>
        <v>678</v>
      </c>
      <c r="N155" s="3">
        <f t="shared" ca="1" si="52"/>
        <v>4</v>
      </c>
      <c r="O155" s="19">
        <f t="shared" ca="1" si="53"/>
        <v>2.3453053758100548</v>
      </c>
      <c r="P155" s="19">
        <f t="shared" ca="1" si="54"/>
        <v>23.453053758100552</v>
      </c>
      <c r="Q155" s="19">
        <f t="shared" ca="1" si="55"/>
        <v>23.453053758100552</v>
      </c>
      <c r="R155" s="19">
        <f t="shared" ca="1" si="56"/>
        <v>2.3453053758100553</v>
      </c>
      <c r="S155" s="19">
        <f t="shared" ca="1" si="57"/>
        <v>2.3453053758100548</v>
      </c>
      <c r="T155" s="19">
        <f t="shared" ca="1" si="58"/>
        <v>0</v>
      </c>
      <c r="U155" s="19">
        <f t="shared" ca="1" si="59"/>
        <v>1401.9587218163997</v>
      </c>
      <c r="V155" s="19">
        <f t="shared" ca="1" si="60"/>
        <v>0</v>
      </c>
      <c r="W155" s="82">
        <f t="shared" ca="1" si="61"/>
        <v>2317.4615205439818</v>
      </c>
      <c r="X155" s="19">
        <f t="shared" ca="1" si="62"/>
        <v>0</v>
      </c>
      <c r="Y155" s="19">
        <f t="shared" si="63"/>
        <v>0</v>
      </c>
      <c r="Z155" s="82">
        <f t="shared" ca="1" si="64"/>
        <v>2317.4615205439818</v>
      </c>
      <c r="AA155" s="19">
        <f t="shared" ca="1" si="65"/>
        <v>0</v>
      </c>
      <c r="AE155" s="19"/>
    </row>
    <row r="156" spans="1:31" ht="12.75" customHeight="1" x14ac:dyDescent="0.2">
      <c r="A156">
        <v>1</v>
      </c>
      <c r="B156">
        <v>0</v>
      </c>
      <c r="C156">
        <f t="shared" ca="1" si="44"/>
        <v>3</v>
      </c>
      <c r="D156">
        <f t="shared" ca="1" si="45"/>
        <v>2</v>
      </c>
      <c r="E156">
        <f t="shared" ca="1" si="46"/>
        <v>1</v>
      </c>
      <c r="F156" s="61">
        <f t="shared" ca="1" si="47"/>
        <v>0.35901304948776958</v>
      </c>
      <c r="G156">
        <v>1</v>
      </c>
      <c r="H156">
        <v>0</v>
      </c>
      <c r="I156">
        <v>7</v>
      </c>
      <c r="J156" s="61">
        <f t="shared" ca="1" si="48"/>
        <v>0</v>
      </c>
      <c r="K156" s="61">
        <f t="shared" ca="1" si="49"/>
        <v>0</v>
      </c>
      <c r="L156" s="82">
        <f t="shared" ca="1" si="50"/>
        <v>238</v>
      </c>
      <c r="M156" s="16">
        <f t="shared" ca="1" si="51"/>
        <v>762</v>
      </c>
      <c r="N156" s="3">
        <f t="shared" ca="1" si="52"/>
        <v>5</v>
      </c>
      <c r="O156" s="19">
        <f t="shared" ca="1" si="53"/>
        <v>2.8178718937399587</v>
      </c>
      <c r="P156" s="19">
        <f t="shared" ca="1" si="54"/>
        <v>25.815886347750073</v>
      </c>
      <c r="Q156" s="19">
        <f t="shared" ca="1" si="55"/>
        <v>23.453053758100552</v>
      </c>
      <c r="R156" s="19">
        <f t="shared" ca="1" si="56"/>
        <v>2.4634470052925312</v>
      </c>
      <c r="S156" s="19">
        <f t="shared" ca="1" si="57"/>
        <v>2.8178718937399587</v>
      </c>
      <c r="T156" s="19">
        <f t="shared" ca="1" si="58"/>
        <v>0</v>
      </c>
      <c r="U156" s="19">
        <f t="shared" ca="1" si="59"/>
        <v>1497.3251747165598</v>
      </c>
      <c r="V156" s="19">
        <f t="shared" ca="1" si="60"/>
        <v>0</v>
      </c>
      <c r="W156" s="82">
        <f t="shared" ca="1" si="61"/>
        <v>5718.7981307870377</v>
      </c>
      <c r="X156" s="19">
        <f t="shared" ca="1" si="62"/>
        <v>0</v>
      </c>
      <c r="Y156" s="19">
        <f t="shared" si="63"/>
        <v>0</v>
      </c>
      <c r="Z156" s="82">
        <f t="shared" ca="1" si="64"/>
        <v>5718.7981307870377</v>
      </c>
      <c r="AA156" s="19">
        <f t="shared" ca="1" si="65"/>
        <v>0</v>
      </c>
      <c r="AE156" s="19"/>
    </row>
    <row r="157" spans="1:31" ht="12.75" customHeight="1" x14ac:dyDescent="0.2">
      <c r="A157">
        <v>1</v>
      </c>
      <c r="B157">
        <v>0</v>
      </c>
      <c r="C157">
        <f t="shared" ca="1" si="44"/>
        <v>3</v>
      </c>
      <c r="D157">
        <f t="shared" ca="1" si="45"/>
        <v>2</v>
      </c>
      <c r="E157">
        <f t="shared" ca="1" si="46"/>
        <v>1</v>
      </c>
      <c r="F157" s="61">
        <f t="shared" ca="1" si="47"/>
        <v>0.35901304948776958</v>
      </c>
      <c r="G157">
        <v>1</v>
      </c>
      <c r="H157">
        <v>0</v>
      </c>
      <c r="I157">
        <v>6</v>
      </c>
      <c r="J157" s="61">
        <f t="shared" ca="1" si="48"/>
        <v>0</v>
      </c>
      <c r="K157" s="61">
        <f t="shared" ca="1" si="49"/>
        <v>0</v>
      </c>
      <c r="L157" s="82">
        <f t="shared" ca="1" si="50"/>
        <v>227</v>
      </c>
      <c r="M157" s="16">
        <f t="shared" ca="1" si="51"/>
        <v>773</v>
      </c>
      <c r="N157" s="3">
        <f t="shared" ca="1" si="52"/>
        <v>5</v>
      </c>
      <c r="O157" s="19">
        <f t="shared" ca="1" si="53"/>
        <v>2.8178718937399587</v>
      </c>
      <c r="P157" s="19">
        <f t="shared" ca="1" si="54"/>
        <v>28.178718937399587</v>
      </c>
      <c r="Q157" s="19">
        <f t="shared" ca="1" si="55"/>
        <v>26.288452865679979</v>
      </c>
      <c r="R157" s="19">
        <f t="shared" ca="1" si="56"/>
        <v>2.7233585901539783</v>
      </c>
      <c r="S157" s="19">
        <f t="shared" ca="1" si="57"/>
        <v>2.8178718937399587</v>
      </c>
      <c r="T157" s="19">
        <f t="shared" ca="1" si="58"/>
        <v>0</v>
      </c>
      <c r="U157" s="19">
        <f t="shared" ca="1" si="59"/>
        <v>1486.3251747165598</v>
      </c>
      <c r="V157" s="19">
        <f t="shared" ca="1" si="60"/>
        <v>0</v>
      </c>
      <c r="W157" s="82">
        <f t="shared" ca="1" si="61"/>
        <v>5232.8929007523147</v>
      </c>
      <c r="X157" s="19">
        <f t="shared" ca="1" si="62"/>
        <v>0</v>
      </c>
      <c r="Y157" s="19">
        <f t="shared" si="63"/>
        <v>0</v>
      </c>
      <c r="Z157" s="82">
        <f t="shared" ca="1" si="64"/>
        <v>5232.8929007523147</v>
      </c>
      <c r="AA157" s="19">
        <f t="shared" ca="1" si="65"/>
        <v>0</v>
      </c>
      <c r="AE157" s="19"/>
    </row>
    <row r="158" spans="1:31" ht="12.75" customHeight="1" x14ac:dyDescent="0.2">
      <c r="A158">
        <v>1</v>
      </c>
      <c r="B158">
        <v>0</v>
      </c>
      <c r="C158">
        <f t="shared" ca="1" si="44"/>
        <v>3</v>
      </c>
      <c r="D158">
        <f t="shared" ca="1" si="45"/>
        <v>2</v>
      </c>
      <c r="E158">
        <f t="shared" ca="1" si="46"/>
        <v>1</v>
      </c>
      <c r="F158" s="61">
        <f t="shared" ca="1" si="47"/>
        <v>0.35901304948776958</v>
      </c>
      <c r="G158">
        <v>1</v>
      </c>
      <c r="H158">
        <v>0</v>
      </c>
      <c r="I158">
        <v>5</v>
      </c>
      <c r="J158" s="61">
        <f t="shared" ca="1" si="48"/>
        <v>0</v>
      </c>
      <c r="K158" s="61">
        <f t="shared" ca="1" si="49"/>
        <v>0</v>
      </c>
      <c r="L158" s="82">
        <f t="shared" ca="1" si="50"/>
        <v>216</v>
      </c>
      <c r="M158" s="16">
        <f t="shared" ca="1" si="51"/>
        <v>784</v>
      </c>
      <c r="N158" s="3">
        <f t="shared" ca="1" si="52"/>
        <v>5</v>
      </c>
      <c r="O158" s="19">
        <f t="shared" ca="1" si="53"/>
        <v>2.8178718937399587</v>
      </c>
      <c r="P158" s="19">
        <f t="shared" ca="1" si="54"/>
        <v>28.178718937399587</v>
      </c>
      <c r="Q158" s="19">
        <f t="shared" ca="1" si="55"/>
        <v>28.178718937399587</v>
      </c>
      <c r="R158" s="19">
        <f t="shared" ca="1" si="56"/>
        <v>2.8178718937399587</v>
      </c>
      <c r="S158" s="19">
        <f t="shared" ca="1" si="57"/>
        <v>2.8178718937399587</v>
      </c>
      <c r="T158" s="19">
        <f t="shared" ca="1" si="58"/>
        <v>0</v>
      </c>
      <c r="U158" s="19">
        <f t="shared" ca="1" si="59"/>
        <v>1475.3251747165598</v>
      </c>
      <c r="V158" s="19">
        <f t="shared" ca="1" si="60"/>
        <v>0</v>
      </c>
      <c r="W158" s="82">
        <f t="shared" ca="1" si="61"/>
        <v>4746.9876707175936</v>
      </c>
      <c r="X158" s="19">
        <f t="shared" ca="1" si="62"/>
        <v>0</v>
      </c>
      <c r="Y158" s="19">
        <f t="shared" si="63"/>
        <v>0</v>
      </c>
      <c r="Z158" s="82">
        <f t="shared" ca="1" si="64"/>
        <v>4746.9876707175936</v>
      </c>
      <c r="AA158" s="19">
        <f t="shared" ca="1" si="65"/>
        <v>0</v>
      </c>
      <c r="AE158" s="19"/>
    </row>
    <row r="159" spans="1:31" ht="12.75" customHeight="1" x14ac:dyDescent="0.2">
      <c r="A159">
        <v>1</v>
      </c>
      <c r="B159">
        <v>0</v>
      </c>
      <c r="C159">
        <f t="shared" ca="1" si="44"/>
        <v>3</v>
      </c>
      <c r="D159">
        <f t="shared" ca="1" si="45"/>
        <v>2</v>
      </c>
      <c r="E159">
        <f t="shared" ca="1" si="46"/>
        <v>1</v>
      </c>
      <c r="F159" s="61">
        <f t="shared" ca="1" si="47"/>
        <v>0.35901304948776958</v>
      </c>
      <c r="G159">
        <v>1</v>
      </c>
      <c r="H159">
        <v>0</v>
      </c>
      <c r="I159">
        <v>4</v>
      </c>
      <c r="J159" s="61">
        <f t="shared" ca="1" si="48"/>
        <v>0</v>
      </c>
      <c r="K159" s="61">
        <f t="shared" ca="1" si="49"/>
        <v>0</v>
      </c>
      <c r="L159" s="82">
        <f t="shared" ca="1" si="50"/>
        <v>205</v>
      </c>
      <c r="M159" s="16">
        <f t="shared" ca="1" si="51"/>
        <v>795</v>
      </c>
      <c r="N159" s="3">
        <f t="shared" ca="1" si="52"/>
        <v>5</v>
      </c>
      <c r="O159" s="19">
        <f t="shared" ca="1" si="53"/>
        <v>2.8178718937399587</v>
      </c>
      <c r="P159" s="19">
        <f t="shared" ca="1" si="54"/>
        <v>28.178718937399587</v>
      </c>
      <c r="Q159" s="19">
        <f t="shared" ca="1" si="55"/>
        <v>28.178718937399587</v>
      </c>
      <c r="R159" s="19">
        <f t="shared" ca="1" si="56"/>
        <v>2.8178718937399587</v>
      </c>
      <c r="S159" s="19">
        <f t="shared" ca="1" si="57"/>
        <v>2.8178718937399587</v>
      </c>
      <c r="T159" s="19">
        <f t="shared" ca="1" si="58"/>
        <v>0</v>
      </c>
      <c r="U159" s="19">
        <f t="shared" ca="1" si="59"/>
        <v>1464.3251747165598</v>
      </c>
      <c r="V159" s="19">
        <f t="shared" ca="1" si="60"/>
        <v>0</v>
      </c>
      <c r="W159" s="82">
        <f t="shared" ca="1" si="61"/>
        <v>4261.0824406828706</v>
      </c>
      <c r="X159" s="19">
        <f t="shared" ca="1" si="62"/>
        <v>0</v>
      </c>
      <c r="Y159" s="19">
        <f t="shared" si="63"/>
        <v>0</v>
      </c>
      <c r="Z159" s="82">
        <f t="shared" ca="1" si="64"/>
        <v>4261.0824406828706</v>
      </c>
      <c r="AA159" s="19">
        <f t="shared" ca="1" si="65"/>
        <v>0</v>
      </c>
      <c r="AE159" s="19"/>
    </row>
    <row r="160" spans="1:31" ht="12.75" customHeight="1" x14ac:dyDescent="0.2">
      <c r="A160">
        <v>1</v>
      </c>
      <c r="B160">
        <v>0</v>
      </c>
      <c r="C160">
        <f t="shared" ca="1" si="44"/>
        <v>3</v>
      </c>
      <c r="D160">
        <f t="shared" ca="1" si="45"/>
        <v>2</v>
      </c>
      <c r="E160">
        <f t="shared" ca="1" si="46"/>
        <v>1</v>
      </c>
      <c r="F160" s="61">
        <f t="shared" ca="1" si="47"/>
        <v>0.35901304948776958</v>
      </c>
      <c r="G160">
        <v>1</v>
      </c>
      <c r="H160">
        <v>0</v>
      </c>
      <c r="I160">
        <v>3</v>
      </c>
      <c r="J160" s="61">
        <f t="shared" ca="1" si="48"/>
        <v>0</v>
      </c>
      <c r="K160" s="61">
        <f t="shared" ca="1" si="49"/>
        <v>0</v>
      </c>
      <c r="L160" s="82">
        <f t="shared" ca="1" si="50"/>
        <v>194</v>
      </c>
      <c r="M160" s="16">
        <f t="shared" ca="1" si="51"/>
        <v>806</v>
      </c>
      <c r="N160" s="3">
        <f t="shared" ca="1" si="52"/>
        <v>5</v>
      </c>
      <c r="O160" s="19">
        <f t="shared" ca="1" si="53"/>
        <v>2.8178718937399587</v>
      </c>
      <c r="P160" s="19">
        <f t="shared" ca="1" si="54"/>
        <v>28.178718937399587</v>
      </c>
      <c r="Q160" s="19">
        <f t="shared" ca="1" si="55"/>
        <v>28.178718937399587</v>
      </c>
      <c r="R160" s="19">
        <f t="shared" ca="1" si="56"/>
        <v>2.8178718937399587</v>
      </c>
      <c r="S160" s="19">
        <f t="shared" ca="1" si="57"/>
        <v>2.8178718937399587</v>
      </c>
      <c r="T160" s="19">
        <f t="shared" ca="1" si="58"/>
        <v>0</v>
      </c>
      <c r="U160" s="19">
        <f t="shared" ca="1" si="59"/>
        <v>1453.3251747165598</v>
      </c>
      <c r="V160" s="19">
        <f t="shared" ca="1" si="60"/>
        <v>0</v>
      </c>
      <c r="W160" s="82">
        <f t="shared" ca="1" si="61"/>
        <v>3775.1772106481485</v>
      </c>
      <c r="X160" s="19">
        <f t="shared" ca="1" si="62"/>
        <v>0</v>
      </c>
      <c r="Y160" s="19">
        <f t="shared" si="63"/>
        <v>0</v>
      </c>
      <c r="Z160" s="82">
        <f t="shared" ca="1" si="64"/>
        <v>3775.1772106481485</v>
      </c>
      <c r="AA160" s="19">
        <f t="shared" ca="1" si="65"/>
        <v>0</v>
      </c>
      <c r="AE160" s="19"/>
    </row>
    <row r="161" spans="1:31" ht="12.75" customHeight="1" x14ac:dyDescent="0.2">
      <c r="A161">
        <v>1</v>
      </c>
      <c r="B161">
        <v>0</v>
      </c>
      <c r="C161">
        <f t="shared" ca="1" si="44"/>
        <v>3</v>
      </c>
      <c r="D161">
        <f t="shared" ca="1" si="45"/>
        <v>2</v>
      </c>
      <c r="E161">
        <f t="shared" ca="1" si="46"/>
        <v>1</v>
      </c>
      <c r="F161" s="61">
        <f t="shared" ca="1" si="47"/>
        <v>0.35901304948776958</v>
      </c>
      <c r="G161">
        <v>1</v>
      </c>
      <c r="H161">
        <v>0</v>
      </c>
      <c r="I161">
        <v>2</v>
      </c>
      <c r="J161" s="61">
        <f t="shared" ca="1" si="48"/>
        <v>0.85737499999999989</v>
      </c>
      <c r="K161" s="61">
        <f t="shared" ca="1" si="49"/>
        <v>0.30780881330457638</v>
      </c>
      <c r="L161" s="82">
        <f t="shared" ca="1" si="50"/>
        <v>183</v>
      </c>
      <c r="M161" s="16">
        <f t="shared" ca="1" si="51"/>
        <v>817</v>
      </c>
      <c r="N161" s="3">
        <f t="shared" ca="1" si="52"/>
        <v>5</v>
      </c>
      <c r="O161" s="19">
        <f t="shared" ca="1" si="53"/>
        <v>2.8178718937399587</v>
      </c>
      <c r="P161" s="19">
        <f t="shared" ca="1" si="54"/>
        <v>28.178718937399587</v>
      </c>
      <c r="Q161" s="19">
        <f t="shared" ca="1" si="55"/>
        <v>28.178718937399587</v>
      </c>
      <c r="R161" s="19">
        <f t="shared" ca="1" si="56"/>
        <v>2.8178718937399587</v>
      </c>
      <c r="S161" s="19">
        <f t="shared" ca="1" si="57"/>
        <v>2.8178718937399587</v>
      </c>
      <c r="T161" s="19">
        <f t="shared" ca="1" si="58"/>
        <v>0.86736580365641602</v>
      </c>
      <c r="U161" s="19">
        <f t="shared" ca="1" si="59"/>
        <v>1442.3251747165598</v>
      </c>
      <c r="V161" s="19">
        <f t="shared" ca="1" si="60"/>
        <v>443.96040042882004</v>
      </c>
      <c r="W161" s="82">
        <f t="shared" ca="1" si="61"/>
        <v>3289.2719806134264</v>
      </c>
      <c r="X161" s="19">
        <f t="shared" ca="1" si="62"/>
        <v>1012.4669049886123</v>
      </c>
      <c r="Y161" s="19">
        <f t="shared" si="63"/>
        <v>0</v>
      </c>
      <c r="Z161" s="82">
        <f t="shared" ca="1" si="64"/>
        <v>3289.2719806134264</v>
      </c>
      <c r="AA161" s="19">
        <f t="shared" ca="1" si="65"/>
        <v>1012.4669049886123</v>
      </c>
      <c r="AE161" s="19"/>
    </row>
    <row r="162" spans="1:31" ht="12.75" customHeight="1" x14ac:dyDescent="0.2">
      <c r="A162">
        <v>1</v>
      </c>
      <c r="B162">
        <v>0</v>
      </c>
      <c r="C162">
        <f t="shared" ca="1" si="44"/>
        <v>3</v>
      </c>
      <c r="D162">
        <f t="shared" ca="1" si="45"/>
        <v>2</v>
      </c>
      <c r="E162">
        <f t="shared" ca="1" si="46"/>
        <v>1</v>
      </c>
      <c r="F162" s="61">
        <f t="shared" ca="1" si="47"/>
        <v>0.35901304948776958</v>
      </c>
      <c r="G162">
        <v>1</v>
      </c>
      <c r="H162">
        <v>0</v>
      </c>
      <c r="I162">
        <v>1</v>
      </c>
      <c r="J162" s="61">
        <f t="shared" ca="1" si="48"/>
        <v>9.025000000000008E-2</v>
      </c>
      <c r="K162" s="61">
        <f t="shared" ca="1" si="49"/>
        <v>3.2400927716271233E-2</v>
      </c>
      <c r="L162" s="82">
        <f t="shared" ca="1" si="50"/>
        <v>172</v>
      </c>
      <c r="M162" s="16">
        <f t="shared" ca="1" si="51"/>
        <v>828</v>
      </c>
      <c r="N162" s="3">
        <f t="shared" ca="1" si="52"/>
        <v>5</v>
      </c>
      <c r="O162" s="19">
        <f t="shared" ca="1" si="53"/>
        <v>2.8178718937399587</v>
      </c>
      <c r="P162" s="19">
        <f t="shared" ca="1" si="54"/>
        <v>28.178718937399587</v>
      </c>
      <c r="Q162" s="19">
        <f t="shared" ca="1" si="55"/>
        <v>28.178718937399587</v>
      </c>
      <c r="R162" s="19">
        <f t="shared" ca="1" si="56"/>
        <v>2.8178718937399587</v>
      </c>
      <c r="S162" s="19">
        <f t="shared" ca="1" si="57"/>
        <v>2.8178718937399587</v>
      </c>
      <c r="T162" s="19">
        <f t="shared" ca="1" si="58"/>
        <v>9.1301663542780728E-2</v>
      </c>
      <c r="U162" s="19">
        <f t="shared" ca="1" si="59"/>
        <v>1431.3251747165598</v>
      </c>
      <c r="V162" s="19">
        <f t="shared" ca="1" si="60"/>
        <v>46.376263524470545</v>
      </c>
      <c r="W162" s="82">
        <f t="shared" ca="1" si="61"/>
        <v>2803.3667505787039</v>
      </c>
      <c r="X162" s="19">
        <f t="shared" ca="1" si="62"/>
        <v>90.831683447698751</v>
      </c>
      <c r="Y162" s="19">
        <f t="shared" si="63"/>
        <v>0</v>
      </c>
      <c r="Z162" s="82">
        <f t="shared" ca="1" si="64"/>
        <v>2803.3667505787039</v>
      </c>
      <c r="AA162" s="19">
        <f t="shared" ca="1" si="65"/>
        <v>90.831683447698751</v>
      </c>
      <c r="AE162" s="19"/>
    </row>
    <row r="163" spans="1:31" ht="12.75" customHeight="1" x14ac:dyDescent="0.2">
      <c r="A163">
        <v>1</v>
      </c>
      <c r="B163">
        <v>0</v>
      </c>
      <c r="C163">
        <f t="shared" ca="1" si="44"/>
        <v>3</v>
      </c>
      <c r="D163">
        <f t="shared" ca="1" si="45"/>
        <v>2</v>
      </c>
      <c r="E163">
        <f t="shared" ca="1" si="46"/>
        <v>1</v>
      </c>
      <c r="F163" s="61">
        <f t="shared" ca="1" si="47"/>
        <v>0.35901304948776958</v>
      </c>
      <c r="G163">
        <v>1</v>
      </c>
      <c r="H163">
        <v>0</v>
      </c>
      <c r="I163">
        <v>0</v>
      </c>
      <c r="J163" s="61">
        <f t="shared" ca="1" si="48"/>
        <v>2.3750000000000038E-3</v>
      </c>
      <c r="K163" s="61">
        <f t="shared" ca="1" si="49"/>
        <v>8.5265599253345409E-4</v>
      </c>
      <c r="L163" s="82">
        <f t="shared" ca="1" si="50"/>
        <v>161</v>
      </c>
      <c r="M163" s="16">
        <f t="shared" ca="1" si="51"/>
        <v>839</v>
      </c>
      <c r="N163" s="3">
        <f t="shared" ca="1" si="52"/>
        <v>5</v>
      </c>
      <c r="O163" s="19">
        <f t="shared" ca="1" si="53"/>
        <v>2.8178718937399587</v>
      </c>
      <c r="P163" s="19">
        <f t="shared" ca="1" si="54"/>
        <v>28.178718937399587</v>
      </c>
      <c r="Q163" s="19">
        <f t="shared" ca="1" si="55"/>
        <v>28.178718937399587</v>
      </c>
      <c r="R163" s="19">
        <f t="shared" ca="1" si="56"/>
        <v>2.8178718937399587</v>
      </c>
      <c r="S163" s="19">
        <f t="shared" ca="1" si="57"/>
        <v>2.8178718937399587</v>
      </c>
      <c r="T163" s="19">
        <f t="shared" ca="1" si="58"/>
        <v>2.4026753563889682E-3</v>
      </c>
      <c r="U163" s="19">
        <f t="shared" ca="1" si="59"/>
        <v>1420.3251747165598</v>
      </c>
      <c r="V163" s="19">
        <f t="shared" ca="1" si="60"/>
        <v>1.2110487715681999</v>
      </c>
      <c r="W163" s="82">
        <f t="shared" ca="1" si="61"/>
        <v>2317.4615205439818</v>
      </c>
      <c r="X163" s="19">
        <f t="shared" ca="1" si="62"/>
        <v>1.9759974529575166</v>
      </c>
      <c r="Y163" s="19">
        <f t="shared" si="63"/>
        <v>0</v>
      </c>
      <c r="Z163" s="82">
        <f t="shared" ca="1" si="64"/>
        <v>2317.4615205439818</v>
      </c>
      <c r="AA163" s="19">
        <f t="shared" ca="1" si="65"/>
        <v>1.9759974529575166</v>
      </c>
      <c r="AE163" s="19"/>
    </row>
    <row r="164" spans="1:31" ht="12.75" customHeight="1" x14ac:dyDescent="0.2">
      <c r="A164">
        <v>1</v>
      </c>
      <c r="B164">
        <v>0</v>
      </c>
      <c r="C164">
        <f t="shared" ca="1" si="44"/>
        <v>3</v>
      </c>
      <c r="D164">
        <f t="shared" ca="1" si="45"/>
        <v>2</v>
      </c>
      <c r="E164">
        <f t="shared" ca="1" si="46"/>
        <v>1</v>
      </c>
      <c r="F164" s="61">
        <f t="shared" ca="1" si="47"/>
        <v>0.35901304948776958</v>
      </c>
      <c r="G164">
        <v>0</v>
      </c>
      <c r="H164">
        <v>1</v>
      </c>
      <c r="I164">
        <v>7</v>
      </c>
      <c r="J164" s="61">
        <f t="shared" ca="1" si="48"/>
        <v>0</v>
      </c>
      <c r="K164" s="61">
        <f t="shared" ca="1" si="49"/>
        <v>0</v>
      </c>
      <c r="L164" s="82">
        <f t="shared" ca="1" si="50"/>
        <v>238</v>
      </c>
      <c r="M164" s="16">
        <f t="shared" ca="1" si="51"/>
        <v>762</v>
      </c>
      <c r="N164" s="3">
        <f t="shared" ca="1" si="52"/>
        <v>5</v>
      </c>
      <c r="O164" s="19">
        <f t="shared" ca="1" si="53"/>
        <v>2.8178718937399587</v>
      </c>
      <c r="P164" s="19">
        <f t="shared" ca="1" si="54"/>
        <v>25.815886347750073</v>
      </c>
      <c r="Q164" s="19">
        <f t="shared" ca="1" si="55"/>
        <v>23.453053758100552</v>
      </c>
      <c r="R164" s="19">
        <f t="shared" ca="1" si="56"/>
        <v>2.4634470052925312</v>
      </c>
      <c r="S164" s="19">
        <f t="shared" ca="1" si="57"/>
        <v>2.8178718937399587</v>
      </c>
      <c r="T164" s="19">
        <f t="shared" ca="1" si="58"/>
        <v>0</v>
      </c>
      <c r="U164" s="19">
        <f t="shared" ca="1" si="59"/>
        <v>1497.3251747165598</v>
      </c>
      <c r="V164" s="19">
        <f t="shared" ca="1" si="60"/>
        <v>0</v>
      </c>
      <c r="W164" s="82">
        <f t="shared" ca="1" si="61"/>
        <v>3401.3366102430559</v>
      </c>
      <c r="X164" s="19">
        <f t="shared" ca="1" si="62"/>
        <v>0</v>
      </c>
      <c r="Y164" s="19">
        <f t="shared" si="63"/>
        <v>0</v>
      </c>
      <c r="Z164" s="82">
        <f t="shared" ca="1" si="64"/>
        <v>3401.3366102430559</v>
      </c>
      <c r="AA164" s="19">
        <f t="shared" ca="1" si="65"/>
        <v>0</v>
      </c>
      <c r="AE164" s="19"/>
    </row>
    <row r="165" spans="1:31" ht="12.75" customHeight="1" x14ac:dyDescent="0.2">
      <c r="A165">
        <v>1</v>
      </c>
      <c r="B165">
        <v>0</v>
      </c>
      <c r="C165">
        <f t="shared" ca="1" si="44"/>
        <v>3</v>
      </c>
      <c r="D165">
        <f t="shared" ca="1" si="45"/>
        <v>2</v>
      </c>
      <c r="E165">
        <f t="shared" ca="1" si="46"/>
        <v>1</v>
      </c>
      <c r="F165" s="61">
        <f t="shared" ca="1" si="47"/>
        <v>0.35901304948776958</v>
      </c>
      <c r="G165">
        <v>0</v>
      </c>
      <c r="H165">
        <v>1</v>
      </c>
      <c r="I165">
        <v>6</v>
      </c>
      <c r="J165" s="61">
        <f t="shared" ca="1" si="48"/>
        <v>0</v>
      </c>
      <c r="K165" s="61">
        <f t="shared" ca="1" si="49"/>
        <v>0</v>
      </c>
      <c r="L165" s="82">
        <f t="shared" ca="1" si="50"/>
        <v>227</v>
      </c>
      <c r="M165" s="16">
        <f t="shared" ca="1" si="51"/>
        <v>773</v>
      </c>
      <c r="N165" s="3">
        <f t="shared" ca="1" si="52"/>
        <v>5</v>
      </c>
      <c r="O165" s="19">
        <f t="shared" ca="1" si="53"/>
        <v>2.8178718937399587</v>
      </c>
      <c r="P165" s="19">
        <f t="shared" ca="1" si="54"/>
        <v>28.178718937399587</v>
      </c>
      <c r="Q165" s="19">
        <f t="shared" ca="1" si="55"/>
        <v>26.288452865679979</v>
      </c>
      <c r="R165" s="19">
        <f t="shared" ca="1" si="56"/>
        <v>2.7233585901539783</v>
      </c>
      <c r="S165" s="19">
        <f t="shared" ca="1" si="57"/>
        <v>2.8178718937399587</v>
      </c>
      <c r="T165" s="19">
        <f t="shared" ca="1" si="58"/>
        <v>0</v>
      </c>
      <c r="U165" s="19">
        <f t="shared" ca="1" si="59"/>
        <v>1486.3251747165598</v>
      </c>
      <c r="V165" s="19">
        <f t="shared" ca="1" si="60"/>
        <v>0</v>
      </c>
      <c r="W165" s="82">
        <f t="shared" ca="1" si="61"/>
        <v>2915.4313802083334</v>
      </c>
      <c r="X165" s="19">
        <f t="shared" ca="1" si="62"/>
        <v>0</v>
      </c>
      <c r="Y165" s="19">
        <f t="shared" si="63"/>
        <v>0</v>
      </c>
      <c r="Z165" s="82">
        <f t="shared" ca="1" si="64"/>
        <v>2915.4313802083334</v>
      </c>
      <c r="AA165" s="19">
        <f t="shared" ca="1" si="65"/>
        <v>0</v>
      </c>
      <c r="AE165" s="19"/>
    </row>
    <row r="166" spans="1:31" ht="12.75" customHeight="1" x14ac:dyDescent="0.2">
      <c r="A166">
        <v>1</v>
      </c>
      <c r="B166">
        <v>0</v>
      </c>
      <c r="C166">
        <f t="shared" ca="1" si="44"/>
        <v>3</v>
      </c>
      <c r="D166">
        <f t="shared" ca="1" si="45"/>
        <v>2</v>
      </c>
      <c r="E166">
        <f t="shared" ca="1" si="46"/>
        <v>1</v>
      </c>
      <c r="F166" s="61">
        <f t="shared" ca="1" si="47"/>
        <v>0.35901304948776958</v>
      </c>
      <c r="G166">
        <v>0</v>
      </c>
      <c r="H166">
        <v>1</v>
      </c>
      <c r="I166">
        <v>5</v>
      </c>
      <c r="J166" s="61">
        <f t="shared" ca="1" si="48"/>
        <v>0</v>
      </c>
      <c r="K166" s="61">
        <f t="shared" ca="1" si="49"/>
        <v>0</v>
      </c>
      <c r="L166" s="82">
        <f t="shared" ca="1" si="50"/>
        <v>216</v>
      </c>
      <c r="M166" s="16">
        <f t="shared" ca="1" si="51"/>
        <v>784</v>
      </c>
      <c r="N166" s="3">
        <f t="shared" ca="1" si="52"/>
        <v>5</v>
      </c>
      <c r="O166" s="19">
        <f t="shared" ca="1" si="53"/>
        <v>2.8178718937399587</v>
      </c>
      <c r="P166" s="19">
        <f t="shared" ca="1" si="54"/>
        <v>28.178718937399587</v>
      </c>
      <c r="Q166" s="19">
        <f t="shared" ca="1" si="55"/>
        <v>28.178718937399587</v>
      </c>
      <c r="R166" s="19">
        <f t="shared" ca="1" si="56"/>
        <v>2.8178718937399587</v>
      </c>
      <c r="S166" s="19">
        <f t="shared" ca="1" si="57"/>
        <v>2.8178718937399587</v>
      </c>
      <c r="T166" s="19">
        <f t="shared" ca="1" si="58"/>
        <v>0</v>
      </c>
      <c r="U166" s="19">
        <f t="shared" ca="1" si="59"/>
        <v>1475.3251747165598</v>
      </c>
      <c r="V166" s="19">
        <f t="shared" ca="1" si="60"/>
        <v>0</v>
      </c>
      <c r="W166" s="82">
        <f t="shared" ca="1" si="61"/>
        <v>2429.5261501736113</v>
      </c>
      <c r="X166" s="19">
        <f t="shared" ca="1" si="62"/>
        <v>0</v>
      </c>
      <c r="Y166" s="19">
        <f t="shared" si="63"/>
        <v>0</v>
      </c>
      <c r="Z166" s="82">
        <f t="shared" ca="1" si="64"/>
        <v>2429.5261501736113</v>
      </c>
      <c r="AA166" s="19">
        <f t="shared" ca="1" si="65"/>
        <v>0</v>
      </c>
      <c r="AE166" s="19"/>
    </row>
    <row r="167" spans="1:31" ht="12.75" customHeight="1" x14ac:dyDescent="0.2">
      <c r="A167">
        <v>1</v>
      </c>
      <c r="B167">
        <v>0</v>
      </c>
      <c r="C167">
        <f t="shared" ca="1" si="44"/>
        <v>3</v>
      </c>
      <c r="D167">
        <f t="shared" ca="1" si="45"/>
        <v>2</v>
      </c>
      <c r="E167">
        <f t="shared" ca="1" si="46"/>
        <v>1</v>
      </c>
      <c r="F167" s="61">
        <f t="shared" ca="1" si="47"/>
        <v>0.35901304948776958</v>
      </c>
      <c r="G167">
        <v>0</v>
      </c>
      <c r="H167">
        <v>1</v>
      </c>
      <c r="I167">
        <v>4</v>
      </c>
      <c r="J167" s="61">
        <f t="shared" ca="1" si="48"/>
        <v>0</v>
      </c>
      <c r="K167" s="61">
        <f t="shared" ca="1" si="49"/>
        <v>0</v>
      </c>
      <c r="L167" s="82">
        <f t="shared" ca="1" si="50"/>
        <v>205</v>
      </c>
      <c r="M167" s="16">
        <f t="shared" ca="1" si="51"/>
        <v>795</v>
      </c>
      <c r="N167" s="3">
        <f t="shared" ca="1" si="52"/>
        <v>5</v>
      </c>
      <c r="O167" s="19">
        <f t="shared" ca="1" si="53"/>
        <v>2.8178718937399587</v>
      </c>
      <c r="P167" s="19">
        <f t="shared" ca="1" si="54"/>
        <v>28.178718937399587</v>
      </c>
      <c r="Q167" s="19">
        <f t="shared" ca="1" si="55"/>
        <v>28.178718937399587</v>
      </c>
      <c r="R167" s="19">
        <f t="shared" ca="1" si="56"/>
        <v>2.8178718937399587</v>
      </c>
      <c r="S167" s="19">
        <f t="shared" ca="1" si="57"/>
        <v>2.8178718937399587</v>
      </c>
      <c r="T167" s="19">
        <f t="shared" ca="1" si="58"/>
        <v>0</v>
      </c>
      <c r="U167" s="19">
        <f t="shared" ca="1" si="59"/>
        <v>1464.3251747165598</v>
      </c>
      <c r="V167" s="19">
        <f t="shared" ca="1" si="60"/>
        <v>0</v>
      </c>
      <c r="W167" s="82">
        <f t="shared" ca="1" si="61"/>
        <v>1943.620920138889</v>
      </c>
      <c r="X167" s="19">
        <f t="shared" ca="1" si="62"/>
        <v>0</v>
      </c>
      <c r="Y167" s="19">
        <f t="shared" si="63"/>
        <v>0</v>
      </c>
      <c r="Z167" s="82">
        <f t="shared" ca="1" si="64"/>
        <v>1943.620920138889</v>
      </c>
      <c r="AA167" s="19">
        <f t="shared" ca="1" si="65"/>
        <v>0</v>
      </c>
      <c r="AE167" s="19"/>
    </row>
    <row r="168" spans="1:31" ht="12.75" customHeight="1" x14ac:dyDescent="0.2">
      <c r="A168">
        <v>1</v>
      </c>
      <c r="B168">
        <v>0</v>
      </c>
      <c r="C168">
        <f t="shared" ca="1" si="44"/>
        <v>3</v>
      </c>
      <c r="D168">
        <f t="shared" ca="1" si="45"/>
        <v>2</v>
      </c>
      <c r="E168">
        <f t="shared" ca="1" si="46"/>
        <v>1</v>
      </c>
      <c r="F168" s="61">
        <f t="shared" ca="1" si="47"/>
        <v>0.35901304948776958</v>
      </c>
      <c r="G168">
        <v>0</v>
      </c>
      <c r="H168">
        <v>1</v>
      </c>
      <c r="I168">
        <v>3</v>
      </c>
      <c r="J168" s="61">
        <f t="shared" ca="1" si="48"/>
        <v>0</v>
      </c>
      <c r="K168" s="61">
        <f t="shared" ca="1" si="49"/>
        <v>0</v>
      </c>
      <c r="L168" s="82">
        <f t="shared" ca="1" si="50"/>
        <v>194</v>
      </c>
      <c r="M168" s="16">
        <f t="shared" ca="1" si="51"/>
        <v>806</v>
      </c>
      <c r="N168" s="3">
        <f t="shared" ca="1" si="52"/>
        <v>5</v>
      </c>
      <c r="O168" s="19">
        <f t="shared" ca="1" si="53"/>
        <v>2.8178718937399587</v>
      </c>
      <c r="P168" s="19">
        <f t="shared" ca="1" si="54"/>
        <v>28.178718937399587</v>
      </c>
      <c r="Q168" s="19">
        <f t="shared" ca="1" si="55"/>
        <v>28.178718937399587</v>
      </c>
      <c r="R168" s="19">
        <f t="shared" ca="1" si="56"/>
        <v>2.8178718937399587</v>
      </c>
      <c r="S168" s="19">
        <f t="shared" ca="1" si="57"/>
        <v>2.8178718937399587</v>
      </c>
      <c r="T168" s="19">
        <f t="shared" ca="1" si="58"/>
        <v>0</v>
      </c>
      <c r="U168" s="19">
        <f t="shared" ca="1" si="59"/>
        <v>1453.3251747165598</v>
      </c>
      <c r="V168" s="19">
        <f t="shared" ca="1" si="60"/>
        <v>0</v>
      </c>
      <c r="W168" s="82">
        <f t="shared" ca="1" si="61"/>
        <v>1457.7156901041667</v>
      </c>
      <c r="X168" s="19">
        <f t="shared" ca="1" si="62"/>
        <v>0</v>
      </c>
      <c r="Y168" s="19">
        <f t="shared" si="63"/>
        <v>0</v>
      </c>
      <c r="Z168" s="82">
        <f t="shared" ca="1" si="64"/>
        <v>1457.7156901041667</v>
      </c>
      <c r="AA168" s="19">
        <f t="shared" ca="1" si="65"/>
        <v>0</v>
      </c>
      <c r="AE168" s="19"/>
    </row>
    <row r="169" spans="1:31" ht="12.75" customHeight="1" x14ac:dyDescent="0.2">
      <c r="A169">
        <v>1</v>
      </c>
      <c r="B169">
        <v>0</v>
      </c>
      <c r="C169">
        <f t="shared" ca="1" si="44"/>
        <v>3</v>
      </c>
      <c r="D169">
        <f t="shared" ca="1" si="45"/>
        <v>2</v>
      </c>
      <c r="E169">
        <f t="shared" ca="1" si="46"/>
        <v>1</v>
      </c>
      <c r="F169" s="61">
        <f t="shared" ca="1" si="47"/>
        <v>0.35901304948776958</v>
      </c>
      <c r="G169">
        <v>0</v>
      </c>
      <c r="H169">
        <v>1</v>
      </c>
      <c r="I169">
        <v>2</v>
      </c>
      <c r="J169" s="61">
        <f t="shared" ca="1" si="48"/>
        <v>0</v>
      </c>
      <c r="K169" s="61">
        <f t="shared" ca="1" si="49"/>
        <v>0</v>
      </c>
      <c r="L169" s="82">
        <f t="shared" ca="1" si="50"/>
        <v>183</v>
      </c>
      <c r="M169" s="16">
        <f t="shared" ca="1" si="51"/>
        <v>817</v>
      </c>
      <c r="N169" s="3">
        <f t="shared" ca="1" si="52"/>
        <v>5</v>
      </c>
      <c r="O169" s="19">
        <f t="shared" ca="1" si="53"/>
        <v>2.8178718937399587</v>
      </c>
      <c r="P169" s="19">
        <f t="shared" ca="1" si="54"/>
        <v>28.178718937399587</v>
      </c>
      <c r="Q169" s="19">
        <f t="shared" ca="1" si="55"/>
        <v>28.178718937399587</v>
      </c>
      <c r="R169" s="19">
        <f t="shared" ca="1" si="56"/>
        <v>2.8178718937399587</v>
      </c>
      <c r="S169" s="19">
        <f t="shared" ca="1" si="57"/>
        <v>2.8178718937399587</v>
      </c>
      <c r="T169" s="19">
        <f t="shared" ca="1" si="58"/>
        <v>0</v>
      </c>
      <c r="U169" s="19">
        <f t="shared" ca="1" si="59"/>
        <v>1442.3251747165598</v>
      </c>
      <c r="V169" s="19">
        <f t="shared" ca="1" si="60"/>
        <v>0</v>
      </c>
      <c r="W169" s="82">
        <f t="shared" ca="1" si="61"/>
        <v>971.8104600694445</v>
      </c>
      <c r="X169" s="19">
        <f t="shared" ca="1" si="62"/>
        <v>0</v>
      </c>
      <c r="Y169" s="19">
        <f t="shared" si="63"/>
        <v>0</v>
      </c>
      <c r="Z169" s="82">
        <f t="shared" ca="1" si="64"/>
        <v>971.8104600694445</v>
      </c>
      <c r="AA169" s="19">
        <f t="shared" ca="1" si="65"/>
        <v>0</v>
      </c>
      <c r="AE169" s="19"/>
    </row>
    <row r="170" spans="1:31" ht="12.75" customHeight="1" x14ac:dyDescent="0.2">
      <c r="A170">
        <v>1</v>
      </c>
      <c r="B170">
        <v>0</v>
      </c>
      <c r="C170">
        <f t="shared" ca="1" si="44"/>
        <v>3</v>
      </c>
      <c r="D170">
        <f t="shared" ca="1" si="45"/>
        <v>2</v>
      </c>
      <c r="E170">
        <f t="shared" ca="1" si="46"/>
        <v>1</v>
      </c>
      <c r="F170" s="61">
        <f t="shared" ca="1" si="47"/>
        <v>0.35901304948776958</v>
      </c>
      <c r="G170">
        <v>0</v>
      </c>
      <c r="H170">
        <v>1</v>
      </c>
      <c r="I170">
        <v>1</v>
      </c>
      <c r="J170" s="61">
        <f t="shared" ca="1" si="48"/>
        <v>0</v>
      </c>
      <c r="K170" s="61">
        <f t="shared" ca="1" si="49"/>
        <v>0</v>
      </c>
      <c r="L170" s="82">
        <f t="shared" ca="1" si="50"/>
        <v>172</v>
      </c>
      <c r="M170" s="16">
        <f t="shared" ca="1" si="51"/>
        <v>828</v>
      </c>
      <c r="N170" s="3">
        <f t="shared" ca="1" si="52"/>
        <v>5</v>
      </c>
      <c r="O170" s="19">
        <f t="shared" ca="1" si="53"/>
        <v>2.8178718937399587</v>
      </c>
      <c r="P170" s="19">
        <f t="shared" ca="1" si="54"/>
        <v>28.178718937399587</v>
      </c>
      <c r="Q170" s="19">
        <f t="shared" ca="1" si="55"/>
        <v>28.178718937399587</v>
      </c>
      <c r="R170" s="19">
        <f t="shared" ca="1" si="56"/>
        <v>2.8178718937399587</v>
      </c>
      <c r="S170" s="19">
        <f t="shared" ca="1" si="57"/>
        <v>2.8178718937399587</v>
      </c>
      <c r="T170" s="19">
        <f t="shared" ca="1" si="58"/>
        <v>0</v>
      </c>
      <c r="U170" s="19">
        <f t="shared" ca="1" si="59"/>
        <v>1431.3251747165598</v>
      </c>
      <c r="V170" s="19">
        <f t="shared" ca="1" si="60"/>
        <v>0</v>
      </c>
      <c r="W170" s="82">
        <f t="shared" ca="1" si="61"/>
        <v>485.90523003472225</v>
      </c>
      <c r="X170" s="19">
        <f t="shared" ca="1" si="62"/>
        <v>0</v>
      </c>
      <c r="Y170" s="19">
        <f t="shared" si="63"/>
        <v>0</v>
      </c>
      <c r="Z170" s="82">
        <f t="shared" ca="1" si="64"/>
        <v>485.90523003472225</v>
      </c>
      <c r="AA170" s="19">
        <f t="shared" ca="1" si="65"/>
        <v>0</v>
      </c>
      <c r="AE170" s="19"/>
    </row>
    <row r="171" spans="1:31" ht="12.75" customHeight="1" x14ac:dyDescent="0.2">
      <c r="A171">
        <v>1</v>
      </c>
      <c r="B171">
        <v>0</v>
      </c>
      <c r="C171">
        <f t="shared" ca="1" si="44"/>
        <v>3</v>
      </c>
      <c r="D171">
        <f t="shared" ca="1" si="45"/>
        <v>2</v>
      </c>
      <c r="E171">
        <f t="shared" ca="1" si="46"/>
        <v>1</v>
      </c>
      <c r="F171" s="61">
        <f t="shared" ca="1" si="47"/>
        <v>0.35901304948776958</v>
      </c>
      <c r="G171">
        <v>0</v>
      </c>
      <c r="H171">
        <v>1</v>
      </c>
      <c r="I171">
        <v>0</v>
      </c>
      <c r="J171" s="61">
        <f t="shared" ca="1" si="48"/>
        <v>0</v>
      </c>
      <c r="K171" s="61">
        <f t="shared" ca="1" si="49"/>
        <v>0</v>
      </c>
      <c r="L171" s="82">
        <f t="shared" ca="1" si="50"/>
        <v>161</v>
      </c>
      <c r="M171" s="16">
        <f t="shared" ca="1" si="51"/>
        <v>839</v>
      </c>
      <c r="N171" s="3">
        <f t="shared" ca="1" si="52"/>
        <v>5</v>
      </c>
      <c r="O171" s="19">
        <f t="shared" ca="1" si="53"/>
        <v>2.8178718937399587</v>
      </c>
      <c r="P171" s="19">
        <f t="shared" ca="1" si="54"/>
        <v>28.178718937399587</v>
      </c>
      <c r="Q171" s="19">
        <f t="shared" ca="1" si="55"/>
        <v>28.178718937399587</v>
      </c>
      <c r="R171" s="19">
        <f t="shared" ca="1" si="56"/>
        <v>2.8178718937399587</v>
      </c>
      <c r="S171" s="19">
        <f t="shared" ca="1" si="57"/>
        <v>2.8178718937399587</v>
      </c>
      <c r="T171" s="19">
        <f t="shared" ca="1" si="58"/>
        <v>0</v>
      </c>
      <c r="U171" s="19">
        <f t="shared" ca="1" si="59"/>
        <v>1420.3251747165598</v>
      </c>
      <c r="V171" s="19">
        <f t="shared" ca="1" si="60"/>
        <v>0</v>
      </c>
      <c r="W171" s="82">
        <f t="shared" ca="1" si="61"/>
        <v>0</v>
      </c>
      <c r="X171" s="19">
        <f t="shared" ca="1" si="62"/>
        <v>0</v>
      </c>
      <c r="Y171" s="19">
        <f t="shared" si="63"/>
        <v>0</v>
      </c>
      <c r="Z171" s="82">
        <f t="shared" ca="1" si="64"/>
        <v>0</v>
      </c>
      <c r="AA171" s="19">
        <f t="shared" ca="1" si="65"/>
        <v>0</v>
      </c>
      <c r="AE171" s="19"/>
    </row>
    <row r="172" spans="1:31" ht="12.75" customHeight="1" x14ac:dyDescent="0.2">
      <c r="A172">
        <v>1</v>
      </c>
      <c r="B172">
        <v>0</v>
      </c>
      <c r="C172">
        <f t="shared" ca="1" si="44"/>
        <v>3</v>
      </c>
      <c r="D172">
        <f t="shared" ca="1" si="45"/>
        <v>2</v>
      </c>
      <c r="E172">
        <f t="shared" ca="1" si="46"/>
        <v>1</v>
      </c>
      <c r="F172" s="61">
        <f t="shared" ca="1" si="47"/>
        <v>0.35901304948776958</v>
      </c>
      <c r="G172">
        <v>0</v>
      </c>
      <c r="H172">
        <v>0</v>
      </c>
      <c r="I172">
        <v>7</v>
      </c>
      <c r="J172" s="61">
        <f t="shared" ca="1" si="48"/>
        <v>0</v>
      </c>
      <c r="K172" s="61">
        <f t="shared" ca="1" si="49"/>
        <v>0</v>
      </c>
      <c r="L172" s="82">
        <f t="shared" ca="1" si="50"/>
        <v>77</v>
      </c>
      <c r="M172" s="16">
        <f t="shared" ca="1" si="51"/>
        <v>923</v>
      </c>
      <c r="N172" s="3">
        <f t="shared" ca="1" si="52"/>
        <v>5</v>
      </c>
      <c r="O172" s="19">
        <f t="shared" ca="1" si="53"/>
        <v>2.8178718937399587</v>
      </c>
      <c r="P172" s="19">
        <f t="shared" ca="1" si="54"/>
        <v>28.178718937399587</v>
      </c>
      <c r="Q172" s="19">
        <f t="shared" ca="1" si="55"/>
        <v>28.178718937399587</v>
      </c>
      <c r="R172" s="19">
        <f t="shared" ca="1" si="56"/>
        <v>2.8178718937399587</v>
      </c>
      <c r="S172" s="19">
        <f t="shared" ca="1" si="57"/>
        <v>2.8178718937399587</v>
      </c>
      <c r="T172" s="19">
        <f t="shared" ca="1" si="58"/>
        <v>0</v>
      </c>
      <c r="U172" s="19">
        <f t="shared" ca="1" si="59"/>
        <v>1336.3251747165598</v>
      </c>
      <c r="V172" s="19">
        <f t="shared" ca="1" si="60"/>
        <v>0</v>
      </c>
      <c r="W172" s="82">
        <f t="shared" ca="1" si="61"/>
        <v>3401.3366102430559</v>
      </c>
      <c r="X172" s="19">
        <f t="shared" ca="1" si="62"/>
        <v>0</v>
      </c>
      <c r="Y172" s="19">
        <f t="shared" si="63"/>
        <v>0</v>
      </c>
      <c r="Z172" s="82">
        <f t="shared" ca="1" si="64"/>
        <v>3401.3366102430559</v>
      </c>
      <c r="AA172" s="19">
        <f t="shared" ca="1" si="65"/>
        <v>0</v>
      </c>
      <c r="AE172" s="19"/>
    </row>
    <row r="173" spans="1:31" ht="12.75" customHeight="1" x14ac:dyDescent="0.2">
      <c r="A173">
        <v>1</v>
      </c>
      <c r="B173">
        <v>0</v>
      </c>
      <c r="C173">
        <f t="shared" ca="1" si="44"/>
        <v>3</v>
      </c>
      <c r="D173">
        <f t="shared" ca="1" si="45"/>
        <v>2</v>
      </c>
      <c r="E173">
        <f t="shared" ca="1" si="46"/>
        <v>1</v>
      </c>
      <c r="F173" s="61">
        <f t="shared" ca="1" si="47"/>
        <v>0.35901304948776958</v>
      </c>
      <c r="G173">
        <v>0</v>
      </c>
      <c r="H173">
        <v>0</v>
      </c>
      <c r="I173">
        <v>6</v>
      </c>
      <c r="J173" s="61">
        <f t="shared" ca="1" si="48"/>
        <v>0</v>
      </c>
      <c r="K173" s="61">
        <f t="shared" ca="1" si="49"/>
        <v>0</v>
      </c>
      <c r="L173" s="82">
        <f t="shared" ca="1" si="50"/>
        <v>66</v>
      </c>
      <c r="M173" s="16">
        <f t="shared" ca="1" si="51"/>
        <v>934</v>
      </c>
      <c r="N173" s="3">
        <f t="shared" ca="1" si="52"/>
        <v>5</v>
      </c>
      <c r="O173" s="19">
        <f t="shared" ca="1" si="53"/>
        <v>2.8178718937399587</v>
      </c>
      <c r="P173" s="19">
        <f t="shared" ca="1" si="54"/>
        <v>28.178718937399587</v>
      </c>
      <c r="Q173" s="19">
        <f t="shared" ca="1" si="55"/>
        <v>28.178718937399587</v>
      </c>
      <c r="R173" s="19">
        <f t="shared" ca="1" si="56"/>
        <v>2.8178718937399587</v>
      </c>
      <c r="S173" s="19">
        <f t="shared" ca="1" si="57"/>
        <v>2.8178718937399587</v>
      </c>
      <c r="T173" s="19">
        <f t="shared" ca="1" si="58"/>
        <v>0</v>
      </c>
      <c r="U173" s="19">
        <f t="shared" ca="1" si="59"/>
        <v>1325.3251747165598</v>
      </c>
      <c r="V173" s="19">
        <f t="shared" ca="1" si="60"/>
        <v>0</v>
      </c>
      <c r="W173" s="82">
        <f t="shared" ca="1" si="61"/>
        <v>2915.4313802083334</v>
      </c>
      <c r="X173" s="19">
        <f t="shared" ca="1" si="62"/>
        <v>0</v>
      </c>
      <c r="Y173" s="19">
        <f t="shared" si="63"/>
        <v>0</v>
      </c>
      <c r="Z173" s="82">
        <f t="shared" ca="1" si="64"/>
        <v>2915.4313802083334</v>
      </c>
      <c r="AA173" s="19">
        <f t="shared" ca="1" si="65"/>
        <v>0</v>
      </c>
      <c r="AE173" s="19"/>
    </row>
    <row r="174" spans="1:31" ht="12.75" customHeight="1" x14ac:dyDescent="0.2">
      <c r="A174">
        <v>1</v>
      </c>
      <c r="B174">
        <v>0</v>
      </c>
      <c r="C174">
        <f t="shared" ca="1" si="44"/>
        <v>3</v>
      </c>
      <c r="D174">
        <f t="shared" ca="1" si="45"/>
        <v>2</v>
      </c>
      <c r="E174">
        <f t="shared" ca="1" si="46"/>
        <v>1</v>
      </c>
      <c r="F174" s="61">
        <f t="shared" ca="1" si="47"/>
        <v>0.35901304948776958</v>
      </c>
      <c r="G174">
        <v>0</v>
      </c>
      <c r="H174">
        <v>0</v>
      </c>
      <c r="I174">
        <v>5</v>
      </c>
      <c r="J174" s="61">
        <f t="shared" ca="1" si="48"/>
        <v>0</v>
      </c>
      <c r="K174" s="61">
        <f t="shared" ca="1" si="49"/>
        <v>0</v>
      </c>
      <c r="L174" s="82">
        <f t="shared" ca="1" si="50"/>
        <v>55</v>
      </c>
      <c r="M174" s="16">
        <f t="shared" ca="1" si="51"/>
        <v>945</v>
      </c>
      <c r="N174" s="3">
        <f t="shared" ca="1" si="52"/>
        <v>5</v>
      </c>
      <c r="O174" s="19">
        <f t="shared" ca="1" si="53"/>
        <v>2.8178718937399587</v>
      </c>
      <c r="P174" s="19">
        <f t="shared" ca="1" si="54"/>
        <v>28.178718937399587</v>
      </c>
      <c r="Q174" s="19">
        <f t="shared" ca="1" si="55"/>
        <v>28.178718937399587</v>
      </c>
      <c r="R174" s="19">
        <f t="shared" ca="1" si="56"/>
        <v>2.8178718937399587</v>
      </c>
      <c r="S174" s="19">
        <f t="shared" ca="1" si="57"/>
        <v>2.8178718937399587</v>
      </c>
      <c r="T174" s="19">
        <f t="shared" ca="1" si="58"/>
        <v>0</v>
      </c>
      <c r="U174" s="19">
        <f t="shared" ca="1" si="59"/>
        <v>1314.3251747165598</v>
      </c>
      <c r="V174" s="19">
        <f t="shared" ca="1" si="60"/>
        <v>0</v>
      </c>
      <c r="W174" s="82">
        <f t="shared" ca="1" si="61"/>
        <v>2429.5261501736113</v>
      </c>
      <c r="X174" s="19">
        <f t="shared" ca="1" si="62"/>
        <v>0</v>
      </c>
      <c r="Y174" s="19">
        <f t="shared" si="63"/>
        <v>0</v>
      </c>
      <c r="Z174" s="82">
        <f t="shared" ca="1" si="64"/>
        <v>2429.5261501736113</v>
      </c>
      <c r="AA174" s="19">
        <f t="shared" ca="1" si="65"/>
        <v>0</v>
      </c>
      <c r="AE174" s="19"/>
    </row>
    <row r="175" spans="1:31" ht="12.75" customHeight="1" x14ac:dyDescent="0.2">
      <c r="A175">
        <v>1</v>
      </c>
      <c r="B175">
        <v>0</v>
      </c>
      <c r="C175">
        <f t="shared" ca="1" si="44"/>
        <v>3</v>
      </c>
      <c r="D175">
        <f t="shared" ca="1" si="45"/>
        <v>2</v>
      </c>
      <c r="E175">
        <f t="shared" ca="1" si="46"/>
        <v>1</v>
      </c>
      <c r="F175" s="61">
        <f t="shared" ca="1" si="47"/>
        <v>0.35901304948776958</v>
      </c>
      <c r="G175">
        <v>0</v>
      </c>
      <c r="H175">
        <v>0</v>
      </c>
      <c r="I175">
        <v>4</v>
      </c>
      <c r="J175" s="61">
        <f t="shared" ca="1" si="48"/>
        <v>0</v>
      </c>
      <c r="K175" s="61">
        <f t="shared" ca="1" si="49"/>
        <v>0</v>
      </c>
      <c r="L175" s="82">
        <f t="shared" ca="1" si="50"/>
        <v>44</v>
      </c>
      <c r="M175" s="16">
        <f t="shared" ca="1" si="51"/>
        <v>956</v>
      </c>
      <c r="N175" s="3">
        <f t="shared" ca="1" si="52"/>
        <v>6</v>
      </c>
      <c r="O175" s="19">
        <f t="shared" ca="1" si="53"/>
        <v>3.3239268932937667</v>
      </c>
      <c r="P175" s="19">
        <f t="shared" ca="1" si="54"/>
        <v>33.239268932937669</v>
      </c>
      <c r="Q175" s="19">
        <f t="shared" ca="1" si="55"/>
        <v>28.178718937399587</v>
      </c>
      <c r="R175" s="19">
        <f t="shared" ca="1" si="56"/>
        <v>3.0708993935168629</v>
      </c>
      <c r="S175" s="19">
        <f t="shared" ca="1" si="57"/>
        <v>3.3239268932937667</v>
      </c>
      <c r="T175" s="19">
        <f t="shared" ca="1" si="58"/>
        <v>0</v>
      </c>
      <c r="U175" s="19">
        <f t="shared" ca="1" si="59"/>
        <v>1495.4024523027438</v>
      </c>
      <c r="V175" s="19">
        <f t="shared" ca="1" si="60"/>
        <v>0</v>
      </c>
      <c r="W175" s="82">
        <f t="shared" ca="1" si="61"/>
        <v>1943.620920138889</v>
      </c>
      <c r="X175" s="19">
        <f t="shared" ca="1" si="62"/>
        <v>0</v>
      </c>
      <c r="Y175" s="19">
        <f t="shared" si="63"/>
        <v>0</v>
      </c>
      <c r="Z175" s="82">
        <f t="shared" ca="1" si="64"/>
        <v>1943.620920138889</v>
      </c>
      <c r="AA175" s="19">
        <f t="shared" ca="1" si="65"/>
        <v>0</v>
      </c>
      <c r="AE175" s="19"/>
    </row>
    <row r="176" spans="1:31" ht="12.75" customHeight="1" x14ac:dyDescent="0.2">
      <c r="A176">
        <v>1</v>
      </c>
      <c r="B176">
        <v>0</v>
      </c>
      <c r="C176">
        <f t="shared" ca="1" si="44"/>
        <v>3</v>
      </c>
      <c r="D176">
        <f t="shared" ca="1" si="45"/>
        <v>2</v>
      </c>
      <c r="E176">
        <f t="shared" ca="1" si="46"/>
        <v>1</v>
      </c>
      <c r="F176" s="61">
        <f t="shared" ca="1" si="47"/>
        <v>0.35901304948776958</v>
      </c>
      <c r="G176">
        <v>0</v>
      </c>
      <c r="H176">
        <v>0</v>
      </c>
      <c r="I176">
        <v>3</v>
      </c>
      <c r="J176" s="61">
        <f t="shared" ca="1" si="48"/>
        <v>0</v>
      </c>
      <c r="K176" s="61">
        <f t="shared" ca="1" si="49"/>
        <v>0</v>
      </c>
      <c r="L176" s="82">
        <f t="shared" ca="1" si="50"/>
        <v>33</v>
      </c>
      <c r="M176" s="16">
        <f t="shared" ca="1" si="51"/>
        <v>967</v>
      </c>
      <c r="N176" s="3">
        <f t="shared" ca="1" si="52"/>
        <v>6</v>
      </c>
      <c r="O176" s="19">
        <f t="shared" ca="1" si="53"/>
        <v>3.3239268932937667</v>
      </c>
      <c r="P176" s="19">
        <f t="shared" ca="1" si="54"/>
        <v>33.239268932937669</v>
      </c>
      <c r="Q176" s="19">
        <f t="shared" ca="1" si="55"/>
        <v>33.239268932937669</v>
      </c>
      <c r="R176" s="19">
        <f t="shared" ca="1" si="56"/>
        <v>3.3239268932937671</v>
      </c>
      <c r="S176" s="19">
        <f t="shared" ca="1" si="57"/>
        <v>3.3239268932937667</v>
      </c>
      <c r="T176" s="19">
        <f t="shared" ca="1" si="58"/>
        <v>0</v>
      </c>
      <c r="U176" s="19">
        <f t="shared" ca="1" si="59"/>
        <v>1484.4024523027438</v>
      </c>
      <c r="V176" s="19">
        <f t="shared" ca="1" si="60"/>
        <v>0</v>
      </c>
      <c r="W176" s="82">
        <f t="shared" ca="1" si="61"/>
        <v>1457.7156901041667</v>
      </c>
      <c r="X176" s="19">
        <f t="shared" ca="1" si="62"/>
        <v>0</v>
      </c>
      <c r="Y176" s="19">
        <f t="shared" si="63"/>
        <v>0</v>
      </c>
      <c r="Z176" s="82">
        <f t="shared" ca="1" si="64"/>
        <v>1457.7156901041667</v>
      </c>
      <c r="AA176" s="19">
        <f t="shared" ca="1" si="65"/>
        <v>0</v>
      </c>
      <c r="AE176" s="19"/>
    </row>
    <row r="177" spans="1:31" ht="12.75" customHeight="1" x14ac:dyDescent="0.2">
      <c r="A177">
        <v>1</v>
      </c>
      <c r="B177">
        <v>0</v>
      </c>
      <c r="C177">
        <f t="shared" ca="1" si="44"/>
        <v>3</v>
      </c>
      <c r="D177">
        <f t="shared" ca="1" si="45"/>
        <v>2</v>
      </c>
      <c r="E177">
        <f t="shared" ca="1" si="46"/>
        <v>1</v>
      </c>
      <c r="F177" s="61">
        <f t="shared" ca="1" si="47"/>
        <v>0.35901304948776958</v>
      </c>
      <c r="G177">
        <v>0</v>
      </c>
      <c r="H177">
        <v>0</v>
      </c>
      <c r="I177">
        <v>2</v>
      </c>
      <c r="J177" s="61">
        <f t="shared" ca="1" si="48"/>
        <v>4.5124999999999998E-2</v>
      </c>
      <c r="K177" s="61">
        <f t="shared" ca="1" si="49"/>
        <v>1.6200463858135603E-2</v>
      </c>
      <c r="L177" s="82">
        <f t="shared" ca="1" si="50"/>
        <v>22</v>
      </c>
      <c r="M177" s="16">
        <f t="shared" ca="1" si="51"/>
        <v>978</v>
      </c>
      <c r="N177" s="3">
        <f t="shared" ca="1" si="52"/>
        <v>6</v>
      </c>
      <c r="O177" s="19">
        <f t="shared" ca="1" si="53"/>
        <v>3.3239268932937667</v>
      </c>
      <c r="P177" s="19">
        <f t="shared" ca="1" si="54"/>
        <v>33.239268932937669</v>
      </c>
      <c r="Q177" s="19">
        <f t="shared" ca="1" si="55"/>
        <v>33.239268932937669</v>
      </c>
      <c r="R177" s="19">
        <f t="shared" ca="1" si="56"/>
        <v>3.3239268932937671</v>
      </c>
      <c r="S177" s="19">
        <f t="shared" ca="1" si="57"/>
        <v>3.3239268932937667</v>
      </c>
      <c r="T177" s="19">
        <f t="shared" ca="1" si="58"/>
        <v>5.3849157501890621E-2</v>
      </c>
      <c r="U177" s="19">
        <f t="shared" ca="1" si="59"/>
        <v>1473.4024523027438</v>
      </c>
      <c r="V177" s="19">
        <f t="shared" ca="1" si="60"/>
        <v>23.869803177018966</v>
      </c>
      <c r="W177" s="82">
        <f t="shared" ca="1" si="61"/>
        <v>971.8104600694445</v>
      </c>
      <c r="X177" s="19">
        <f t="shared" ca="1" si="62"/>
        <v>15.743780235313167</v>
      </c>
      <c r="Y177" s="19">
        <f t="shared" si="63"/>
        <v>0</v>
      </c>
      <c r="Z177" s="82">
        <f t="shared" ca="1" si="64"/>
        <v>971.8104600694445</v>
      </c>
      <c r="AA177" s="19">
        <f t="shared" ca="1" si="65"/>
        <v>15.743780235313167</v>
      </c>
      <c r="AE177" s="19"/>
    </row>
    <row r="178" spans="1:31" ht="12.75" customHeight="1" x14ac:dyDescent="0.2">
      <c r="A178">
        <v>1</v>
      </c>
      <c r="B178">
        <v>0</v>
      </c>
      <c r="C178">
        <f t="shared" ca="1" si="44"/>
        <v>3</v>
      </c>
      <c r="D178">
        <f t="shared" ca="1" si="45"/>
        <v>2</v>
      </c>
      <c r="E178">
        <f t="shared" ca="1" si="46"/>
        <v>1</v>
      </c>
      <c r="F178" s="61">
        <f t="shared" ca="1" si="47"/>
        <v>0.35901304948776958</v>
      </c>
      <c r="G178">
        <v>0</v>
      </c>
      <c r="H178">
        <v>0</v>
      </c>
      <c r="I178">
        <v>1</v>
      </c>
      <c r="J178" s="61">
        <f t="shared" ca="1" si="48"/>
        <v>4.7500000000000042E-3</v>
      </c>
      <c r="K178" s="61">
        <f t="shared" ca="1" si="49"/>
        <v>1.7053119850669071E-3</v>
      </c>
      <c r="L178" s="82">
        <f t="shared" ca="1" si="50"/>
        <v>11</v>
      </c>
      <c r="M178" s="16">
        <f t="shared" ca="1" si="51"/>
        <v>989</v>
      </c>
      <c r="N178" s="3">
        <f t="shared" ca="1" si="52"/>
        <v>6</v>
      </c>
      <c r="O178" s="19">
        <f t="shared" ca="1" si="53"/>
        <v>3.3239268932937667</v>
      </c>
      <c r="P178" s="19">
        <f t="shared" ca="1" si="54"/>
        <v>33.239268932937669</v>
      </c>
      <c r="Q178" s="19">
        <f t="shared" ca="1" si="55"/>
        <v>33.239268932937669</v>
      </c>
      <c r="R178" s="19">
        <f t="shared" ca="1" si="56"/>
        <v>3.3239268932937671</v>
      </c>
      <c r="S178" s="19">
        <f t="shared" ca="1" si="57"/>
        <v>3.3239268932937667</v>
      </c>
      <c r="T178" s="19">
        <f t="shared" ca="1" si="58"/>
        <v>5.668332368620071E-3</v>
      </c>
      <c r="U178" s="19">
        <f t="shared" ca="1" si="59"/>
        <v>1462.4024523027438</v>
      </c>
      <c r="V178" s="19">
        <f t="shared" ca="1" si="60"/>
        <v>2.493852428903105</v>
      </c>
      <c r="W178" s="82">
        <f t="shared" ca="1" si="61"/>
        <v>485.90523003472225</v>
      </c>
      <c r="X178" s="19">
        <f t="shared" ca="1" si="62"/>
        <v>0.82862001238490435</v>
      </c>
      <c r="Y178" s="19">
        <f t="shared" si="63"/>
        <v>0</v>
      </c>
      <c r="Z178" s="82">
        <f t="shared" ca="1" si="64"/>
        <v>485.90523003472225</v>
      </c>
      <c r="AA178" s="19">
        <f t="shared" ca="1" si="65"/>
        <v>0.82862001238490435</v>
      </c>
      <c r="AE178" s="19"/>
    </row>
    <row r="179" spans="1:31" ht="12.75" customHeight="1" x14ac:dyDescent="0.2">
      <c r="A179">
        <v>1</v>
      </c>
      <c r="B179">
        <v>0</v>
      </c>
      <c r="C179">
        <f t="shared" ca="1" si="44"/>
        <v>3</v>
      </c>
      <c r="D179">
        <f t="shared" ca="1" si="45"/>
        <v>2</v>
      </c>
      <c r="E179">
        <f t="shared" ca="1" si="46"/>
        <v>1</v>
      </c>
      <c r="F179" s="61">
        <f t="shared" ca="1" si="47"/>
        <v>0.35901304948776958</v>
      </c>
      <c r="G179">
        <v>0</v>
      </c>
      <c r="H179">
        <v>0</v>
      </c>
      <c r="I179">
        <v>0</v>
      </c>
      <c r="J179" s="61">
        <f t="shared" ca="1" si="48"/>
        <v>1.2500000000000022E-4</v>
      </c>
      <c r="K179" s="61">
        <f t="shared" ca="1" si="49"/>
        <v>4.4876631185971276E-5</v>
      </c>
      <c r="L179" s="82">
        <f t="shared" ca="1" si="50"/>
        <v>0</v>
      </c>
      <c r="M179" s="16">
        <f t="shared" ca="1" si="51"/>
        <v>1000</v>
      </c>
      <c r="N179" s="3">
        <f t="shared" ca="1" si="52"/>
        <v>6</v>
      </c>
      <c r="O179" s="19">
        <f t="shared" ca="1" si="53"/>
        <v>3.3239268932937667</v>
      </c>
      <c r="P179" s="19">
        <f t="shared" ca="1" si="54"/>
        <v>33.239268932937669</v>
      </c>
      <c r="Q179" s="19">
        <f t="shared" ca="1" si="55"/>
        <v>33.239268932937669</v>
      </c>
      <c r="R179" s="19">
        <f t="shared" ca="1" si="56"/>
        <v>3.3239268932937671</v>
      </c>
      <c r="S179" s="19">
        <f t="shared" ca="1" si="57"/>
        <v>3.3239268932937667</v>
      </c>
      <c r="T179" s="19">
        <f t="shared" ca="1" si="58"/>
        <v>1.4916664127947568E-4</v>
      </c>
      <c r="U179" s="19">
        <f t="shared" ca="1" si="59"/>
        <v>1451.4024523027438</v>
      </c>
      <c r="V179" s="19">
        <f t="shared" ca="1" si="60"/>
        <v>6.5134052554404492E-2</v>
      </c>
      <c r="W179" s="82">
        <f t="shared" ca="1" si="61"/>
        <v>0</v>
      </c>
      <c r="X179" s="19">
        <f t="shared" ca="1" si="62"/>
        <v>0</v>
      </c>
      <c r="Y179" s="19">
        <f t="shared" si="63"/>
        <v>0</v>
      </c>
      <c r="Z179" s="82">
        <f t="shared" ca="1" si="64"/>
        <v>0</v>
      </c>
      <c r="AA179" s="19">
        <f t="shared" ca="1" si="65"/>
        <v>0</v>
      </c>
      <c r="AE179" s="19"/>
    </row>
    <row r="180" spans="1:31" ht="12.75" customHeight="1" x14ac:dyDescent="0.2">
      <c r="A180">
        <v>1</v>
      </c>
      <c r="B180">
        <v>1</v>
      </c>
      <c r="C180">
        <f t="shared" ca="1" si="44"/>
        <v>4</v>
      </c>
      <c r="D180">
        <f t="shared" ca="1" si="45"/>
        <v>3</v>
      </c>
      <c r="E180">
        <f t="shared" ca="1" si="46"/>
        <v>1</v>
      </c>
      <c r="F180" s="61">
        <f t="shared" ca="1" si="47"/>
        <v>0.10723766413271038</v>
      </c>
      <c r="G180">
        <v>1</v>
      </c>
      <c r="H180">
        <v>1</v>
      </c>
      <c r="I180">
        <v>7</v>
      </c>
      <c r="J180" s="61">
        <f t="shared" ca="1" si="48"/>
        <v>0</v>
      </c>
      <c r="K180" s="61">
        <f t="shared" ca="1" si="49"/>
        <v>0</v>
      </c>
      <c r="L180" s="82">
        <f t="shared" ca="1" si="50"/>
        <v>399</v>
      </c>
      <c r="M180" s="16">
        <f t="shared" ca="1" si="51"/>
        <v>601</v>
      </c>
      <c r="N180" s="3">
        <f t="shared" ca="1" si="52"/>
        <v>4</v>
      </c>
      <c r="O180" s="19">
        <f t="shared" ca="1" si="53"/>
        <v>2.3453053758100548</v>
      </c>
      <c r="P180" s="19">
        <f t="shared" ca="1" si="54"/>
        <v>23.453053758100552</v>
      </c>
      <c r="Q180" s="19">
        <f t="shared" ca="1" si="55"/>
        <v>23.453053758100552</v>
      </c>
      <c r="R180" s="19">
        <f t="shared" ca="1" si="56"/>
        <v>2.3453053758100553</v>
      </c>
      <c r="S180" s="19">
        <f t="shared" ca="1" si="57"/>
        <v>2.3453053758100548</v>
      </c>
      <c r="T180" s="19">
        <f t="shared" ca="1" si="58"/>
        <v>0</v>
      </c>
      <c r="U180" s="19">
        <f t="shared" ca="1" si="59"/>
        <v>1478.9587218163997</v>
      </c>
      <c r="V180" s="19">
        <f t="shared" ca="1" si="60"/>
        <v>0</v>
      </c>
      <c r="W180" s="82">
        <f t="shared" ca="1" si="61"/>
        <v>5718.7981307870377</v>
      </c>
      <c r="X180" s="19">
        <f t="shared" ca="1" si="62"/>
        <v>0</v>
      </c>
      <c r="Y180" s="19">
        <f t="shared" si="63"/>
        <v>0</v>
      </c>
      <c r="Z180" s="82">
        <f t="shared" ca="1" si="64"/>
        <v>5718.7981307870377</v>
      </c>
      <c r="AA180" s="19">
        <f t="shared" ca="1" si="65"/>
        <v>0</v>
      </c>
      <c r="AE180" s="19"/>
    </row>
    <row r="181" spans="1:31" ht="12.75" customHeight="1" x14ac:dyDescent="0.2">
      <c r="A181">
        <v>1</v>
      </c>
      <c r="B181">
        <v>1</v>
      </c>
      <c r="C181">
        <f t="shared" ca="1" si="44"/>
        <v>4</v>
      </c>
      <c r="D181">
        <f t="shared" ca="1" si="45"/>
        <v>3</v>
      </c>
      <c r="E181">
        <f t="shared" ca="1" si="46"/>
        <v>1</v>
      </c>
      <c r="F181" s="61">
        <f t="shared" ca="1" si="47"/>
        <v>0.10723766413271038</v>
      </c>
      <c r="G181">
        <v>1</v>
      </c>
      <c r="H181">
        <v>1</v>
      </c>
      <c r="I181">
        <v>6</v>
      </c>
      <c r="J181" s="61">
        <f t="shared" ca="1" si="48"/>
        <v>0</v>
      </c>
      <c r="K181" s="61">
        <f t="shared" ca="1" si="49"/>
        <v>0</v>
      </c>
      <c r="L181" s="82">
        <f t="shared" ca="1" si="50"/>
        <v>388</v>
      </c>
      <c r="M181" s="16">
        <f t="shared" ca="1" si="51"/>
        <v>612</v>
      </c>
      <c r="N181" s="3">
        <f t="shared" ca="1" si="52"/>
        <v>4</v>
      </c>
      <c r="O181" s="19">
        <f t="shared" ca="1" si="53"/>
        <v>2.3453053758100548</v>
      </c>
      <c r="P181" s="19">
        <f t="shared" ca="1" si="54"/>
        <v>23.453053758100552</v>
      </c>
      <c r="Q181" s="19">
        <f t="shared" ca="1" si="55"/>
        <v>23.453053758100552</v>
      </c>
      <c r="R181" s="19">
        <f t="shared" ca="1" si="56"/>
        <v>2.3453053758100553</v>
      </c>
      <c r="S181" s="19">
        <f t="shared" ca="1" si="57"/>
        <v>2.3453053758100548</v>
      </c>
      <c r="T181" s="19">
        <f t="shared" ca="1" si="58"/>
        <v>0</v>
      </c>
      <c r="U181" s="19">
        <f t="shared" ca="1" si="59"/>
        <v>1467.9587218163997</v>
      </c>
      <c r="V181" s="19">
        <f t="shared" ca="1" si="60"/>
        <v>0</v>
      </c>
      <c r="W181" s="82">
        <f t="shared" ca="1" si="61"/>
        <v>5232.8929007523147</v>
      </c>
      <c r="X181" s="19">
        <f t="shared" ca="1" si="62"/>
        <v>0</v>
      </c>
      <c r="Y181" s="19">
        <f t="shared" si="63"/>
        <v>0</v>
      </c>
      <c r="Z181" s="82">
        <f t="shared" ca="1" si="64"/>
        <v>5232.8929007523147</v>
      </c>
      <c r="AA181" s="19">
        <f t="shared" ca="1" si="65"/>
        <v>0</v>
      </c>
      <c r="AE181" s="19"/>
    </row>
    <row r="182" spans="1:31" ht="12.75" customHeight="1" x14ac:dyDescent="0.2">
      <c r="A182">
        <v>1</v>
      </c>
      <c r="B182">
        <v>1</v>
      </c>
      <c r="C182">
        <f t="shared" ca="1" si="44"/>
        <v>4</v>
      </c>
      <c r="D182">
        <f t="shared" ca="1" si="45"/>
        <v>3</v>
      </c>
      <c r="E182">
        <f t="shared" ca="1" si="46"/>
        <v>1</v>
      </c>
      <c r="F182" s="61">
        <f t="shared" ca="1" si="47"/>
        <v>0.10723766413271038</v>
      </c>
      <c r="G182">
        <v>1</v>
      </c>
      <c r="H182">
        <v>1</v>
      </c>
      <c r="I182">
        <v>5</v>
      </c>
      <c r="J182" s="61">
        <f t="shared" ca="1" si="48"/>
        <v>0</v>
      </c>
      <c r="K182" s="61">
        <f t="shared" ca="1" si="49"/>
        <v>0</v>
      </c>
      <c r="L182" s="82">
        <f t="shared" ca="1" si="50"/>
        <v>377</v>
      </c>
      <c r="M182" s="16">
        <f t="shared" ca="1" si="51"/>
        <v>623</v>
      </c>
      <c r="N182" s="3">
        <f t="shared" ca="1" si="52"/>
        <v>4</v>
      </c>
      <c r="O182" s="19">
        <f t="shared" ca="1" si="53"/>
        <v>2.3453053758100548</v>
      </c>
      <c r="P182" s="19">
        <f t="shared" ca="1" si="54"/>
        <v>23.453053758100552</v>
      </c>
      <c r="Q182" s="19">
        <f t="shared" ca="1" si="55"/>
        <v>23.453053758100552</v>
      </c>
      <c r="R182" s="19">
        <f t="shared" ca="1" si="56"/>
        <v>2.3453053758100553</v>
      </c>
      <c r="S182" s="19">
        <f t="shared" ca="1" si="57"/>
        <v>2.3453053758100548</v>
      </c>
      <c r="T182" s="19">
        <f t="shared" ca="1" si="58"/>
        <v>0</v>
      </c>
      <c r="U182" s="19">
        <f t="shared" ca="1" si="59"/>
        <v>1456.9587218163997</v>
      </c>
      <c r="V182" s="19">
        <f t="shared" ca="1" si="60"/>
        <v>0</v>
      </c>
      <c r="W182" s="82">
        <f t="shared" ca="1" si="61"/>
        <v>4746.9876707175936</v>
      </c>
      <c r="X182" s="19">
        <f t="shared" ca="1" si="62"/>
        <v>0</v>
      </c>
      <c r="Y182" s="19">
        <f t="shared" si="63"/>
        <v>0</v>
      </c>
      <c r="Z182" s="82">
        <f t="shared" ca="1" si="64"/>
        <v>4746.9876707175936</v>
      </c>
      <c r="AA182" s="19">
        <f t="shared" ca="1" si="65"/>
        <v>0</v>
      </c>
      <c r="AE182" s="19"/>
    </row>
    <row r="183" spans="1:31" ht="12.75" customHeight="1" x14ac:dyDescent="0.2">
      <c r="A183">
        <v>1</v>
      </c>
      <c r="B183">
        <v>1</v>
      </c>
      <c r="C183">
        <f t="shared" ca="1" si="44"/>
        <v>4</v>
      </c>
      <c r="D183">
        <f t="shared" ca="1" si="45"/>
        <v>3</v>
      </c>
      <c r="E183">
        <f t="shared" ca="1" si="46"/>
        <v>1</v>
      </c>
      <c r="F183" s="61">
        <f t="shared" ca="1" si="47"/>
        <v>0.10723766413271038</v>
      </c>
      <c r="G183">
        <v>1</v>
      </c>
      <c r="H183">
        <v>1</v>
      </c>
      <c r="I183">
        <v>4</v>
      </c>
      <c r="J183" s="61">
        <f t="shared" ca="1" si="48"/>
        <v>0</v>
      </c>
      <c r="K183" s="61">
        <f t="shared" ca="1" si="49"/>
        <v>0</v>
      </c>
      <c r="L183" s="82">
        <f t="shared" ca="1" si="50"/>
        <v>366</v>
      </c>
      <c r="M183" s="16">
        <f t="shared" ca="1" si="51"/>
        <v>634</v>
      </c>
      <c r="N183" s="3">
        <f t="shared" ca="1" si="52"/>
        <v>4</v>
      </c>
      <c r="O183" s="19">
        <f t="shared" ca="1" si="53"/>
        <v>2.3453053758100548</v>
      </c>
      <c r="P183" s="19">
        <f t="shared" ca="1" si="54"/>
        <v>23.453053758100552</v>
      </c>
      <c r="Q183" s="19">
        <f t="shared" ca="1" si="55"/>
        <v>23.453053758100552</v>
      </c>
      <c r="R183" s="19">
        <f t="shared" ca="1" si="56"/>
        <v>2.3453053758100553</v>
      </c>
      <c r="S183" s="19">
        <f t="shared" ca="1" si="57"/>
        <v>2.3453053758100548</v>
      </c>
      <c r="T183" s="19">
        <f t="shared" ca="1" si="58"/>
        <v>0</v>
      </c>
      <c r="U183" s="19">
        <f t="shared" ca="1" si="59"/>
        <v>1445.9587218163997</v>
      </c>
      <c r="V183" s="19">
        <f t="shared" ca="1" si="60"/>
        <v>0</v>
      </c>
      <c r="W183" s="82">
        <f t="shared" ca="1" si="61"/>
        <v>4261.0824406828706</v>
      </c>
      <c r="X183" s="19">
        <f t="shared" ca="1" si="62"/>
        <v>0</v>
      </c>
      <c r="Y183" s="19">
        <f t="shared" si="63"/>
        <v>0</v>
      </c>
      <c r="Z183" s="82">
        <f t="shared" ca="1" si="64"/>
        <v>4261.0824406828706</v>
      </c>
      <c r="AA183" s="19">
        <f t="shared" ca="1" si="65"/>
        <v>0</v>
      </c>
      <c r="AE183" s="19"/>
    </row>
    <row r="184" spans="1:31" ht="12.75" customHeight="1" x14ac:dyDescent="0.2">
      <c r="A184">
        <v>1</v>
      </c>
      <c r="B184">
        <v>1</v>
      </c>
      <c r="C184">
        <f t="shared" ca="1" si="44"/>
        <v>4</v>
      </c>
      <c r="D184">
        <f t="shared" ca="1" si="45"/>
        <v>3</v>
      </c>
      <c r="E184">
        <f t="shared" ca="1" si="46"/>
        <v>1</v>
      </c>
      <c r="F184" s="61">
        <f t="shared" ca="1" si="47"/>
        <v>0.10723766413271038</v>
      </c>
      <c r="G184">
        <v>1</v>
      </c>
      <c r="H184">
        <v>1</v>
      </c>
      <c r="I184">
        <v>3</v>
      </c>
      <c r="J184" s="61">
        <f t="shared" ca="1" si="48"/>
        <v>0</v>
      </c>
      <c r="K184" s="61">
        <f t="shared" ca="1" si="49"/>
        <v>0</v>
      </c>
      <c r="L184" s="82">
        <f t="shared" ca="1" si="50"/>
        <v>355</v>
      </c>
      <c r="M184" s="16">
        <f t="shared" ca="1" si="51"/>
        <v>645</v>
      </c>
      <c r="N184" s="3">
        <f t="shared" ca="1" si="52"/>
        <v>4</v>
      </c>
      <c r="O184" s="19">
        <f t="shared" ca="1" si="53"/>
        <v>2.3453053758100548</v>
      </c>
      <c r="P184" s="19">
        <f t="shared" ca="1" si="54"/>
        <v>23.453053758100552</v>
      </c>
      <c r="Q184" s="19">
        <f t="shared" ca="1" si="55"/>
        <v>23.453053758100552</v>
      </c>
      <c r="R184" s="19">
        <f t="shared" ca="1" si="56"/>
        <v>2.3453053758100553</v>
      </c>
      <c r="S184" s="19">
        <f t="shared" ca="1" si="57"/>
        <v>2.3453053758100548</v>
      </c>
      <c r="T184" s="19">
        <f t="shared" ca="1" si="58"/>
        <v>0</v>
      </c>
      <c r="U184" s="19">
        <f t="shared" ca="1" si="59"/>
        <v>1434.9587218163997</v>
      </c>
      <c r="V184" s="19">
        <f t="shared" ca="1" si="60"/>
        <v>0</v>
      </c>
      <c r="W184" s="82">
        <f t="shared" ca="1" si="61"/>
        <v>3775.1772106481485</v>
      </c>
      <c r="X184" s="19">
        <f t="shared" ca="1" si="62"/>
        <v>0</v>
      </c>
      <c r="Y184" s="19">
        <f t="shared" si="63"/>
        <v>0</v>
      </c>
      <c r="Z184" s="82">
        <f t="shared" ca="1" si="64"/>
        <v>3775.1772106481485</v>
      </c>
      <c r="AA184" s="19">
        <f t="shared" ca="1" si="65"/>
        <v>0</v>
      </c>
      <c r="AE184" s="19"/>
    </row>
    <row r="185" spans="1:31" ht="12.75" customHeight="1" x14ac:dyDescent="0.2">
      <c r="A185">
        <v>1</v>
      </c>
      <c r="B185">
        <v>1</v>
      </c>
      <c r="C185">
        <f t="shared" ca="1" si="44"/>
        <v>4</v>
      </c>
      <c r="D185">
        <f t="shared" ca="1" si="45"/>
        <v>3</v>
      </c>
      <c r="E185">
        <f t="shared" ca="1" si="46"/>
        <v>1</v>
      </c>
      <c r="F185" s="61">
        <f t="shared" ca="1" si="47"/>
        <v>0.10723766413271038</v>
      </c>
      <c r="G185">
        <v>1</v>
      </c>
      <c r="H185">
        <v>1</v>
      </c>
      <c r="I185">
        <v>2</v>
      </c>
      <c r="J185" s="61">
        <f t="shared" ca="1" si="48"/>
        <v>0</v>
      </c>
      <c r="K185" s="61">
        <f t="shared" ca="1" si="49"/>
        <v>0</v>
      </c>
      <c r="L185" s="82">
        <f t="shared" ca="1" si="50"/>
        <v>344</v>
      </c>
      <c r="M185" s="16">
        <f t="shared" ca="1" si="51"/>
        <v>656</v>
      </c>
      <c r="N185" s="3">
        <f t="shared" ca="1" si="52"/>
        <v>4</v>
      </c>
      <c r="O185" s="19">
        <f t="shared" ca="1" si="53"/>
        <v>2.3453053758100548</v>
      </c>
      <c r="P185" s="19">
        <f t="shared" ca="1" si="54"/>
        <v>23.453053758100552</v>
      </c>
      <c r="Q185" s="19">
        <f t="shared" ca="1" si="55"/>
        <v>23.453053758100552</v>
      </c>
      <c r="R185" s="19">
        <f t="shared" ca="1" si="56"/>
        <v>2.3453053758100553</v>
      </c>
      <c r="S185" s="19">
        <f t="shared" ca="1" si="57"/>
        <v>2.3453053758100548</v>
      </c>
      <c r="T185" s="19">
        <f t="shared" ca="1" si="58"/>
        <v>0</v>
      </c>
      <c r="U185" s="19">
        <f t="shared" ca="1" si="59"/>
        <v>1423.9587218163997</v>
      </c>
      <c r="V185" s="19">
        <f t="shared" ca="1" si="60"/>
        <v>0</v>
      </c>
      <c r="W185" s="82">
        <f t="shared" ca="1" si="61"/>
        <v>3289.2719806134264</v>
      </c>
      <c r="X185" s="19">
        <f t="shared" ca="1" si="62"/>
        <v>0</v>
      </c>
      <c r="Y185" s="19">
        <f t="shared" si="63"/>
        <v>0</v>
      </c>
      <c r="Z185" s="82">
        <f t="shared" ca="1" si="64"/>
        <v>3289.2719806134264</v>
      </c>
      <c r="AA185" s="19">
        <f t="shared" ca="1" si="65"/>
        <v>0</v>
      </c>
      <c r="AE185" s="19"/>
    </row>
    <row r="186" spans="1:31" ht="12.75" customHeight="1" x14ac:dyDescent="0.2">
      <c r="A186">
        <v>1</v>
      </c>
      <c r="B186">
        <v>1</v>
      </c>
      <c r="C186">
        <f t="shared" ca="1" si="44"/>
        <v>4</v>
      </c>
      <c r="D186">
        <f t="shared" ca="1" si="45"/>
        <v>3</v>
      </c>
      <c r="E186">
        <f t="shared" ca="1" si="46"/>
        <v>1</v>
      </c>
      <c r="F186" s="61">
        <f t="shared" ca="1" si="47"/>
        <v>0.10723766413271038</v>
      </c>
      <c r="G186">
        <v>1</v>
      </c>
      <c r="H186">
        <v>1</v>
      </c>
      <c r="I186">
        <v>1</v>
      </c>
      <c r="J186" s="61">
        <f t="shared" ca="1" si="48"/>
        <v>0</v>
      </c>
      <c r="K186" s="61">
        <f t="shared" ca="1" si="49"/>
        <v>0</v>
      </c>
      <c r="L186" s="82">
        <f t="shared" ca="1" si="50"/>
        <v>333</v>
      </c>
      <c r="M186" s="16">
        <f t="shared" ca="1" si="51"/>
        <v>667</v>
      </c>
      <c r="N186" s="3">
        <f t="shared" ca="1" si="52"/>
        <v>4</v>
      </c>
      <c r="O186" s="19">
        <f t="shared" ca="1" si="53"/>
        <v>2.3453053758100548</v>
      </c>
      <c r="P186" s="19">
        <f t="shared" ca="1" si="54"/>
        <v>23.453053758100552</v>
      </c>
      <c r="Q186" s="19">
        <f t="shared" ca="1" si="55"/>
        <v>23.453053758100552</v>
      </c>
      <c r="R186" s="19">
        <f t="shared" ca="1" si="56"/>
        <v>2.3453053758100553</v>
      </c>
      <c r="S186" s="19">
        <f t="shared" ca="1" si="57"/>
        <v>2.3453053758100548</v>
      </c>
      <c r="T186" s="19">
        <f t="shared" ca="1" si="58"/>
        <v>0</v>
      </c>
      <c r="U186" s="19">
        <f t="shared" ca="1" si="59"/>
        <v>1412.9587218163997</v>
      </c>
      <c r="V186" s="19">
        <f t="shared" ca="1" si="60"/>
        <v>0</v>
      </c>
      <c r="W186" s="82">
        <f t="shared" ca="1" si="61"/>
        <v>2803.3667505787039</v>
      </c>
      <c r="X186" s="19">
        <f t="shared" ca="1" si="62"/>
        <v>0</v>
      </c>
      <c r="Y186" s="19">
        <f t="shared" si="63"/>
        <v>0</v>
      </c>
      <c r="Z186" s="82">
        <f t="shared" ca="1" si="64"/>
        <v>2803.3667505787039</v>
      </c>
      <c r="AA186" s="19">
        <f t="shared" ca="1" si="65"/>
        <v>0</v>
      </c>
      <c r="AE186" s="19"/>
    </row>
    <row r="187" spans="1:31" ht="12.75" customHeight="1" x14ac:dyDescent="0.2">
      <c r="A187">
        <v>1</v>
      </c>
      <c r="B187">
        <v>1</v>
      </c>
      <c r="C187">
        <f t="shared" ca="1" si="44"/>
        <v>4</v>
      </c>
      <c r="D187">
        <f t="shared" ca="1" si="45"/>
        <v>3</v>
      </c>
      <c r="E187">
        <f t="shared" ca="1" si="46"/>
        <v>1</v>
      </c>
      <c r="F187" s="61">
        <f t="shared" ca="1" si="47"/>
        <v>0.10723766413271038</v>
      </c>
      <c r="G187">
        <v>1</v>
      </c>
      <c r="H187">
        <v>1</v>
      </c>
      <c r="I187">
        <v>0</v>
      </c>
      <c r="J187" s="61">
        <f t="shared" ca="1" si="48"/>
        <v>0</v>
      </c>
      <c r="K187" s="61">
        <f t="shared" ca="1" si="49"/>
        <v>0</v>
      </c>
      <c r="L187" s="82">
        <f t="shared" ca="1" si="50"/>
        <v>322</v>
      </c>
      <c r="M187" s="16">
        <f t="shared" ca="1" si="51"/>
        <v>678</v>
      </c>
      <c r="N187" s="3">
        <f t="shared" ca="1" si="52"/>
        <v>4</v>
      </c>
      <c r="O187" s="19">
        <f t="shared" ca="1" si="53"/>
        <v>2.3453053758100548</v>
      </c>
      <c r="P187" s="19">
        <f t="shared" ca="1" si="54"/>
        <v>23.453053758100552</v>
      </c>
      <c r="Q187" s="19">
        <f t="shared" ca="1" si="55"/>
        <v>23.453053758100552</v>
      </c>
      <c r="R187" s="19">
        <f t="shared" ca="1" si="56"/>
        <v>2.3453053758100553</v>
      </c>
      <c r="S187" s="19">
        <f t="shared" ca="1" si="57"/>
        <v>2.3453053758100548</v>
      </c>
      <c r="T187" s="19">
        <f t="shared" ca="1" si="58"/>
        <v>0</v>
      </c>
      <c r="U187" s="19">
        <f t="shared" ca="1" si="59"/>
        <v>1401.9587218163997</v>
      </c>
      <c r="V187" s="19">
        <f t="shared" ca="1" si="60"/>
        <v>0</v>
      </c>
      <c r="W187" s="82">
        <f t="shared" ca="1" si="61"/>
        <v>2317.4615205439818</v>
      </c>
      <c r="X187" s="19">
        <f t="shared" ca="1" si="62"/>
        <v>0</v>
      </c>
      <c r="Y187" s="19">
        <f t="shared" si="63"/>
        <v>0</v>
      </c>
      <c r="Z187" s="82">
        <f t="shared" ca="1" si="64"/>
        <v>2317.4615205439818</v>
      </c>
      <c r="AA187" s="19">
        <f t="shared" ca="1" si="65"/>
        <v>0</v>
      </c>
      <c r="AE187" s="19"/>
    </row>
    <row r="188" spans="1:31" ht="12.75" customHeight="1" x14ac:dyDescent="0.2">
      <c r="A188">
        <v>1</v>
      </c>
      <c r="B188">
        <v>1</v>
      </c>
      <c r="C188">
        <f t="shared" ca="1" si="44"/>
        <v>4</v>
      </c>
      <c r="D188">
        <f t="shared" ca="1" si="45"/>
        <v>3</v>
      </c>
      <c r="E188">
        <f t="shared" ca="1" si="46"/>
        <v>1</v>
      </c>
      <c r="F188" s="61">
        <f t="shared" ca="1" si="47"/>
        <v>0.10723766413271038</v>
      </c>
      <c r="G188">
        <v>1</v>
      </c>
      <c r="H188">
        <v>0</v>
      </c>
      <c r="I188">
        <v>7</v>
      </c>
      <c r="J188" s="61">
        <f t="shared" ca="1" si="48"/>
        <v>0</v>
      </c>
      <c r="K188" s="61">
        <f t="shared" ca="1" si="49"/>
        <v>0</v>
      </c>
      <c r="L188" s="82">
        <f t="shared" ca="1" si="50"/>
        <v>238</v>
      </c>
      <c r="M188" s="16">
        <f t="shared" ca="1" si="51"/>
        <v>762</v>
      </c>
      <c r="N188" s="3">
        <f t="shared" ca="1" si="52"/>
        <v>5</v>
      </c>
      <c r="O188" s="19">
        <f t="shared" ca="1" si="53"/>
        <v>2.8178718937399587</v>
      </c>
      <c r="P188" s="19">
        <f t="shared" ca="1" si="54"/>
        <v>25.815886347750073</v>
      </c>
      <c r="Q188" s="19">
        <f t="shared" ca="1" si="55"/>
        <v>23.453053758100552</v>
      </c>
      <c r="R188" s="19">
        <f t="shared" ca="1" si="56"/>
        <v>2.4634470052925312</v>
      </c>
      <c r="S188" s="19">
        <f t="shared" ca="1" si="57"/>
        <v>2.8178718937399587</v>
      </c>
      <c r="T188" s="19">
        <f t="shared" ca="1" si="58"/>
        <v>0</v>
      </c>
      <c r="U188" s="19">
        <f t="shared" ca="1" si="59"/>
        <v>1497.3251747165598</v>
      </c>
      <c r="V188" s="19">
        <f t="shared" ca="1" si="60"/>
        <v>0</v>
      </c>
      <c r="W188" s="82">
        <f t="shared" ca="1" si="61"/>
        <v>5718.7981307870377</v>
      </c>
      <c r="X188" s="19">
        <f t="shared" ca="1" si="62"/>
        <v>0</v>
      </c>
      <c r="Y188" s="19">
        <f t="shared" si="63"/>
        <v>0</v>
      </c>
      <c r="Z188" s="82">
        <f t="shared" ca="1" si="64"/>
        <v>5718.7981307870377</v>
      </c>
      <c r="AA188" s="19">
        <f t="shared" ca="1" si="65"/>
        <v>0</v>
      </c>
      <c r="AE188" s="19"/>
    </row>
    <row r="189" spans="1:31" ht="12.75" customHeight="1" x14ac:dyDescent="0.2">
      <c r="A189">
        <v>1</v>
      </c>
      <c r="B189">
        <v>1</v>
      </c>
      <c r="C189">
        <f t="shared" ca="1" si="44"/>
        <v>4</v>
      </c>
      <c r="D189">
        <f t="shared" ca="1" si="45"/>
        <v>3</v>
      </c>
      <c r="E189">
        <f t="shared" ca="1" si="46"/>
        <v>1</v>
      </c>
      <c r="F189" s="61">
        <f t="shared" ca="1" si="47"/>
        <v>0.10723766413271038</v>
      </c>
      <c r="G189">
        <v>1</v>
      </c>
      <c r="H189">
        <v>0</v>
      </c>
      <c r="I189">
        <v>6</v>
      </c>
      <c r="J189" s="61">
        <f t="shared" ca="1" si="48"/>
        <v>0</v>
      </c>
      <c r="K189" s="61">
        <f t="shared" ca="1" si="49"/>
        <v>0</v>
      </c>
      <c r="L189" s="82">
        <f t="shared" ca="1" si="50"/>
        <v>227</v>
      </c>
      <c r="M189" s="16">
        <f t="shared" ca="1" si="51"/>
        <v>773</v>
      </c>
      <c r="N189" s="3">
        <f t="shared" ca="1" si="52"/>
        <v>5</v>
      </c>
      <c r="O189" s="19">
        <f t="shared" ca="1" si="53"/>
        <v>2.8178718937399587</v>
      </c>
      <c r="P189" s="19">
        <f t="shared" ca="1" si="54"/>
        <v>28.178718937399587</v>
      </c>
      <c r="Q189" s="19">
        <f t="shared" ca="1" si="55"/>
        <v>26.288452865679979</v>
      </c>
      <c r="R189" s="19">
        <f t="shared" ca="1" si="56"/>
        <v>2.7233585901539783</v>
      </c>
      <c r="S189" s="19">
        <f t="shared" ca="1" si="57"/>
        <v>2.8178718937399587</v>
      </c>
      <c r="T189" s="19">
        <f t="shared" ca="1" si="58"/>
        <v>0</v>
      </c>
      <c r="U189" s="19">
        <f t="shared" ca="1" si="59"/>
        <v>1486.3251747165598</v>
      </c>
      <c r="V189" s="19">
        <f t="shared" ca="1" si="60"/>
        <v>0</v>
      </c>
      <c r="W189" s="82">
        <f t="shared" ca="1" si="61"/>
        <v>5232.8929007523147</v>
      </c>
      <c r="X189" s="19">
        <f t="shared" ca="1" si="62"/>
        <v>0</v>
      </c>
      <c r="Y189" s="19">
        <f t="shared" si="63"/>
        <v>0</v>
      </c>
      <c r="Z189" s="82">
        <f t="shared" ca="1" si="64"/>
        <v>5232.8929007523147</v>
      </c>
      <c r="AA189" s="19">
        <f t="shared" ca="1" si="65"/>
        <v>0</v>
      </c>
      <c r="AE189" s="19"/>
    </row>
    <row r="190" spans="1:31" ht="12.75" customHeight="1" x14ac:dyDescent="0.2">
      <c r="A190">
        <v>1</v>
      </c>
      <c r="B190">
        <v>1</v>
      </c>
      <c r="C190">
        <f t="shared" ca="1" si="44"/>
        <v>4</v>
      </c>
      <c r="D190">
        <f t="shared" ca="1" si="45"/>
        <v>3</v>
      </c>
      <c r="E190">
        <f t="shared" ca="1" si="46"/>
        <v>1</v>
      </c>
      <c r="F190" s="61">
        <f t="shared" ca="1" si="47"/>
        <v>0.10723766413271038</v>
      </c>
      <c r="G190">
        <v>1</v>
      </c>
      <c r="H190">
        <v>0</v>
      </c>
      <c r="I190">
        <v>5</v>
      </c>
      <c r="J190" s="61">
        <f t="shared" ca="1" si="48"/>
        <v>0</v>
      </c>
      <c r="K190" s="61">
        <f t="shared" ca="1" si="49"/>
        <v>0</v>
      </c>
      <c r="L190" s="82">
        <f t="shared" ca="1" si="50"/>
        <v>216</v>
      </c>
      <c r="M190" s="16">
        <f t="shared" ca="1" si="51"/>
        <v>784</v>
      </c>
      <c r="N190" s="3">
        <f t="shared" ca="1" si="52"/>
        <v>5</v>
      </c>
      <c r="O190" s="19">
        <f t="shared" ca="1" si="53"/>
        <v>2.8178718937399587</v>
      </c>
      <c r="P190" s="19">
        <f t="shared" ca="1" si="54"/>
        <v>28.178718937399587</v>
      </c>
      <c r="Q190" s="19">
        <f t="shared" ca="1" si="55"/>
        <v>28.178718937399587</v>
      </c>
      <c r="R190" s="19">
        <f t="shared" ca="1" si="56"/>
        <v>2.8178718937399587</v>
      </c>
      <c r="S190" s="19">
        <f t="shared" ca="1" si="57"/>
        <v>2.8178718937399587</v>
      </c>
      <c r="T190" s="19">
        <f t="shared" ca="1" si="58"/>
        <v>0</v>
      </c>
      <c r="U190" s="19">
        <f t="shared" ca="1" si="59"/>
        <v>1475.3251747165598</v>
      </c>
      <c r="V190" s="19">
        <f t="shared" ca="1" si="60"/>
        <v>0</v>
      </c>
      <c r="W190" s="82">
        <f t="shared" ca="1" si="61"/>
        <v>4746.9876707175936</v>
      </c>
      <c r="X190" s="19">
        <f t="shared" ca="1" si="62"/>
        <v>0</v>
      </c>
      <c r="Y190" s="19">
        <f t="shared" si="63"/>
        <v>0</v>
      </c>
      <c r="Z190" s="82">
        <f t="shared" ca="1" si="64"/>
        <v>4746.9876707175936</v>
      </c>
      <c r="AA190" s="19">
        <f t="shared" ca="1" si="65"/>
        <v>0</v>
      </c>
      <c r="AE190" s="19"/>
    </row>
    <row r="191" spans="1:31" ht="12.75" customHeight="1" x14ac:dyDescent="0.2">
      <c r="A191">
        <v>1</v>
      </c>
      <c r="B191">
        <v>1</v>
      </c>
      <c r="C191">
        <f t="shared" ca="1" si="44"/>
        <v>4</v>
      </c>
      <c r="D191">
        <f t="shared" ca="1" si="45"/>
        <v>3</v>
      </c>
      <c r="E191">
        <f t="shared" ca="1" si="46"/>
        <v>1</v>
      </c>
      <c r="F191" s="61">
        <f t="shared" ca="1" si="47"/>
        <v>0.10723766413271038</v>
      </c>
      <c r="G191">
        <v>1</v>
      </c>
      <c r="H191">
        <v>0</v>
      </c>
      <c r="I191">
        <v>4</v>
      </c>
      <c r="J191" s="61">
        <f t="shared" ca="1" si="48"/>
        <v>0</v>
      </c>
      <c r="K191" s="61">
        <f t="shared" ca="1" si="49"/>
        <v>0</v>
      </c>
      <c r="L191" s="82">
        <f t="shared" ca="1" si="50"/>
        <v>205</v>
      </c>
      <c r="M191" s="16">
        <f t="shared" ca="1" si="51"/>
        <v>795</v>
      </c>
      <c r="N191" s="3">
        <f t="shared" ca="1" si="52"/>
        <v>5</v>
      </c>
      <c r="O191" s="19">
        <f t="shared" ca="1" si="53"/>
        <v>2.8178718937399587</v>
      </c>
      <c r="P191" s="19">
        <f t="shared" ca="1" si="54"/>
        <v>28.178718937399587</v>
      </c>
      <c r="Q191" s="19">
        <f t="shared" ca="1" si="55"/>
        <v>28.178718937399587</v>
      </c>
      <c r="R191" s="19">
        <f t="shared" ca="1" si="56"/>
        <v>2.8178718937399587</v>
      </c>
      <c r="S191" s="19">
        <f t="shared" ca="1" si="57"/>
        <v>2.8178718937399587</v>
      </c>
      <c r="T191" s="19">
        <f t="shared" ca="1" si="58"/>
        <v>0</v>
      </c>
      <c r="U191" s="19">
        <f t="shared" ca="1" si="59"/>
        <v>1464.3251747165598</v>
      </c>
      <c r="V191" s="19">
        <f t="shared" ca="1" si="60"/>
        <v>0</v>
      </c>
      <c r="W191" s="82">
        <f t="shared" ca="1" si="61"/>
        <v>4261.0824406828706</v>
      </c>
      <c r="X191" s="19">
        <f t="shared" ca="1" si="62"/>
        <v>0</v>
      </c>
      <c r="Y191" s="19">
        <f t="shared" si="63"/>
        <v>0</v>
      </c>
      <c r="Z191" s="82">
        <f t="shared" ca="1" si="64"/>
        <v>4261.0824406828706</v>
      </c>
      <c r="AA191" s="19">
        <f t="shared" ca="1" si="65"/>
        <v>0</v>
      </c>
      <c r="AE191" s="19"/>
    </row>
    <row r="192" spans="1:31" ht="12.75" customHeight="1" x14ac:dyDescent="0.2">
      <c r="A192">
        <v>1</v>
      </c>
      <c r="B192">
        <v>1</v>
      </c>
      <c r="C192">
        <f t="shared" ca="1" si="44"/>
        <v>4</v>
      </c>
      <c r="D192">
        <f t="shared" ca="1" si="45"/>
        <v>3</v>
      </c>
      <c r="E192">
        <f t="shared" ca="1" si="46"/>
        <v>1</v>
      </c>
      <c r="F192" s="61">
        <f t="shared" ca="1" si="47"/>
        <v>0.10723766413271038</v>
      </c>
      <c r="G192">
        <v>1</v>
      </c>
      <c r="H192">
        <v>0</v>
      </c>
      <c r="I192">
        <v>3</v>
      </c>
      <c r="J192" s="61">
        <f t="shared" ca="1" si="48"/>
        <v>0.81450624999999988</v>
      </c>
      <c r="K192" s="61">
        <f t="shared" ca="1" si="49"/>
        <v>8.7345747671493418E-2</v>
      </c>
      <c r="L192" s="82">
        <f t="shared" ca="1" si="50"/>
        <v>194</v>
      </c>
      <c r="M192" s="16">
        <f t="shared" ca="1" si="51"/>
        <v>806</v>
      </c>
      <c r="N192" s="3">
        <f t="shared" ca="1" si="52"/>
        <v>5</v>
      </c>
      <c r="O192" s="19">
        <f t="shared" ca="1" si="53"/>
        <v>2.8178718937399587</v>
      </c>
      <c r="P192" s="19">
        <f t="shared" ca="1" si="54"/>
        <v>28.178718937399587</v>
      </c>
      <c r="Q192" s="19">
        <f t="shared" ca="1" si="55"/>
        <v>28.178718937399587</v>
      </c>
      <c r="R192" s="19">
        <f t="shared" ca="1" si="56"/>
        <v>2.8178718937399587</v>
      </c>
      <c r="S192" s="19">
        <f t="shared" ca="1" si="57"/>
        <v>2.8178718937399587</v>
      </c>
      <c r="T192" s="19">
        <f t="shared" ca="1" si="58"/>
        <v>0.24612912740120374</v>
      </c>
      <c r="U192" s="19">
        <f t="shared" ca="1" si="59"/>
        <v>1453.3251747165598</v>
      </c>
      <c r="V192" s="19">
        <f t="shared" ca="1" si="60"/>
        <v>126.94177399542171</v>
      </c>
      <c r="W192" s="82">
        <f t="shared" ca="1" si="61"/>
        <v>3775.1772106481485</v>
      </c>
      <c r="X192" s="19">
        <f t="shared" ca="1" si="62"/>
        <v>329.74567605644552</v>
      </c>
      <c r="Y192" s="19">
        <f t="shared" si="63"/>
        <v>0</v>
      </c>
      <c r="Z192" s="82">
        <f t="shared" ca="1" si="64"/>
        <v>3775.1772106481485</v>
      </c>
      <c r="AA192" s="19">
        <f t="shared" ca="1" si="65"/>
        <v>329.74567605644552</v>
      </c>
      <c r="AE192" s="19"/>
    </row>
    <row r="193" spans="1:31" ht="12.75" customHeight="1" x14ac:dyDescent="0.2">
      <c r="A193">
        <v>1</v>
      </c>
      <c r="B193">
        <v>1</v>
      </c>
      <c r="C193">
        <f t="shared" ca="1" si="44"/>
        <v>4</v>
      </c>
      <c r="D193">
        <f t="shared" ca="1" si="45"/>
        <v>3</v>
      </c>
      <c r="E193">
        <f t="shared" ca="1" si="46"/>
        <v>1</v>
      </c>
      <c r="F193" s="61">
        <f t="shared" ca="1" si="47"/>
        <v>0.10723766413271038</v>
      </c>
      <c r="G193">
        <v>1</v>
      </c>
      <c r="H193">
        <v>0</v>
      </c>
      <c r="I193">
        <v>2</v>
      </c>
      <c r="J193" s="61">
        <f t="shared" ca="1" si="48"/>
        <v>0.12860625000000012</v>
      </c>
      <c r="K193" s="61">
        <f t="shared" ca="1" si="49"/>
        <v>1.3791433842867396E-2</v>
      </c>
      <c r="L193" s="82">
        <f t="shared" ca="1" si="50"/>
        <v>183</v>
      </c>
      <c r="M193" s="16">
        <f t="shared" ca="1" si="51"/>
        <v>817</v>
      </c>
      <c r="N193" s="3">
        <f t="shared" ca="1" si="52"/>
        <v>5</v>
      </c>
      <c r="O193" s="19">
        <f t="shared" ca="1" si="53"/>
        <v>2.8178718937399587</v>
      </c>
      <c r="P193" s="19">
        <f t="shared" ca="1" si="54"/>
        <v>28.178718937399587</v>
      </c>
      <c r="Q193" s="19">
        <f t="shared" ca="1" si="55"/>
        <v>28.178718937399587</v>
      </c>
      <c r="R193" s="19">
        <f t="shared" ca="1" si="56"/>
        <v>2.8178718937399587</v>
      </c>
      <c r="S193" s="19">
        <f t="shared" ca="1" si="57"/>
        <v>2.8178718937399587</v>
      </c>
      <c r="T193" s="19">
        <f t="shared" ca="1" si="58"/>
        <v>3.8862493800190107E-2</v>
      </c>
      <c r="U193" s="19">
        <f t="shared" ca="1" si="59"/>
        <v>1442.3251747165598</v>
      </c>
      <c r="V193" s="19">
        <f t="shared" ca="1" si="60"/>
        <v>19.891732227005594</v>
      </c>
      <c r="W193" s="82">
        <f t="shared" ca="1" si="61"/>
        <v>3289.2719806134264</v>
      </c>
      <c r="X193" s="19">
        <f t="shared" ca="1" si="62"/>
        <v>45.363776911827479</v>
      </c>
      <c r="Y193" s="19">
        <f t="shared" si="63"/>
        <v>0</v>
      </c>
      <c r="Z193" s="82">
        <f t="shared" ca="1" si="64"/>
        <v>3289.2719806134264</v>
      </c>
      <c r="AA193" s="19">
        <f t="shared" ca="1" si="65"/>
        <v>45.363776911827479</v>
      </c>
      <c r="AE193" s="19"/>
    </row>
    <row r="194" spans="1:31" ht="12.75" customHeight="1" x14ac:dyDescent="0.2">
      <c r="A194">
        <v>1</v>
      </c>
      <c r="B194">
        <v>1</v>
      </c>
      <c r="C194">
        <f t="shared" ca="1" si="44"/>
        <v>4</v>
      </c>
      <c r="D194">
        <f t="shared" ca="1" si="45"/>
        <v>3</v>
      </c>
      <c r="E194">
        <f t="shared" ca="1" si="46"/>
        <v>1</v>
      </c>
      <c r="F194" s="61">
        <f t="shared" ca="1" si="47"/>
        <v>0.10723766413271038</v>
      </c>
      <c r="G194">
        <v>1</v>
      </c>
      <c r="H194">
        <v>0</v>
      </c>
      <c r="I194">
        <v>1</v>
      </c>
      <c r="J194" s="61">
        <f t="shared" ca="1" si="48"/>
        <v>6.7687500000000109E-3</v>
      </c>
      <c r="K194" s="61">
        <f t="shared" ca="1" si="49"/>
        <v>7.258649390982846E-4</v>
      </c>
      <c r="L194" s="82">
        <f t="shared" ca="1" si="50"/>
        <v>172</v>
      </c>
      <c r="M194" s="16">
        <f t="shared" ca="1" si="51"/>
        <v>828</v>
      </c>
      <c r="N194" s="3">
        <f t="shared" ca="1" si="52"/>
        <v>5</v>
      </c>
      <c r="O194" s="19">
        <f t="shared" ca="1" si="53"/>
        <v>2.8178718937399587</v>
      </c>
      <c r="P194" s="19">
        <f t="shared" ca="1" si="54"/>
        <v>28.178718937399587</v>
      </c>
      <c r="Q194" s="19">
        <f t="shared" ca="1" si="55"/>
        <v>28.178718937399587</v>
      </c>
      <c r="R194" s="19">
        <f t="shared" ca="1" si="56"/>
        <v>2.8178718937399587</v>
      </c>
      <c r="S194" s="19">
        <f t="shared" ca="1" si="57"/>
        <v>2.8178718937399587</v>
      </c>
      <c r="T194" s="19">
        <f t="shared" ca="1" si="58"/>
        <v>2.0453944105363231E-3</v>
      </c>
      <c r="U194" s="19">
        <f t="shared" ca="1" si="59"/>
        <v>1431.3251747165598</v>
      </c>
      <c r="V194" s="19">
        <f t="shared" ca="1" si="60"/>
        <v>1.0389487607754773</v>
      </c>
      <c r="W194" s="82">
        <f t="shared" ca="1" si="61"/>
        <v>2803.3667505787039</v>
      </c>
      <c r="X194" s="19">
        <f t="shared" ca="1" si="62"/>
        <v>2.0348656356789667</v>
      </c>
      <c r="Y194" s="19">
        <f t="shared" si="63"/>
        <v>0</v>
      </c>
      <c r="Z194" s="82">
        <f t="shared" ca="1" si="64"/>
        <v>2803.3667505787039</v>
      </c>
      <c r="AA194" s="19">
        <f t="shared" ca="1" si="65"/>
        <v>2.0348656356789667</v>
      </c>
      <c r="AE194" s="19"/>
    </row>
    <row r="195" spans="1:31" ht="12.75" customHeight="1" x14ac:dyDescent="0.2">
      <c r="A195">
        <v>1</v>
      </c>
      <c r="B195">
        <v>1</v>
      </c>
      <c r="C195">
        <f t="shared" ca="1" si="44"/>
        <v>4</v>
      </c>
      <c r="D195">
        <f t="shared" ca="1" si="45"/>
        <v>3</v>
      </c>
      <c r="E195">
        <f t="shared" ca="1" si="46"/>
        <v>1</v>
      </c>
      <c r="F195" s="61">
        <f t="shared" ca="1" si="47"/>
        <v>0.10723766413271038</v>
      </c>
      <c r="G195">
        <v>1</v>
      </c>
      <c r="H195">
        <v>0</v>
      </c>
      <c r="I195">
        <v>0</v>
      </c>
      <c r="J195" s="61">
        <f t="shared" ca="1" si="48"/>
        <v>1.1875000000000031E-4</v>
      </c>
      <c r="K195" s="61">
        <f t="shared" ca="1" si="49"/>
        <v>1.2734472615759391E-5</v>
      </c>
      <c r="L195" s="82">
        <f t="shared" ca="1" si="50"/>
        <v>161</v>
      </c>
      <c r="M195" s="16">
        <f t="shared" ca="1" si="51"/>
        <v>839</v>
      </c>
      <c r="N195" s="3">
        <f t="shared" ca="1" si="52"/>
        <v>5</v>
      </c>
      <c r="O195" s="19">
        <f t="shared" ca="1" si="53"/>
        <v>2.8178718937399587</v>
      </c>
      <c r="P195" s="19">
        <f t="shared" ca="1" si="54"/>
        <v>28.178718937399587</v>
      </c>
      <c r="Q195" s="19">
        <f t="shared" ca="1" si="55"/>
        <v>28.178718937399587</v>
      </c>
      <c r="R195" s="19">
        <f t="shared" ca="1" si="56"/>
        <v>2.8178718937399587</v>
      </c>
      <c r="S195" s="19">
        <f t="shared" ca="1" si="57"/>
        <v>2.8178718937399587</v>
      </c>
      <c r="T195" s="19">
        <f t="shared" ca="1" si="58"/>
        <v>3.5884112465549559E-5</v>
      </c>
      <c r="U195" s="19">
        <f t="shared" ca="1" si="59"/>
        <v>1420.3251747165598</v>
      </c>
      <c r="V195" s="19">
        <f t="shared" ca="1" si="60"/>
        <v>1.8087092042901702E-2</v>
      </c>
      <c r="W195" s="82">
        <f t="shared" ca="1" si="61"/>
        <v>2317.4615205439818</v>
      </c>
      <c r="X195" s="19">
        <f t="shared" ca="1" si="62"/>
        <v>2.9511650271443455E-2</v>
      </c>
      <c r="Y195" s="19">
        <f t="shared" si="63"/>
        <v>0</v>
      </c>
      <c r="Z195" s="82">
        <f t="shared" ca="1" si="64"/>
        <v>2317.4615205439818</v>
      </c>
      <c r="AA195" s="19">
        <f t="shared" ca="1" si="65"/>
        <v>2.9511650271443455E-2</v>
      </c>
      <c r="AE195" s="19"/>
    </row>
    <row r="196" spans="1:31" ht="12.75" customHeight="1" x14ac:dyDescent="0.2">
      <c r="A196">
        <v>1</v>
      </c>
      <c r="B196">
        <v>1</v>
      </c>
      <c r="C196">
        <f t="shared" ca="1" si="44"/>
        <v>4</v>
      </c>
      <c r="D196">
        <f t="shared" ca="1" si="45"/>
        <v>3</v>
      </c>
      <c r="E196">
        <f t="shared" ca="1" si="46"/>
        <v>1</v>
      </c>
      <c r="F196" s="61">
        <f t="shared" ca="1" si="47"/>
        <v>0.10723766413271038</v>
      </c>
      <c r="G196">
        <v>0</v>
      </c>
      <c r="H196">
        <v>1</v>
      </c>
      <c r="I196">
        <v>7</v>
      </c>
      <c r="J196" s="61">
        <f t="shared" ca="1" si="48"/>
        <v>0</v>
      </c>
      <c r="K196" s="61">
        <f t="shared" ca="1" si="49"/>
        <v>0</v>
      </c>
      <c r="L196" s="82">
        <f t="shared" ca="1" si="50"/>
        <v>238</v>
      </c>
      <c r="M196" s="16">
        <f t="shared" ca="1" si="51"/>
        <v>762</v>
      </c>
      <c r="N196" s="3">
        <f t="shared" ca="1" si="52"/>
        <v>5</v>
      </c>
      <c r="O196" s="19">
        <f t="shared" ca="1" si="53"/>
        <v>2.8178718937399587</v>
      </c>
      <c r="P196" s="19">
        <f t="shared" ca="1" si="54"/>
        <v>25.815886347750073</v>
      </c>
      <c r="Q196" s="19">
        <f t="shared" ca="1" si="55"/>
        <v>23.453053758100552</v>
      </c>
      <c r="R196" s="19">
        <f t="shared" ca="1" si="56"/>
        <v>2.4634470052925312</v>
      </c>
      <c r="S196" s="19">
        <f t="shared" ca="1" si="57"/>
        <v>2.8178718937399587</v>
      </c>
      <c r="T196" s="19">
        <f t="shared" ca="1" si="58"/>
        <v>0</v>
      </c>
      <c r="U196" s="19">
        <f t="shared" ca="1" si="59"/>
        <v>1497.3251747165598</v>
      </c>
      <c r="V196" s="19">
        <f t="shared" ca="1" si="60"/>
        <v>0</v>
      </c>
      <c r="W196" s="82">
        <f t="shared" ca="1" si="61"/>
        <v>3401.3366102430559</v>
      </c>
      <c r="X196" s="19">
        <f t="shared" ca="1" si="62"/>
        <v>0</v>
      </c>
      <c r="Y196" s="19">
        <f t="shared" si="63"/>
        <v>0</v>
      </c>
      <c r="Z196" s="82">
        <f t="shared" ca="1" si="64"/>
        <v>3401.3366102430559</v>
      </c>
      <c r="AA196" s="19">
        <f t="shared" ca="1" si="65"/>
        <v>0</v>
      </c>
      <c r="AE196" s="19"/>
    </row>
    <row r="197" spans="1:31" ht="12.75" customHeight="1" x14ac:dyDescent="0.2">
      <c r="A197">
        <v>1</v>
      </c>
      <c r="B197">
        <v>1</v>
      </c>
      <c r="C197">
        <f t="shared" ca="1" si="44"/>
        <v>4</v>
      </c>
      <c r="D197">
        <f t="shared" ca="1" si="45"/>
        <v>3</v>
      </c>
      <c r="E197">
        <f t="shared" ca="1" si="46"/>
        <v>1</v>
      </c>
      <c r="F197" s="61">
        <f t="shared" ca="1" si="47"/>
        <v>0.10723766413271038</v>
      </c>
      <c r="G197">
        <v>0</v>
      </c>
      <c r="H197">
        <v>1</v>
      </c>
      <c r="I197">
        <v>6</v>
      </c>
      <c r="J197" s="61">
        <f t="shared" ca="1" si="48"/>
        <v>0</v>
      </c>
      <c r="K197" s="61">
        <f t="shared" ca="1" si="49"/>
        <v>0</v>
      </c>
      <c r="L197" s="82">
        <f t="shared" ca="1" si="50"/>
        <v>227</v>
      </c>
      <c r="M197" s="16">
        <f t="shared" ca="1" si="51"/>
        <v>773</v>
      </c>
      <c r="N197" s="3">
        <f t="shared" ca="1" si="52"/>
        <v>5</v>
      </c>
      <c r="O197" s="19">
        <f t="shared" ca="1" si="53"/>
        <v>2.8178718937399587</v>
      </c>
      <c r="P197" s="19">
        <f t="shared" ca="1" si="54"/>
        <v>28.178718937399587</v>
      </c>
      <c r="Q197" s="19">
        <f t="shared" ca="1" si="55"/>
        <v>26.288452865679979</v>
      </c>
      <c r="R197" s="19">
        <f t="shared" ca="1" si="56"/>
        <v>2.7233585901539783</v>
      </c>
      <c r="S197" s="19">
        <f t="shared" ca="1" si="57"/>
        <v>2.8178718937399587</v>
      </c>
      <c r="T197" s="19">
        <f t="shared" ca="1" si="58"/>
        <v>0</v>
      </c>
      <c r="U197" s="19">
        <f t="shared" ca="1" si="59"/>
        <v>1486.3251747165598</v>
      </c>
      <c r="V197" s="19">
        <f t="shared" ca="1" si="60"/>
        <v>0</v>
      </c>
      <c r="W197" s="82">
        <f t="shared" ca="1" si="61"/>
        <v>2915.4313802083334</v>
      </c>
      <c r="X197" s="19">
        <f t="shared" ca="1" si="62"/>
        <v>0</v>
      </c>
      <c r="Y197" s="19">
        <f t="shared" si="63"/>
        <v>0</v>
      </c>
      <c r="Z197" s="82">
        <f t="shared" ca="1" si="64"/>
        <v>2915.4313802083334</v>
      </c>
      <c r="AA197" s="19">
        <f t="shared" ca="1" si="65"/>
        <v>0</v>
      </c>
      <c r="AE197" s="19"/>
    </row>
    <row r="198" spans="1:31" ht="12.75" customHeight="1" x14ac:dyDescent="0.2">
      <c r="A198">
        <v>1</v>
      </c>
      <c r="B198">
        <v>1</v>
      </c>
      <c r="C198">
        <f t="shared" ca="1" si="44"/>
        <v>4</v>
      </c>
      <c r="D198">
        <f t="shared" ca="1" si="45"/>
        <v>3</v>
      </c>
      <c r="E198">
        <f t="shared" ca="1" si="46"/>
        <v>1</v>
      </c>
      <c r="F198" s="61">
        <f t="shared" ca="1" si="47"/>
        <v>0.10723766413271038</v>
      </c>
      <c r="G198">
        <v>0</v>
      </c>
      <c r="H198">
        <v>1</v>
      </c>
      <c r="I198">
        <v>5</v>
      </c>
      <c r="J198" s="61">
        <f t="shared" ca="1" si="48"/>
        <v>0</v>
      </c>
      <c r="K198" s="61">
        <f t="shared" ca="1" si="49"/>
        <v>0</v>
      </c>
      <c r="L198" s="82">
        <f t="shared" ca="1" si="50"/>
        <v>216</v>
      </c>
      <c r="M198" s="16">
        <f t="shared" ca="1" si="51"/>
        <v>784</v>
      </c>
      <c r="N198" s="3">
        <f t="shared" ca="1" si="52"/>
        <v>5</v>
      </c>
      <c r="O198" s="19">
        <f t="shared" ca="1" si="53"/>
        <v>2.8178718937399587</v>
      </c>
      <c r="P198" s="19">
        <f t="shared" ca="1" si="54"/>
        <v>28.178718937399587</v>
      </c>
      <c r="Q198" s="19">
        <f t="shared" ca="1" si="55"/>
        <v>28.178718937399587</v>
      </c>
      <c r="R198" s="19">
        <f t="shared" ca="1" si="56"/>
        <v>2.8178718937399587</v>
      </c>
      <c r="S198" s="19">
        <f t="shared" ca="1" si="57"/>
        <v>2.8178718937399587</v>
      </c>
      <c r="T198" s="19">
        <f t="shared" ca="1" si="58"/>
        <v>0</v>
      </c>
      <c r="U198" s="19">
        <f t="shared" ca="1" si="59"/>
        <v>1475.3251747165598</v>
      </c>
      <c r="V198" s="19">
        <f t="shared" ca="1" si="60"/>
        <v>0</v>
      </c>
      <c r="W198" s="82">
        <f t="shared" ca="1" si="61"/>
        <v>2429.5261501736113</v>
      </c>
      <c r="X198" s="19">
        <f t="shared" ca="1" si="62"/>
        <v>0</v>
      </c>
      <c r="Y198" s="19">
        <f t="shared" si="63"/>
        <v>0</v>
      </c>
      <c r="Z198" s="82">
        <f t="shared" ca="1" si="64"/>
        <v>2429.5261501736113</v>
      </c>
      <c r="AA198" s="19">
        <f t="shared" ca="1" si="65"/>
        <v>0</v>
      </c>
      <c r="AE198" s="19"/>
    </row>
    <row r="199" spans="1:31" ht="12.75" customHeight="1" x14ac:dyDescent="0.2">
      <c r="A199">
        <v>1</v>
      </c>
      <c r="B199">
        <v>1</v>
      </c>
      <c r="C199">
        <f t="shared" ca="1" si="44"/>
        <v>4</v>
      </c>
      <c r="D199">
        <f t="shared" ca="1" si="45"/>
        <v>3</v>
      </c>
      <c r="E199">
        <f t="shared" ca="1" si="46"/>
        <v>1</v>
      </c>
      <c r="F199" s="61">
        <f t="shared" ca="1" si="47"/>
        <v>0.10723766413271038</v>
      </c>
      <c r="G199">
        <v>0</v>
      </c>
      <c r="H199">
        <v>1</v>
      </c>
      <c r="I199">
        <v>4</v>
      </c>
      <c r="J199" s="61">
        <f t="shared" ca="1" si="48"/>
        <v>0</v>
      </c>
      <c r="K199" s="61">
        <f t="shared" ca="1" si="49"/>
        <v>0</v>
      </c>
      <c r="L199" s="82">
        <f t="shared" ca="1" si="50"/>
        <v>205</v>
      </c>
      <c r="M199" s="16">
        <f t="shared" ca="1" si="51"/>
        <v>795</v>
      </c>
      <c r="N199" s="3">
        <f t="shared" ca="1" si="52"/>
        <v>5</v>
      </c>
      <c r="O199" s="19">
        <f t="shared" ca="1" si="53"/>
        <v>2.8178718937399587</v>
      </c>
      <c r="P199" s="19">
        <f t="shared" ca="1" si="54"/>
        <v>28.178718937399587</v>
      </c>
      <c r="Q199" s="19">
        <f t="shared" ca="1" si="55"/>
        <v>28.178718937399587</v>
      </c>
      <c r="R199" s="19">
        <f t="shared" ca="1" si="56"/>
        <v>2.8178718937399587</v>
      </c>
      <c r="S199" s="19">
        <f t="shared" ca="1" si="57"/>
        <v>2.8178718937399587</v>
      </c>
      <c r="T199" s="19">
        <f t="shared" ca="1" si="58"/>
        <v>0</v>
      </c>
      <c r="U199" s="19">
        <f t="shared" ca="1" si="59"/>
        <v>1464.3251747165598</v>
      </c>
      <c r="V199" s="19">
        <f t="shared" ca="1" si="60"/>
        <v>0</v>
      </c>
      <c r="W199" s="82">
        <f t="shared" ca="1" si="61"/>
        <v>1943.620920138889</v>
      </c>
      <c r="X199" s="19">
        <f t="shared" ca="1" si="62"/>
        <v>0</v>
      </c>
      <c r="Y199" s="19">
        <f t="shared" si="63"/>
        <v>0</v>
      </c>
      <c r="Z199" s="82">
        <f t="shared" ca="1" si="64"/>
        <v>1943.620920138889</v>
      </c>
      <c r="AA199" s="19">
        <f t="shared" ca="1" si="65"/>
        <v>0</v>
      </c>
      <c r="AE199" s="19"/>
    </row>
    <row r="200" spans="1:31" ht="12.75" customHeight="1" x14ac:dyDescent="0.2">
      <c r="A200">
        <v>1</v>
      </c>
      <c r="B200">
        <v>1</v>
      </c>
      <c r="C200">
        <f t="shared" ca="1" si="44"/>
        <v>4</v>
      </c>
      <c r="D200">
        <f t="shared" ca="1" si="45"/>
        <v>3</v>
      </c>
      <c r="E200">
        <f t="shared" ca="1" si="46"/>
        <v>1</v>
      </c>
      <c r="F200" s="61">
        <f t="shared" ca="1" si="47"/>
        <v>0.10723766413271038</v>
      </c>
      <c r="G200">
        <v>0</v>
      </c>
      <c r="H200">
        <v>1</v>
      </c>
      <c r="I200">
        <v>3</v>
      </c>
      <c r="J200" s="61">
        <f t="shared" ca="1" si="48"/>
        <v>0</v>
      </c>
      <c r="K200" s="61">
        <f t="shared" ca="1" si="49"/>
        <v>0</v>
      </c>
      <c r="L200" s="82">
        <f t="shared" ca="1" si="50"/>
        <v>194</v>
      </c>
      <c r="M200" s="16">
        <f t="shared" ca="1" si="51"/>
        <v>806</v>
      </c>
      <c r="N200" s="3">
        <f t="shared" ca="1" si="52"/>
        <v>5</v>
      </c>
      <c r="O200" s="19">
        <f t="shared" ca="1" si="53"/>
        <v>2.8178718937399587</v>
      </c>
      <c r="P200" s="19">
        <f t="shared" ca="1" si="54"/>
        <v>28.178718937399587</v>
      </c>
      <c r="Q200" s="19">
        <f t="shared" ca="1" si="55"/>
        <v>28.178718937399587</v>
      </c>
      <c r="R200" s="19">
        <f t="shared" ca="1" si="56"/>
        <v>2.8178718937399587</v>
      </c>
      <c r="S200" s="19">
        <f t="shared" ca="1" si="57"/>
        <v>2.8178718937399587</v>
      </c>
      <c r="T200" s="19">
        <f t="shared" ca="1" si="58"/>
        <v>0</v>
      </c>
      <c r="U200" s="19">
        <f t="shared" ca="1" si="59"/>
        <v>1453.3251747165598</v>
      </c>
      <c r="V200" s="19">
        <f t="shared" ca="1" si="60"/>
        <v>0</v>
      </c>
      <c r="W200" s="82">
        <f t="shared" ca="1" si="61"/>
        <v>1457.7156901041667</v>
      </c>
      <c r="X200" s="19">
        <f t="shared" ca="1" si="62"/>
        <v>0</v>
      </c>
      <c r="Y200" s="19">
        <f t="shared" si="63"/>
        <v>0</v>
      </c>
      <c r="Z200" s="82">
        <f t="shared" ca="1" si="64"/>
        <v>1457.7156901041667</v>
      </c>
      <c r="AA200" s="19">
        <f t="shared" ca="1" si="65"/>
        <v>0</v>
      </c>
      <c r="AE200" s="19"/>
    </row>
    <row r="201" spans="1:31" ht="12.75" customHeight="1" x14ac:dyDescent="0.2">
      <c r="A201">
        <v>1</v>
      </c>
      <c r="B201">
        <v>1</v>
      </c>
      <c r="C201">
        <f t="shared" ca="1" si="44"/>
        <v>4</v>
      </c>
      <c r="D201">
        <f t="shared" ca="1" si="45"/>
        <v>3</v>
      </c>
      <c r="E201">
        <f t="shared" ca="1" si="46"/>
        <v>1</v>
      </c>
      <c r="F201" s="61">
        <f t="shared" ca="1" si="47"/>
        <v>0.10723766413271038</v>
      </c>
      <c r="G201">
        <v>0</v>
      </c>
      <c r="H201">
        <v>1</v>
      </c>
      <c r="I201">
        <v>2</v>
      </c>
      <c r="J201" s="61">
        <f t="shared" ca="1" si="48"/>
        <v>0</v>
      </c>
      <c r="K201" s="61">
        <f t="shared" ca="1" si="49"/>
        <v>0</v>
      </c>
      <c r="L201" s="82">
        <f t="shared" ca="1" si="50"/>
        <v>183</v>
      </c>
      <c r="M201" s="16">
        <f t="shared" ca="1" si="51"/>
        <v>817</v>
      </c>
      <c r="N201" s="3">
        <f t="shared" ca="1" si="52"/>
        <v>5</v>
      </c>
      <c r="O201" s="19">
        <f t="shared" ca="1" si="53"/>
        <v>2.8178718937399587</v>
      </c>
      <c r="P201" s="19">
        <f t="shared" ca="1" si="54"/>
        <v>28.178718937399587</v>
      </c>
      <c r="Q201" s="19">
        <f t="shared" ca="1" si="55"/>
        <v>28.178718937399587</v>
      </c>
      <c r="R201" s="19">
        <f t="shared" ca="1" si="56"/>
        <v>2.8178718937399587</v>
      </c>
      <c r="S201" s="19">
        <f t="shared" ca="1" si="57"/>
        <v>2.8178718937399587</v>
      </c>
      <c r="T201" s="19">
        <f t="shared" ca="1" si="58"/>
        <v>0</v>
      </c>
      <c r="U201" s="19">
        <f t="shared" ca="1" si="59"/>
        <v>1442.3251747165598</v>
      </c>
      <c r="V201" s="19">
        <f t="shared" ca="1" si="60"/>
        <v>0</v>
      </c>
      <c r="W201" s="82">
        <f t="shared" ca="1" si="61"/>
        <v>971.8104600694445</v>
      </c>
      <c r="X201" s="19">
        <f t="shared" ca="1" si="62"/>
        <v>0</v>
      </c>
      <c r="Y201" s="19">
        <f t="shared" si="63"/>
        <v>0</v>
      </c>
      <c r="Z201" s="82">
        <f t="shared" ca="1" si="64"/>
        <v>971.8104600694445</v>
      </c>
      <c r="AA201" s="19">
        <f t="shared" ca="1" si="65"/>
        <v>0</v>
      </c>
      <c r="AE201" s="19"/>
    </row>
    <row r="202" spans="1:31" ht="12.75" customHeight="1" x14ac:dyDescent="0.2">
      <c r="A202">
        <v>1</v>
      </c>
      <c r="B202">
        <v>1</v>
      </c>
      <c r="C202">
        <f t="shared" ca="1" si="44"/>
        <v>4</v>
      </c>
      <c r="D202">
        <f t="shared" ca="1" si="45"/>
        <v>3</v>
      </c>
      <c r="E202">
        <f t="shared" ca="1" si="46"/>
        <v>1</v>
      </c>
      <c r="F202" s="61">
        <f t="shared" ca="1" si="47"/>
        <v>0.10723766413271038</v>
      </c>
      <c r="G202">
        <v>0</v>
      </c>
      <c r="H202">
        <v>1</v>
      </c>
      <c r="I202">
        <v>1</v>
      </c>
      <c r="J202" s="61">
        <f t="shared" ca="1" si="48"/>
        <v>0</v>
      </c>
      <c r="K202" s="61">
        <f t="shared" ca="1" si="49"/>
        <v>0</v>
      </c>
      <c r="L202" s="82">
        <f t="shared" ca="1" si="50"/>
        <v>172</v>
      </c>
      <c r="M202" s="16">
        <f t="shared" ca="1" si="51"/>
        <v>828</v>
      </c>
      <c r="N202" s="3">
        <f t="shared" ca="1" si="52"/>
        <v>5</v>
      </c>
      <c r="O202" s="19">
        <f t="shared" ca="1" si="53"/>
        <v>2.8178718937399587</v>
      </c>
      <c r="P202" s="19">
        <f t="shared" ca="1" si="54"/>
        <v>28.178718937399587</v>
      </c>
      <c r="Q202" s="19">
        <f t="shared" ca="1" si="55"/>
        <v>28.178718937399587</v>
      </c>
      <c r="R202" s="19">
        <f t="shared" ca="1" si="56"/>
        <v>2.8178718937399587</v>
      </c>
      <c r="S202" s="19">
        <f t="shared" ca="1" si="57"/>
        <v>2.8178718937399587</v>
      </c>
      <c r="T202" s="19">
        <f t="shared" ca="1" si="58"/>
        <v>0</v>
      </c>
      <c r="U202" s="19">
        <f t="shared" ca="1" si="59"/>
        <v>1431.3251747165598</v>
      </c>
      <c r="V202" s="19">
        <f t="shared" ca="1" si="60"/>
        <v>0</v>
      </c>
      <c r="W202" s="82">
        <f t="shared" ca="1" si="61"/>
        <v>485.90523003472225</v>
      </c>
      <c r="X202" s="19">
        <f t="shared" ca="1" si="62"/>
        <v>0</v>
      </c>
      <c r="Y202" s="19">
        <f t="shared" si="63"/>
        <v>0</v>
      </c>
      <c r="Z202" s="82">
        <f t="shared" ca="1" si="64"/>
        <v>485.90523003472225</v>
      </c>
      <c r="AA202" s="19">
        <f t="shared" ca="1" si="65"/>
        <v>0</v>
      </c>
      <c r="AE202" s="19"/>
    </row>
    <row r="203" spans="1:31" ht="12.75" customHeight="1" x14ac:dyDescent="0.2">
      <c r="A203">
        <v>1</v>
      </c>
      <c r="B203">
        <v>1</v>
      </c>
      <c r="C203">
        <f t="shared" ca="1" si="44"/>
        <v>4</v>
      </c>
      <c r="D203">
        <f t="shared" ca="1" si="45"/>
        <v>3</v>
      </c>
      <c r="E203">
        <f t="shared" ca="1" si="46"/>
        <v>1</v>
      </c>
      <c r="F203" s="61">
        <f t="shared" ca="1" si="47"/>
        <v>0.10723766413271038</v>
      </c>
      <c r="G203">
        <v>0</v>
      </c>
      <c r="H203">
        <v>1</v>
      </c>
      <c r="I203">
        <v>0</v>
      </c>
      <c r="J203" s="61">
        <f t="shared" ca="1" si="48"/>
        <v>0</v>
      </c>
      <c r="K203" s="61">
        <f t="shared" ca="1" si="49"/>
        <v>0</v>
      </c>
      <c r="L203" s="82">
        <f t="shared" ca="1" si="50"/>
        <v>161</v>
      </c>
      <c r="M203" s="16">
        <f t="shared" ca="1" si="51"/>
        <v>839</v>
      </c>
      <c r="N203" s="3">
        <f t="shared" ca="1" si="52"/>
        <v>5</v>
      </c>
      <c r="O203" s="19">
        <f t="shared" ca="1" si="53"/>
        <v>2.8178718937399587</v>
      </c>
      <c r="P203" s="19">
        <f t="shared" ca="1" si="54"/>
        <v>28.178718937399587</v>
      </c>
      <c r="Q203" s="19">
        <f t="shared" ca="1" si="55"/>
        <v>28.178718937399587</v>
      </c>
      <c r="R203" s="19">
        <f t="shared" ca="1" si="56"/>
        <v>2.8178718937399587</v>
      </c>
      <c r="S203" s="19">
        <f t="shared" ca="1" si="57"/>
        <v>2.8178718937399587</v>
      </c>
      <c r="T203" s="19">
        <f t="shared" ca="1" si="58"/>
        <v>0</v>
      </c>
      <c r="U203" s="19">
        <f t="shared" ca="1" si="59"/>
        <v>1420.3251747165598</v>
      </c>
      <c r="V203" s="19">
        <f t="shared" ca="1" si="60"/>
        <v>0</v>
      </c>
      <c r="W203" s="82">
        <f t="shared" ca="1" si="61"/>
        <v>0</v>
      </c>
      <c r="X203" s="19">
        <f t="shared" ca="1" si="62"/>
        <v>0</v>
      </c>
      <c r="Y203" s="19">
        <f t="shared" si="63"/>
        <v>0</v>
      </c>
      <c r="Z203" s="82">
        <f t="shared" ca="1" si="64"/>
        <v>0</v>
      </c>
      <c r="AA203" s="19">
        <f t="shared" ca="1" si="65"/>
        <v>0</v>
      </c>
      <c r="AE203" s="19"/>
    </row>
    <row r="204" spans="1:31" ht="12.75" customHeight="1" x14ac:dyDescent="0.2">
      <c r="A204">
        <v>1</v>
      </c>
      <c r="B204">
        <v>1</v>
      </c>
      <c r="C204">
        <f t="shared" ca="1" si="44"/>
        <v>4</v>
      </c>
      <c r="D204">
        <f t="shared" ca="1" si="45"/>
        <v>3</v>
      </c>
      <c r="E204">
        <f t="shared" ca="1" si="46"/>
        <v>1</v>
      </c>
      <c r="F204" s="61">
        <f t="shared" ca="1" si="47"/>
        <v>0.10723766413271038</v>
      </c>
      <c r="G204">
        <v>0</v>
      </c>
      <c r="H204">
        <v>0</v>
      </c>
      <c r="I204">
        <v>7</v>
      </c>
      <c r="J204" s="61">
        <f t="shared" ca="1" si="48"/>
        <v>0</v>
      </c>
      <c r="K204" s="61">
        <f t="shared" ca="1" si="49"/>
        <v>0</v>
      </c>
      <c r="L204" s="82">
        <f t="shared" ca="1" si="50"/>
        <v>77</v>
      </c>
      <c r="M204" s="16">
        <f t="shared" ca="1" si="51"/>
        <v>923</v>
      </c>
      <c r="N204" s="3">
        <f t="shared" ca="1" si="52"/>
        <v>5</v>
      </c>
      <c r="O204" s="19">
        <f t="shared" ca="1" si="53"/>
        <v>2.8178718937399587</v>
      </c>
      <c r="P204" s="19">
        <f t="shared" ca="1" si="54"/>
        <v>28.178718937399587</v>
      </c>
      <c r="Q204" s="19">
        <f t="shared" ca="1" si="55"/>
        <v>28.178718937399587</v>
      </c>
      <c r="R204" s="19">
        <f t="shared" ca="1" si="56"/>
        <v>2.8178718937399587</v>
      </c>
      <c r="S204" s="19">
        <f t="shared" ca="1" si="57"/>
        <v>2.8178718937399587</v>
      </c>
      <c r="T204" s="19">
        <f t="shared" ca="1" si="58"/>
        <v>0</v>
      </c>
      <c r="U204" s="19">
        <f t="shared" ca="1" si="59"/>
        <v>1336.3251747165598</v>
      </c>
      <c r="V204" s="19">
        <f t="shared" ca="1" si="60"/>
        <v>0</v>
      </c>
      <c r="W204" s="82">
        <f t="shared" ca="1" si="61"/>
        <v>3401.3366102430559</v>
      </c>
      <c r="X204" s="19">
        <f t="shared" ca="1" si="62"/>
        <v>0</v>
      </c>
      <c r="Y204" s="19">
        <f t="shared" si="63"/>
        <v>0</v>
      </c>
      <c r="Z204" s="82">
        <f t="shared" ca="1" si="64"/>
        <v>3401.3366102430559</v>
      </c>
      <c r="AA204" s="19">
        <f t="shared" ca="1" si="65"/>
        <v>0</v>
      </c>
      <c r="AE204" s="19"/>
    </row>
    <row r="205" spans="1:31" ht="12.75" customHeight="1" x14ac:dyDescent="0.2">
      <c r="A205">
        <v>1</v>
      </c>
      <c r="B205">
        <v>1</v>
      </c>
      <c r="C205">
        <f t="shared" ca="1" si="44"/>
        <v>4</v>
      </c>
      <c r="D205">
        <f t="shared" ca="1" si="45"/>
        <v>3</v>
      </c>
      <c r="E205">
        <f t="shared" ca="1" si="46"/>
        <v>1</v>
      </c>
      <c r="F205" s="61">
        <f t="shared" ca="1" si="47"/>
        <v>0.10723766413271038</v>
      </c>
      <c r="G205">
        <v>0</v>
      </c>
      <c r="H205">
        <v>0</v>
      </c>
      <c r="I205">
        <v>6</v>
      </c>
      <c r="J205" s="61">
        <f t="shared" ca="1" si="48"/>
        <v>0</v>
      </c>
      <c r="K205" s="61">
        <f t="shared" ca="1" si="49"/>
        <v>0</v>
      </c>
      <c r="L205" s="82">
        <f t="shared" ca="1" si="50"/>
        <v>66</v>
      </c>
      <c r="M205" s="16">
        <f t="shared" ca="1" si="51"/>
        <v>934</v>
      </c>
      <c r="N205" s="3">
        <f t="shared" ca="1" si="52"/>
        <v>5</v>
      </c>
      <c r="O205" s="19">
        <f t="shared" ca="1" si="53"/>
        <v>2.8178718937399587</v>
      </c>
      <c r="P205" s="19">
        <f t="shared" ca="1" si="54"/>
        <v>28.178718937399587</v>
      </c>
      <c r="Q205" s="19">
        <f t="shared" ca="1" si="55"/>
        <v>28.178718937399587</v>
      </c>
      <c r="R205" s="19">
        <f t="shared" ca="1" si="56"/>
        <v>2.8178718937399587</v>
      </c>
      <c r="S205" s="19">
        <f t="shared" ca="1" si="57"/>
        <v>2.8178718937399587</v>
      </c>
      <c r="T205" s="19">
        <f t="shared" ca="1" si="58"/>
        <v>0</v>
      </c>
      <c r="U205" s="19">
        <f t="shared" ca="1" si="59"/>
        <v>1325.3251747165598</v>
      </c>
      <c r="V205" s="19">
        <f t="shared" ca="1" si="60"/>
        <v>0</v>
      </c>
      <c r="W205" s="82">
        <f t="shared" ca="1" si="61"/>
        <v>2915.4313802083334</v>
      </c>
      <c r="X205" s="19">
        <f t="shared" ca="1" si="62"/>
        <v>0</v>
      </c>
      <c r="Y205" s="19">
        <f t="shared" si="63"/>
        <v>0</v>
      </c>
      <c r="Z205" s="82">
        <f t="shared" ca="1" si="64"/>
        <v>2915.4313802083334</v>
      </c>
      <c r="AA205" s="19">
        <f t="shared" ca="1" si="65"/>
        <v>0</v>
      </c>
      <c r="AE205" s="19"/>
    </row>
    <row r="206" spans="1:31" ht="12.75" customHeight="1" x14ac:dyDescent="0.2">
      <c r="A206">
        <v>1</v>
      </c>
      <c r="B206">
        <v>1</v>
      </c>
      <c r="C206">
        <f t="shared" ca="1" si="44"/>
        <v>4</v>
      </c>
      <c r="D206">
        <f t="shared" ca="1" si="45"/>
        <v>3</v>
      </c>
      <c r="E206">
        <f t="shared" ca="1" si="46"/>
        <v>1</v>
      </c>
      <c r="F206" s="61">
        <f t="shared" ca="1" si="47"/>
        <v>0.10723766413271038</v>
      </c>
      <c r="G206">
        <v>0</v>
      </c>
      <c r="H206">
        <v>0</v>
      </c>
      <c r="I206">
        <v>5</v>
      </c>
      <c r="J206" s="61">
        <f t="shared" ca="1" si="48"/>
        <v>0</v>
      </c>
      <c r="K206" s="61">
        <f t="shared" ca="1" si="49"/>
        <v>0</v>
      </c>
      <c r="L206" s="82">
        <f t="shared" ca="1" si="50"/>
        <v>55</v>
      </c>
      <c r="M206" s="16">
        <f t="shared" ca="1" si="51"/>
        <v>945</v>
      </c>
      <c r="N206" s="3">
        <f t="shared" ca="1" si="52"/>
        <v>5</v>
      </c>
      <c r="O206" s="19">
        <f t="shared" ca="1" si="53"/>
        <v>2.8178718937399587</v>
      </c>
      <c r="P206" s="19">
        <f t="shared" ca="1" si="54"/>
        <v>28.178718937399587</v>
      </c>
      <c r="Q206" s="19">
        <f t="shared" ca="1" si="55"/>
        <v>28.178718937399587</v>
      </c>
      <c r="R206" s="19">
        <f t="shared" ca="1" si="56"/>
        <v>2.8178718937399587</v>
      </c>
      <c r="S206" s="19">
        <f t="shared" ca="1" si="57"/>
        <v>2.8178718937399587</v>
      </c>
      <c r="T206" s="19">
        <f t="shared" ca="1" si="58"/>
        <v>0</v>
      </c>
      <c r="U206" s="19">
        <f t="shared" ca="1" si="59"/>
        <v>1314.3251747165598</v>
      </c>
      <c r="V206" s="19">
        <f t="shared" ca="1" si="60"/>
        <v>0</v>
      </c>
      <c r="W206" s="82">
        <f t="shared" ca="1" si="61"/>
        <v>2429.5261501736113</v>
      </c>
      <c r="X206" s="19">
        <f t="shared" ca="1" si="62"/>
        <v>0</v>
      </c>
      <c r="Y206" s="19">
        <f t="shared" si="63"/>
        <v>0</v>
      </c>
      <c r="Z206" s="82">
        <f t="shared" ca="1" si="64"/>
        <v>2429.5261501736113</v>
      </c>
      <c r="AA206" s="19">
        <f t="shared" ca="1" si="65"/>
        <v>0</v>
      </c>
      <c r="AE206" s="19"/>
    </row>
    <row r="207" spans="1:31" ht="12.75" customHeight="1" x14ac:dyDescent="0.2">
      <c r="A207">
        <v>1</v>
      </c>
      <c r="B207">
        <v>1</v>
      </c>
      <c r="C207">
        <f t="shared" ca="1" si="44"/>
        <v>4</v>
      </c>
      <c r="D207">
        <f t="shared" ca="1" si="45"/>
        <v>3</v>
      </c>
      <c r="E207">
        <f t="shared" ca="1" si="46"/>
        <v>1</v>
      </c>
      <c r="F207" s="61">
        <f t="shared" ca="1" si="47"/>
        <v>0.10723766413271038</v>
      </c>
      <c r="G207">
        <v>0</v>
      </c>
      <c r="H207">
        <v>0</v>
      </c>
      <c r="I207">
        <v>4</v>
      </c>
      <c r="J207" s="61">
        <f t="shared" ca="1" si="48"/>
        <v>0</v>
      </c>
      <c r="K207" s="61">
        <f t="shared" ca="1" si="49"/>
        <v>0</v>
      </c>
      <c r="L207" s="82">
        <f t="shared" ca="1" si="50"/>
        <v>44</v>
      </c>
      <c r="M207" s="16">
        <f t="shared" ca="1" si="51"/>
        <v>956</v>
      </c>
      <c r="N207" s="3">
        <f t="shared" ca="1" si="52"/>
        <v>6</v>
      </c>
      <c r="O207" s="19">
        <f t="shared" ca="1" si="53"/>
        <v>3.3239268932937667</v>
      </c>
      <c r="P207" s="19">
        <f t="shared" ca="1" si="54"/>
        <v>33.239268932937669</v>
      </c>
      <c r="Q207" s="19">
        <f t="shared" ca="1" si="55"/>
        <v>28.178718937399587</v>
      </c>
      <c r="R207" s="19">
        <f t="shared" ca="1" si="56"/>
        <v>3.0708993935168629</v>
      </c>
      <c r="S207" s="19">
        <f t="shared" ca="1" si="57"/>
        <v>3.3239268932937667</v>
      </c>
      <c r="T207" s="19">
        <f t="shared" ca="1" si="58"/>
        <v>0</v>
      </c>
      <c r="U207" s="19">
        <f t="shared" ca="1" si="59"/>
        <v>1495.4024523027438</v>
      </c>
      <c r="V207" s="19">
        <f t="shared" ca="1" si="60"/>
        <v>0</v>
      </c>
      <c r="W207" s="82">
        <f t="shared" ca="1" si="61"/>
        <v>1943.620920138889</v>
      </c>
      <c r="X207" s="19">
        <f t="shared" ca="1" si="62"/>
        <v>0</v>
      </c>
      <c r="Y207" s="19">
        <f t="shared" si="63"/>
        <v>0</v>
      </c>
      <c r="Z207" s="82">
        <f t="shared" ca="1" si="64"/>
        <v>1943.620920138889</v>
      </c>
      <c r="AA207" s="19">
        <f t="shared" ca="1" si="65"/>
        <v>0</v>
      </c>
      <c r="AE207" s="19"/>
    </row>
    <row r="208" spans="1:31" ht="12.75" customHeight="1" x14ac:dyDescent="0.2">
      <c r="A208">
        <v>1</v>
      </c>
      <c r="B208">
        <v>1</v>
      </c>
      <c r="C208">
        <f t="shared" ca="1" si="44"/>
        <v>4</v>
      </c>
      <c r="D208">
        <f t="shared" ca="1" si="45"/>
        <v>3</v>
      </c>
      <c r="E208">
        <f t="shared" ca="1" si="46"/>
        <v>1</v>
      </c>
      <c r="F208" s="61">
        <f t="shared" ca="1" si="47"/>
        <v>0.10723766413271038</v>
      </c>
      <c r="G208">
        <v>0</v>
      </c>
      <c r="H208">
        <v>0</v>
      </c>
      <c r="I208">
        <v>3</v>
      </c>
      <c r="J208" s="61">
        <f t="shared" ca="1" si="48"/>
        <v>4.2868749999999997E-2</v>
      </c>
      <c r="K208" s="61">
        <f t="shared" ca="1" si="49"/>
        <v>4.5971446142891274E-3</v>
      </c>
      <c r="L208" s="82">
        <f t="shared" ca="1" si="50"/>
        <v>33</v>
      </c>
      <c r="M208" s="16">
        <f t="shared" ca="1" si="51"/>
        <v>967</v>
      </c>
      <c r="N208" s="3">
        <f t="shared" ca="1" si="52"/>
        <v>6</v>
      </c>
      <c r="O208" s="19">
        <f t="shared" ca="1" si="53"/>
        <v>3.3239268932937667</v>
      </c>
      <c r="P208" s="19">
        <f t="shared" ca="1" si="54"/>
        <v>33.239268932937669</v>
      </c>
      <c r="Q208" s="19">
        <f t="shared" ca="1" si="55"/>
        <v>33.239268932937669</v>
      </c>
      <c r="R208" s="19">
        <f t="shared" ca="1" si="56"/>
        <v>3.3239268932937671</v>
      </c>
      <c r="S208" s="19">
        <f t="shared" ca="1" si="57"/>
        <v>3.3239268932937667</v>
      </c>
      <c r="T208" s="19">
        <f t="shared" ca="1" si="58"/>
        <v>1.5280572615796231E-2</v>
      </c>
      <c r="U208" s="19">
        <f t="shared" ca="1" si="59"/>
        <v>1484.4024523027438</v>
      </c>
      <c r="V208" s="19">
        <f t="shared" ca="1" si="60"/>
        <v>6.824012739041132</v>
      </c>
      <c r="W208" s="82">
        <f t="shared" ca="1" si="61"/>
        <v>1457.7156901041667</v>
      </c>
      <c r="X208" s="19">
        <f t="shared" ca="1" si="62"/>
        <v>6.7013298339271286</v>
      </c>
      <c r="Y208" s="19">
        <f t="shared" si="63"/>
        <v>0</v>
      </c>
      <c r="Z208" s="82">
        <f t="shared" ca="1" si="64"/>
        <v>1457.7156901041667</v>
      </c>
      <c r="AA208" s="19">
        <f t="shared" ca="1" si="65"/>
        <v>6.7013298339271286</v>
      </c>
      <c r="AE208" s="19"/>
    </row>
    <row r="209" spans="1:31" ht="12.75" customHeight="1" x14ac:dyDescent="0.2">
      <c r="A209">
        <v>1</v>
      </c>
      <c r="B209">
        <v>1</v>
      </c>
      <c r="C209">
        <f t="shared" ca="1" si="44"/>
        <v>4</v>
      </c>
      <c r="D209">
        <f t="shared" ca="1" si="45"/>
        <v>3</v>
      </c>
      <c r="E209">
        <f t="shared" ca="1" si="46"/>
        <v>1</v>
      </c>
      <c r="F209" s="61">
        <f t="shared" ca="1" si="47"/>
        <v>0.10723766413271038</v>
      </c>
      <c r="G209">
        <v>0</v>
      </c>
      <c r="H209">
        <v>0</v>
      </c>
      <c r="I209">
        <v>2</v>
      </c>
      <c r="J209" s="61">
        <f t="shared" ca="1" si="48"/>
        <v>6.7687500000000074E-3</v>
      </c>
      <c r="K209" s="61">
        <f t="shared" ca="1" si="49"/>
        <v>7.2586493909828416E-4</v>
      </c>
      <c r="L209" s="82">
        <f t="shared" ca="1" si="50"/>
        <v>22</v>
      </c>
      <c r="M209" s="16">
        <f t="shared" ca="1" si="51"/>
        <v>978</v>
      </c>
      <c r="N209" s="3">
        <f t="shared" ca="1" si="52"/>
        <v>6</v>
      </c>
      <c r="O209" s="19">
        <f t="shared" ca="1" si="53"/>
        <v>3.3239268932937667</v>
      </c>
      <c r="P209" s="19">
        <f t="shared" ca="1" si="54"/>
        <v>33.239268932937669</v>
      </c>
      <c r="Q209" s="19">
        <f t="shared" ca="1" si="55"/>
        <v>33.239268932937669</v>
      </c>
      <c r="R209" s="19">
        <f t="shared" ca="1" si="56"/>
        <v>3.3239268932937671</v>
      </c>
      <c r="S209" s="19">
        <f t="shared" ca="1" si="57"/>
        <v>3.3239268932937667</v>
      </c>
      <c r="T209" s="19">
        <f t="shared" ca="1" si="58"/>
        <v>2.4127219919678287E-3</v>
      </c>
      <c r="U209" s="19">
        <f t="shared" ca="1" si="59"/>
        <v>1473.4024523027438</v>
      </c>
      <c r="V209" s="19">
        <f t="shared" ca="1" si="60"/>
        <v>1.0694911813079937</v>
      </c>
      <c r="W209" s="82">
        <f t="shared" ca="1" si="61"/>
        <v>971.8104600694445</v>
      </c>
      <c r="X209" s="19">
        <f t="shared" ca="1" si="62"/>
        <v>0.70540314041338281</v>
      </c>
      <c r="Y209" s="19">
        <f t="shared" si="63"/>
        <v>0</v>
      </c>
      <c r="Z209" s="82">
        <f t="shared" ca="1" si="64"/>
        <v>971.8104600694445</v>
      </c>
      <c r="AA209" s="19">
        <f t="shared" ca="1" si="65"/>
        <v>0.70540314041338281</v>
      </c>
      <c r="AE209" s="19"/>
    </row>
    <row r="210" spans="1:31" ht="12.75" customHeight="1" x14ac:dyDescent="0.2">
      <c r="A210">
        <v>1</v>
      </c>
      <c r="B210">
        <v>1</v>
      </c>
      <c r="C210">
        <f t="shared" ca="1" si="44"/>
        <v>4</v>
      </c>
      <c r="D210">
        <f t="shared" ca="1" si="45"/>
        <v>3</v>
      </c>
      <c r="E210">
        <f t="shared" ca="1" si="46"/>
        <v>1</v>
      </c>
      <c r="F210" s="61">
        <f t="shared" ca="1" si="47"/>
        <v>0.10723766413271038</v>
      </c>
      <c r="G210">
        <v>0</v>
      </c>
      <c r="H210">
        <v>0</v>
      </c>
      <c r="I210">
        <v>1</v>
      </c>
      <c r="J210" s="61">
        <f t="shared" ca="1" si="48"/>
        <v>3.5625000000000061E-4</v>
      </c>
      <c r="K210" s="61">
        <f t="shared" ca="1" si="49"/>
        <v>3.820341784727814E-5</v>
      </c>
      <c r="L210" s="82">
        <f t="shared" ca="1" si="50"/>
        <v>11</v>
      </c>
      <c r="M210" s="16">
        <f t="shared" ca="1" si="51"/>
        <v>989</v>
      </c>
      <c r="N210" s="3">
        <f t="shared" ca="1" si="52"/>
        <v>6</v>
      </c>
      <c r="O210" s="19">
        <f t="shared" ca="1" si="53"/>
        <v>3.3239268932937667</v>
      </c>
      <c r="P210" s="19">
        <f t="shared" ca="1" si="54"/>
        <v>33.239268932937669</v>
      </c>
      <c r="Q210" s="19">
        <f t="shared" ca="1" si="55"/>
        <v>33.239268932937669</v>
      </c>
      <c r="R210" s="19">
        <f t="shared" ca="1" si="56"/>
        <v>3.3239268932937671</v>
      </c>
      <c r="S210" s="19">
        <f t="shared" ca="1" si="57"/>
        <v>3.3239268932937667</v>
      </c>
      <c r="T210" s="19">
        <f t="shared" ca="1" si="58"/>
        <v>1.2698536799830688E-4</v>
      </c>
      <c r="U210" s="19">
        <f t="shared" ca="1" si="59"/>
        <v>1462.4024523027438</v>
      </c>
      <c r="V210" s="19">
        <f t="shared" ca="1" si="60"/>
        <v>5.5868771946205958E-2</v>
      </c>
      <c r="W210" s="82">
        <f t="shared" ca="1" si="61"/>
        <v>485.90523003472225</v>
      </c>
      <c r="X210" s="19">
        <f t="shared" ca="1" si="62"/>
        <v>1.8563240537194298E-2</v>
      </c>
      <c r="Y210" s="19">
        <f t="shared" si="63"/>
        <v>0</v>
      </c>
      <c r="Z210" s="82">
        <f t="shared" ca="1" si="64"/>
        <v>485.90523003472225</v>
      </c>
      <c r="AA210" s="19">
        <f t="shared" ca="1" si="65"/>
        <v>1.8563240537194298E-2</v>
      </c>
      <c r="AE210" s="19"/>
    </row>
    <row r="211" spans="1:31" ht="12.75" customHeight="1" x14ac:dyDescent="0.2">
      <c r="A211">
        <v>1</v>
      </c>
      <c r="B211">
        <v>1</v>
      </c>
      <c r="C211">
        <f t="shared" ca="1" si="44"/>
        <v>4</v>
      </c>
      <c r="D211">
        <f t="shared" ca="1" si="45"/>
        <v>3</v>
      </c>
      <c r="E211">
        <f t="shared" ca="1" si="46"/>
        <v>1</v>
      </c>
      <c r="F211" s="61">
        <f t="shared" ca="1" si="47"/>
        <v>0.10723766413271038</v>
      </c>
      <c r="G211">
        <v>0</v>
      </c>
      <c r="H211">
        <v>0</v>
      </c>
      <c r="I211">
        <v>0</v>
      </c>
      <c r="J211" s="61">
        <f t="shared" ca="1" si="48"/>
        <v>6.2500000000000164E-6</v>
      </c>
      <c r="K211" s="61">
        <f t="shared" ca="1" si="49"/>
        <v>6.702354008294416E-7</v>
      </c>
      <c r="L211" s="82">
        <f t="shared" ca="1" si="50"/>
        <v>0</v>
      </c>
      <c r="M211" s="16">
        <f t="shared" ca="1" si="51"/>
        <v>1000</v>
      </c>
      <c r="N211" s="3">
        <f t="shared" ca="1" si="52"/>
        <v>6</v>
      </c>
      <c r="O211" s="19">
        <f t="shared" ca="1" si="53"/>
        <v>3.3239268932937667</v>
      </c>
      <c r="P211" s="19">
        <f t="shared" ca="1" si="54"/>
        <v>33.239268932937669</v>
      </c>
      <c r="Q211" s="19">
        <f t="shared" ca="1" si="55"/>
        <v>33.239268932937669</v>
      </c>
      <c r="R211" s="19">
        <f t="shared" ca="1" si="56"/>
        <v>3.3239268932937671</v>
      </c>
      <c r="S211" s="19">
        <f t="shared" ca="1" si="57"/>
        <v>3.3239268932937667</v>
      </c>
      <c r="T211" s="19">
        <f t="shared" ca="1" si="58"/>
        <v>2.2278134736545084E-6</v>
      </c>
      <c r="U211" s="19">
        <f t="shared" ca="1" si="59"/>
        <v>1451.4024523027438</v>
      </c>
      <c r="V211" s="19">
        <f t="shared" ca="1" si="60"/>
        <v>9.7278130438396393E-4</v>
      </c>
      <c r="W211" s="82">
        <f t="shared" ca="1" si="61"/>
        <v>0</v>
      </c>
      <c r="X211" s="19">
        <f t="shared" ca="1" si="62"/>
        <v>0</v>
      </c>
      <c r="Y211" s="19">
        <f t="shared" si="63"/>
        <v>0</v>
      </c>
      <c r="Z211" s="82">
        <f t="shared" ca="1" si="64"/>
        <v>0</v>
      </c>
      <c r="AA211" s="19">
        <f t="shared" ca="1" si="65"/>
        <v>0</v>
      </c>
      <c r="AE211" s="19"/>
    </row>
    <row r="212" spans="1:31" ht="12.75" customHeight="1" x14ac:dyDescent="0.2">
      <c r="A212">
        <v>1</v>
      </c>
      <c r="B212">
        <v>2</v>
      </c>
      <c r="C212">
        <f t="shared" ref="C212:C275" ca="1" si="66">MIN(8, 1+$B$10+$B$9+A212+B212)</f>
        <v>5</v>
      </c>
      <c r="D212">
        <f t="shared" ref="D212:D275" ca="1" si="67">C212-(1+$B$10)</f>
        <v>4</v>
      </c>
      <c r="E212">
        <f t="shared" ref="E212:E275" ca="1" si="68">MIN(A212, C212-(1+$B$10+$B$9))</f>
        <v>1</v>
      </c>
      <c r="F212" s="61">
        <f t="shared" ref="F212:F275" ca="1" si="69">IF(A212=3, Set1QA, IF(A212=2, (1-Set1QA)*Set1TA + (1-Set1QA)*(1-Set1TA)*(1-Set1DA)*Set1AM3*Set1AM33, IF(A212=1, (1-Set1QA)*(1-Set1TA)*Set1DA + (1-Set1QA)*(1-Set1TA)*(1-Set1DA)*Set1AM3*Set1AM32, (1-Set1QA)*(1-Set1TA)*(1-Set1DA)*(1-Set1AM3)))) * IF($B$9+$B$10&gt;0, IF(B212=3, Set1QA, IF(B212=2, (1-Set1QA)*Set1TA, IF(B212=1, (1-Set1QA)*(1-Set1TA)*Set1DA, (1-Set1QA)*(1-Set1TA)*(1-Set1DA)))), IF(B212=0, 1, 0))</f>
        <v>1.9427113067519999E-2</v>
      </c>
      <c r="G212">
        <v>1</v>
      </c>
      <c r="H212">
        <v>1</v>
      </c>
      <c r="I212">
        <v>7</v>
      </c>
      <c r="J212" s="61">
        <f t="shared" ref="J212:J275" ca="1" si="70">POWER(95%,G212)*POWER(5%, 1-G212) * IF($B$10=0, IF(H212=0, 1, 0), POWER(Set1WSHitRate,H212)*POWER(1-Set1WSHitRate, 1-H212)) * IF(I212&lt;=D212, POWER(Set1WSHitRate, I212)*POWER(1-Set1WSHitRate, D212-I212)*COMBIN(D212,I212), 0)</f>
        <v>0</v>
      </c>
      <c r="K212" s="61">
        <f t="shared" ref="K212:K275" ca="1" si="71">F212*J212</f>
        <v>0</v>
      </c>
      <c r="L212" s="82">
        <f t="shared" ref="L212:L275" ca="1" si="72">MAX((G212+H212)*Set1WSTP + I212*$B$6, Set1SaveTP)</f>
        <v>399</v>
      </c>
      <c r="M212" s="16">
        <f t="shared" ref="M212:M275" ca="1" si="73">MAX(Set1MinTP-(L212+Set1Regain), 0)</f>
        <v>601</v>
      </c>
      <c r="N212" s="3">
        <f t="shared" ref="N212:N275" ca="1" si="74">CEILING(M212/Set1MeleeTP, 1)</f>
        <v>4</v>
      </c>
      <c r="O212" s="19">
        <f t="shared" ref="O212:O275" ca="1" si="75">VLOOKUP(N212,AvgRoundsSet1,2)</f>
        <v>2.3453053758100548</v>
      </c>
      <c r="P212" s="19">
        <f t="shared" ref="P212:P275" ca="1" si="76">VLOOKUP(CEILING(MAX(M212-1, 0)/Set1MeleeTP, 1), AvgRoundsSet1, 2) + VLOOKUP(CEILING(MAX(M212-2, 0)/Set1MeleeTP, 1), AvgRoundsSet1, 2) + VLOOKUP(CEILING(MAX(M212-3, 0)/Set1MeleeTP, 1), AvgRoundsSet1, 2) + VLOOKUP(CEILING(MAX(M212-4, 0)/Set1MeleeTP, 1), AvgRoundsSet1, 2) + VLOOKUP(CEILING(MAX(M212-5, 0)/Set1MeleeTP, 1), AvgRoundsSet1, 2) + VLOOKUP(CEILING(MAX(M212-6, 0)/Set1MeleeTP, 1), AvgRoundsSet1, 2) + VLOOKUP(CEILING(MAX(M212-7, 0)/Set1MeleeTP, 1), AvgRoundsSet1, 2) + VLOOKUP(CEILING(MAX(M212-8, 0)/Set1MeleeTP, 1), AvgRoundsSet1, 2) + VLOOKUP(CEILING(MAX(M212-9, 0)/Set1MeleeTP, 1), AvgRoundsSet1, 2) + VLOOKUP(CEILING(MAX(M212-10, 0)/Set1MeleeTP, 1), AvgRoundsSet1, 2)</f>
        <v>23.453053758100552</v>
      </c>
      <c r="Q212" s="19">
        <f t="shared" ref="Q212:Q275" ca="1" si="77">VLOOKUP(CEILING(MAX(M212-11, 0)/Set1MeleeTP, 1), AvgRoundsSet1, 2) + VLOOKUP(CEILING(MAX(M212-12, 0)/Set1MeleeTP, 1), AvgRoundsSet1, 2) + VLOOKUP(CEILING(MAX(M212-13, 0)/Set1MeleeTP, 1), AvgRoundsSet1, 2) + VLOOKUP(CEILING(MAX(M212-14, 0)/Set1MeleeTP, 1), AvgRoundsSet1, 2) + VLOOKUP(CEILING(MAX(M212-15, 0)/Set1MeleeTP, 1), AvgRoundsSet1, 2) + VLOOKUP(CEILING(MAX(M212-16, 0)/Set1MeleeTP, 1), AvgRoundsSet1, 2) + VLOOKUP(CEILING(MAX(M212-17, 0)/Set1MeleeTP, 1), AvgRoundsSet1, 2) + VLOOKUP(CEILING(MAX(M212-18, 0)/Set1MeleeTP, 1), AvgRoundsSet1, 2) + VLOOKUP(CEILING(MAX(M212-19, 0)/Set1MeleeTP, 1), AvgRoundsSet1, 2) + VLOOKUP(CEILING(MAX(M212-20, 0)/Set1MeleeTP, 1), AvgRoundsSet1, 2)</f>
        <v>23.453053758100552</v>
      </c>
      <c r="R212" s="19">
        <f t="shared" ref="R212:R275" ca="1" si="78">(P212+Q212)/20</f>
        <v>2.3453053758100553</v>
      </c>
      <c r="S212" s="19">
        <f t="shared" ref="S212:S275" ca="1" si="79">R212*Set1ConserveTP + O212*(1-Set1ConserveTP)</f>
        <v>2.3453053758100548</v>
      </c>
      <c r="T212" s="19">
        <f t="shared" ref="T212:T275" ca="1" si="80">K212*S212</f>
        <v>0</v>
      </c>
      <c r="U212" s="19">
        <f t="shared" ref="U212:U275" ca="1" si="81">MIN(L212+(S212+Set1OverTP)*AvgHitsPerRound1*Set1MeleeTP + Set1Regain + 10.5*Set1ConserveTP, 3000)</f>
        <v>1478.9587218163997</v>
      </c>
      <c r="V212" s="19">
        <f t="shared" ref="V212:V275" ca="1" si="82">U212*K212</f>
        <v>0</v>
      </c>
      <c r="W212" s="82">
        <f t="shared" ref="W212:W275" ca="1" si="83">G212*$K$12*((1-$L$12)*$L$16 + $L$12*$M$16*$M$12)+ H212*$K$15*((1-$L$15)*$L$17 + $L$15*$M$17*$M$13) + I212*$K$13*((1-$L$13)*$L$16 + $L$13*$M$16*$M$13) + E212*$K$14*$L$14*$M$12</f>
        <v>5718.7981307870377</v>
      </c>
      <c r="X212" s="19">
        <f t="shared" ref="X212:X275" ca="1" si="84">K212*W212</f>
        <v>0</v>
      </c>
      <c r="Y212" s="19">
        <f t="shared" ref="Y212:Y275" si="85">IF($B$12=1, (VLOOKUP(C212, IF($B$13=10%,Souleater10,Souleater12), 6, 0) * $B$14), 0)</f>
        <v>0</v>
      </c>
      <c r="Z212" s="82">
        <f t="shared" ref="Z212:Z275" ca="1" si="86">Y212+W212</f>
        <v>5718.7981307870377</v>
      </c>
      <c r="AA212" s="19">
        <f t="shared" ref="AA212:AA275" ca="1" si="87">Z212*K212</f>
        <v>0</v>
      </c>
      <c r="AE212" s="19"/>
    </row>
    <row r="213" spans="1:31" ht="12.75" customHeight="1" x14ac:dyDescent="0.2">
      <c r="A213">
        <v>1</v>
      </c>
      <c r="B213">
        <v>2</v>
      </c>
      <c r="C213">
        <f t="shared" ca="1" si="66"/>
        <v>5</v>
      </c>
      <c r="D213">
        <f t="shared" ca="1" si="67"/>
        <v>4</v>
      </c>
      <c r="E213">
        <f t="shared" ca="1" si="68"/>
        <v>1</v>
      </c>
      <c r="F213" s="61">
        <f t="shared" ca="1" si="69"/>
        <v>1.9427113067519999E-2</v>
      </c>
      <c r="G213">
        <v>1</v>
      </c>
      <c r="H213">
        <v>1</v>
      </c>
      <c r="I213">
        <v>6</v>
      </c>
      <c r="J213" s="61">
        <f t="shared" ca="1" si="70"/>
        <v>0</v>
      </c>
      <c r="K213" s="61">
        <f t="shared" ca="1" si="71"/>
        <v>0</v>
      </c>
      <c r="L213" s="82">
        <f t="shared" ca="1" si="72"/>
        <v>388</v>
      </c>
      <c r="M213" s="16">
        <f t="shared" ca="1" si="73"/>
        <v>612</v>
      </c>
      <c r="N213" s="3">
        <f t="shared" ca="1" si="74"/>
        <v>4</v>
      </c>
      <c r="O213" s="19">
        <f t="shared" ca="1" si="75"/>
        <v>2.3453053758100548</v>
      </c>
      <c r="P213" s="19">
        <f t="shared" ca="1" si="76"/>
        <v>23.453053758100552</v>
      </c>
      <c r="Q213" s="19">
        <f t="shared" ca="1" si="77"/>
        <v>23.453053758100552</v>
      </c>
      <c r="R213" s="19">
        <f t="shared" ca="1" si="78"/>
        <v>2.3453053758100553</v>
      </c>
      <c r="S213" s="19">
        <f t="shared" ca="1" si="79"/>
        <v>2.3453053758100548</v>
      </c>
      <c r="T213" s="19">
        <f t="shared" ca="1" si="80"/>
        <v>0</v>
      </c>
      <c r="U213" s="19">
        <f t="shared" ca="1" si="81"/>
        <v>1467.9587218163997</v>
      </c>
      <c r="V213" s="19">
        <f t="shared" ca="1" si="82"/>
        <v>0</v>
      </c>
      <c r="W213" s="82">
        <f t="shared" ca="1" si="83"/>
        <v>5232.8929007523147</v>
      </c>
      <c r="X213" s="19">
        <f t="shared" ca="1" si="84"/>
        <v>0</v>
      </c>
      <c r="Y213" s="19">
        <f t="shared" si="85"/>
        <v>0</v>
      </c>
      <c r="Z213" s="82">
        <f t="shared" ca="1" si="86"/>
        <v>5232.8929007523147</v>
      </c>
      <c r="AA213" s="19">
        <f t="shared" ca="1" si="87"/>
        <v>0</v>
      </c>
      <c r="AE213" s="19"/>
    </row>
    <row r="214" spans="1:31" ht="12.75" customHeight="1" x14ac:dyDescent="0.2">
      <c r="A214">
        <v>1</v>
      </c>
      <c r="B214">
        <v>2</v>
      </c>
      <c r="C214">
        <f t="shared" ca="1" si="66"/>
        <v>5</v>
      </c>
      <c r="D214">
        <f t="shared" ca="1" si="67"/>
        <v>4</v>
      </c>
      <c r="E214">
        <f t="shared" ca="1" si="68"/>
        <v>1</v>
      </c>
      <c r="F214" s="61">
        <f t="shared" ca="1" si="69"/>
        <v>1.9427113067519999E-2</v>
      </c>
      <c r="G214">
        <v>1</v>
      </c>
      <c r="H214">
        <v>1</v>
      </c>
      <c r="I214">
        <v>5</v>
      </c>
      <c r="J214" s="61">
        <f t="shared" ca="1" si="70"/>
        <v>0</v>
      </c>
      <c r="K214" s="61">
        <f t="shared" ca="1" si="71"/>
        <v>0</v>
      </c>
      <c r="L214" s="82">
        <f t="shared" ca="1" si="72"/>
        <v>377</v>
      </c>
      <c r="M214" s="16">
        <f t="shared" ca="1" si="73"/>
        <v>623</v>
      </c>
      <c r="N214" s="3">
        <f t="shared" ca="1" si="74"/>
        <v>4</v>
      </c>
      <c r="O214" s="19">
        <f t="shared" ca="1" si="75"/>
        <v>2.3453053758100548</v>
      </c>
      <c r="P214" s="19">
        <f t="shared" ca="1" si="76"/>
        <v>23.453053758100552</v>
      </c>
      <c r="Q214" s="19">
        <f t="shared" ca="1" si="77"/>
        <v>23.453053758100552</v>
      </c>
      <c r="R214" s="19">
        <f t="shared" ca="1" si="78"/>
        <v>2.3453053758100553</v>
      </c>
      <c r="S214" s="19">
        <f t="shared" ca="1" si="79"/>
        <v>2.3453053758100548</v>
      </c>
      <c r="T214" s="19">
        <f t="shared" ca="1" si="80"/>
        <v>0</v>
      </c>
      <c r="U214" s="19">
        <f t="shared" ca="1" si="81"/>
        <v>1456.9587218163997</v>
      </c>
      <c r="V214" s="19">
        <f t="shared" ca="1" si="82"/>
        <v>0</v>
      </c>
      <c r="W214" s="82">
        <f t="shared" ca="1" si="83"/>
        <v>4746.9876707175936</v>
      </c>
      <c r="X214" s="19">
        <f t="shared" ca="1" si="84"/>
        <v>0</v>
      </c>
      <c r="Y214" s="19">
        <f t="shared" si="85"/>
        <v>0</v>
      </c>
      <c r="Z214" s="82">
        <f t="shared" ca="1" si="86"/>
        <v>4746.9876707175936</v>
      </c>
      <c r="AA214" s="19">
        <f t="shared" ca="1" si="87"/>
        <v>0</v>
      </c>
      <c r="AE214" s="19"/>
    </row>
    <row r="215" spans="1:31" ht="12.75" customHeight="1" x14ac:dyDescent="0.2">
      <c r="A215">
        <v>1</v>
      </c>
      <c r="B215">
        <v>2</v>
      </c>
      <c r="C215">
        <f t="shared" ca="1" si="66"/>
        <v>5</v>
      </c>
      <c r="D215">
        <f t="shared" ca="1" si="67"/>
        <v>4</v>
      </c>
      <c r="E215">
        <f t="shared" ca="1" si="68"/>
        <v>1</v>
      </c>
      <c r="F215" s="61">
        <f t="shared" ca="1" si="69"/>
        <v>1.9427113067519999E-2</v>
      </c>
      <c r="G215">
        <v>1</v>
      </c>
      <c r="H215">
        <v>1</v>
      </c>
      <c r="I215">
        <v>4</v>
      </c>
      <c r="J215" s="61">
        <f t="shared" ca="1" si="70"/>
        <v>0</v>
      </c>
      <c r="K215" s="61">
        <f t="shared" ca="1" si="71"/>
        <v>0</v>
      </c>
      <c r="L215" s="82">
        <f t="shared" ca="1" si="72"/>
        <v>366</v>
      </c>
      <c r="M215" s="16">
        <f t="shared" ca="1" si="73"/>
        <v>634</v>
      </c>
      <c r="N215" s="3">
        <f t="shared" ca="1" si="74"/>
        <v>4</v>
      </c>
      <c r="O215" s="19">
        <f t="shared" ca="1" si="75"/>
        <v>2.3453053758100548</v>
      </c>
      <c r="P215" s="19">
        <f t="shared" ca="1" si="76"/>
        <v>23.453053758100552</v>
      </c>
      <c r="Q215" s="19">
        <f t="shared" ca="1" si="77"/>
        <v>23.453053758100552</v>
      </c>
      <c r="R215" s="19">
        <f t="shared" ca="1" si="78"/>
        <v>2.3453053758100553</v>
      </c>
      <c r="S215" s="19">
        <f t="shared" ca="1" si="79"/>
        <v>2.3453053758100548</v>
      </c>
      <c r="T215" s="19">
        <f t="shared" ca="1" si="80"/>
        <v>0</v>
      </c>
      <c r="U215" s="19">
        <f t="shared" ca="1" si="81"/>
        <v>1445.9587218163997</v>
      </c>
      <c r="V215" s="19">
        <f t="shared" ca="1" si="82"/>
        <v>0</v>
      </c>
      <c r="W215" s="82">
        <f t="shared" ca="1" si="83"/>
        <v>4261.0824406828706</v>
      </c>
      <c r="X215" s="19">
        <f t="shared" ca="1" si="84"/>
        <v>0</v>
      </c>
      <c r="Y215" s="19">
        <f t="shared" si="85"/>
        <v>0</v>
      </c>
      <c r="Z215" s="82">
        <f t="shared" ca="1" si="86"/>
        <v>4261.0824406828706</v>
      </c>
      <c r="AA215" s="19">
        <f t="shared" ca="1" si="87"/>
        <v>0</v>
      </c>
      <c r="AE215" s="19"/>
    </row>
    <row r="216" spans="1:31" ht="12.75" customHeight="1" x14ac:dyDescent="0.2">
      <c r="A216">
        <v>1</v>
      </c>
      <c r="B216">
        <v>2</v>
      </c>
      <c r="C216">
        <f t="shared" ca="1" si="66"/>
        <v>5</v>
      </c>
      <c r="D216">
        <f t="shared" ca="1" si="67"/>
        <v>4</v>
      </c>
      <c r="E216">
        <f t="shared" ca="1" si="68"/>
        <v>1</v>
      </c>
      <c r="F216" s="61">
        <f t="shared" ca="1" si="69"/>
        <v>1.9427113067519999E-2</v>
      </c>
      <c r="G216">
        <v>1</v>
      </c>
      <c r="H216">
        <v>1</v>
      </c>
      <c r="I216">
        <v>3</v>
      </c>
      <c r="J216" s="61">
        <f t="shared" ca="1" si="70"/>
        <v>0</v>
      </c>
      <c r="K216" s="61">
        <f t="shared" ca="1" si="71"/>
        <v>0</v>
      </c>
      <c r="L216" s="82">
        <f t="shared" ca="1" si="72"/>
        <v>355</v>
      </c>
      <c r="M216" s="16">
        <f t="shared" ca="1" si="73"/>
        <v>645</v>
      </c>
      <c r="N216" s="3">
        <f t="shared" ca="1" si="74"/>
        <v>4</v>
      </c>
      <c r="O216" s="19">
        <f t="shared" ca="1" si="75"/>
        <v>2.3453053758100548</v>
      </c>
      <c r="P216" s="19">
        <f t="shared" ca="1" si="76"/>
        <v>23.453053758100552</v>
      </c>
      <c r="Q216" s="19">
        <f t="shared" ca="1" si="77"/>
        <v>23.453053758100552</v>
      </c>
      <c r="R216" s="19">
        <f t="shared" ca="1" si="78"/>
        <v>2.3453053758100553</v>
      </c>
      <c r="S216" s="19">
        <f t="shared" ca="1" si="79"/>
        <v>2.3453053758100548</v>
      </c>
      <c r="T216" s="19">
        <f t="shared" ca="1" si="80"/>
        <v>0</v>
      </c>
      <c r="U216" s="19">
        <f t="shared" ca="1" si="81"/>
        <v>1434.9587218163997</v>
      </c>
      <c r="V216" s="19">
        <f t="shared" ca="1" si="82"/>
        <v>0</v>
      </c>
      <c r="W216" s="82">
        <f t="shared" ca="1" si="83"/>
        <v>3775.1772106481485</v>
      </c>
      <c r="X216" s="19">
        <f t="shared" ca="1" si="84"/>
        <v>0</v>
      </c>
      <c r="Y216" s="19">
        <f t="shared" si="85"/>
        <v>0</v>
      </c>
      <c r="Z216" s="82">
        <f t="shared" ca="1" si="86"/>
        <v>3775.1772106481485</v>
      </c>
      <c r="AA216" s="19">
        <f t="shared" ca="1" si="87"/>
        <v>0</v>
      </c>
      <c r="AE216" s="19"/>
    </row>
    <row r="217" spans="1:31" ht="12.75" customHeight="1" x14ac:dyDescent="0.2">
      <c r="A217">
        <v>1</v>
      </c>
      <c r="B217">
        <v>2</v>
      </c>
      <c r="C217">
        <f t="shared" ca="1" si="66"/>
        <v>5</v>
      </c>
      <c r="D217">
        <f t="shared" ca="1" si="67"/>
        <v>4</v>
      </c>
      <c r="E217">
        <f t="shared" ca="1" si="68"/>
        <v>1</v>
      </c>
      <c r="F217" s="61">
        <f t="shared" ca="1" si="69"/>
        <v>1.9427113067519999E-2</v>
      </c>
      <c r="G217">
        <v>1</v>
      </c>
      <c r="H217">
        <v>1</v>
      </c>
      <c r="I217">
        <v>2</v>
      </c>
      <c r="J217" s="61">
        <f t="shared" ca="1" si="70"/>
        <v>0</v>
      </c>
      <c r="K217" s="61">
        <f t="shared" ca="1" si="71"/>
        <v>0</v>
      </c>
      <c r="L217" s="82">
        <f t="shared" ca="1" si="72"/>
        <v>344</v>
      </c>
      <c r="M217" s="16">
        <f t="shared" ca="1" si="73"/>
        <v>656</v>
      </c>
      <c r="N217" s="3">
        <f t="shared" ca="1" si="74"/>
        <v>4</v>
      </c>
      <c r="O217" s="19">
        <f t="shared" ca="1" si="75"/>
        <v>2.3453053758100548</v>
      </c>
      <c r="P217" s="19">
        <f t="shared" ca="1" si="76"/>
        <v>23.453053758100552</v>
      </c>
      <c r="Q217" s="19">
        <f t="shared" ca="1" si="77"/>
        <v>23.453053758100552</v>
      </c>
      <c r="R217" s="19">
        <f t="shared" ca="1" si="78"/>
        <v>2.3453053758100553</v>
      </c>
      <c r="S217" s="19">
        <f t="shared" ca="1" si="79"/>
        <v>2.3453053758100548</v>
      </c>
      <c r="T217" s="19">
        <f t="shared" ca="1" si="80"/>
        <v>0</v>
      </c>
      <c r="U217" s="19">
        <f t="shared" ca="1" si="81"/>
        <v>1423.9587218163997</v>
      </c>
      <c r="V217" s="19">
        <f t="shared" ca="1" si="82"/>
        <v>0</v>
      </c>
      <c r="W217" s="82">
        <f t="shared" ca="1" si="83"/>
        <v>3289.2719806134264</v>
      </c>
      <c r="X217" s="19">
        <f t="shared" ca="1" si="84"/>
        <v>0</v>
      </c>
      <c r="Y217" s="19">
        <f t="shared" si="85"/>
        <v>0</v>
      </c>
      <c r="Z217" s="82">
        <f t="shared" ca="1" si="86"/>
        <v>3289.2719806134264</v>
      </c>
      <c r="AA217" s="19">
        <f t="shared" ca="1" si="87"/>
        <v>0</v>
      </c>
      <c r="AE217" s="19"/>
    </row>
    <row r="218" spans="1:31" ht="12.75" customHeight="1" x14ac:dyDescent="0.2">
      <c r="A218">
        <v>1</v>
      </c>
      <c r="B218">
        <v>2</v>
      </c>
      <c r="C218">
        <f t="shared" ca="1" si="66"/>
        <v>5</v>
      </c>
      <c r="D218">
        <f t="shared" ca="1" si="67"/>
        <v>4</v>
      </c>
      <c r="E218">
        <f t="shared" ca="1" si="68"/>
        <v>1</v>
      </c>
      <c r="F218" s="61">
        <f t="shared" ca="1" si="69"/>
        <v>1.9427113067519999E-2</v>
      </c>
      <c r="G218">
        <v>1</v>
      </c>
      <c r="H218">
        <v>1</v>
      </c>
      <c r="I218">
        <v>1</v>
      </c>
      <c r="J218" s="61">
        <f t="shared" ca="1" si="70"/>
        <v>0</v>
      </c>
      <c r="K218" s="61">
        <f t="shared" ca="1" si="71"/>
        <v>0</v>
      </c>
      <c r="L218" s="82">
        <f t="shared" ca="1" si="72"/>
        <v>333</v>
      </c>
      <c r="M218" s="16">
        <f t="shared" ca="1" si="73"/>
        <v>667</v>
      </c>
      <c r="N218" s="3">
        <f t="shared" ca="1" si="74"/>
        <v>4</v>
      </c>
      <c r="O218" s="19">
        <f t="shared" ca="1" si="75"/>
        <v>2.3453053758100548</v>
      </c>
      <c r="P218" s="19">
        <f t="shared" ca="1" si="76"/>
        <v>23.453053758100552</v>
      </c>
      <c r="Q218" s="19">
        <f t="shared" ca="1" si="77"/>
        <v>23.453053758100552</v>
      </c>
      <c r="R218" s="19">
        <f t="shared" ca="1" si="78"/>
        <v>2.3453053758100553</v>
      </c>
      <c r="S218" s="19">
        <f t="shared" ca="1" si="79"/>
        <v>2.3453053758100548</v>
      </c>
      <c r="T218" s="19">
        <f t="shared" ca="1" si="80"/>
        <v>0</v>
      </c>
      <c r="U218" s="19">
        <f t="shared" ca="1" si="81"/>
        <v>1412.9587218163997</v>
      </c>
      <c r="V218" s="19">
        <f t="shared" ca="1" si="82"/>
        <v>0</v>
      </c>
      <c r="W218" s="82">
        <f t="shared" ca="1" si="83"/>
        <v>2803.3667505787039</v>
      </c>
      <c r="X218" s="19">
        <f t="shared" ca="1" si="84"/>
        <v>0</v>
      </c>
      <c r="Y218" s="19">
        <f t="shared" si="85"/>
        <v>0</v>
      </c>
      <c r="Z218" s="82">
        <f t="shared" ca="1" si="86"/>
        <v>2803.3667505787039</v>
      </c>
      <c r="AA218" s="19">
        <f t="shared" ca="1" si="87"/>
        <v>0</v>
      </c>
      <c r="AE218" s="19"/>
    </row>
    <row r="219" spans="1:31" ht="12.75" customHeight="1" x14ac:dyDescent="0.2">
      <c r="A219">
        <v>1</v>
      </c>
      <c r="B219">
        <v>2</v>
      </c>
      <c r="C219">
        <f t="shared" ca="1" si="66"/>
        <v>5</v>
      </c>
      <c r="D219">
        <f t="shared" ca="1" si="67"/>
        <v>4</v>
      </c>
      <c r="E219">
        <f t="shared" ca="1" si="68"/>
        <v>1</v>
      </c>
      <c r="F219" s="61">
        <f t="shared" ca="1" si="69"/>
        <v>1.9427113067519999E-2</v>
      </c>
      <c r="G219">
        <v>1</v>
      </c>
      <c r="H219">
        <v>1</v>
      </c>
      <c r="I219">
        <v>0</v>
      </c>
      <c r="J219" s="61">
        <f t="shared" ca="1" si="70"/>
        <v>0</v>
      </c>
      <c r="K219" s="61">
        <f t="shared" ca="1" si="71"/>
        <v>0</v>
      </c>
      <c r="L219" s="82">
        <f t="shared" ca="1" si="72"/>
        <v>322</v>
      </c>
      <c r="M219" s="16">
        <f t="shared" ca="1" si="73"/>
        <v>678</v>
      </c>
      <c r="N219" s="3">
        <f t="shared" ca="1" si="74"/>
        <v>4</v>
      </c>
      <c r="O219" s="19">
        <f t="shared" ca="1" si="75"/>
        <v>2.3453053758100548</v>
      </c>
      <c r="P219" s="19">
        <f t="shared" ca="1" si="76"/>
        <v>23.453053758100552</v>
      </c>
      <c r="Q219" s="19">
        <f t="shared" ca="1" si="77"/>
        <v>23.453053758100552</v>
      </c>
      <c r="R219" s="19">
        <f t="shared" ca="1" si="78"/>
        <v>2.3453053758100553</v>
      </c>
      <c r="S219" s="19">
        <f t="shared" ca="1" si="79"/>
        <v>2.3453053758100548</v>
      </c>
      <c r="T219" s="19">
        <f t="shared" ca="1" si="80"/>
        <v>0</v>
      </c>
      <c r="U219" s="19">
        <f t="shared" ca="1" si="81"/>
        <v>1401.9587218163997</v>
      </c>
      <c r="V219" s="19">
        <f t="shared" ca="1" si="82"/>
        <v>0</v>
      </c>
      <c r="W219" s="82">
        <f t="shared" ca="1" si="83"/>
        <v>2317.4615205439818</v>
      </c>
      <c r="X219" s="19">
        <f t="shared" ca="1" si="84"/>
        <v>0</v>
      </c>
      <c r="Y219" s="19">
        <f t="shared" si="85"/>
        <v>0</v>
      </c>
      <c r="Z219" s="82">
        <f t="shared" ca="1" si="86"/>
        <v>2317.4615205439818</v>
      </c>
      <c r="AA219" s="19">
        <f t="shared" ca="1" si="87"/>
        <v>0</v>
      </c>
      <c r="AE219" s="19"/>
    </row>
    <row r="220" spans="1:31" ht="12.75" customHeight="1" x14ac:dyDescent="0.2">
      <c r="A220">
        <v>1</v>
      </c>
      <c r="B220">
        <v>2</v>
      </c>
      <c r="C220">
        <f t="shared" ca="1" si="66"/>
        <v>5</v>
      </c>
      <c r="D220">
        <f t="shared" ca="1" si="67"/>
        <v>4</v>
      </c>
      <c r="E220">
        <f t="shared" ca="1" si="68"/>
        <v>1</v>
      </c>
      <c r="F220" s="61">
        <f t="shared" ca="1" si="69"/>
        <v>1.9427113067519999E-2</v>
      </c>
      <c r="G220">
        <v>1</v>
      </c>
      <c r="H220">
        <v>0</v>
      </c>
      <c r="I220">
        <v>7</v>
      </c>
      <c r="J220" s="61">
        <f t="shared" ca="1" si="70"/>
        <v>0</v>
      </c>
      <c r="K220" s="61">
        <f t="shared" ca="1" si="71"/>
        <v>0</v>
      </c>
      <c r="L220" s="82">
        <f t="shared" ca="1" si="72"/>
        <v>238</v>
      </c>
      <c r="M220" s="16">
        <f t="shared" ca="1" si="73"/>
        <v>762</v>
      </c>
      <c r="N220" s="3">
        <f t="shared" ca="1" si="74"/>
        <v>5</v>
      </c>
      <c r="O220" s="19">
        <f t="shared" ca="1" si="75"/>
        <v>2.8178718937399587</v>
      </c>
      <c r="P220" s="19">
        <f t="shared" ca="1" si="76"/>
        <v>25.815886347750073</v>
      </c>
      <c r="Q220" s="19">
        <f t="shared" ca="1" si="77"/>
        <v>23.453053758100552</v>
      </c>
      <c r="R220" s="19">
        <f t="shared" ca="1" si="78"/>
        <v>2.4634470052925312</v>
      </c>
      <c r="S220" s="19">
        <f t="shared" ca="1" si="79"/>
        <v>2.8178718937399587</v>
      </c>
      <c r="T220" s="19">
        <f t="shared" ca="1" si="80"/>
        <v>0</v>
      </c>
      <c r="U220" s="19">
        <f t="shared" ca="1" si="81"/>
        <v>1497.3251747165598</v>
      </c>
      <c r="V220" s="19">
        <f t="shared" ca="1" si="82"/>
        <v>0</v>
      </c>
      <c r="W220" s="82">
        <f t="shared" ca="1" si="83"/>
        <v>5718.7981307870377</v>
      </c>
      <c r="X220" s="19">
        <f t="shared" ca="1" si="84"/>
        <v>0</v>
      </c>
      <c r="Y220" s="19">
        <f t="shared" si="85"/>
        <v>0</v>
      </c>
      <c r="Z220" s="82">
        <f t="shared" ca="1" si="86"/>
        <v>5718.7981307870377</v>
      </c>
      <c r="AA220" s="19">
        <f t="shared" ca="1" si="87"/>
        <v>0</v>
      </c>
      <c r="AE220" s="19"/>
    </row>
    <row r="221" spans="1:31" ht="12.75" customHeight="1" x14ac:dyDescent="0.2">
      <c r="A221">
        <v>1</v>
      </c>
      <c r="B221">
        <v>2</v>
      </c>
      <c r="C221">
        <f t="shared" ca="1" si="66"/>
        <v>5</v>
      </c>
      <c r="D221">
        <f t="shared" ca="1" si="67"/>
        <v>4</v>
      </c>
      <c r="E221">
        <f t="shared" ca="1" si="68"/>
        <v>1</v>
      </c>
      <c r="F221" s="61">
        <f t="shared" ca="1" si="69"/>
        <v>1.9427113067519999E-2</v>
      </c>
      <c r="G221">
        <v>1</v>
      </c>
      <c r="H221">
        <v>0</v>
      </c>
      <c r="I221">
        <v>6</v>
      </c>
      <c r="J221" s="61">
        <f t="shared" ca="1" si="70"/>
        <v>0</v>
      </c>
      <c r="K221" s="61">
        <f t="shared" ca="1" si="71"/>
        <v>0</v>
      </c>
      <c r="L221" s="82">
        <f t="shared" ca="1" si="72"/>
        <v>227</v>
      </c>
      <c r="M221" s="16">
        <f t="shared" ca="1" si="73"/>
        <v>773</v>
      </c>
      <c r="N221" s="3">
        <f t="shared" ca="1" si="74"/>
        <v>5</v>
      </c>
      <c r="O221" s="19">
        <f t="shared" ca="1" si="75"/>
        <v>2.8178718937399587</v>
      </c>
      <c r="P221" s="19">
        <f t="shared" ca="1" si="76"/>
        <v>28.178718937399587</v>
      </c>
      <c r="Q221" s="19">
        <f t="shared" ca="1" si="77"/>
        <v>26.288452865679979</v>
      </c>
      <c r="R221" s="19">
        <f t="shared" ca="1" si="78"/>
        <v>2.7233585901539783</v>
      </c>
      <c r="S221" s="19">
        <f t="shared" ca="1" si="79"/>
        <v>2.8178718937399587</v>
      </c>
      <c r="T221" s="19">
        <f t="shared" ca="1" si="80"/>
        <v>0</v>
      </c>
      <c r="U221" s="19">
        <f t="shared" ca="1" si="81"/>
        <v>1486.3251747165598</v>
      </c>
      <c r="V221" s="19">
        <f t="shared" ca="1" si="82"/>
        <v>0</v>
      </c>
      <c r="W221" s="82">
        <f t="shared" ca="1" si="83"/>
        <v>5232.8929007523147</v>
      </c>
      <c r="X221" s="19">
        <f t="shared" ca="1" si="84"/>
        <v>0</v>
      </c>
      <c r="Y221" s="19">
        <f t="shared" si="85"/>
        <v>0</v>
      </c>
      <c r="Z221" s="82">
        <f t="shared" ca="1" si="86"/>
        <v>5232.8929007523147</v>
      </c>
      <c r="AA221" s="19">
        <f t="shared" ca="1" si="87"/>
        <v>0</v>
      </c>
      <c r="AE221" s="19"/>
    </row>
    <row r="222" spans="1:31" ht="12.75" customHeight="1" x14ac:dyDescent="0.2">
      <c r="A222">
        <v>1</v>
      </c>
      <c r="B222">
        <v>2</v>
      </c>
      <c r="C222">
        <f t="shared" ca="1" si="66"/>
        <v>5</v>
      </c>
      <c r="D222">
        <f t="shared" ca="1" si="67"/>
        <v>4</v>
      </c>
      <c r="E222">
        <f t="shared" ca="1" si="68"/>
        <v>1</v>
      </c>
      <c r="F222" s="61">
        <f t="shared" ca="1" si="69"/>
        <v>1.9427113067519999E-2</v>
      </c>
      <c r="G222">
        <v>1</v>
      </c>
      <c r="H222">
        <v>0</v>
      </c>
      <c r="I222">
        <v>5</v>
      </c>
      <c r="J222" s="61">
        <f t="shared" ca="1" si="70"/>
        <v>0</v>
      </c>
      <c r="K222" s="61">
        <f t="shared" ca="1" si="71"/>
        <v>0</v>
      </c>
      <c r="L222" s="82">
        <f t="shared" ca="1" si="72"/>
        <v>216</v>
      </c>
      <c r="M222" s="16">
        <f t="shared" ca="1" si="73"/>
        <v>784</v>
      </c>
      <c r="N222" s="3">
        <f t="shared" ca="1" si="74"/>
        <v>5</v>
      </c>
      <c r="O222" s="19">
        <f t="shared" ca="1" si="75"/>
        <v>2.8178718937399587</v>
      </c>
      <c r="P222" s="19">
        <f t="shared" ca="1" si="76"/>
        <v>28.178718937399587</v>
      </c>
      <c r="Q222" s="19">
        <f t="shared" ca="1" si="77"/>
        <v>28.178718937399587</v>
      </c>
      <c r="R222" s="19">
        <f t="shared" ca="1" si="78"/>
        <v>2.8178718937399587</v>
      </c>
      <c r="S222" s="19">
        <f t="shared" ca="1" si="79"/>
        <v>2.8178718937399587</v>
      </c>
      <c r="T222" s="19">
        <f t="shared" ca="1" si="80"/>
        <v>0</v>
      </c>
      <c r="U222" s="19">
        <f t="shared" ca="1" si="81"/>
        <v>1475.3251747165598</v>
      </c>
      <c r="V222" s="19">
        <f t="shared" ca="1" si="82"/>
        <v>0</v>
      </c>
      <c r="W222" s="82">
        <f t="shared" ca="1" si="83"/>
        <v>4746.9876707175936</v>
      </c>
      <c r="X222" s="19">
        <f t="shared" ca="1" si="84"/>
        <v>0</v>
      </c>
      <c r="Y222" s="19">
        <f t="shared" si="85"/>
        <v>0</v>
      </c>
      <c r="Z222" s="82">
        <f t="shared" ca="1" si="86"/>
        <v>4746.9876707175936</v>
      </c>
      <c r="AA222" s="19">
        <f t="shared" ca="1" si="87"/>
        <v>0</v>
      </c>
      <c r="AE222" s="19"/>
    </row>
    <row r="223" spans="1:31" ht="12.75" customHeight="1" x14ac:dyDescent="0.2">
      <c r="A223">
        <v>1</v>
      </c>
      <c r="B223">
        <v>2</v>
      </c>
      <c r="C223">
        <f t="shared" ca="1" si="66"/>
        <v>5</v>
      </c>
      <c r="D223">
        <f t="shared" ca="1" si="67"/>
        <v>4</v>
      </c>
      <c r="E223">
        <f t="shared" ca="1" si="68"/>
        <v>1</v>
      </c>
      <c r="F223" s="61">
        <f t="shared" ca="1" si="69"/>
        <v>1.9427113067519999E-2</v>
      </c>
      <c r="G223">
        <v>1</v>
      </c>
      <c r="H223">
        <v>0</v>
      </c>
      <c r="I223">
        <v>4</v>
      </c>
      <c r="J223" s="61">
        <f t="shared" ca="1" si="70"/>
        <v>0.77378093749999999</v>
      </c>
      <c r="K223" s="61">
        <f t="shared" ca="1" si="71"/>
        <v>1.5032329762304125E-2</v>
      </c>
      <c r="L223" s="82">
        <f t="shared" ca="1" si="72"/>
        <v>205</v>
      </c>
      <c r="M223" s="16">
        <f t="shared" ca="1" si="73"/>
        <v>795</v>
      </c>
      <c r="N223" s="3">
        <f t="shared" ca="1" si="74"/>
        <v>5</v>
      </c>
      <c r="O223" s="19">
        <f t="shared" ca="1" si="75"/>
        <v>2.8178718937399587</v>
      </c>
      <c r="P223" s="19">
        <f t="shared" ca="1" si="76"/>
        <v>28.178718937399587</v>
      </c>
      <c r="Q223" s="19">
        <f t="shared" ca="1" si="77"/>
        <v>28.178718937399587</v>
      </c>
      <c r="R223" s="19">
        <f t="shared" ca="1" si="78"/>
        <v>2.8178718937399587</v>
      </c>
      <c r="S223" s="19">
        <f t="shared" ca="1" si="79"/>
        <v>2.8178718937399587</v>
      </c>
      <c r="T223" s="19">
        <f t="shared" ca="1" si="80"/>
        <v>4.2359179534627471E-2</v>
      </c>
      <c r="U223" s="19">
        <f t="shared" ca="1" si="81"/>
        <v>1464.3251747165598</v>
      </c>
      <c r="V223" s="19">
        <f t="shared" ca="1" si="82"/>
        <v>22.01221890558293</v>
      </c>
      <c r="W223" s="82">
        <f t="shared" ca="1" si="83"/>
        <v>4261.0824406828706</v>
      </c>
      <c r="X223" s="19">
        <f t="shared" ca="1" si="84"/>
        <v>64.053996392708612</v>
      </c>
      <c r="Y223" s="19">
        <f t="shared" si="85"/>
        <v>0</v>
      </c>
      <c r="Z223" s="82">
        <f t="shared" ca="1" si="86"/>
        <v>4261.0824406828706</v>
      </c>
      <c r="AA223" s="19">
        <f t="shared" ca="1" si="87"/>
        <v>64.053996392708612</v>
      </c>
      <c r="AE223" s="19"/>
    </row>
    <row r="224" spans="1:31" ht="12.75" customHeight="1" x14ac:dyDescent="0.2">
      <c r="A224">
        <v>1</v>
      </c>
      <c r="B224">
        <v>2</v>
      </c>
      <c r="C224">
        <f t="shared" ca="1" si="66"/>
        <v>5</v>
      </c>
      <c r="D224">
        <f t="shared" ca="1" si="67"/>
        <v>4</v>
      </c>
      <c r="E224">
        <f t="shared" ca="1" si="68"/>
        <v>1</v>
      </c>
      <c r="F224" s="61">
        <f t="shared" ca="1" si="69"/>
        <v>1.9427113067519999E-2</v>
      </c>
      <c r="G224">
        <v>1</v>
      </c>
      <c r="H224">
        <v>0</v>
      </c>
      <c r="I224">
        <v>3</v>
      </c>
      <c r="J224" s="61">
        <f t="shared" ca="1" si="70"/>
        <v>0.16290125000000011</v>
      </c>
      <c r="K224" s="61">
        <f t="shared" ca="1" si="71"/>
        <v>3.1647010025903444E-3</v>
      </c>
      <c r="L224" s="82">
        <f t="shared" ca="1" si="72"/>
        <v>194</v>
      </c>
      <c r="M224" s="16">
        <f t="shared" ca="1" si="73"/>
        <v>806</v>
      </c>
      <c r="N224" s="3">
        <f t="shared" ca="1" si="74"/>
        <v>5</v>
      </c>
      <c r="O224" s="19">
        <f t="shared" ca="1" si="75"/>
        <v>2.8178718937399587</v>
      </c>
      <c r="P224" s="19">
        <f t="shared" ca="1" si="76"/>
        <v>28.178718937399587</v>
      </c>
      <c r="Q224" s="19">
        <f t="shared" ca="1" si="77"/>
        <v>28.178718937399587</v>
      </c>
      <c r="R224" s="19">
        <f t="shared" ca="1" si="78"/>
        <v>2.8178718937399587</v>
      </c>
      <c r="S224" s="19">
        <f t="shared" ca="1" si="79"/>
        <v>2.8178718937399587</v>
      </c>
      <c r="T224" s="19">
        <f t="shared" ca="1" si="80"/>
        <v>8.9177220072899997E-3</v>
      </c>
      <c r="U224" s="19">
        <f t="shared" ca="1" si="81"/>
        <v>1453.3251747165598</v>
      </c>
      <c r="V224" s="19">
        <f t="shared" ca="1" si="82"/>
        <v>4.5993396375152846</v>
      </c>
      <c r="W224" s="82">
        <f t="shared" ca="1" si="83"/>
        <v>3775.1772106481485</v>
      </c>
      <c r="X224" s="19">
        <f t="shared" ca="1" si="84"/>
        <v>11.947307103494415</v>
      </c>
      <c r="Y224" s="19">
        <f t="shared" si="85"/>
        <v>0</v>
      </c>
      <c r="Z224" s="82">
        <f t="shared" ca="1" si="86"/>
        <v>3775.1772106481485</v>
      </c>
      <c r="AA224" s="19">
        <f t="shared" ca="1" si="87"/>
        <v>11.947307103494415</v>
      </c>
      <c r="AE224" s="19"/>
    </row>
    <row r="225" spans="1:31" ht="12.75" customHeight="1" x14ac:dyDescent="0.2">
      <c r="A225">
        <v>1</v>
      </c>
      <c r="B225">
        <v>2</v>
      </c>
      <c r="C225">
        <f t="shared" ca="1" si="66"/>
        <v>5</v>
      </c>
      <c r="D225">
        <f t="shared" ca="1" si="67"/>
        <v>4</v>
      </c>
      <c r="E225">
        <f t="shared" ca="1" si="68"/>
        <v>1</v>
      </c>
      <c r="F225" s="61">
        <f t="shared" ca="1" si="69"/>
        <v>1.9427113067519999E-2</v>
      </c>
      <c r="G225">
        <v>1</v>
      </c>
      <c r="H225">
        <v>0</v>
      </c>
      <c r="I225">
        <v>2</v>
      </c>
      <c r="J225" s="61">
        <f t="shared" ca="1" si="70"/>
        <v>1.2860625000000021E-2</v>
      </c>
      <c r="K225" s="61">
        <f t="shared" ca="1" si="71"/>
        <v>2.498448159939748E-4</v>
      </c>
      <c r="L225" s="82">
        <f t="shared" ca="1" si="72"/>
        <v>183</v>
      </c>
      <c r="M225" s="16">
        <f t="shared" ca="1" si="73"/>
        <v>817</v>
      </c>
      <c r="N225" s="3">
        <f t="shared" ca="1" si="74"/>
        <v>5</v>
      </c>
      <c r="O225" s="19">
        <f t="shared" ca="1" si="75"/>
        <v>2.8178718937399587</v>
      </c>
      <c r="P225" s="19">
        <f t="shared" ca="1" si="76"/>
        <v>28.178718937399587</v>
      </c>
      <c r="Q225" s="19">
        <f t="shared" ca="1" si="77"/>
        <v>28.178718937399587</v>
      </c>
      <c r="R225" s="19">
        <f t="shared" ca="1" si="78"/>
        <v>2.8178718937399587</v>
      </c>
      <c r="S225" s="19">
        <f t="shared" ca="1" si="79"/>
        <v>2.8178718937399587</v>
      </c>
      <c r="T225" s="19">
        <f t="shared" ca="1" si="80"/>
        <v>7.0403068478605329E-4</v>
      </c>
      <c r="U225" s="19">
        <f t="shared" ca="1" si="81"/>
        <v>1442.3251747165598</v>
      </c>
      <c r="V225" s="19">
        <f t="shared" ca="1" si="82"/>
        <v>0.36035746788053641</v>
      </c>
      <c r="W225" s="82">
        <f t="shared" ca="1" si="83"/>
        <v>3289.2719806134264</v>
      </c>
      <c r="X225" s="19">
        <f t="shared" ca="1" si="84"/>
        <v>0.82180755275049855</v>
      </c>
      <c r="Y225" s="19">
        <f t="shared" si="85"/>
        <v>0</v>
      </c>
      <c r="Z225" s="82">
        <f t="shared" ca="1" si="86"/>
        <v>3289.2719806134264</v>
      </c>
      <c r="AA225" s="19">
        <f t="shared" ca="1" si="87"/>
        <v>0.82180755275049855</v>
      </c>
      <c r="AE225" s="19"/>
    </row>
    <row r="226" spans="1:31" ht="12.75" customHeight="1" x14ac:dyDescent="0.2">
      <c r="A226">
        <v>1</v>
      </c>
      <c r="B226">
        <v>2</v>
      </c>
      <c r="C226">
        <f t="shared" ca="1" si="66"/>
        <v>5</v>
      </c>
      <c r="D226">
        <f t="shared" ca="1" si="67"/>
        <v>4</v>
      </c>
      <c r="E226">
        <f t="shared" ca="1" si="68"/>
        <v>1</v>
      </c>
      <c r="F226" s="61">
        <f t="shared" ca="1" si="69"/>
        <v>1.9427113067519999E-2</v>
      </c>
      <c r="G226">
        <v>1</v>
      </c>
      <c r="H226">
        <v>0</v>
      </c>
      <c r="I226">
        <v>1</v>
      </c>
      <c r="J226" s="61">
        <f t="shared" ca="1" si="70"/>
        <v>4.5125000000000118E-4</v>
      </c>
      <c r="K226" s="61">
        <f t="shared" ca="1" si="71"/>
        <v>8.7664847717184226E-6</v>
      </c>
      <c r="L226" s="82">
        <f t="shared" ca="1" si="72"/>
        <v>172</v>
      </c>
      <c r="M226" s="16">
        <f t="shared" ca="1" si="73"/>
        <v>828</v>
      </c>
      <c r="N226" s="3">
        <f t="shared" ca="1" si="74"/>
        <v>5</v>
      </c>
      <c r="O226" s="19">
        <f t="shared" ca="1" si="75"/>
        <v>2.8178718937399587</v>
      </c>
      <c r="P226" s="19">
        <f t="shared" ca="1" si="76"/>
        <v>28.178718937399587</v>
      </c>
      <c r="Q226" s="19">
        <f t="shared" ca="1" si="77"/>
        <v>28.178718937399587</v>
      </c>
      <c r="R226" s="19">
        <f t="shared" ca="1" si="78"/>
        <v>2.8178718937399587</v>
      </c>
      <c r="S226" s="19">
        <f t="shared" ca="1" si="79"/>
        <v>2.8178718937399587</v>
      </c>
      <c r="T226" s="19">
        <f t="shared" ca="1" si="80"/>
        <v>2.4702831045124703E-5</v>
      </c>
      <c r="U226" s="19">
        <f t="shared" ca="1" si="81"/>
        <v>1431.3251747165598</v>
      </c>
      <c r="V226" s="19">
        <f t="shared" ca="1" si="82"/>
        <v>1.2547690347529932E-2</v>
      </c>
      <c r="W226" s="82">
        <f t="shared" ca="1" si="83"/>
        <v>2803.3667505787039</v>
      </c>
      <c r="X226" s="19">
        <f t="shared" ca="1" si="84"/>
        <v>2.4575671928489966E-2</v>
      </c>
      <c r="Y226" s="19">
        <f t="shared" si="85"/>
        <v>0</v>
      </c>
      <c r="Z226" s="82">
        <f t="shared" ca="1" si="86"/>
        <v>2803.3667505787039</v>
      </c>
      <c r="AA226" s="19">
        <f t="shared" ca="1" si="87"/>
        <v>2.4575671928489966E-2</v>
      </c>
      <c r="AE226" s="19"/>
    </row>
    <row r="227" spans="1:31" ht="12.75" customHeight="1" x14ac:dyDescent="0.2">
      <c r="A227">
        <v>1</v>
      </c>
      <c r="B227">
        <v>2</v>
      </c>
      <c r="C227">
        <f t="shared" ca="1" si="66"/>
        <v>5</v>
      </c>
      <c r="D227">
        <f t="shared" ca="1" si="67"/>
        <v>4</v>
      </c>
      <c r="E227">
        <f t="shared" ca="1" si="68"/>
        <v>1</v>
      </c>
      <c r="F227" s="61">
        <f t="shared" ca="1" si="69"/>
        <v>1.9427113067519999E-2</v>
      </c>
      <c r="G227">
        <v>1</v>
      </c>
      <c r="H227">
        <v>0</v>
      </c>
      <c r="I227">
        <v>0</v>
      </c>
      <c r="J227" s="61">
        <f t="shared" ca="1" si="70"/>
        <v>5.9375000000000207E-6</v>
      </c>
      <c r="K227" s="61">
        <f t="shared" ca="1" si="71"/>
        <v>1.153484838384004E-7</v>
      </c>
      <c r="L227" s="82">
        <f t="shared" ca="1" si="72"/>
        <v>161</v>
      </c>
      <c r="M227" s="16">
        <f t="shared" ca="1" si="73"/>
        <v>839</v>
      </c>
      <c r="N227" s="3">
        <f t="shared" ca="1" si="74"/>
        <v>5</v>
      </c>
      <c r="O227" s="19">
        <f t="shared" ca="1" si="75"/>
        <v>2.8178718937399587</v>
      </c>
      <c r="P227" s="19">
        <f t="shared" ca="1" si="76"/>
        <v>28.178718937399587</v>
      </c>
      <c r="Q227" s="19">
        <f t="shared" ca="1" si="77"/>
        <v>28.178718937399587</v>
      </c>
      <c r="R227" s="19">
        <f t="shared" ca="1" si="78"/>
        <v>2.8178718937399587</v>
      </c>
      <c r="S227" s="19">
        <f t="shared" ca="1" si="79"/>
        <v>2.8178718937399587</v>
      </c>
      <c r="T227" s="19">
        <f t="shared" ca="1" si="80"/>
        <v>3.2503725059374636E-7</v>
      </c>
      <c r="U227" s="19">
        <f t="shared" ca="1" si="81"/>
        <v>1420.3251747165598</v>
      </c>
      <c r="V227" s="19">
        <f t="shared" ca="1" si="82"/>
        <v>1.6383235546106633E-4</v>
      </c>
      <c r="W227" s="82">
        <f t="shared" ca="1" si="83"/>
        <v>2317.4615205439818</v>
      </c>
      <c r="X227" s="19">
        <f t="shared" ca="1" si="84"/>
        <v>2.6731567274858228E-4</v>
      </c>
      <c r="Y227" s="19">
        <f t="shared" si="85"/>
        <v>0</v>
      </c>
      <c r="Z227" s="82">
        <f t="shared" ca="1" si="86"/>
        <v>2317.4615205439818</v>
      </c>
      <c r="AA227" s="19">
        <f t="shared" ca="1" si="87"/>
        <v>2.6731567274858228E-4</v>
      </c>
      <c r="AE227" s="19"/>
    </row>
    <row r="228" spans="1:31" ht="12.75" customHeight="1" x14ac:dyDescent="0.2">
      <c r="A228">
        <v>1</v>
      </c>
      <c r="B228">
        <v>2</v>
      </c>
      <c r="C228">
        <f t="shared" ca="1" si="66"/>
        <v>5</v>
      </c>
      <c r="D228">
        <f t="shared" ca="1" si="67"/>
        <v>4</v>
      </c>
      <c r="E228">
        <f t="shared" ca="1" si="68"/>
        <v>1</v>
      </c>
      <c r="F228" s="61">
        <f t="shared" ca="1" si="69"/>
        <v>1.9427113067519999E-2</v>
      </c>
      <c r="G228">
        <v>0</v>
      </c>
      <c r="H228">
        <v>1</v>
      </c>
      <c r="I228">
        <v>7</v>
      </c>
      <c r="J228" s="61">
        <f t="shared" ca="1" si="70"/>
        <v>0</v>
      </c>
      <c r="K228" s="61">
        <f t="shared" ca="1" si="71"/>
        <v>0</v>
      </c>
      <c r="L228" s="82">
        <f t="shared" ca="1" si="72"/>
        <v>238</v>
      </c>
      <c r="M228" s="16">
        <f t="shared" ca="1" si="73"/>
        <v>762</v>
      </c>
      <c r="N228" s="3">
        <f t="shared" ca="1" si="74"/>
        <v>5</v>
      </c>
      <c r="O228" s="19">
        <f t="shared" ca="1" si="75"/>
        <v>2.8178718937399587</v>
      </c>
      <c r="P228" s="19">
        <f t="shared" ca="1" si="76"/>
        <v>25.815886347750073</v>
      </c>
      <c r="Q228" s="19">
        <f t="shared" ca="1" si="77"/>
        <v>23.453053758100552</v>
      </c>
      <c r="R228" s="19">
        <f t="shared" ca="1" si="78"/>
        <v>2.4634470052925312</v>
      </c>
      <c r="S228" s="19">
        <f t="shared" ca="1" si="79"/>
        <v>2.8178718937399587</v>
      </c>
      <c r="T228" s="19">
        <f t="shared" ca="1" si="80"/>
        <v>0</v>
      </c>
      <c r="U228" s="19">
        <f t="shared" ca="1" si="81"/>
        <v>1497.3251747165598</v>
      </c>
      <c r="V228" s="19">
        <f t="shared" ca="1" si="82"/>
        <v>0</v>
      </c>
      <c r="W228" s="82">
        <f t="shared" ca="1" si="83"/>
        <v>3401.3366102430559</v>
      </c>
      <c r="X228" s="19">
        <f t="shared" ca="1" si="84"/>
        <v>0</v>
      </c>
      <c r="Y228" s="19">
        <f t="shared" si="85"/>
        <v>0</v>
      </c>
      <c r="Z228" s="82">
        <f t="shared" ca="1" si="86"/>
        <v>3401.3366102430559</v>
      </c>
      <c r="AA228" s="19">
        <f t="shared" ca="1" si="87"/>
        <v>0</v>
      </c>
      <c r="AE228" s="19"/>
    </row>
    <row r="229" spans="1:31" ht="12.75" customHeight="1" x14ac:dyDescent="0.2">
      <c r="A229">
        <v>1</v>
      </c>
      <c r="B229">
        <v>2</v>
      </c>
      <c r="C229">
        <f t="shared" ca="1" si="66"/>
        <v>5</v>
      </c>
      <c r="D229">
        <f t="shared" ca="1" si="67"/>
        <v>4</v>
      </c>
      <c r="E229">
        <f t="shared" ca="1" si="68"/>
        <v>1</v>
      </c>
      <c r="F229" s="61">
        <f t="shared" ca="1" si="69"/>
        <v>1.9427113067519999E-2</v>
      </c>
      <c r="G229">
        <v>0</v>
      </c>
      <c r="H229">
        <v>1</v>
      </c>
      <c r="I229">
        <v>6</v>
      </c>
      <c r="J229" s="61">
        <f t="shared" ca="1" si="70"/>
        <v>0</v>
      </c>
      <c r="K229" s="61">
        <f t="shared" ca="1" si="71"/>
        <v>0</v>
      </c>
      <c r="L229" s="82">
        <f t="shared" ca="1" si="72"/>
        <v>227</v>
      </c>
      <c r="M229" s="16">
        <f t="shared" ca="1" si="73"/>
        <v>773</v>
      </c>
      <c r="N229" s="3">
        <f t="shared" ca="1" si="74"/>
        <v>5</v>
      </c>
      <c r="O229" s="19">
        <f t="shared" ca="1" si="75"/>
        <v>2.8178718937399587</v>
      </c>
      <c r="P229" s="19">
        <f t="shared" ca="1" si="76"/>
        <v>28.178718937399587</v>
      </c>
      <c r="Q229" s="19">
        <f t="shared" ca="1" si="77"/>
        <v>26.288452865679979</v>
      </c>
      <c r="R229" s="19">
        <f t="shared" ca="1" si="78"/>
        <v>2.7233585901539783</v>
      </c>
      <c r="S229" s="19">
        <f t="shared" ca="1" si="79"/>
        <v>2.8178718937399587</v>
      </c>
      <c r="T229" s="19">
        <f t="shared" ca="1" si="80"/>
        <v>0</v>
      </c>
      <c r="U229" s="19">
        <f t="shared" ca="1" si="81"/>
        <v>1486.3251747165598</v>
      </c>
      <c r="V229" s="19">
        <f t="shared" ca="1" si="82"/>
        <v>0</v>
      </c>
      <c r="W229" s="82">
        <f t="shared" ca="1" si="83"/>
        <v>2915.4313802083334</v>
      </c>
      <c r="X229" s="19">
        <f t="shared" ca="1" si="84"/>
        <v>0</v>
      </c>
      <c r="Y229" s="19">
        <f t="shared" si="85"/>
        <v>0</v>
      </c>
      <c r="Z229" s="82">
        <f t="shared" ca="1" si="86"/>
        <v>2915.4313802083334</v>
      </c>
      <c r="AA229" s="19">
        <f t="shared" ca="1" si="87"/>
        <v>0</v>
      </c>
      <c r="AE229" s="19"/>
    </row>
    <row r="230" spans="1:31" ht="12.75" customHeight="1" x14ac:dyDescent="0.2">
      <c r="A230">
        <v>1</v>
      </c>
      <c r="B230">
        <v>2</v>
      </c>
      <c r="C230">
        <f t="shared" ca="1" si="66"/>
        <v>5</v>
      </c>
      <c r="D230">
        <f t="shared" ca="1" si="67"/>
        <v>4</v>
      </c>
      <c r="E230">
        <f t="shared" ca="1" si="68"/>
        <v>1</v>
      </c>
      <c r="F230" s="61">
        <f t="shared" ca="1" si="69"/>
        <v>1.9427113067519999E-2</v>
      </c>
      <c r="G230">
        <v>0</v>
      </c>
      <c r="H230">
        <v>1</v>
      </c>
      <c r="I230">
        <v>5</v>
      </c>
      <c r="J230" s="61">
        <f t="shared" ca="1" si="70"/>
        <v>0</v>
      </c>
      <c r="K230" s="61">
        <f t="shared" ca="1" si="71"/>
        <v>0</v>
      </c>
      <c r="L230" s="82">
        <f t="shared" ca="1" si="72"/>
        <v>216</v>
      </c>
      <c r="M230" s="16">
        <f t="shared" ca="1" si="73"/>
        <v>784</v>
      </c>
      <c r="N230" s="3">
        <f t="shared" ca="1" si="74"/>
        <v>5</v>
      </c>
      <c r="O230" s="19">
        <f t="shared" ca="1" si="75"/>
        <v>2.8178718937399587</v>
      </c>
      <c r="P230" s="19">
        <f t="shared" ca="1" si="76"/>
        <v>28.178718937399587</v>
      </c>
      <c r="Q230" s="19">
        <f t="shared" ca="1" si="77"/>
        <v>28.178718937399587</v>
      </c>
      <c r="R230" s="19">
        <f t="shared" ca="1" si="78"/>
        <v>2.8178718937399587</v>
      </c>
      <c r="S230" s="19">
        <f t="shared" ca="1" si="79"/>
        <v>2.8178718937399587</v>
      </c>
      <c r="T230" s="19">
        <f t="shared" ca="1" si="80"/>
        <v>0</v>
      </c>
      <c r="U230" s="19">
        <f t="shared" ca="1" si="81"/>
        <v>1475.3251747165598</v>
      </c>
      <c r="V230" s="19">
        <f t="shared" ca="1" si="82"/>
        <v>0</v>
      </c>
      <c r="W230" s="82">
        <f t="shared" ca="1" si="83"/>
        <v>2429.5261501736113</v>
      </c>
      <c r="X230" s="19">
        <f t="shared" ca="1" si="84"/>
        <v>0</v>
      </c>
      <c r="Y230" s="19">
        <f t="shared" si="85"/>
        <v>0</v>
      </c>
      <c r="Z230" s="82">
        <f t="shared" ca="1" si="86"/>
        <v>2429.5261501736113</v>
      </c>
      <c r="AA230" s="19">
        <f t="shared" ca="1" si="87"/>
        <v>0</v>
      </c>
      <c r="AE230" s="19"/>
    </row>
    <row r="231" spans="1:31" ht="12.75" customHeight="1" x14ac:dyDescent="0.2">
      <c r="A231">
        <v>1</v>
      </c>
      <c r="B231">
        <v>2</v>
      </c>
      <c r="C231">
        <f t="shared" ca="1" si="66"/>
        <v>5</v>
      </c>
      <c r="D231">
        <f t="shared" ca="1" si="67"/>
        <v>4</v>
      </c>
      <c r="E231">
        <f t="shared" ca="1" si="68"/>
        <v>1</v>
      </c>
      <c r="F231" s="61">
        <f t="shared" ca="1" si="69"/>
        <v>1.9427113067519999E-2</v>
      </c>
      <c r="G231">
        <v>0</v>
      </c>
      <c r="H231">
        <v>1</v>
      </c>
      <c r="I231">
        <v>4</v>
      </c>
      <c r="J231" s="61">
        <f t="shared" ca="1" si="70"/>
        <v>0</v>
      </c>
      <c r="K231" s="61">
        <f t="shared" ca="1" si="71"/>
        <v>0</v>
      </c>
      <c r="L231" s="82">
        <f t="shared" ca="1" si="72"/>
        <v>205</v>
      </c>
      <c r="M231" s="16">
        <f t="shared" ca="1" si="73"/>
        <v>795</v>
      </c>
      <c r="N231" s="3">
        <f t="shared" ca="1" si="74"/>
        <v>5</v>
      </c>
      <c r="O231" s="19">
        <f t="shared" ca="1" si="75"/>
        <v>2.8178718937399587</v>
      </c>
      <c r="P231" s="19">
        <f t="shared" ca="1" si="76"/>
        <v>28.178718937399587</v>
      </c>
      <c r="Q231" s="19">
        <f t="shared" ca="1" si="77"/>
        <v>28.178718937399587</v>
      </c>
      <c r="R231" s="19">
        <f t="shared" ca="1" si="78"/>
        <v>2.8178718937399587</v>
      </c>
      <c r="S231" s="19">
        <f t="shared" ca="1" si="79"/>
        <v>2.8178718937399587</v>
      </c>
      <c r="T231" s="19">
        <f t="shared" ca="1" si="80"/>
        <v>0</v>
      </c>
      <c r="U231" s="19">
        <f t="shared" ca="1" si="81"/>
        <v>1464.3251747165598</v>
      </c>
      <c r="V231" s="19">
        <f t="shared" ca="1" si="82"/>
        <v>0</v>
      </c>
      <c r="W231" s="82">
        <f t="shared" ca="1" si="83"/>
        <v>1943.620920138889</v>
      </c>
      <c r="X231" s="19">
        <f t="shared" ca="1" si="84"/>
        <v>0</v>
      </c>
      <c r="Y231" s="19">
        <f t="shared" si="85"/>
        <v>0</v>
      </c>
      <c r="Z231" s="82">
        <f t="shared" ca="1" si="86"/>
        <v>1943.620920138889</v>
      </c>
      <c r="AA231" s="19">
        <f t="shared" ca="1" si="87"/>
        <v>0</v>
      </c>
      <c r="AE231" s="19"/>
    </row>
    <row r="232" spans="1:31" ht="12.75" customHeight="1" x14ac:dyDescent="0.2">
      <c r="A232">
        <v>1</v>
      </c>
      <c r="B232">
        <v>2</v>
      </c>
      <c r="C232">
        <f t="shared" ca="1" si="66"/>
        <v>5</v>
      </c>
      <c r="D232">
        <f t="shared" ca="1" si="67"/>
        <v>4</v>
      </c>
      <c r="E232">
        <f t="shared" ca="1" si="68"/>
        <v>1</v>
      </c>
      <c r="F232" s="61">
        <f t="shared" ca="1" si="69"/>
        <v>1.9427113067519999E-2</v>
      </c>
      <c r="G232">
        <v>0</v>
      </c>
      <c r="H232">
        <v>1</v>
      </c>
      <c r="I232">
        <v>3</v>
      </c>
      <c r="J232" s="61">
        <f t="shared" ca="1" si="70"/>
        <v>0</v>
      </c>
      <c r="K232" s="61">
        <f t="shared" ca="1" si="71"/>
        <v>0</v>
      </c>
      <c r="L232" s="82">
        <f t="shared" ca="1" si="72"/>
        <v>194</v>
      </c>
      <c r="M232" s="16">
        <f t="shared" ca="1" si="73"/>
        <v>806</v>
      </c>
      <c r="N232" s="3">
        <f t="shared" ca="1" si="74"/>
        <v>5</v>
      </c>
      <c r="O232" s="19">
        <f t="shared" ca="1" si="75"/>
        <v>2.8178718937399587</v>
      </c>
      <c r="P232" s="19">
        <f t="shared" ca="1" si="76"/>
        <v>28.178718937399587</v>
      </c>
      <c r="Q232" s="19">
        <f t="shared" ca="1" si="77"/>
        <v>28.178718937399587</v>
      </c>
      <c r="R232" s="19">
        <f t="shared" ca="1" si="78"/>
        <v>2.8178718937399587</v>
      </c>
      <c r="S232" s="19">
        <f t="shared" ca="1" si="79"/>
        <v>2.8178718937399587</v>
      </c>
      <c r="T232" s="19">
        <f t="shared" ca="1" si="80"/>
        <v>0</v>
      </c>
      <c r="U232" s="19">
        <f t="shared" ca="1" si="81"/>
        <v>1453.3251747165598</v>
      </c>
      <c r="V232" s="19">
        <f t="shared" ca="1" si="82"/>
        <v>0</v>
      </c>
      <c r="W232" s="82">
        <f t="shared" ca="1" si="83"/>
        <v>1457.7156901041667</v>
      </c>
      <c r="X232" s="19">
        <f t="shared" ca="1" si="84"/>
        <v>0</v>
      </c>
      <c r="Y232" s="19">
        <f t="shared" si="85"/>
        <v>0</v>
      </c>
      <c r="Z232" s="82">
        <f t="shared" ca="1" si="86"/>
        <v>1457.7156901041667</v>
      </c>
      <c r="AA232" s="19">
        <f t="shared" ca="1" si="87"/>
        <v>0</v>
      </c>
      <c r="AE232" s="19"/>
    </row>
    <row r="233" spans="1:31" ht="12.75" customHeight="1" x14ac:dyDescent="0.2">
      <c r="A233">
        <v>1</v>
      </c>
      <c r="B233">
        <v>2</v>
      </c>
      <c r="C233">
        <f t="shared" ca="1" si="66"/>
        <v>5</v>
      </c>
      <c r="D233">
        <f t="shared" ca="1" si="67"/>
        <v>4</v>
      </c>
      <c r="E233">
        <f t="shared" ca="1" si="68"/>
        <v>1</v>
      </c>
      <c r="F233" s="61">
        <f t="shared" ca="1" si="69"/>
        <v>1.9427113067519999E-2</v>
      </c>
      <c r="G233">
        <v>0</v>
      </c>
      <c r="H233">
        <v>1</v>
      </c>
      <c r="I233">
        <v>2</v>
      </c>
      <c r="J233" s="61">
        <f t="shared" ca="1" si="70"/>
        <v>0</v>
      </c>
      <c r="K233" s="61">
        <f t="shared" ca="1" si="71"/>
        <v>0</v>
      </c>
      <c r="L233" s="82">
        <f t="shared" ca="1" si="72"/>
        <v>183</v>
      </c>
      <c r="M233" s="16">
        <f t="shared" ca="1" si="73"/>
        <v>817</v>
      </c>
      <c r="N233" s="3">
        <f t="shared" ca="1" si="74"/>
        <v>5</v>
      </c>
      <c r="O233" s="19">
        <f t="shared" ca="1" si="75"/>
        <v>2.8178718937399587</v>
      </c>
      <c r="P233" s="19">
        <f t="shared" ca="1" si="76"/>
        <v>28.178718937399587</v>
      </c>
      <c r="Q233" s="19">
        <f t="shared" ca="1" si="77"/>
        <v>28.178718937399587</v>
      </c>
      <c r="R233" s="19">
        <f t="shared" ca="1" si="78"/>
        <v>2.8178718937399587</v>
      </c>
      <c r="S233" s="19">
        <f t="shared" ca="1" si="79"/>
        <v>2.8178718937399587</v>
      </c>
      <c r="T233" s="19">
        <f t="shared" ca="1" si="80"/>
        <v>0</v>
      </c>
      <c r="U233" s="19">
        <f t="shared" ca="1" si="81"/>
        <v>1442.3251747165598</v>
      </c>
      <c r="V233" s="19">
        <f t="shared" ca="1" si="82"/>
        <v>0</v>
      </c>
      <c r="W233" s="82">
        <f t="shared" ca="1" si="83"/>
        <v>971.8104600694445</v>
      </c>
      <c r="X233" s="19">
        <f t="shared" ca="1" si="84"/>
        <v>0</v>
      </c>
      <c r="Y233" s="19">
        <f t="shared" si="85"/>
        <v>0</v>
      </c>
      <c r="Z233" s="82">
        <f t="shared" ca="1" si="86"/>
        <v>971.8104600694445</v>
      </c>
      <c r="AA233" s="19">
        <f t="shared" ca="1" si="87"/>
        <v>0</v>
      </c>
      <c r="AE233" s="19"/>
    </row>
    <row r="234" spans="1:31" ht="12.75" customHeight="1" x14ac:dyDescent="0.2">
      <c r="A234">
        <v>1</v>
      </c>
      <c r="B234">
        <v>2</v>
      </c>
      <c r="C234">
        <f t="shared" ca="1" si="66"/>
        <v>5</v>
      </c>
      <c r="D234">
        <f t="shared" ca="1" si="67"/>
        <v>4</v>
      </c>
      <c r="E234">
        <f t="shared" ca="1" si="68"/>
        <v>1</v>
      </c>
      <c r="F234" s="61">
        <f t="shared" ca="1" si="69"/>
        <v>1.9427113067519999E-2</v>
      </c>
      <c r="G234">
        <v>0</v>
      </c>
      <c r="H234">
        <v>1</v>
      </c>
      <c r="I234">
        <v>1</v>
      </c>
      <c r="J234" s="61">
        <f t="shared" ca="1" si="70"/>
        <v>0</v>
      </c>
      <c r="K234" s="61">
        <f t="shared" ca="1" si="71"/>
        <v>0</v>
      </c>
      <c r="L234" s="82">
        <f t="shared" ca="1" si="72"/>
        <v>172</v>
      </c>
      <c r="M234" s="16">
        <f t="shared" ca="1" si="73"/>
        <v>828</v>
      </c>
      <c r="N234" s="3">
        <f t="shared" ca="1" si="74"/>
        <v>5</v>
      </c>
      <c r="O234" s="19">
        <f t="shared" ca="1" si="75"/>
        <v>2.8178718937399587</v>
      </c>
      <c r="P234" s="19">
        <f t="shared" ca="1" si="76"/>
        <v>28.178718937399587</v>
      </c>
      <c r="Q234" s="19">
        <f t="shared" ca="1" si="77"/>
        <v>28.178718937399587</v>
      </c>
      <c r="R234" s="19">
        <f t="shared" ca="1" si="78"/>
        <v>2.8178718937399587</v>
      </c>
      <c r="S234" s="19">
        <f t="shared" ca="1" si="79"/>
        <v>2.8178718937399587</v>
      </c>
      <c r="T234" s="19">
        <f t="shared" ca="1" si="80"/>
        <v>0</v>
      </c>
      <c r="U234" s="19">
        <f t="shared" ca="1" si="81"/>
        <v>1431.3251747165598</v>
      </c>
      <c r="V234" s="19">
        <f t="shared" ca="1" si="82"/>
        <v>0</v>
      </c>
      <c r="W234" s="82">
        <f t="shared" ca="1" si="83"/>
        <v>485.90523003472225</v>
      </c>
      <c r="X234" s="19">
        <f t="shared" ca="1" si="84"/>
        <v>0</v>
      </c>
      <c r="Y234" s="19">
        <f t="shared" si="85"/>
        <v>0</v>
      </c>
      <c r="Z234" s="82">
        <f t="shared" ca="1" si="86"/>
        <v>485.90523003472225</v>
      </c>
      <c r="AA234" s="19">
        <f t="shared" ca="1" si="87"/>
        <v>0</v>
      </c>
      <c r="AE234" s="19"/>
    </row>
    <row r="235" spans="1:31" ht="12.75" customHeight="1" x14ac:dyDescent="0.2">
      <c r="A235">
        <v>1</v>
      </c>
      <c r="B235">
        <v>2</v>
      </c>
      <c r="C235">
        <f t="shared" ca="1" si="66"/>
        <v>5</v>
      </c>
      <c r="D235">
        <f t="shared" ca="1" si="67"/>
        <v>4</v>
      </c>
      <c r="E235">
        <f t="shared" ca="1" si="68"/>
        <v>1</v>
      </c>
      <c r="F235" s="61">
        <f t="shared" ca="1" si="69"/>
        <v>1.9427113067519999E-2</v>
      </c>
      <c r="G235">
        <v>0</v>
      </c>
      <c r="H235">
        <v>1</v>
      </c>
      <c r="I235">
        <v>0</v>
      </c>
      <c r="J235" s="61">
        <f t="shared" ca="1" si="70"/>
        <v>0</v>
      </c>
      <c r="K235" s="61">
        <f t="shared" ca="1" si="71"/>
        <v>0</v>
      </c>
      <c r="L235" s="82">
        <f t="shared" ca="1" si="72"/>
        <v>161</v>
      </c>
      <c r="M235" s="16">
        <f t="shared" ca="1" si="73"/>
        <v>839</v>
      </c>
      <c r="N235" s="3">
        <f t="shared" ca="1" si="74"/>
        <v>5</v>
      </c>
      <c r="O235" s="19">
        <f t="shared" ca="1" si="75"/>
        <v>2.8178718937399587</v>
      </c>
      <c r="P235" s="19">
        <f t="shared" ca="1" si="76"/>
        <v>28.178718937399587</v>
      </c>
      <c r="Q235" s="19">
        <f t="shared" ca="1" si="77"/>
        <v>28.178718937399587</v>
      </c>
      <c r="R235" s="19">
        <f t="shared" ca="1" si="78"/>
        <v>2.8178718937399587</v>
      </c>
      <c r="S235" s="19">
        <f t="shared" ca="1" si="79"/>
        <v>2.8178718937399587</v>
      </c>
      <c r="T235" s="19">
        <f t="shared" ca="1" si="80"/>
        <v>0</v>
      </c>
      <c r="U235" s="19">
        <f t="shared" ca="1" si="81"/>
        <v>1420.3251747165598</v>
      </c>
      <c r="V235" s="19">
        <f t="shared" ca="1" si="82"/>
        <v>0</v>
      </c>
      <c r="W235" s="82">
        <f t="shared" ca="1" si="83"/>
        <v>0</v>
      </c>
      <c r="X235" s="19">
        <f t="shared" ca="1" si="84"/>
        <v>0</v>
      </c>
      <c r="Y235" s="19">
        <f t="shared" si="85"/>
        <v>0</v>
      </c>
      <c r="Z235" s="82">
        <f t="shared" ca="1" si="86"/>
        <v>0</v>
      </c>
      <c r="AA235" s="19">
        <f t="shared" ca="1" si="87"/>
        <v>0</v>
      </c>
      <c r="AE235" s="19"/>
    </row>
    <row r="236" spans="1:31" ht="12.75" customHeight="1" x14ac:dyDescent="0.2">
      <c r="A236">
        <v>1</v>
      </c>
      <c r="B236">
        <v>2</v>
      </c>
      <c r="C236">
        <f t="shared" ca="1" si="66"/>
        <v>5</v>
      </c>
      <c r="D236">
        <f t="shared" ca="1" si="67"/>
        <v>4</v>
      </c>
      <c r="E236">
        <f t="shared" ca="1" si="68"/>
        <v>1</v>
      </c>
      <c r="F236" s="61">
        <f t="shared" ca="1" si="69"/>
        <v>1.9427113067519999E-2</v>
      </c>
      <c r="G236">
        <v>0</v>
      </c>
      <c r="H236">
        <v>0</v>
      </c>
      <c r="I236">
        <v>7</v>
      </c>
      <c r="J236" s="61">
        <f t="shared" ca="1" si="70"/>
        <v>0</v>
      </c>
      <c r="K236" s="61">
        <f t="shared" ca="1" si="71"/>
        <v>0</v>
      </c>
      <c r="L236" s="82">
        <f t="shared" ca="1" si="72"/>
        <v>77</v>
      </c>
      <c r="M236" s="16">
        <f t="shared" ca="1" si="73"/>
        <v>923</v>
      </c>
      <c r="N236" s="3">
        <f t="shared" ca="1" si="74"/>
        <v>5</v>
      </c>
      <c r="O236" s="19">
        <f t="shared" ca="1" si="75"/>
        <v>2.8178718937399587</v>
      </c>
      <c r="P236" s="19">
        <f t="shared" ca="1" si="76"/>
        <v>28.178718937399587</v>
      </c>
      <c r="Q236" s="19">
        <f t="shared" ca="1" si="77"/>
        <v>28.178718937399587</v>
      </c>
      <c r="R236" s="19">
        <f t="shared" ca="1" si="78"/>
        <v>2.8178718937399587</v>
      </c>
      <c r="S236" s="19">
        <f t="shared" ca="1" si="79"/>
        <v>2.8178718937399587</v>
      </c>
      <c r="T236" s="19">
        <f t="shared" ca="1" si="80"/>
        <v>0</v>
      </c>
      <c r="U236" s="19">
        <f t="shared" ca="1" si="81"/>
        <v>1336.3251747165598</v>
      </c>
      <c r="V236" s="19">
        <f t="shared" ca="1" si="82"/>
        <v>0</v>
      </c>
      <c r="W236" s="82">
        <f t="shared" ca="1" si="83"/>
        <v>3401.3366102430559</v>
      </c>
      <c r="X236" s="19">
        <f t="shared" ca="1" si="84"/>
        <v>0</v>
      </c>
      <c r="Y236" s="19">
        <f t="shared" si="85"/>
        <v>0</v>
      </c>
      <c r="Z236" s="82">
        <f t="shared" ca="1" si="86"/>
        <v>3401.3366102430559</v>
      </c>
      <c r="AA236" s="19">
        <f t="shared" ca="1" si="87"/>
        <v>0</v>
      </c>
      <c r="AE236" s="19"/>
    </row>
    <row r="237" spans="1:31" ht="12.75" customHeight="1" x14ac:dyDescent="0.2">
      <c r="A237">
        <v>1</v>
      </c>
      <c r="B237">
        <v>2</v>
      </c>
      <c r="C237">
        <f t="shared" ca="1" si="66"/>
        <v>5</v>
      </c>
      <c r="D237">
        <f t="shared" ca="1" si="67"/>
        <v>4</v>
      </c>
      <c r="E237">
        <f t="shared" ca="1" si="68"/>
        <v>1</v>
      </c>
      <c r="F237" s="61">
        <f t="shared" ca="1" si="69"/>
        <v>1.9427113067519999E-2</v>
      </c>
      <c r="G237">
        <v>0</v>
      </c>
      <c r="H237">
        <v>0</v>
      </c>
      <c r="I237">
        <v>6</v>
      </c>
      <c r="J237" s="61">
        <f t="shared" ca="1" si="70"/>
        <v>0</v>
      </c>
      <c r="K237" s="61">
        <f t="shared" ca="1" si="71"/>
        <v>0</v>
      </c>
      <c r="L237" s="82">
        <f t="shared" ca="1" si="72"/>
        <v>66</v>
      </c>
      <c r="M237" s="16">
        <f t="shared" ca="1" si="73"/>
        <v>934</v>
      </c>
      <c r="N237" s="3">
        <f t="shared" ca="1" si="74"/>
        <v>5</v>
      </c>
      <c r="O237" s="19">
        <f t="shared" ca="1" si="75"/>
        <v>2.8178718937399587</v>
      </c>
      <c r="P237" s="19">
        <f t="shared" ca="1" si="76"/>
        <v>28.178718937399587</v>
      </c>
      <c r="Q237" s="19">
        <f t="shared" ca="1" si="77"/>
        <v>28.178718937399587</v>
      </c>
      <c r="R237" s="19">
        <f t="shared" ca="1" si="78"/>
        <v>2.8178718937399587</v>
      </c>
      <c r="S237" s="19">
        <f t="shared" ca="1" si="79"/>
        <v>2.8178718937399587</v>
      </c>
      <c r="T237" s="19">
        <f t="shared" ca="1" si="80"/>
        <v>0</v>
      </c>
      <c r="U237" s="19">
        <f t="shared" ca="1" si="81"/>
        <v>1325.3251747165598</v>
      </c>
      <c r="V237" s="19">
        <f t="shared" ca="1" si="82"/>
        <v>0</v>
      </c>
      <c r="W237" s="82">
        <f t="shared" ca="1" si="83"/>
        <v>2915.4313802083334</v>
      </c>
      <c r="X237" s="19">
        <f t="shared" ca="1" si="84"/>
        <v>0</v>
      </c>
      <c r="Y237" s="19">
        <f t="shared" si="85"/>
        <v>0</v>
      </c>
      <c r="Z237" s="82">
        <f t="shared" ca="1" si="86"/>
        <v>2915.4313802083334</v>
      </c>
      <c r="AA237" s="19">
        <f t="shared" ca="1" si="87"/>
        <v>0</v>
      </c>
      <c r="AE237" s="19"/>
    </row>
    <row r="238" spans="1:31" ht="12.75" customHeight="1" x14ac:dyDescent="0.2">
      <c r="A238">
        <v>1</v>
      </c>
      <c r="B238">
        <v>2</v>
      </c>
      <c r="C238">
        <f t="shared" ca="1" si="66"/>
        <v>5</v>
      </c>
      <c r="D238">
        <f t="shared" ca="1" si="67"/>
        <v>4</v>
      </c>
      <c r="E238">
        <f t="shared" ca="1" si="68"/>
        <v>1</v>
      </c>
      <c r="F238" s="61">
        <f t="shared" ca="1" si="69"/>
        <v>1.9427113067519999E-2</v>
      </c>
      <c r="G238">
        <v>0</v>
      </c>
      <c r="H238">
        <v>0</v>
      </c>
      <c r="I238">
        <v>5</v>
      </c>
      <c r="J238" s="61">
        <f t="shared" ca="1" si="70"/>
        <v>0</v>
      </c>
      <c r="K238" s="61">
        <f t="shared" ca="1" si="71"/>
        <v>0</v>
      </c>
      <c r="L238" s="82">
        <f t="shared" ca="1" si="72"/>
        <v>55</v>
      </c>
      <c r="M238" s="16">
        <f t="shared" ca="1" si="73"/>
        <v>945</v>
      </c>
      <c r="N238" s="3">
        <f t="shared" ca="1" si="74"/>
        <v>5</v>
      </c>
      <c r="O238" s="19">
        <f t="shared" ca="1" si="75"/>
        <v>2.8178718937399587</v>
      </c>
      <c r="P238" s="19">
        <f t="shared" ca="1" si="76"/>
        <v>28.178718937399587</v>
      </c>
      <c r="Q238" s="19">
        <f t="shared" ca="1" si="77"/>
        <v>28.178718937399587</v>
      </c>
      <c r="R238" s="19">
        <f t="shared" ca="1" si="78"/>
        <v>2.8178718937399587</v>
      </c>
      <c r="S238" s="19">
        <f t="shared" ca="1" si="79"/>
        <v>2.8178718937399587</v>
      </c>
      <c r="T238" s="19">
        <f t="shared" ca="1" si="80"/>
        <v>0</v>
      </c>
      <c r="U238" s="19">
        <f t="shared" ca="1" si="81"/>
        <v>1314.3251747165598</v>
      </c>
      <c r="V238" s="19">
        <f t="shared" ca="1" si="82"/>
        <v>0</v>
      </c>
      <c r="W238" s="82">
        <f t="shared" ca="1" si="83"/>
        <v>2429.5261501736113</v>
      </c>
      <c r="X238" s="19">
        <f t="shared" ca="1" si="84"/>
        <v>0</v>
      </c>
      <c r="Y238" s="19">
        <f t="shared" si="85"/>
        <v>0</v>
      </c>
      <c r="Z238" s="82">
        <f t="shared" ca="1" si="86"/>
        <v>2429.5261501736113</v>
      </c>
      <c r="AA238" s="19">
        <f t="shared" ca="1" si="87"/>
        <v>0</v>
      </c>
      <c r="AE238" s="19"/>
    </row>
    <row r="239" spans="1:31" ht="12.75" customHeight="1" x14ac:dyDescent="0.2">
      <c r="A239">
        <v>1</v>
      </c>
      <c r="B239">
        <v>2</v>
      </c>
      <c r="C239">
        <f t="shared" ca="1" si="66"/>
        <v>5</v>
      </c>
      <c r="D239">
        <f t="shared" ca="1" si="67"/>
        <v>4</v>
      </c>
      <c r="E239">
        <f t="shared" ca="1" si="68"/>
        <v>1</v>
      </c>
      <c r="F239" s="61">
        <f t="shared" ca="1" si="69"/>
        <v>1.9427113067519999E-2</v>
      </c>
      <c r="G239">
        <v>0</v>
      </c>
      <c r="H239">
        <v>0</v>
      </c>
      <c r="I239">
        <v>4</v>
      </c>
      <c r="J239" s="61">
        <f t="shared" ca="1" si="70"/>
        <v>4.0725312499999999E-2</v>
      </c>
      <c r="K239" s="61">
        <f t="shared" ca="1" si="71"/>
        <v>7.9117525064758556E-4</v>
      </c>
      <c r="L239" s="82">
        <f t="shared" ca="1" si="72"/>
        <v>44</v>
      </c>
      <c r="M239" s="16">
        <f t="shared" ca="1" si="73"/>
        <v>956</v>
      </c>
      <c r="N239" s="3">
        <f t="shared" ca="1" si="74"/>
        <v>6</v>
      </c>
      <c r="O239" s="19">
        <f t="shared" ca="1" si="75"/>
        <v>3.3239268932937667</v>
      </c>
      <c r="P239" s="19">
        <f t="shared" ca="1" si="76"/>
        <v>33.239268932937669</v>
      </c>
      <c r="Q239" s="19">
        <f t="shared" ca="1" si="77"/>
        <v>28.178718937399587</v>
      </c>
      <c r="R239" s="19">
        <f t="shared" ca="1" si="78"/>
        <v>3.0708993935168629</v>
      </c>
      <c r="S239" s="19">
        <f t="shared" ca="1" si="79"/>
        <v>3.3239268932937667</v>
      </c>
      <c r="T239" s="19">
        <f t="shared" ca="1" si="80"/>
        <v>2.6298086929359464E-3</v>
      </c>
      <c r="U239" s="19">
        <f t="shared" ca="1" si="81"/>
        <v>1495.4024523027438</v>
      </c>
      <c r="V239" s="19">
        <f t="shared" ca="1" si="82"/>
        <v>1.1831254100196373</v>
      </c>
      <c r="W239" s="82">
        <f t="shared" ca="1" si="83"/>
        <v>1943.620920138889</v>
      </c>
      <c r="X239" s="19">
        <f t="shared" ca="1" si="84"/>
        <v>1.5377447686547763</v>
      </c>
      <c r="Y239" s="19">
        <f t="shared" si="85"/>
        <v>0</v>
      </c>
      <c r="Z239" s="82">
        <f t="shared" ca="1" si="86"/>
        <v>1943.620920138889</v>
      </c>
      <c r="AA239" s="19">
        <f t="shared" ca="1" si="87"/>
        <v>1.5377447686547763</v>
      </c>
      <c r="AE239" s="19"/>
    </row>
    <row r="240" spans="1:31" ht="12.75" customHeight="1" x14ac:dyDescent="0.2">
      <c r="A240">
        <v>1</v>
      </c>
      <c r="B240">
        <v>2</v>
      </c>
      <c r="C240">
        <f t="shared" ca="1" si="66"/>
        <v>5</v>
      </c>
      <c r="D240">
        <f t="shared" ca="1" si="67"/>
        <v>4</v>
      </c>
      <c r="E240">
        <f t="shared" ca="1" si="68"/>
        <v>1</v>
      </c>
      <c r="F240" s="61">
        <f t="shared" ca="1" si="69"/>
        <v>1.9427113067519999E-2</v>
      </c>
      <c r="G240">
        <v>0</v>
      </c>
      <c r="H240">
        <v>0</v>
      </c>
      <c r="I240">
        <v>3</v>
      </c>
      <c r="J240" s="61">
        <f t="shared" ca="1" si="70"/>
        <v>8.5737500000000067E-3</v>
      </c>
      <c r="K240" s="61">
        <f t="shared" ca="1" si="71"/>
        <v>1.6656321066264973E-4</v>
      </c>
      <c r="L240" s="82">
        <f t="shared" ca="1" si="72"/>
        <v>33</v>
      </c>
      <c r="M240" s="16">
        <f t="shared" ca="1" si="73"/>
        <v>967</v>
      </c>
      <c r="N240" s="3">
        <f t="shared" ca="1" si="74"/>
        <v>6</v>
      </c>
      <c r="O240" s="19">
        <f t="shared" ca="1" si="75"/>
        <v>3.3239268932937667</v>
      </c>
      <c r="P240" s="19">
        <f t="shared" ca="1" si="76"/>
        <v>33.239268932937669</v>
      </c>
      <c r="Q240" s="19">
        <f t="shared" ca="1" si="77"/>
        <v>33.239268932937669</v>
      </c>
      <c r="R240" s="19">
        <f t="shared" ca="1" si="78"/>
        <v>3.3239268932937671</v>
      </c>
      <c r="S240" s="19">
        <f t="shared" ca="1" si="79"/>
        <v>3.3239268932937667</v>
      </c>
      <c r="T240" s="19">
        <f t="shared" ca="1" si="80"/>
        <v>5.5364393535493656E-4</v>
      </c>
      <c r="U240" s="19">
        <f t="shared" ca="1" si="81"/>
        <v>1484.4024523027438</v>
      </c>
      <c r="V240" s="19">
        <f t="shared" ca="1" si="82"/>
        <v>0.24724683837105577</v>
      </c>
      <c r="W240" s="82">
        <f t="shared" ca="1" si="83"/>
        <v>1457.7156901041667</v>
      </c>
      <c r="X240" s="19">
        <f t="shared" ca="1" si="84"/>
        <v>0.24280180557707015</v>
      </c>
      <c r="Y240" s="19">
        <f t="shared" si="85"/>
        <v>0</v>
      </c>
      <c r="Z240" s="82">
        <f t="shared" ca="1" si="86"/>
        <v>1457.7156901041667</v>
      </c>
      <c r="AA240" s="19">
        <f t="shared" ca="1" si="87"/>
        <v>0.24280180557707015</v>
      </c>
      <c r="AE240" s="19"/>
    </row>
    <row r="241" spans="1:31" ht="12.75" customHeight="1" x14ac:dyDescent="0.2">
      <c r="A241">
        <v>1</v>
      </c>
      <c r="B241">
        <v>2</v>
      </c>
      <c r="C241">
        <f t="shared" ca="1" si="66"/>
        <v>5</v>
      </c>
      <c r="D241">
        <f t="shared" ca="1" si="67"/>
        <v>4</v>
      </c>
      <c r="E241">
        <f t="shared" ca="1" si="68"/>
        <v>1</v>
      </c>
      <c r="F241" s="61">
        <f t="shared" ca="1" si="69"/>
        <v>1.9427113067519999E-2</v>
      </c>
      <c r="G241">
        <v>0</v>
      </c>
      <c r="H241">
        <v>0</v>
      </c>
      <c r="I241">
        <v>2</v>
      </c>
      <c r="J241" s="61">
        <f t="shared" ca="1" si="70"/>
        <v>6.7687500000000126E-4</v>
      </c>
      <c r="K241" s="61">
        <f t="shared" ca="1" si="71"/>
        <v>1.3149727157577625E-5</v>
      </c>
      <c r="L241" s="82">
        <f t="shared" ca="1" si="72"/>
        <v>22</v>
      </c>
      <c r="M241" s="16">
        <f t="shared" ca="1" si="73"/>
        <v>978</v>
      </c>
      <c r="N241" s="3">
        <f t="shared" ca="1" si="74"/>
        <v>6</v>
      </c>
      <c r="O241" s="19">
        <f t="shared" ca="1" si="75"/>
        <v>3.3239268932937667</v>
      </c>
      <c r="P241" s="19">
        <f t="shared" ca="1" si="76"/>
        <v>33.239268932937669</v>
      </c>
      <c r="Q241" s="19">
        <f t="shared" ca="1" si="77"/>
        <v>33.239268932937669</v>
      </c>
      <c r="R241" s="19">
        <f t="shared" ca="1" si="78"/>
        <v>3.3239268932937671</v>
      </c>
      <c r="S241" s="19">
        <f t="shared" ca="1" si="79"/>
        <v>3.3239268932937667</v>
      </c>
      <c r="T241" s="19">
        <f t="shared" ca="1" si="80"/>
        <v>4.3708731738547666E-5</v>
      </c>
      <c r="U241" s="19">
        <f t="shared" ca="1" si="81"/>
        <v>1473.4024523027438</v>
      </c>
      <c r="V241" s="19">
        <f t="shared" ca="1" si="82"/>
        <v>1.937484024108686E-2</v>
      </c>
      <c r="W241" s="82">
        <f t="shared" ca="1" si="83"/>
        <v>971.8104600694445</v>
      </c>
      <c r="X241" s="19">
        <f t="shared" ca="1" si="84"/>
        <v>1.277904239879318E-2</v>
      </c>
      <c r="Y241" s="19">
        <f t="shared" si="85"/>
        <v>0</v>
      </c>
      <c r="Z241" s="82">
        <f t="shared" ca="1" si="86"/>
        <v>971.8104600694445</v>
      </c>
      <c r="AA241" s="19">
        <f t="shared" ca="1" si="87"/>
        <v>1.277904239879318E-2</v>
      </c>
      <c r="AE241" s="19"/>
    </row>
    <row r="242" spans="1:31" ht="12.75" customHeight="1" x14ac:dyDescent="0.2">
      <c r="A242">
        <v>1</v>
      </c>
      <c r="B242">
        <v>2</v>
      </c>
      <c r="C242">
        <f t="shared" ca="1" si="66"/>
        <v>5</v>
      </c>
      <c r="D242">
        <f t="shared" ca="1" si="67"/>
        <v>4</v>
      </c>
      <c r="E242">
        <f t="shared" ca="1" si="68"/>
        <v>1</v>
      </c>
      <c r="F242" s="61">
        <f t="shared" ca="1" si="69"/>
        <v>1.9427113067519999E-2</v>
      </c>
      <c r="G242">
        <v>0</v>
      </c>
      <c r="H242">
        <v>0</v>
      </c>
      <c r="I242">
        <v>1</v>
      </c>
      <c r="J242" s="61">
        <f t="shared" ca="1" si="70"/>
        <v>2.3750000000000062E-5</v>
      </c>
      <c r="K242" s="61">
        <f t="shared" ca="1" si="71"/>
        <v>4.6139393535360122E-7</v>
      </c>
      <c r="L242" s="82">
        <f t="shared" ca="1" si="72"/>
        <v>11</v>
      </c>
      <c r="M242" s="16">
        <f t="shared" ca="1" si="73"/>
        <v>989</v>
      </c>
      <c r="N242" s="3">
        <f t="shared" ca="1" si="74"/>
        <v>6</v>
      </c>
      <c r="O242" s="19">
        <f t="shared" ca="1" si="75"/>
        <v>3.3239268932937667</v>
      </c>
      <c r="P242" s="19">
        <f t="shared" ca="1" si="76"/>
        <v>33.239268932937669</v>
      </c>
      <c r="Q242" s="19">
        <f t="shared" ca="1" si="77"/>
        <v>33.239268932937669</v>
      </c>
      <c r="R242" s="19">
        <f t="shared" ca="1" si="78"/>
        <v>3.3239268932937671</v>
      </c>
      <c r="S242" s="19">
        <f t="shared" ca="1" si="79"/>
        <v>3.3239268932937667</v>
      </c>
      <c r="T242" s="19">
        <f t="shared" ca="1" si="80"/>
        <v>1.5336397101244807E-6</v>
      </c>
      <c r="U242" s="19">
        <f t="shared" ca="1" si="81"/>
        <v>1462.4024523027438</v>
      </c>
      <c r="V242" s="19">
        <f t="shared" ca="1" si="82"/>
        <v>6.7474362253872001E-4</v>
      </c>
      <c r="W242" s="82">
        <f t="shared" ca="1" si="83"/>
        <v>485.90523003472225</v>
      </c>
      <c r="X242" s="19">
        <f t="shared" ca="1" si="84"/>
        <v>2.2419372629461736E-4</v>
      </c>
      <c r="Y242" s="19">
        <f t="shared" si="85"/>
        <v>0</v>
      </c>
      <c r="Z242" s="82">
        <f t="shared" ca="1" si="86"/>
        <v>485.90523003472225</v>
      </c>
      <c r="AA242" s="19">
        <f t="shared" ca="1" si="87"/>
        <v>2.2419372629461736E-4</v>
      </c>
      <c r="AE242" s="19"/>
    </row>
    <row r="243" spans="1:31" ht="12.75" customHeight="1" x14ac:dyDescent="0.2">
      <c r="A243">
        <v>1</v>
      </c>
      <c r="B243">
        <v>2</v>
      </c>
      <c r="C243">
        <f t="shared" ca="1" si="66"/>
        <v>5</v>
      </c>
      <c r="D243">
        <f t="shared" ca="1" si="67"/>
        <v>4</v>
      </c>
      <c r="E243">
        <f t="shared" ca="1" si="68"/>
        <v>1</v>
      </c>
      <c r="F243" s="61">
        <f t="shared" ca="1" si="69"/>
        <v>1.9427113067519999E-2</v>
      </c>
      <c r="G243">
        <v>0</v>
      </c>
      <c r="H243">
        <v>0</v>
      </c>
      <c r="I243">
        <v>0</v>
      </c>
      <c r="J243" s="61">
        <f t="shared" ca="1" si="70"/>
        <v>3.1250000000000114E-7</v>
      </c>
      <c r="K243" s="61">
        <f t="shared" ca="1" si="71"/>
        <v>6.0709728336000217E-9</v>
      </c>
      <c r="L243" s="82">
        <f t="shared" ca="1" si="72"/>
        <v>0</v>
      </c>
      <c r="M243" s="16">
        <f t="shared" ca="1" si="73"/>
        <v>1000</v>
      </c>
      <c r="N243" s="3">
        <f t="shared" ca="1" si="74"/>
        <v>6</v>
      </c>
      <c r="O243" s="19">
        <f t="shared" ca="1" si="75"/>
        <v>3.3239268932937667</v>
      </c>
      <c r="P243" s="19">
        <f t="shared" ca="1" si="76"/>
        <v>33.239268932937669</v>
      </c>
      <c r="Q243" s="19">
        <f t="shared" ca="1" si="77"/>
        <v>33.239268932937669</v>
      </c>
      <c r="R243" s="19">
        <f t="shared" ca="1" si="78"/>
        <v>3.3239268932937671</v>
      </c>
      <c r="S243" s="19">
        <f t="shared" ca="1" si="79"/>
        <v>3.3239268932937667</v>
      </c>
      <c r="T243" s="19">
        <f t="shared" ca="1" si="80"/>
        <v>2.0179469870058974E-8</v>
      </c>
      <c r="U243" s="19">
        <f t="shared" ca="1" si="81"/>
        <v>1451.4024523027438</v>
      </c>
      <c r="V243" s="19">
        <f t="shared" ca="1" si="82"/>
        <v>8.811424858550409E-6</v>
      </c>
      <c r="W243" s="82">
        <f t="shared" ca="1" si="83"/>
        <v>0</v>
      </c>
      <c r="X243" s="19">
        <f t="shared" ca="1" si="84"/>
        <v>0</v>
      </c>
      <c r="Y243" s="19">
        <f t="shared" si="85"/>
        <v>0</v>
      </c>
      <c r="Z243" s="82">
        <f t="shared" ca="1" si="86"/>
        <v>0</v>
      </c>
      <c r="AA243" s="19">
        <f t="shared" ca="1" si="87"/>
        <v>0</v>
      </c>
      <c r="AE243" s="19"/>
    </row>
    <row r="244" spans="1:31" ht="12.75" customHeight="1" x14ac:dyDescent="0.2">
      <c r="A244">
        <v>1</v>
      </c>
      <c r="B244">
        <v>3</v>
      </c>
      <c r="C244">
        <f t="shared" ca="1" si="66"/>
        <v>6</v>
      </c>
      <c r="D244">
        <f t="shared" ca="1" si="67"/>
        <v>5</v>
      </c>
      <c r="E244">
        <f t="shared" ca="1" si="68"/>
        <v>1</v>
      </c>
      <c r="F244" s="61">
        <f t="shared" ca="1" si="69"/>
        <v>1.5020963711999999E-2</v>
      </c>
      <c r="G244">
        <v>1</v>
      </c>
      <c r="H244">
        <v>1</v>
      </c>
      <c r="I244">
        <v>7</v>
      </c>
      <c r="J244" s="61">
        <f t="shared" ca="1" si="70"/>
        <v>0</v>
      </c>
      <c r="K244" s="61">
        <f t="shared" ca="1" si="71"/>
        <v>0</v>
      </c>
      <c r="L244" s="82">
        <f t="shared" ca="1" si="72"/>
        <v>399</v>
      </c>
      <c r="M244" s="16">
        <f t="shared" ca="1" si="73"/>
        <v>601</v>
      </c>
      <c r="N244" s="3">
        <f t="shared" ca="1" si="74"/>
        <v>4</v>
      </c>
      <c r="O244" s="19">
        <f t="shared" ca="1" si="75"/>
        <v>2.3453053758100548</v>
      </c>
      <c r="P244" s="19">
        <f t="shared" ca="1" si="76"/>
        <v>23.453053758100552</v>
      </c>
      <c r="Q244" s="19">
        <f t="shared" ca="1" si="77"/>
        <v>23.453053758100552</v>
      </c>
      <c r="R244" s="19">
        <f t="shared" ca="1" si="78"/>
        <v>2.3453053758100553</v>
      </c>
      <c r="S244" s="19">
        <f t="shared" ca="1" si="79"/>
        <v>2.3453053758100548</v>
      </c>
      <c r="T244" s="19">
        <f t="shared" ca="1" si="80"/>
        <v>0</v>
      </c>
      <c r="U244" s="19">
        <f t="shared" ca="1" si="81"/>
        <v>1478.9587218163997</v>
      </c>
      <c r="V244" s="19">
        <f t="shared" ca="1" si="82"/>
        <v>0</v>
      </c>
      <c r="W244" s="82">
        <f t="shared" ca="1" si="83"/>
        <v>5718.7981307870377</v>
      </c>
      <c r="X244" s="19">
        <f t="shared" ca="1" si="84"/>
        <v>0</v>
      </c>
      <c r="Y244" s="19">
        <f t="shared" si="85"/>
        <v>0</v>
      </c>
      <c r="Z244" s="82">
        <f t="shared" ca="1" si="86"/>
        <v>5718.7981307870377</v>
      </c>
      <c r="AA244" s="19">
        <f t="shared" ca="1" si="87"/>
        <v>0</v>
      </c>
      <c r="AE244" s="19"/>
    </row>
    <row r="245" spans="1:31" ht="12.75" customHeight="1" x14ac:dyDescent="0.2">
      <c r="A245">
        <v>1</v>
      </c>
      <c r="B245">
        <v>3</v>
      </c>
      <c r="C245">
        <f t="shared" ca="1" si="66"/>
        <v>6</v>
      </c>
      <c r="D245">
        <f t="shared" ca="1" si="67"/>
        <v>5</v>
      </c>
      <c r="E245">
        <f t="shared" ca="1" si="68"/>
        <v>1</v>
      </c>
      <c r="F245" s="61">
        <f t="shared" ca="1" si="69"/>
        <v>1.5020963711999999E-2</v>
      </c>
      <c r="G245">
        <v>1</v>
      </c>
      <c r="H245">
        <v>1</v>
      </c>
      <c r="I245">
        <v>6</v>
      </c>
      <c r="J245" s="61">
        <f t="shared" ca="1" si="70"/>
        <v>0</v>
      </c>
      <c r="K245" s="61">
        <f t="shared" ca="1" si="71"/>
        <v>0</v>
      </c>
      <c r="L245" s="82">
        <f t="shared" ca="1" si="72"/>
        <v>388</v>
      </c>
      <c r="M245" s="16">
        <f t="shared" ca="1" si="73"/>
        <v>612</v>
      </c>
      <c r="N245" s="3">
        <f t="shared" ca="1" si="74"/>
        <v>4</v>
      </c>
      <c r="O245" s="19">
        <f t="shared" ca="1" si="75"/>
        <v>2.3453053758100548</v>
      </c>
      <c r="P245" s="19">
        <f t="shared" ca="1" si="76"/>
        <v>23.453053758100552</v>
      </c>
      <c r="Q245" s="19">
        <f t="shared" ca="1" si="77"/>
        <v>23.453053758100552</v>
      </c>
      <c r="R245" s="19">
        <f t="shared" ca="1" si="78"/>
        <v>2.3453053758100553</v>
      </c>
      <c r="S245" s="19">
        <f t="shared" ca="1" si="79"/>
        <v>2.3453053758100548</v>
      </c>
      <c r="T245" s="19">
        <f t="shared" ca="1" si="80"/>
        <v>0</v>
      </c>
      <c r="U245" s="19">
        <f t="shared" ca="1" si="81"/>
        <v>1467.9587218163997</v>
      </c>
      <c r="V245" s="19">
        <f t="shared" ca="1" si="82"/>
        <v>0</v>
      </c>
      <c r="W245" s="82">
        <f t="shared" ca="1" si="83"/>
        <v>5232.8929007523147</v>
      </c>
      <c r="X245" s="19">
        <f t="shared" ca="1" si="84"/>
        <v>0</v>
      </c>
      <c r="Y245" s="19">
        <f t="shared" si="85"/>
        <v>0</v>
      </c>
      <c r="Z245" s="82">
        <f t="shared" ca="1" si="86"/>
        <v>5232.8929007523147</v>
      </c>
      <c r="AA245" s="19">
        <f t="shared" ca="1" si="87"/>
        <v>0</v>
      </c>
      <c r="AE245" s="19"/>
    </row>
    <row r="246" spans="1:31" ht="12.75" customHeight="1" x14ac:dyDescent="0.2">
      <c r="A246">
        <v>1</v>
      </c>
      <c r="B246">
        <v>3</v>
      </c>
      <c r="C246">
        <f t="shared" ca="1" si="66"/>
        <v>6</v>
      </c>
      <c r="D246">
        <f t="shared" ca="1" si="67"/>
        <v>5</v>
      </c>
      <c r="E246">
        <f t="shared" ca="1" si="68"/>
        <v>1</v>
      </c>
      <c r="F246" s="61">
        <f t="shared" ca="1" si="69"/>
        <v>1.5020963711999999E-2</v>
      </c>
      <c r="G246">
        <v>1</v>
      </c>
      <c r="H246">
        <v>1</v>
      </c>
      <c r="I246">
        <v>5</v>
      </c>
      <c r="J246" s="61">
        <f t="shared" ca="1" si="70"/>
        <v>0</v>
      </c>
      <c r="K246" s="61">
        <f t="shared" ca="1" si="71"/>
        <v>0</v>
      </c>
      <c r="L246" s="82">
        <f t="shared" ca="1" si="72"/>
        <v>377</v>
      </c>
      <c r="M246" s="16">
        <f t="shared" ca="1" si="73"/>
        <v>623</v>
      </c>
      <c r="N246" s="3">
        <f t="shared" ca="1" si="74"/>
        <v>4</v>
      </c>
      <c r="O246" s="19">
        <f t="shared" ca="1" si="75"/>
        <v>2.3453053758100548</v>
      </c>
      <c r="P246" s="19">
        <f t="shared" ca="1" si="76"/>
        <v>23.453053758100552</v>
      </c>
      <c r="Q246" s="19">
        <f t="shared" ca="1" si="77"/>
        <v>23.453053758100552</v>
      </c>
      <c r="R246" s="19">
        <f t="shared" ca="1" si="78"/>
        <v>2.3453053758100553</v>
      </c>
      <c r="S246" s="19">
        <f t="shared" ca="1" si="79"/>
        <v>2.3453053758100548</v>
      </c>
      <c r="T246" s="19">
        <f t="shared" ca="1" si="80"/>
        <v>0</v>
      </c>
      <c r="U246" s="19">
        <f t="shared" ca="1" si="81"/>
        <v>1456.9587218163997</v>
      </c>
      <c r="V246" s="19">
        <f t="shared" ca="1" si="82"/>
        <v>0</v>
      </c>
      <c r="W246" s="82">
        <f t="shared" ca="1" si="83"/>
        <v>4746.9876707175936</v>
      </c>
      <c r="X246" s="19">
        <f t="shared" ca="1" si="84"/>
        <v>0</v>
      </c>
      <c r="Y246" s="19">
        <f t="shared" si="85"/>
        <v>0</v>
      </c>
      <c r="Z246" s="82">
        <f t="shared" ca="1" si="86"/>
        <v>4746.9876707175936</v>
      </c>
      <c r="AA246" s="19">
        <f t="shared" ca="1" si="87"/>
        <v>0</v>
      </c>
      <c r="AE246" s="19"/>
    </row>
    <row r="247" spans="1:31" ht="12.75" customHeight="1" x14ac:dyDescent="0.2">
      <c r="A247">
        <v>1</v>
      </c>
      <c r="B247">
        <v>3</v>
      </c>
      <c r="C247">
        <f t="shared" ca="1" si="66"/>
        <v>6</v>
      </c>
      <c r="D247">
        <f t="shared" ca="1" si="67"/>
        <v>5</v>
      </c>
      <c r="E247">
        <f t="shared" ca="1" si="68"/>
        <v>1</v>
      </c>
      <c r="F247" s="61">
        <f t="shared" ca="1" si="69"/>
        <v>1.5020963711999999E-2</v>
      </c>
      <c r="G247">
        <v>1</v>
      </c>
      <c r="H247">
        <v>1</v>
      </c>
      <c r="I247">
        <v>4</v>
      </c>
      <c r="J247" s="61">
        <f t="shared" ca="1" si="70"/>
        <v>0</v>
      </c>
      <c r="K247" s="61">
        <f t="shared" ca="1" si="71"/>
        <v>0</v>
      </c>
      <c r="L247" s="82">
        <f t="shared" ca="1" si="72"/>
        <v>366</v>
      </c>
      <c r="M247" s="16">
        <f t="shared" ca="1" si="73"/>
        <v>634</v>
      </c>
      <c r="N247" s="3">
        <f t="shared" ca="1" si="74"/>
        <v>4</v>
      </c>
      <c r="O247" s="19">
        <f t="shared" ca="1" si="75"/>
        <v>2.3453053758100548</v>
      </c>
      <c r="P247" s="19">
        <f t="shared" ca="1" si="76"/>
        <v>23.453053758100552</v>
      </c>
      <c r="Q247" s="19">
        <f t="shared" ca="1" si="77"/>
        <v>23.453053758100552</v>
      </c>
      <c r="R247" s="19">
        <f t="shared" ca="1" si="78"/>
        <v>2.3453053758100553</v>
      </c>
      <c r="S247" s="19">
        <f t="shared" ca="1" si="79"/>
        <v>2.3453053758100548</v>
      </c>
      <c r="T247" s="19">
        <f t="shared" ca="1" si="80"/>
        <v>0</v>
      </c>
      <c r="U247" s="19">
        <f t="shared" ca="1" si="81"/>
        <v>1445.9587218163997</v>
      </c>
      <c r="V247" s="19">
        <f t="shared" ca="1" si="82"/>
        <v>0</v>
      </c>
      <c r="W247" s="82">
        <f t="shared" ca="1" si="83"/>
        <v>4261.0824406828706</v>
      </c>
      <c r="X247" s="19">
        <f t="shared" ca="1" si="84"/>
        <v>0</v>
      </c>
      <c r="Y247" s="19">
        <f t="shared" si="85"/>
        <v>0</v>
      </c>
      <c r="Z247" s="82">
        <f t="shared" ca="1" si="86"/>
        <v>4261.0824406828706</v>
      </c>
      <c r="AA247" s="19">
        <f t="shared" ca="1" si="87"/>
        <v>0</v>
      </c>
      <c r="AE247" s="19"/>
    </row>
    <row r="248" spans="1:31" ht="12.75" customHeight="1" x14ac:dyDescent="0.2">
      <c r="A248">
        <v>1</v>
      </c>
      <c r="B248">
        <v>3</v>
      </c>
      <c r="C248">
        <f t="shared" ca="1" si="66"/>
        <v>6</v>
      </c>
      <c r="D248">
        <f t="shared" ca="1" si="67"/>
        <v>5</v>
      </c>
      <c r="E248">
        <f t="shared" ca="1" si="68"/>
        <v>1</v>
      </c>
      <c r="F248" s="61">
        <f t="shared" ca="1" si="69"/>
        <v>1.5020963711999999E-2</v>
      </c>
      <c r="G248">
        <v>1</v>
      </c>
      <c r="H248">
        <v>1</v>
      </c>
      <c r="I248">
        <v>3</v>
      </c>
      <c r="J248" s="61">
        <f t="shared" ca="1" si="70"/>
        <v>0</v>
      </c>
      <c r="K248" s="61">
        <f t="shared" ca="1" si="71"/>
        <v>0</v>
      </c>
      <c r="L248" s="82">
        <f t="shared" ca="1" si="72"/>
        <v>355</v>
      </c>
      <c r="M248" s="16">
        <f t="shared" ca="1" si="73"/>
        <v>645</v>
      </c>
      <c r="N248" s="3">
        <f t="shared" ca="1" si="74"/>
        <v>4</v>
      </c>
      <c r="O248" s="19">
        <f t="shared" ca="1" si="75"/>
        <v>2.3453053758100548</v>
      </c>
      <c r="P248" s="19">
        <f t="shared" ca="1" si="76"/>
        <v>23.453053758100552</v>
      </c>
      <c r="Q248" s="19">
        <f t="shared" ca="1" si="77"/>
        <v>23.453053758100552</v>
      </c>
      <c r="R248" s="19">
        <f t="shared" ca="1" si="78"/>
        <v>2.3453053758100553</v>
      </c>
      <c r="S248" s="19">
        <f t="shared" ca="1" si="79"/>
        <v>2.3453053758100548</v>
      </c>
      <c r="T248" s="19">
        <f t="shared" ca="1" si="80"/>
        <v>0</v>
      </c>
      <c r="U248" s="19">
        <f t="shared" ca="1" si="81"/>
        <v>1434.9587218163997</v>
      </c>
      <c r="V248" s="19">
        <f t="shared" ca="1" si="82"/>
        <v>0</v>
      </c>
      <c r="W248" s="82">
        <f t="shared" ca="1" si="83"/>
        <v>3775.1772106481485</v>
      </c>
      <c r="X248" s="19">
        <f t="shared" ca="1" si="84"/>
        <v>0</v>
      </c>
      <c r="Y248" s="19">
        <f t="shared" si="85"/>
        <v>0</v>
      </c>
      <c r="Z248" s="82">
        <f t="shared" ca="1" si="86"/>
        <v>3775.1772106481485</v>
      </c>
      <c r="AA248" s="19">
        <f t="shared" ca="1" si="87"/>
        <v>0</v>
      </c>
      <c r="AE248" s="19"/>
    </row>
    <row r="249" spans="1:31" ht="12.75" customHeight="1" x14ac:dyDescent="0.2">
      <c r="A249">
        <v>1</v>
      </c>
      <c r="B249">
        <v>3</v>
      </c>
      <c r="C249">
        <f t="shared" ca="1" si="66"/>
        <v>6</v>
      </c>
      <c r="D249">
        <f t="shared" ca="1" si="67"/>
        <v>5</v>
      </c>
      <c r="E249">
        <f t="shared" ca="1" si="68"/>
        <v>1</v>
      </c>
      <c r="F249" s="61">
        <f t="shared" ca="1" si="69"/>
        <v>1.5020963711999999E-2</v>
      </c>
      <c r="G249">
        <v>1</v>
      </c>
      <c r="H249">
        <v>1</v>
      </c>
      <c r="I249">
        <v>2</v>
      </c>
      <c r="J249" s="61">
        <f t="shared" ca="1" si="70"/>
        <v>0</v>
      </c>
      <c r="K249" s="61">
        <f t="shared" ca="1" si="71"/>
        <v>0</v>
      </c>
      <c r="L249" s="82">
        <f t="shared" ca="1" si="72"/>
        <v>344</v>
      </c>
      <c r="M249" s="16">
        <f t="shared" ca="1" si="73"/>
        <v>656</v>
      </c>
      <c r="N249" s="3">
        <f t="shared" ca="1" si="74"/>
        <v>4</v>
      </c>
      <c r="O249" s="19">
        <f t="shared" ca="1" si="75"/>
        <v>2.3453053758100548</v>
      </c>
      <c r="P249" s="19">
        <f t="shared" ca="1" si="76"/>
        <v>23.453053758100552</v>
      </c>
      <c r="Q249" s="19">
        <f t="shared" ca="1" si="77"/>
        <v>23.453053758100552</v>
      </c>
      <c r="R249" s="19">
        <f t="shared" ca="1" si="78"/>
        <v>2.3453053758100553</v>
      </c>
      <c r="S249" s="19">
        <f t="shared" ca="1" si="79"/>
        <v>2.3453053758100548</v>
      </c>
      <c r="T249" s="19">
        <f t="shared" ca="1" si="80"/>
        <v>0</v>
      </c>
      <c r="U249" s="19">
        <f t="shared" ca="1" si="81"/>
        <v>1423.9587218163997</v>
      </c>
      <c r="V249" s="19">
        <f t="shared" ca="1" si="82"/>
        <v>0</v>
      </c>
      <c r="W249" s="82">
        <f t="shared" ca="1" si="83"/>
        <v>3289.2719806134264</v>
      </c>
      <c r="X249" s="19">
        <f t="shared" ca="1" si="84"/>
        <v>0</v>
      </c>
      <c r="Y249" s="19">
        <f t="shared" si="85"/>
        <v>0</v>
      </c>
      <c r="Z249" s="82">
        <f t="shared" ca="1" si="86"/>
        <v>3289.2719806134264</v>
      </c>
      <c r="AA249" s="19">
        <f t="shared" ca="1" si="87"/>
        <v>0</v>
      </c>
      <c r="AE249" s="19"/>
    </row>
    <row r="250" spans="1:31" ht="12.75" customHeight="1" x14ac:dyDescent="0.2">
      <c r="A250">
        <v>1</v>
      </c>
      <c r="B250">
        <v>3</v>
      </c>
      <c r="C250">
        <f t="shared" ca="1" si="66"/>
        <v>6</v>
      </c>
      <c r="D250">
        <f t="shared" ca="1" si="67"/>
        <v>5</v>
      </c>
      <c r="E250">
        <f t="shared" ca="1" si="68"/>
        <v>1</v>
      </c>
      <c r="F250" s="61">
        <f t="shared" ca="1" si="69"/>
        <v>1.5020963711999999E-2</v>
      </c>
      <c r="G250">
        <v>1</v>
      </c>
      <c r="H250">
        <v>1</v>
      </c>
      <c r="I250">
        <v>1</v>
      </c>
      <c r="J250" s="61">
        <f t="shared" ca="1" si="70"/>
        <v>0</v>
      </c>
      <c r="K250" s="61">
        <f t="shared" ca="1" si="71"/>
        <v>0</v>
      </c>
      <c r="L250" s="82">
        <f t="shared" ca="1" si="72"/>
        <v>333</v>
      </c>
      <c r="M250" s="16">
        <f t="shared" ca="1" si="73"/>
        <v>667</v>
      </c>
      <c r="N250" s="3">
        <f t="shared" ca="1" si="74"/>
        <v>4</v>
      </c>
      <c r="O250" s="19">
        <f t="shared" ca="1" si="75"/>
        <v>2.3453053758100548</v>
      </c>
      <c r="P250" s="19">
        <f t="shared" ca="1" si="76"/>
        <v>23.453053758100552</v>
      </c>
      <c r="Q250" s="19">
        <f t="shared" ca="1" si="77"/>
        <v>23.453053758100552</v>
      </c>
      <c r="R250" s="19">
        <f t="shared" ca="1" si="78"/>
        <v>2.3453053758100553</v>
      </c>
      <c r="S250" s="19">
        <f t="shared" ca="1" si="79"/>
        <v>2.3453053758100548</v>
      </c>
      <c r="T250" s="19">
        <f t="shared" ca="1" si="80"/>
        <v>0</v>
      </c>
      <c r="U250" s="19">
        <f t="shared" ca="1" si="81"/>
        <v>1412.9587218163997</v>
      </c>
      <c r="V250" s="19">
        <f t="shared" ca="1" si="82"/>
        <v>0</v>
      </c>
      <c r="W250" s="82">
        <f t="shared" ca="1" si="83"/>
        <v>2803.3667505787039</v>
      </c>
      <c r="X250" s="19">
        <f t="shared" ca="1" si="84"/>
        <v>0</v>
      </c>
      <c r="Y250" s="19">
        <f t="shared" si="85"/>
        <v>0</v>
      </c>
      <c r="Z250" s="82">
        <f t="shared" ca="1" si="86"/>
        <v>2803.3667505787039</v>
      </c>
      <c r="AA250" s="19">
        <f t="shared" ca="1" si="87"/>
        <v>0</v>
      </c>
      <c r="AE250" s="19"/>
    </row>
    <row r="251" spans="1:31" ht="12.75" customHeight="1" x14ac:dyDescent="0.2">
      <c r="A251">
        <v>1</v>
      </c>
      <c r="B251">
        <v>3</v>
      </c>
      <c r="C251">
        <f t="shared" ca="1" si="66"/>
        <v>6</v>
      </c>
      <c r="D251">
        <f t="shared" ca="1" si="67"/>
        <v>5</v>
      </c>
      <c r="E251">
        <f t="shared" ca="1" si="68"/>
        <v>1</v>
      </c>
      <c r="F251" s="61">
        <f t="shared" ca="1" si="69"/>
        <v>1.5020963711999999E-2</v>
      </c>
      <c r="G251">
        <v>1</v>
      </c>
      <c r="H251">
        <v>1</v>
      </c>
      <c r="I251">
        <v>0</v>
      </c>
      <c r="J251" s="61">
        <f t="shared" ca="1" si="70"/>
        <v>0</v>
      </c>
      <c r="K251" s="61">
        <f t="shared" ca="1" si="71"/>
        <v>0</v>
      </c>
      <c r="L251" s="82">
        <f t="shared" ca="1" si="72"/>
        <v>322</v>
      </c>
      <c r="M251" s="16">
        <f t="shared" ca="1" si="73"/>
        <v>678</v>
      </c>
      <c r="N251" s="3">
        <f t="shared" ca="1" si="74"/>
        <v>4</v>
      </c>
      <c r="O251" s="19">
        <f t="shared" ca="1" si="75"/>
        <v>2.3453053758100548</v>
      </c>
      <c r="P251" s="19">
        <f t="shared" ca="1" si="76"/>
        <v>23.453053758100552</v>
      </c>
      <c r="Q251" s="19">
        <f t="shared" ca="1" si="77"/>
        <v>23.453053758100552</v>
      </c>
      <c r="R251" s="19">
        <f t="shared" ca="1" si="78"/>
        <v>2.3453053758100553</v>
      </c>
      <c r="S251" s="19">
        <f t="shared" ca="1" si="79"/>
        <v>2.3453053758100548</v>
      </c>
      <c r="T251" s="19">
        <f t="shared" ca="1" si="80"/>
        <v>0</v>
      </c>
      <c r="U251" s="19">
        <f t="shared" ca="1" si="81"/>
        <v>1401.9587218163997</v>
      </c>
      <c r="V251" s="19">
        <f t="shared" ca="1" si="82"/>
        <v>0</v>
      </c>
      <c r="W251" s="82">
        <f t="shared" ca="1" si="83"/>
        <v>2317.4615205439818</v>
      </c>
      <c r="X251" s="19">
        <f t="shared" ca="1" si="84"/>
        <v>0</v>
      </c>
      <c r="Y251" s="19">
        <f t="shared" si="85"/>
        <v>0</v>
      </c>
      <c r="Z251" s="82">
        <f t="shared" ca="1" si="86"/>
        <v>2317.4615205439818</v>
      </c>
      <c r="AA251" s="19">
        <f t="shared" ca="1" si="87"/>
        <v>0</v>
      </c>
      <c r="AE251" s="19"/>
    </row>
    <row r="252" spans="1:31" ht="12.75" customHeight="1" x14ac:dyDescent="0.2">
      <c r="A252">
        <v>1</v>
      </c>
      <c r="B252">
        <v>3</v>
      </c>
      <c r="C252">
        <f t="shared" ca="1" si="66"/>
        <v>6</v>
      </c>
      <c r="D252">
        <f t="shared" ca="1" si="67"/>
        <v>5</v>
      </c>
      <c r="E252">
        <f t="shared" ca="1" si="68"/>
        <v>1</v>
      </c>
      <c r="F252" s="61">
        <f t="shared" ca="1" si="69"/>
        <v>1.5020963711999999E-2</v>
      </c>
      <c r="G252">
        <v>1</v>
      </c>
      <c r="H252">
        <v>0</v>
      </c>
      <c r="I252">
        <v>7</v>
      </c>
      <c r="J252" s="61">
        <f t="shared" ca="1" si="70"/>
        <v>0</v>
      </c>
      <c r="K252" s="61">
        <f t="shared" ca="1" si="71"/>
        <v>0</v>
      </c>
      <c r="L252" s="82">
        <f t="shared" ca="1" si="72"/>
        <v>238</v>
      </c>
      <c r="M252" s="16">
        <f t="shared" ca="1" si="73"/>
        <v>762</v>
      </c>
      <c r="N252" s="3">
        <f t="shared" ca="1" si="74"/>
        <v>5</v>
      </c>
      <c r="O252" s="19">
        <f t="shared" ca="1" si="75"/>
        <v>2.8178718937399587</v>
      </c>
      <c r="P252" s="19">
        <f t="shared" ca="1" si="76"/>
        <v>25.815886347750073</v>
      </c>
      <c r="Q252" s="19">
        <f t="shared" ca="1" si="77"/>
        <v>23.453053758100552</v>
      </c>
      <c r="R252" s="19">
        <f t="shared" ca="1" si="78"/>
        <v>2.4634470052925312</v>
      </c>
      <c r="S252" s="19">
        <f t="shared" ca="1" si="79"/>
        <v>2.8178718937399587</v>
      </c>
      <c r="T252" s="19">
        <f t="shared" ca="1" si="80"/>
        <v>0</v>
      </c>
      <c r="U252" s="19">
        <f t="shared" ca="1" si="81"/>
        <v>1497.3251747165598</v>
      </c>
      <c r="V252" s="19">
        <f t="shared" ca="1" si="82"/>
        <v>0</v>
      </c>
      <c r="W252" s="82">
        <f t="shared" ca="1" si="83"/>
        <v>5718.7981307870377</v>
      </c>
      <c r="X252" s="19">
        <f t="shared" ca="1" si="84"/>
        <v>0</v>
      </c>
      <c r="Y252" s="19">
        <f t="shared" si="85"/>
        <v>0</v>
      </c>
      <c r="Z252" s="82">
        <f t="shared" ca="1" si="86"/>
        <v>5718.7981307870377</v>
      </c>
      <c r="AA252" s="19">
        <f t="shared" ca="1" si="87"/>
        <v>0</v>
      </c>
      <c r="AE252" s="19"/>
    </row>
    <row r="253" spans="1:31" ht="12.75" customHeight="1" x14ac:dyDescent="0.2">
      <c r="A253">
        <v>1</v>
      </c>
      <c r="B253">
        <v>3</v>
      </c>
      <c r="C253">
        <f t="shared" ca="1" si="66"/>
        <v>6</v>
      </c>
      <c r="D253">
        <f t="shared" ca="1" si="67"/>
        <v>5</v>
      </c>
      <c r="E253">
        <f t="shared" ca="1" si="68"/>
        <v>1</v>
      </c>
      <c r="F253" s="61">
        <f t="shared" ca="1" si="69"/>
        <v>1.5020963711999999E-2</v>
      </c>
      <c r="G253">
        <v>1</v>
      </c>
      <c r="H253">
        <v>0</v>
      </c>
      <c r="I253">
        <v>6</v>
      </c>
      <c r="J253" s="61">
        <f t="shared" ca="1" si="70"/>
        <v>0</v>
      </c>
      <c r="K253" s="61">
        <f t="shared" ca="1" si="71"/>
        <v>0</v>
      </c>
      <c r="L253" s="82">
        <f t="shared" ca="1" si="72"/>
        <v>227</v>
      </c>
      <c r="M253" s="16">
        <f t="shared" ca="1" si="73"/>
        <v>773</v>
      </c>
      <c r="N253" s="3">
        <f t="shared" ca="1" si="74"/>
        <v>5</v>
      </c>
      <c r="O253" s="19">
        <f t="shared" ca="1" si="75"/>
        <v>2.8178718937399587</v>
      </c>
      <c r="P253" s="19">
        <f t="shared" ca="1" si="76"/>
        <v>28.178718937399587</v>
      </c>
      <c r="Q253" s="19">
        <f t="shared" ca="1" si="77"/>
        <v>26.288452865679979</v>
      </c>
      <c r="R253" s="19">
        <f t="shared" ca="1" si="78"/>
        <v>2.7233585901539783</v>
      </c>
      <c r="S253" s="19">
        <f t="shared" ca="1" si="79"/>
        <v>2.8178718937399587</v>
      </c>
      <c r="T253" s="19">
        <f t="shared" ca="1" si="80"/>
        <v>0</v>
      </c>
      <c r="U253" s="19">
        <f t="shared" ca="1" si="81"/>
        <v>1486.3251747165598</v>
      </c>
      <c r="V253" s="19">
        <f t="shared" ca="1" si="82"/>
        <v>0</v>
      </c>
      <c r="W253" s="82">
        <f t="shared" ca="1" si="83"/>
        <v>5232.8929007523147</v>
      </c>
      <c r="X253" s="19">
        <f t="shared" ca="1" si="84"/>
        <v>0</v>
      </c>
      <c r="Y253" s="19">
        <f t="shared" si="85"/>
        <v>0</v>
      </c>
      <c r="Z253" s="82">
        <f t="shared" ca="1" si="86"/>
        <v>5232.8929007523147</v>
      </c>
      <c r="AA253" s="19">
        <f t="shared" ca="1" si="87"/>
        <v>0</v>
      </c>
      <c r="AE253" s="19"/>
    </row>
    <row r="254" spans="1:31" ht="12.75" customHeight="1" x14ac:dyDescent="0.2">
      <c r="A254">
        <v>1</v>
      </c>
      <c r="B254">
        <v>3</v>
      </c>
      <c r="C254">
        <f t="shared" ca="1" si="66"/>
        <v>6</v>
      </c>
      <c r="D254">
        <f t="shared" ca="1" si="67"/>
        <v>5</v>
      </c>
      <c r="E254">
        <f t="shared" ca="1" si="68"/>
        <v>1</v>
      </c>
      <c r="F254" s="61">
        <f t="shared" ca="1" si="69"/>
        <v>1.5020963711999999E-2</v>
      </c>
      <c r="G254">
        <v>1</v>
      </c>
      <c r="H254">
        <v>0</v>
      </c>
      <c r="I254">
        <v>5</v>
      </c>
      <c r="J254" s="61">
        <f t="shared" ca="1" si="70"/>
        <v>0.73509189062499991</v>
      </c>
      <c r="K254" s="61">
        <f t="shared" ca="1" si="71"/>
        <v>1.1041788614063595E-2</v>
      </c>
      <c r="L254" s="82">
        <f t="shared" ca="1" si="72"/>
        <v>216</v>
      </c>
      <c r="M254" s="16">
        <f t="shared" ca="1" si="73"/>
        <v>784</v>
      </c>
      <c r="N254" s="3">
        <f t="shared" ca="1" si="74"/>
        <v>5</v>
      </c>
      <c r="O254" s="19">
        <f t="shared" ca="1" si="75"/>
        <v>2.8178718937399587</v>
      </c>
      <c r="P254" s="19">
        <f t="shared" ca="1" si="76"/>
        <v>28.178718937399587</v>
      </c>
      <c r="Q254" s="19">
        <f t="shared" ca="1" si="77"/>
        <v>28.178718937399587</v>
      </c>
      <c r="R254" s="19">
        <f t="shared" ca="1" si="78"/>
        <v>2.8178718937399587</v>
      </c>
      <c r="S254" s="19">
        <f t="shared" ca="1" si="79"/>
        <v>2.8178718937399587</v>
      </c>
      <c r="T254" s="19">
        <f t="shared" ca="1" si="80"/>
        <v>3.1114345792187699E-2</v>
      </c>
      <c r="U254" s="19">
        <f t="shared" ca="1" si="81"/>
        <v>1475.3251747165598</v>
      </c>
      <c r="V254" s="19">
        <f t="shared" ca="1" si="82"/>
        <v>16.290228716226693</v>
      </c>
      <c r="W254" s="82">
        <f t="shared" ca="1" si="83"/>
        <v>4746.9876707175936</v>
      </c>
      <c r="X254" s="19">
        <f t="shared" ca="1" si="84"/>
        <v>52.41523441362979</v>
      </c>
      <c r="Y254" s="19">
        <f t="shared" si="85"/>
        <v>0</v>
      </c>
      <c r="Z254" s="82">
        <f t="shared" ca="1" si="86"/>
        <v>4746.9876707175936</v>
      </c>
      <c r="AA254" s="19">
        <f t="shared" ca="1" si="87"/>
        <v>52.41523441362979</v>
      </c>
      <c r="AE254" s="19"/>
    </row>
    <row r="255" spans="1:31" ht="12.75" customHeight="1" x14ac:dyDescent="0.2">
      <c r="A255">
        <v>1</v>
      </c>
      <c r="B255">
        <v>3</v>
      </c>
      <c r="C255">
        <f t="shared" ca="1" si="66"/>
        <v>6</v>
      </c>
      <c r="D255">
        <f t="shared" ca="1" si="67"/>
        <v>5</v>
      </c>
      <c r="E255">
        <f t="shared" ca="1" si="68"/>
        <v>1</v>
      </c>
      <c r="F255" s="61">
        <f t="shared" ca="1" si="69"/>
        <v>1.5020963711999999E-2</v>
      </c>
      <c r="G255">
        <v>1</v>
      </c>
      <c r="H255">
        <v>0</v>
      </c>
      <c r="I255">
        <v>4</v>
      </c>
      <c r="J255" s="61">
        <f t="shared" ca="1" si="70"/>
        <v>0.19344523437500014</v>
      </c>
      <c r="K255" s="61">
        <f t="shared" ca="1" si="71"/>
        <v>2.9057338458062117E-3</v>
      </c>
      <c r="L255" s="82">
        <f t="shared" ca="1" si="72"/>
        <v>205</v>
      </c>
      <c r="M255" s="16">
        <f t="shared" ca="1" si="73"/>
        <v>795</v>
      </c>
      <c r="N255" s="3">
        <f t="shared" ca="1" si="74"/>
        <v>5</v>
      </c>
      <c r="O255" s="19">
        <f t="shared" ca="1" si="75"/>
        <v>2.8178718937399587</v>
      </c>
      <c r="P255" s="19">
        <f t="shared" ca="1" si="76"/>
        <v>28.178718937399587</v>
      </c>
      <c r="Q255" s="19">
        <f t="shared" ca="1" si="77"/>
        <v>28.178718937399587</v>
      </c>
      <c r="R255" s="19">
        <f t="shared" ca="1" si="78"/>
        <v>2.8178718937399587</v>
      </c>
      <c r="S255" s="19">
        <f t="shared" ca="1" si="79"/>
        <v>2.8178718937399587</v>
      </c>
      <c r="T255" s="19">
        <f t="shared" ca="1" si="80"/>
        <v>8.1879857347862423E-3</v>
      </c>
      <c r="U255" s="19">
        <f t="shared" ca="1" si="81"/>
        <v>1464.3251747165598</v>
      </c>
      <c r="V255" s="19">
        <f t="shared" ca="1" si="82"/>
        <v>4.2549392214400026</v>
      </c>
      <c r="W255" s="82">
        <f t="shared" ca="1" si="83"/>
        <v>4261.0824406828706</v>
      </c>
      <c r="X255" s="19">
        <f t="shared" ca="1" si="84"/>
        <v>12.381571467662756</v>
      </c>
      <c r="Y255" s="19">
        <f t="shared" si="85"/>
        <v>0</v>
      </c>
      <c r="Z255" s="82">
        <f t="shared" ca="1" si="86"/>
        <v>4261.0824406828706</v>
      </c>
      <c r="AA255" s="19">
        <f t="shared" ca="1" si="87"/>
        <v>12.381571467662756</v>
      </c>
      <c r="AE255" s="19"/>
    </row>
    <row r="256" spans="1:31" ht="12.75" customHeight="1" x14ac:dyDescent="0.2">
      <c r="A256">
        <v>1</v>
      </c>
      <c r="B256">
        <v>3</v>
      </c>
      <c r="C256">
        <f t="shared" ca="1" si="66"/>
        <v>6</v>
      </c>
      <c r="D256">
        <f t="shared" ca="1" si="67"/>
        <v>5</v>
      </c>
      <c r="E256">
        <f t="shared" ca="1" si="68"/>
        <v>1</v>
      </c>
      <c r="F256" s="61">
        <f t="shared" ca="1" si="69"/>
        <v>1.5020963711999999E-2</v>
      </c>
      <c r="G256">
        <v>1</v>
      </c>
      <c r="H256">
        <v>0</v>
      </c>
      <c r="I256">
        <v>3</v>
      </c>
      <c r="J256" s="61">
        <f t="shared" ca="1" si="70"/>
        <v>2.0362656250000031E-2</v>
      </c>
      <c r="K256" s="61">
        <f t="shared" ca="1" si="71"/>
        <v>3.0586672061118044E-4</v>
      </c>
      <c r="L256" s="82">
        <f t="shared" ca="1" si="72"/>
        <v>194</v>
      </c>
      <c r="M256" s="16">
        <f t="shared" ca="1" si="73"/>
        <v>806</v>
      </c>
      <c r="N256" s="3">
        <f t="shared" ca="1" si="74"/>
        <v>5</v>
      </c>
      <c r="O256" s="19">
        <f t="shared" ca="1" si="75"/>
        <v>2.8178718937399587</v>
      </c>
      <c r="P256" s="19">
        <f t="shared" ca="1" si="76"/>
        <v>28.178718937399587</v>
      </c>
      <c r="Q256" s="19">
        <f t="shared" ca="1" si="77"/>
        <v>28.178718937399587</v>
      </c>
      <c r="R256" s="19">
        <f t="shared" ca="1" si="78"/>
        <v>2.8178718937399587</v>
      </c>
      <c r="S256" s="19">
        <f t="shared" ca="1" si="79"/>
        <v>2.8178718937399587</v>
      </c>
      <c r="T256" s="19">
        <f t="shared" ca="1" si="80"/>
        <v>8.6189323524065787E-4</v>
      </c>
      <c r="U256" s="19">
        <f t="shared" ca="1" si="81"/>
        <v>1453.3251747165598</v>
      </c>
      <c r="V256" s="19">
        <f t="shared" ca="1" si="82"/>
        <v>0.44452380517222501</v>
      </c>
      <c r="W256" s="82">
        <f t="shared" ca="1" si="83"/>
        <v>3775.1772106481485</v>
      </c>
      <c r="X256" s="19">
        <f t="shared" ca="1" si="84"/>
        <v>1.1547010731470126</v>
      </c>
      <c r="Y256" s="19">
        <f t="shared" si="85"/>
        <v>0</v>
      </c>
      <c r="Z256" s="82">
        <f t="shared" ca="1" si="86"/>
        <v>3775.1772106481485</v>
      </c>
      <c r="AA256" s="19">
        <f t="shared" ca="1" si="87"/>
        <v>1.1547010731470126</v>
      </c>
      <c r="AE256" s="19"/>
    </row>
    <row r="257" spans="1:31" ht="12.75" customHeight="1" x14ac:dyDescent="0.2">
      <c r="A257">
        <v>1</v>
      </c>
      <c r="B257">
        <v>3</v>
      </c>
      <c r="C257">
        <f t="shared" ca="1" si="66"/>
        <v>6</v>
      </c>
      <c r="D257">
        <f t="shared" ca="1" si="67"/>
        <v>5</v>
      </c>
      <c r="E257">
        <f t="shared" ca="1" si="68"/>
        <v>1</v>
      </c>
      <c r="F257" s="61">
        <f t="shared" ca="1" si="69"/>
        <v>1.5020963711999999E-2</v>
      </c>
      <c r="G257">
        <v>1</v>
      </c>
      <c r="H257">
        <v>0</v>
      </c>
      <c r="I257">
        <v>2</v>
      </c>
      <c r="J257" s="61">
        <f t="shared" ca="1" si="70"/>
        <v>1.0717187500000028E-3</v>
      </c>
      <c r="K257" s="61">
        <f t="shared" ca="1" si="71"/>
        <v>1.6098248453220041E-5</v>
      </c>
      <c r="L257" s="82">
        <f t="shared" ca="1" si="72"/>
        <v>183</v>
      </c>
      <c r="M257" s="16">
        <f t="shared" ca="1" si="73"/>
        <v>817</v>
      </c>
      <c r="N257" s="3">
        <f t="shared" ca="1" si="74"/>
        <v>5</v>
      </c>
      <c r="O257" s="19">
        <f t="shared" ca="1" si="75"/>
        <v>2.8178718937399587</v>
      </c>
      <c r="P257" s="19">
        <f t="shared" ca="1" si="76"/>
        <v>28.178718937399587</v>
      </c>
      <c r="Q257" s="19">
        <f t="shared" ca="1" si="77"/>
        <v>28.178718937399587</v>
      </c>
      <c r="R257" s="19">
        <f t="shared" ca="1" si="78"/>
        <v>2.8178718937399587</v>
      </c>
      <c r="S257" s="19">
        <f t="shared" ca="1" si="79"/>
        <v>2.8178718937399587</v>
      </c>
      <c r="T257" s="19">
        <f t="shared" ca="1" si="80"/>
        <v>4.5362801854771516E-5</v>
      </c>
      <c r="U257" s="19">
        <f t="shared" ca="1" si="81"/>
        <v>1442.3251747165598</v>
      </c>
      <c r="V257" s="19">
        <f t="shared" ca="1" si="82"/>
        <v>2.3218909012921184E-2</v>
      </c>
      <c r="W257" s="82">
        <f t="shared" ca="1" si="83"/>
        <v>3289.2719806134264</v>
      </c>
      <c r="X257" s="19">
        <f t="shared" ca="1" si="84"/>
        <v>5.2951517574130115E-2</v>
      </c>
      <c r="Y257" s="19">
        <f t="shared" si="85"/>
        <v>0</v>
      </c>
      <c r="Z257" s="82">
        <f t="shared" ca="1" si="86"/>
        <v>3289.2719806134264</v>
      </c>
      <c r="AA257" s="19">
        <f t="shared" ca="1" si="87"/>
        <v>5.2951517574130115E-2</v>
      </c>
      <c r="AE257" s="19"/>
    </row>
    <row r="258" spans="1:31" ht="12.75" customHeight="1" x14ac:dyDescent="0.2">
      <c r="A258">
        <v>1</v>
      </c>
      <c r="B258">
        <v>3</v>
      </c>
      <c r="C258">
        <f t="shared" ca="1" si="66"/>
        <v>6</v>
      </c>
      <c r="D258">
        <f t="shared" ca="1" si="67"/>
        <v>5</v>
      </c>
      <c r="E258">
        <f t="shared" ca="1" si="68"/>
        <v>1</v>
      </c>
      <c r="F258" s="61">
        <f t="shared" ca="1" si="69"/>
        <v>1.5020963711999999E-2</v>
      </c>
      <c r="G258">
        <v>1</v>
      </c>
      <c r="H258">
        <v>0</v>
      </c>
      <c r="I258">
        <v>1</v>
      </c>
      <c r="J258" s="61">
        <f t="shared" ca="1" si="70"/>
        <v>2.8203125000000098E-5</v>
      </c>
      <c r="K258" s="61">
        <f t="shared" ca="1" si="71"/>
        <v>4.2363811719000145E-7</v>
      </c>
      <c r="L258" s="82">
        <f t="shared" ca="1" si="72"/>
        <v>172</v>
      </c>
      <c r="M258" s="16">
        <f t="shared" ca="1" si="73"/>
        <v>828</v>
      </c>
      <c r="N258" s="3">
        <f t="shared" ca="1" si="74"/>
        <v>5</v>
      </c>
      <c r="O258" s="19">
        <f t="shared" ca="1" si="75"/>
        <v>2.8178718937399587</v>
      </c>
      <c r="P258" s="19">
        <f t="shared" ca="1" si="76"/>
        <v>28.178718937399587</v>
      </c>
      <c r="Q258" s="19">
        <f t="shared" ca="1" si="77"/>
        <v>28.178718937399587</v>
      </c>
      <c r="R258" s="19">
        <f t="shared" ca="1" si="78"/>
        <v>2.8178718937399587</v>
      </c>
      <c r="S258" s="19">
        <f t="shared" ca="1" si="79"/>
        <v>2.8178718937399587</v>
      </c>
      <c r="T258" s="19">
        <f t="shared" ca="1" si="80"/>
        <v>1.1937579435466199E-6</v>
      </c>
      <c r="U258" s="19">
        <f t="shared" ca="1" si="81"/>
        <v>1431.3251747165598</v>
      </c>
      <c r="V258" s="19">
        <f t="shared" ca="1" si="82"/>
        <v>6.0636390210357322E-4</v>
      </c>
      <c r="W258" s="82">
        <f t="shared" ca="1" si="83"/>
        <v>2803.3667505787039</v>
      </c>
      <c r="X258" s="19">
        <f t="shared" ca="1" si="84"/>
        <v>1.1876130120082144E-3</v>
      </c>
      <c r="Y258" s="19">
        <f t="shared" si="85"/>
        <v>0</v>
      </c>
      <c r="Z258" s="82">
        <f t="shared" ca="1" si="86"/>
        <v>2803.3667505787039</v>
      </c>
      <c r="AA258" s="19">
        <f t="shared" ca="1" si="87"/>
        <v>1.1876130120082144E-3</v>
      </c>
      <c r="AE258" s="19"/>
    </row>
    <row r="259" spans="1:31" ht="12.75" customHeight="1" x14ac:dyDescent="0.2">
      <c r="A259">
        <v>1</v>
      </c>
      <c r="B259">
        <v>3</v>
      </c>
      <c r="C259">
        <f t="shared" ca="1" si="66"/>
        <v>6</v>
      </c>
      <c r="D259">
        <f t="shared" ca="1" si="67"/>
        <v>5</v>
      </c>
      <c r="E259">
        <f t="shared" ca="1" si="68"/>
        <v>1</v>
      </c>
      <c r="F259" s="61">
        <f t="shared" ca="1" si="69"/>
        <v>1.5020963711999999E-2</v>
      </c>
      <c r="G259">
        <v>1</v>
      </c>
      <c r="H259">
        <v>0</v>
      </c>
      <c r="I259">
        <v>0</v>
      </c>
      <c r="J259" s="61">
        <f t="shared" ca="1" si="70"/>
        <v>2.9687500000000134E-7</v>
      </c>
      <c r="K259" s="61">
        <f t="shared" ca="1" si="71"/>
        <v>4.45934860200002E-9</v>
      </c>
      <c r="L259" s="82">
        <f t="shared" ca="1" si="72"/>
        <v>161</v>
      </c>
      <c r="M259" s="16">
        <f t="shared" ca="1" si="73"/>
        <v>839</v>
      </c>
      <c r="N259" s="3">
        <f t="shared" ca="1" si="74"/>
        <v>5</v>
      </c>
      <c r="O259" s="19">
        <f t="shared" ca="1" si="75"/>
        <v>2.8178718937399587</v>
      </c>
      <c r="P259" s="19">
        <f t="shared" ca="1" si="76"/>
        <v>28.178718937399587</v>
      </c>
      <c r="Q259" s="19">
        <f t="shared" ca="1" si="77"/>
        <v>28.178718937399587</v>
      </c>
      <c r="R259" s="19">
        <f t="shared" ca="1" si="78"/>
        <v>2.8178718937399587</v>
      </c>
      <c r="S259" s="19">
        <f t="shared" ca="1" si="79"/>
        <v>2.8178718937399587</v>
      </c>
      <c r="T259" s="19">
        <f t="shared" ca="1" si="80"/>
        <v>1.2565873089964434E-8</v>
      </c>
      <c r="U259" s="19">
        <f t="shared" ca="1" si="81"/>
        <v>1420.3251747165598</v>
      </c>
      <c r="V259" s="19">
        <f t="shared" ca="1" si="82"/>
        <v>6.3337250822577252E-6</v>
      </c>
      <c r="W259" s="82">
        <f t="shared" ca="1" si="83"/>
        <v>2317.4615205439818</v>
      </c>
      <c r="X259" s="19">
        <f t="shared" ca="1" si="84"/>
        <v>1.0334368791826646E-5</v>
      </c>
      <c r="Y259" s="19">
        <f t="shared" si="85"/>
        <v>0</v>
      </c>
      <c r="Z259" s="82">
        <f t="shared" ca="1" si="86"/>
        <v>2317.4615205439818</v>
      </c>
      <c r="AA259" s="19">
        <f t="shared" ca="1" si="87"/>
        <v>1.0334368791826646E-5</v>
      </c>
      <c r="AE259" s="19"/>
    </row>
    <row r="260" spans="1:31" ht="12.75" customHeight="1" x14ac:dyDescent="0.2">
      <c r="A260">
        <v>1</v>
      </c>
      <c r="B260">
        <v>3</v>
      </c>
      <c r="C260">
        <f t="shared" ca="1" si="66"/>
        <v>6</v>
      </c>
      <c r="D260">
        <f t="shared" ca="1" si="67"/>
        <v>5</v>
      </c>
      <c r="E260">
        <f t="shared" ca="1" si="68"/>
        <v>1</v>
      </c>
      <c r="F260" s="61">
        <f t="shared" ca="1" si="69"/>
        <v>1.5020963711999999E-2</v>
      </c>
      <c r="G260">
        <v>0</v>
      </c>
      <c r="H260">
        <v>1</v>
      </c>
      <c r="I260">
        <v>7</v>
      </c>
      <c r="J260" s="61">
        <f t="shared" ca="1" si="70"/>
        <v>0</v>
      </c>
      <c r="K260" s="61">
        <f t="shared" ca="1" si="71"/>
        <v>0</v>
      </c>
      <c r="L260" s="82">
        <f t="shared" ca="1" si="72"/>
        <v>238</v>
      </c>
      <c r="M260" s="16">
        <f t="shared" ca="1" si="73"/>
        <v>762</v>
      </c>
      <c r="N260" s="3">
        <f t="shared" ca="1" si="74"/>
        <v>5</v>
      </c>
      <c r="O260" s="19">
        <f t="shared" ca="1" si="75"/>
        <v>2.8178718937399587</v>
      </c>
      <c r="P260" s="19">
        <f t="shared" ca="1" si="76"/>
        <v>25.815886347750073</v>
      </c>
      <c r="Q260" s="19">
        <f t="shared" ca="1" si="77"/>
        <v>23.453053758100552</v>
      </c>
      <c r="R260" s="19">
        <f t="shared" ca="1" si="78"/>
        <v>2.4634470052925312</v>
      </c>
      <c r="S260" s="19">
        <f t="shared" ca="1" si="79"/>
        <v>2.8178718937399587</v>
      </c>
      <c r="T260" s="19">
        <f t="shared" ca="1" si="80"/>
        <v>0</v>
      </c>
      <c r="U260" s="19">
        <f t="shared" ca="1" si="81"/>
        <v>1497.3251747165598</v>
      </c>
      <c r="V260" s="19">
        <f t="shared" ca="1" si="82"/>
        <v>0</v>
      </c>
      <c r="W260" s="82">
        <f t="shared" ca="1" si="83"/>
        <v>3401.3366102430559</v>
      </c>
      <c r="X260" s="19">
        <f t="shared" ca="1" si="84"/>
        <v>0</v>
      </c>
      <c r="Y260" s="19">
        <f t="shared" si="85"/>
        <v>0</v>
      </c>
      <c r="Z260" s="82">
        <f t="shared" ca="1" si="86"/>
        <v>3401.3366102430559</v>
      </c>
      <c r="AA260" s="19">
        <f t="shared" ca="1" si="87"/>
        <v>0</v>
      </c>
      <c r="AE260" s="19"/>
    </row>
    <row r="261" spans="1:31" ht="12.75" customHeight="1" x14ac:dyDescent="0.2">
      <c r="A261">
        <v>1</v>
      </c>
      <c r="B261">
        <v>3</v>
      </c>
      <c r="C261">
        <f t="shared" ca="1" si="66"/>
        <v>6</v>
      </c>
      <c r="D261">
        <f t="shared" ca="1" si="67"/>
        <v>5</v>
      </c>
      <c r="E261">
        <f t="shared" ca="1" si="68"/>
        <v>1</v>
      </c>
      <c r="F261" s="61">
        <f t="shared" ca="1" si="69"/>
        <v>1.5020963711999999E-2</v>
      </c>
      <c r="G261">
        <v>0</v>
      </c>
      <c r="H261">
        <v>1</v>
      </c>
      <c r="I261">
        <v>6</v>
      </c>
      <c r="J261" s="61">
        <f t="shared" ca="1" si="70"/>
        <v>0</v>
      </c>
      <c r="K261" s="61">
        <f t="shared" ca="1" si="71"/>
        <v>0</v>
      </c>
      <c r="L261" s="82">
        <f t="shared" ca="1" si="72"/>
        <v>227</v>
      </c>
      <c r="M261" s="16">
        <f t="shared" ca="1" si="73"/>
        <v>773</v>
      </c>
      <c r="N261" s="3">
        <f t="shared" ca="1" si="74"/>
        <v>5</v>
      </c>
      <c r="O261" s="19">
        <f t="shared" ca="1" si="75"/>
        <v>2.8178718937399587</v>
      </c>
      <c r="P261" s="19">
        <f t="shared" ca="1" si="76"/>
        <v>28.178718937399587</v>
      </c>
      <c r="Q261" s="19">
        <f t="shared" ca="1" si="77"/>
        <v>26.288452865679979</v>
      </c>
      <c r="R261" s="19">
        <f t="shared" ca="1" si="78"/>
        <v>2.7233585901539783</v>
      </c>
      <c r="S261" s="19">
        <f t="shared" ca="1" si="79"/>
        <v>2.8178718937399587</v>
      </c>
      <c r="T261" s="19">
        <f t="shared" ca="1" si="80"/>
        <v>0</v>
      </c>
      <c r="U261" s="19">
        <f t="shared" ca="1" si="81"/>
        <v>1486.3251747165598</v>
      </c>
      <c r="V261" s="19">
        <f t="shared" ca="1" si="82"/>
        <v>0</v>
      </c>
      <c r="W261" s="82">
        <f t="shared" ca="1" si="83"/>
        <v>2915.4313802083334</v>
      </c>
      <c r="X261" s="19">
        <f t="shared" ca="1" si="84"/>
        <v>0</v>
      </c>
      <c r="Y261" s="19">
        <f t="shared" si="85"/>
        <v>0</v>
      </c>
      <c r="Z261" s="82">
        <f t="shared" ca="1" si="86"/>
        <v>2915.4313802083334</v>
      </c>
      <c r="AA261" s="19">
        <f t="shared" ca="1" si="87"/>
        <v>0</v>
      </c>
      <c r="AE261" s="19"/>
    </row>
    <row r="262" spans="1:31" ht="12.75" customHeight="1" x14ac:dyDescent="0.2">
      <c r="A262">
        <v>1</v>
      </c>
      <c r="B262">
        <v>3</v>
      </c>
      <c r="C262">
        <f t="shared" ca="1" si="66"/>
        <v>6</v>
      </c>
      <c r="D262">
        <f t="shared" ca="1" si="67"/>
        <v>5</v>
      </c>
      <c r="E262">
        <f t="shared" ca="1" si="68"/>
        <v>1</v>
      </c>
      <c r="F262" s="61">
        <f t="shared" ca="1" si="69"/>
        <v>1.5020963711999999E-2</v>
      </c>
      <c r="G262">
        <v>0</v>
      </c>
      <c r="H262">
        <v>1</v>
      </c>
      <c r="I262">
        <v>5</v>
      </c>
      <c r="J262" s="61">
        <f t="shared" ca="1" si="70"/>
        <v>0</v>
      </c>
      <c r="K262" s="61">
        <f t="shared" ca="1" si="71"/>
        <v>0</v>
      </c>
      <c r="L262" s="82">
        <f t="shared" ca="1" si="72"/>
        <v>216</v>
      </c>
      <c r="M262" s="16">
        <f t="shared" ca="1" si="73"/>
        <v>784</v>
      </c>
      <c r="N262" s="3">
        <f t="shared" ca="1" si="74"/>
        <v>5</v>
      </c>
      <c r="O262" s="19">
        <f t="shared" ca="1" si="75"/>
        <v>2.8178718937399587</v>
      </c>
      <c r="P262" s="19">
        <f t="shared" ca="1" si="76"/>
        <v>28.178718937399587</v>
      </c>
      <c r="Q262" s="19">
        <f t="shared" ca="1" si="77"/>
        <v>28.178718937399587</v>
      </c>
      <c r="R262" s="19">
        <f t="shared" ca="1" si="78"/>
        <v>2.8178718937399587</v>
      </c>
      <c r="S262" s="19">
        <f t="shared" ca="1" si="79"/>
        <v>2.8178718937399587</v>
      </c>
      <c r="T262" s="19">
        <f t="shared" ca="1" si="80"/>
        <v>0</v>
      </c>
      <c r="U262" s="19">
        <f t="shared" ca="1" si="81"/>
        <v>1475.3251747165598</v>
      </c>
      <c r="V262" s="19">
        <f t="shared" ca="1" si="82"/>
        <v>0</v>
      </c>
      <c r="W262" s="82">
        <f t="shared" ca="1" si="83"/>
        <v>2429.5261501736113</v>
      </c>
      <c r="X262" s="19">
        <f t="shared" ca="1" si="84"/>
        <v>0</v>
      </c>
      <c r="Y262" s="19">
        <f t="shared" si="85"/>
        <v>0</v>
      </c>
      <c r="Z262" s="82">
        <f t="shared" ca="1" si="86"/>
        <v>2429.5261501736113</v>
      </c>
      <c r="AA262" s="19">
        <f t="shared" ca="1" si="87"/>
        <v>0</v>
      </c>
      <c r="AE262" s="19"/>
    </row>
    <row r="263" spans="1:31" ht="12.75" customHeight="1" x14ac:dyDescent="0.2">
      <c r="A263">
        <v>1</v>
      </c>
      <c r="B263">
        <v>3</v>
      </c>
      <c r="C263">
        <f t="shared" ca="1" si="66"/>
        <v>6</v>
      </c>
      <c r="D263">
        <f t="shared" ca="1" si="67"/>
        <v>5</v>
      </c>
      <c r="E263">
        <f t="shared" ca="1" si="68"/>
        <v>1</v>
      </c>
      <c r="F263" s="61">
        <f t="shared" ca="1" si="69"/>
        <v>1.5020963711999999E-2</v>
      </c>
      <c r="G263">
        <v>0</v>
      </c>
      <c r="H263">
        <v>1</v>
      </c>
      <c r="I263">
        <v>4</v>
      </c>
      <c r="J263" s="61">
        <f t="shared" ca="1" si="70"/>
        <v>0</v>
      </c>
      <c r="K263" s="61">
        <f t="shared" ca="1" si="71"/>
        <v>0</v>
      </c>
      <c r="L263" s="82">
        <f t="shared" ca="1" si="72"/>
        <v>205</v>
      </c>
      <c r="M263" s="16">
        <f t="shared" ca="1" si="73"/>
        <v>795</v>
      </c>
      <c r="N263" s="3">
        <f t="shared" ca="1" si="74"/>
        <v>5</v>
      </c>
      <c r="O263" s="19">
        <f t="shared" ca="1" si="75"/>
        <v>2.8178718937399587</v>
      </c>
      <c r="P263" s="19">
        <f t="shared" ca="1" si="76"/>
        <v>28.178718937399587</v>
      </c>
      <c r="Q263" s="19">
        <f t="shared" ca="1" si="77"/>
        <v>28.178718937399587</v>
      </c>
      <c r="R263" s="19">
        <f t="shared" ca="1" si="78"/>
        <v>2.8178718937399587</v>
      </c>
      <c r="S263" s="19">
        <f t="shared" ca="1" si="79"/>
        <v>2.8178718937399587</v>
      </c>
      <c r="T263" s="19">
        <f t="shared" ca="1" si="80"/>
        <v>0</v>
      </c>
      <c r="U263" s="19">
        <f t="shared" ca="1" si="81"/>
        <v>1464.3251747165598</v>
      </c>
      <c r="V263" s="19">
        <f t="shared" ca="1" si="82"/>
        <v>0</v>
      </c>
      <c r="W263" s="82">
        <f t="shared" ca="1" si="83"/>
        <v>1943.620920138889</v>
      </c>
      <c r="X263" s="19">
        <f t="shared" ca="1" si="84"/>
        <v>0</v>
      </c>
      <c r="Y263" s="19">
        <f t="shared" si="85"/>
        <v>0</v>
      </c>
      <c r="Z263" s="82">
        <f t="shared" ca="1" si="86"/>
        <v>1943.620920138889</v>
      </c>
      <c r="AA263" s="19">
        <f t="shared" ca="1" si="87"/>
        <v>0</v>
      </c>
      <c r="AE263" s="19"/>
    </row>
    <row r="264" spans="1:31" ht="12.75" customHeight="1" x14ac:dyDescent="0.2">
      <c r="A264">
        <v>1</v>
      </c>
      <c r="B264">
        <v>3</v>
      </c>
      <c r="C264">
        <f t="shared" ca="1" si="66"/>
        <v>6</v>
      </c>
      <c r="D264">
        <f t="shared" ca="1" si="67"/>
        <v>5</v>
      </c>
      <c r="E264">
        <f t="shared" ca="1" si="68"/>
        <v>1</v>
      </c>
      <c r="F264" s="61">
        <f t="shared" ca="1" si="69"/>
        <v>1.5020963711999999E-2</v>
      </c>
      <c r="G264">
        <v>0</v>
      </c>
      <c r="H264">
        <v>1</v>
      </c>
      <c r="I264">
        <v>3</v>
      </c>
      <c r="J264" s="61">
        <f t="shared" ca="1" si="70"/>
        <v>0</v>
      </c>
      <c r="K264" s="61">
        <f t="shared" ca="1" si="71"/>
        <v>0</v>
      </c>
      <c r="L264" s="82">
        <f t="shared" ca="1" si="72"/>
        <v>194</v>
      </c>
      <c r="M264" s="16">
        <f t="shared" ca="1" si="73"/>
        <v>806</v>
      </c>
      <c r="N264" s="3">
        <f t="shared" ca="1" si="74"/>
        <v>5</v>
      </c>
      <c r="O264" s="19">
        <f t="shared" ca="1" si="75"/>
        <v>2.8178718937399587</v>
      </c>
      <c r="P264" s="19">
        <f t="shared" ca="1" si="76"/>
        <v>28.178718937399587</v>
      </c>
      <c r="Q264" s="19">
        <f t="shared" ca="1" si="77"/>
        <v>28.178718937399587</v>
      </c>
      <c r="R264" s="19">
        <f t="shared" ca="1" si="78"/>
        <v>2.8178718937399587</v>
      </c>
      <c r="S264" s="19">
        <f t="shared" ca="1" si="79"/>
        <v>2.8178718937399587</v>
      </c>
      <c r="T264" s="19">
        <f t="shared" ca="1" si="80"/>
        <v>0</v>
      </c>
      <c r="U264" s="19">
        <f t="shared" ca="1" si="81"/>
        <v>1453.3251747165598</v>
      </c>
      <c r="V264" s="19">
        <f t="shared" ca="1" si="82"/>
        <v>0</v>
      </c>
      <c r="W264" s="82">
        <f t="shared" ca="1" si="83"/>
        <v>1457.7156901041667</v>
      </c>
      <c r="X264" s="19">
        <f t="shared" ca="1" si="84"/>
        <v>0</v>
      </c>
      <c r="Y264" s="19">
        <f t="shared" si="85"/>
        <v>0</v>
      </c>
      <c r="Z264" s="82">
        <f t="shared" ca="1" si="86"/>
        <v>1457.7156901041667</v>
      </c>
      <c r="AA264" s="19">
        <f t="shared" ca="1" si="87"/>
        <v>0</v>
      </c>
      <c r="AE264" s="19"/>
    </row>
    <row r="265" spans="1:31" ht="12.75" customHeight="1" x14ac:dyDescent="0.2">
      <c r="A265">
        <v>1</v>
      </c>
      <c r="B265">
        <v>3</v>
      </c>
      <c r="C265">
        <f t="shared" ca="1" si="66"/>
        <v>6</v>
      </c>
      <c r="D265">
        <f t="shared" ca="1" si="67"/>
        <v>5</v>
      </c>
      <c r="E265">
        <f t="shared" ca="1" si="68"/>
        <v>1</v>
      </c>
      <c r="F265" s="61">
        <f t="shared" ca="1" si="69"/>
        <v>1.5020963711999999E-2</v>
      </c>
      <c r="G265">
        <v>0</v>
      </c>
      <c r="H265">
        <v>1</v>
      </c>
      <c r="I265">
        <v>2</v>
      </c>
      <c r="J265" s="61">
        <f t="shared" ca="1" si="70"/>
        <v>0</v>
      </c>
      <c r="K265" s="61">
        <f t="shared" ca="1" si="71"/>
        <v>0</v>
      </c>
      <c r="L265" s="82">
        <f t="shared" ca="1" si="72"/>
        <v>183</v>
      </c>
      <c r="M265" s="16">
        <f t="shared" ca="1" si="73"/>
        <v>817</v>
      </c>
      <c r="N265" s="3">
        <f t="shared" ca="1" si="74"/>
        <v>5</v>
      </c>
      <c r="O265" s="19">
        <f t="shared" ca="1" si="75"/>
        <v>2.8178718937399587</v>
      </c>
      <c r="P265" s="19">
        <f t="shared" ca="1" si="76"/>
        <v>28.178718937399587</v>
      </c>
      <c r="Q265" s="19">
        <f t="shared" ca="1" si="77"/>
        <v>28.178718937399587</v>
      </c>
      <c r="R265" s="19">
        <f t="shared" ca="1" si="78"/>
        <v>2.8178718937399587</v>
      </c>
      <c r="S265" s="19">
        <f t="shared" ca="1" si="79"/>
        <v>2.8178718937399587</v>
      </c>
      <c r="T265" s="19">
        <f t="shared" ca="1" si="80"/>
        <v>0</v>
      </c>
      <c r="U265" s="19">
        <f t="shared" ca="1" si="81"/>
        <v>1442.3251747165598</v>
      </c>
      <c r="V265" s="19">
        <f t="shared" ca="1" si="82"/>
        <v>0</v>
      </c>
      <c r="W265" s="82">
        <f t="shared" ca="1" si="83"/>
        <v>971.8104600694445</v>
      </c>
      <c r="X265" s="19">
        <f t="shared" ca="1" si="84"/>
        <v>0</v>
      </c>
      <c r="Y265" s="19">
        <f t="shared" si="85"/>
        <v>0</v>
      </c>
      <c r="Z265" s="82">
        <f t="shared" ca="1" si="86"/>
        <v>971.8104600694445</v>
      </c>
      <c r="AA265" s="19">
        <f t="shared" ca="1" si="87"/>
        <v>0</v>
      </c>
      <c r="AE265" s="19"/>
    </row>
    <row r="266" spans="1:31" ht="12.75" customHeight="1" x14ac:dyDescent="0.2">
      <c r="A266">
        <v>1</v>
      </c>
      <c r="B266">
        <v>3</v>
      </c>
      <c r="C266">
        <f t="shared" ca="1" si="66"/>
        <v>6</v>
      </c>
      <c r="D266">
        <f t="shared" ca="1" si="67"/>
        <v>5</v>
      </c>
      <c r="E266">
        <f t="shared" ca="1" si="68"/>
        <v>1</v>
      </c>
      <c r="F266" s="61">
        <f t="shared" ca="1" si="69"/>
        <v>1.5020963711999999E-2</v>
      </c>
      <c r="G266">
        <v>0</v>
      </c>
      <c r="H266">
        <v>1</v>
      </c>
      <c r="I266">
        <v>1</v>
      </c>
      <c r="J266" s="61">
        <f t="shared" ca="1" si="70"/>
        <v>0</v>
      </c>
      <c r="K266" s="61">
        <f t="shared" ca="1" si="71"/>
        <v>0</v>
      </c>
      <c r="L266" s="82">
        <f t="shared" ca="1" si="72"/>
        <v>172</v>
      </c>
      <c r="M266" s="16">
        <f t="shared" ca="1" si="73"/>
        <v>828</v>
      </c>
      <c r="N266" s="3">
        <f t="shared" ca="1" si="74"/>
        <v>5</v>
      </c>
      <c r="O266" s="19">
        <f t="shared" ca="1" si="75"/>
        <v>2.8178718937399587</v>
      </c>
      <c r="P266" s="19">
        <f t="shared" ca="1" si="76"/>
        <v>28.178718937399587</v>
      </c>
      <c r="Q266" s="19">
        <f t="shared" ca="1" si="77"/>
        <v>28.178718937399587</v>
      </c>
      <c r="R266" s="19">
        <f t="shared" ca="1" si="78"/>
        <v>2.8178718937399587</v>
      </c>
      <c r="S266" s="19">
        <f t="shared" ca="1" si="79"/>
        <v>2.8178718937399587</v>
      </c>
      <c r="T266" s="19">
        <f t="shared" ca="1" si="80"/>
        <v>0</v>
      </c>
      <c r="U266" s="19">
        <f t="shared" ca="1" si="81"/>
        <v>1431.3251747165598</v>
      </c>
      <c r="V266" s="19">
        <f t="shared" ca="1" si="82"/>
        <v>0</v>
      </c>
      <c r="W266" s="82">
        <f t="shared" ca="1" si="83"/>
        <v>485.90523003472225</v>
      </c>
      <c r="X266" s="19">
        <f t="shared" ca="1" si="84"/>
        <v>0</v>
      </c>
      <c r="Y266" s="19">
        <f t="shared" si="85"/>
        <v>0</v>
      </c>
      <c r="Z266" s="82">
        <f t="shared" ca="1" si="86"/>
        <v>485.90523003472225</v>
      </c>
      <c r="AA266" s="19">
        <f t="shared" ca="1" si="87"/>
        <v>0</v>
      </c>
      <c r="AE266" s="19"/>
    </row>
    <row r="267" spans="1:31" ht="12.75" customHeight="1" x14ac:dyDescent="0.2">
      <c r="A267">
        <v>1</v>
      </c>
      <c r="B267">
        <v>3</v>
      </c>
      <c r="C267">
        <f t="shared" ca="1" si="66"/>
        <v>6</v>
      </c>
      <c r="D267">
        <f t="shared" ca="1" si="67"/>
        <v>5</v>
      </c>
      <c r="E267">
        <f t="shared" ca="1" si="68"/>
        <v>1</v>
      </c>
      <c r="F267" s="61">
        <f t="shared" ca="1" si="69"/>
        <v>1.5020963711999999E-2</v>
      </c>
      <c r="G267">
        <v>0</v>
      </c>
      <c r="H267">
        <v>1</v>
      </c>
      <c r="I267">
        <v>0</v>
      </c>
      <c r="J267" s="61">
        <f t="shared" ca="1" si="70"/>
        <v>0</v>
      </c>
      <c r="K267" s="61">
        <f t="shared" ca="1" si="71"/>
        <v>0</v>
      </c>
      <c r="L267" s="82">
        <f t="shared" ca="1" si="72"/>
        <v>161</v>
      </c>
      <c r="M267" s="16">
        <f t="shared" ca="1" si="73"/>
        <v>839</v>
      </c>
      <c r="N267" s="3">
        <f t="shared" ca="1" si="74"/>
        <v>5</v>
      </c>
      <c r="O267" s="19">
        <f t="shared" ca="1" si="75"/>
        <v>2.8178718937399587</v>
      </c>
      <c r="P267" s="19">
        <f t="shared" ca="1" si="76"/>
        <v>28.178718937399587</v>
      </c>
      <c r="Q267" s="19">
        <f t="shared" ca="1" si="77"/>
        <v>28.178718937399587</v>
      </c>
      <c r="R267" s="19">
        <f t="shared" ca="1" si="78"/>
        <v>2.8178718937399587</v>
      </c>
      <c r="S267" s="19">
        <f t="shared" ca="1" si="79"/>
        <v>2.8178718937399587</v>
      </c>
      <c r="T267" s="19">
        <f t="shared" ca="1" si="80"/>
        <v>0</v>
      </c>
      <c r="U267" s="19">
        <f t="shared" ca="1" si="81"/>
        <v>1420.3251747165598</v>
      </c>
      <c r="V267" s="19">
        <f t="shared" ca="1" si="82"/>
        <v>0</v>
      </c>
      <c r="W267" s="82">
        <f t="shared" ca="1" si="83"/>
        <v>0</v>
      </c>
      <c r="X267" s="19">
        <f t="shared" ca="1" si="84"/>
        <v>0</v>
      </c>
      <c r="Y267" s="19">
        <f t="shared" si="85"/>
        <v>0</v>
      </c>
      <c r="Z267" s="82">
        <f t="shared" ca="1" si="86"/>
        <v>0</v>
      </c>
      <c r="AA267" s="19">
        <f t="shared" ca="1" si="87"/>
        <v>0</v>
      </c>
      <c r="AE267" s="19"/>
    </row>
    <row r="268" spans="1:31" ht="12.75" customHeight="1" x14ac:dyDescent="0.2">
      <c r="A268">
        <v>1</v>
      </c>
      <c r="B268">
        <v>3</v>
      </c>
      <c r="C268">
        <f t="shared" ca="1" si="66"/>
        <v>6</v>
      </c>
      <c r="D268">
        <f t="shared" ca="1" si="67"/>
        <v>5</v>
      </c>
      <c r="E268">
        <f t="shared" ca="1" si="68"/>
        <v>1</v>
      </c>
      <c r="F268" s="61">
        <f t="shared" ca="1" si="69"/>
        <v>1.5020963711999999E-2</v>
      </c>
      <c r="G268">
        <v>0</v>
      </c>
      <c r="H268">
        <v>0</v>
      </c>
      <c r="I268">
        <v>7</v>
      </c>
      <c r="J268" s="61">
        <f t="shared" ca="1" si="70"/>
        <v>0</v>
      </c>
      <c r="K268" s="61">
        <f t="shared" ca="1" si="71"/>
        <v>0</v>
      </c>
      <c r="L268" s="82">
        <f t="shared" ca="1" si="72"/>
        <v>77</v>
      </c>
      <c r="M268" s="16">
        <f t="shared" ca="1" si="73"/>
        <v>923</v>
      </c>
      <c r="N268" s="3">
        <f t="shared" ca="1" si="74"/>
        <v>5</v>
      </c>
      <c r="O268" s="19">
        <f t="shared" ca="1" si="75"/>
        <v>2.8178718937399587</v>
      </c>
      <c r="P268" s="19">
        <f t="shared" ca="1" si="76"/>
        <v>28.178718937399587</v>
      </c>
      <c r="Q268" s="19">
        <f t="shared" ca="1" si="77"/>
        <v>28.178718937399587</v>
      </c>
      <c r="R268" s="19">
        <f t="shared" ca="1" si="78"/>
        <v>2.8178718937399587</v>
      </c>
      <c r="S268" s="19">
        <f t="shared" ca="1" si="79"/>
        <v>2.8178718937399587</v>
      </c>
      <c r="T268" s="19">
        <f t="shared" ca="1" si="80"/>
        <v>0</v>
      </c>
      <c r="U268" s="19">
        <f t="shared" ca="1" si="81"/>
        <v>1336.3251747165598</v>
      </c>
      <c r="V268" s="19">
        <f t="shared" ca="1" si="82"/>
        <v>0</v>
      </c>
      <c r="W268" s="82">
        <f t="shared" ca="1" si="83"/>
        <v>3401.3366102430559</v>
      </c>
      <c r="X268" s="19">
        <f t="shared" ca="1" si="84"/>
        <v>0</v>
      </c>
      <c r="Y268" s="19">
        <f t="shared" si="85"/>
        <v>0</v>
      </c>
      <c r="Z268" s="82">
        <f t="shared" ca="1" si="86"/>
        <v>3401.3366102430559</v>
      </c>
      <c r="AA268" s="19">
        <f t="shared" ca="1" si="87"/>
        <v>0</v>
      </c>
      <c r="AE268" s="19"/>
    </row>
    <row r="269" spans="1:31" ht="12.75" customHeight="1" x14ac:dyDescent="0.2">
      <c r="A269">
        <v>1</v>
      </c>
      <c r="B269">
        <v>3</v>
      </c>
      <c r="C269">
        <f t="shared" ca="1" si="66"/>
        <v>6</v>
      </c>
      <c r="D269">
        <f t="shared" ca="1" si="67"/>
        <v>5</v>
      </c>
      <c r="E269">
        <f t="shared" ca="1" si="68"/>
        <v>1</v>
      </c>
      <c r="F269" s="61">
        <f t="shared" ca="1" si="69"/>
        <v>1.5020963711999999E-2</v>
      </c>
      <c r="G269">
        <v>0</v>
      </c>
      <c r="H269">
        <v>0</v>
      </c>
      <c r="I269">
        <v>6</v>
      </c>
      <c r="J269" s="61">
        <f t="shared" ca="1" si="70"/>
        <v>0</v>
      </c>
      <c r="K269" s="61">
        <f t="shared" ca="1" si="71"/>
        <v>0</v>
      </c>
      <c r="L269" s="82">
        <f t="shared" ca="1" si="72"/>
        <v>66</v>
      </c>
      <c r="M269" s="16">
        <f t="shared" ca="1" si="73"/>
        <v>934</v>
      </c>
      <c r="N269" s="3">
        <f t="shared" ca="1" si="74"/>
        <v>5</v>
      </c>
      <c r="O269" s="19">
        <f t="shared" ca="1" si="75"/>
        <v>2.8178718937399587</v>
      </c>
      <c r="P269" s="19">
        <f t="shared" ca="1" si="76"/>
        <v>28.178718937399587</v>
      </c>
      <c r="Q269" s="19">
        <f t="shared" ca="1" si="77"/>
        <v>28.178718937399587</v>
      </c>
      <c r="R269" s="19">
        <f t="shared" ca="1" si="78"/>
        <v>2.8178718937399587</v>
      </c>
      <c r="S269" s="19">
        <f t="shared" ca="1" si="79"/>
        <v>2.8178718937399587</v>
      </c>
      <c r="T269" s="19">
        <f t="shared" ca="1" si="80"/>
        <v>0</v>
      </c>
      <c r="U269" s="19">
        <f t="shared" ca="1" si="81"/>
        <v>1325.3251747165598</v>
      </c>
      <c r="V269" s="19">
        <f t="shared" ca="1" si="82"/>
        <v>0</v>
      </c>
      <c r="W269" s="82">
        <f t="shared" ca="1" si="83"/>
        <v>2915.4313802083334</v>
      </c>
      <c r="X269" s="19">
        <f t="shared" ca="1" si="84"/>
        <v>0</v>
      </c>
      <c r="Y269" s="19">
        <f t="shared" si="85"/>
        <v>0</v>
      </c>
      <c r="Z269" s="82">
        <f t="shared" ca="1" si="86"/>
        <v>2915.4313802083334</v>
      </c>
      <c r="AA269" s="19">
        <f t="shared" ca="1" si="87"/>
        <v>0</v>
      </c>
      <c r="AE269" s="19"/>
    </row>
    <row r="270" spans="1:31" ht="12.75" customHeight="1" x14ac:dyDescent="0.2">
      <c r="A270">
        <v>1</v>
      </c>
      <c r="B270">
        <v>3</v>
      </c>
      <c r="C270">
        <f t="shared" ca="1" si="66"/>
        <v>6</v>
      </c>
      <c r="D270">
        <f t="shared" ca="1" si="67"/>
        <v>5</v>
      </c>
      <c r="E270">
        <f t="shared" ca="1" si="68"/>
        <v>1</v>
      </c>
      <c r="F270" s="61">
        <f t="shared" ca="1" si="69"/>
        <v>1.5020963711999999E-2</v>
      </c>
      <c r="G270">
        <v>0</v>
      </c>
      <c r="H270">
        <v>0</v>
      </c>
      <c r="I270">
        <v>5</v>
      </c>
      <c r="J270" s="61">
        <f t="shared" ca="1" si="70"/>
        <v>3.8689046875000001E-2</v>
      </c>
      <c r="K270" s="61">
        <f t="shared" ca="1" si="71"/>
        <v>5.8114676916124202E-4</v>
      </c>
      <c r="L270" s="82">
        <f t="shared" ca="1" si="72"/>
        <v>55</v>
      </c>
      <c r="M270" s="16">
        <f t="shared" ca="1" si="73"/>
        <v>945</v>
      </c>
      <c r="N270" s="3">
        <f t="shared" ca="1" si="74"/>
        <v>5</v>
      </c>
      <c r="O270" s="19">
        <f t="shared" ca="1" si="75"/>
        <v>2.8178718937399587</v>
      </c>
      <c r="P270" s="19">
        <f t="shared" ca="1" si="76"/>
        <v>28.178718937399587</v>
      </c>
      <c r="Q270" s="19">
        <f t="shared" ca="1" si="77"/>
        <v>28.178718937399587</v>
      </c>
      <c r="R270" s="19">
        <f t="shared" ca="1" si="78"/>
        <v>2.8178718937399587</v>
      </c>
      <c r="S270" s="19">
        <f t="shared" ca="1" si="79"/>
        <v>2.8178718937399587</v>
      </c>
      <c r="T270" s="19">
        <f t="shared" ca="1" si="80"/>
        <v>1.6375971469572478E-3</v>
      </c>
      <c r="U270" s="19">
        <f t="shared" ca="1" si="81"/>
        <v>1314.3251747165598</v>
      </c>
      <c r="V270" s="19">
        <f t="shared" ca="1" si="82"/>
        <v>0.76381582891381361</v>
      </c>
      <c r="W270" s="82">
        <f t="shared" ca="1" si="83"/>
        <v>2429.5261501736113</v>
      </c>
      <c r="X270" s="19">
        <f t="shared" ca="1" si="84"/>
        <v>1.4119112727661447</v>
      </c>
      <c r="Y270" s="19">
        <f t="shared" si="85"/>
        <v>0</v>
      </c>
      <c r="Z270" s="82">
        <f t="shared" ca="1" si="86"/>
        <v>2429.5261501736113</v>
      </c>
      <c r="AA270" s="19">
        <f t="shared" ca="1" si="87"/>
        <v>1.4119112727661447</v>
      </c>
      <c r="AE270" s="19"/>
    </row>
    <row r="271" spans="1:31" ht="12.75" customHeight="1" x14ac:dyDescent="0.2">
      <c r="A271">
        <v>1</v>
      </c>
      <c r="B271">
        <v>3</v>
      </c>
      <c r="C271">
        <f t="shared" ca="1" si="66"/>
        <v>6</v>
      </c>
      <c r="D271">
        <f t="shared" ca="1" si="67"/>
        <v>5</v>
      </c>
      <c r="E271">
        <f t="shared" ca="1" si="68"/>
        <v>1</v>
      </c>
      <c r="F271" s="61">
        <f t="shared" ca="1" si="69"/>
        <v>1.5020963711999999E-2</v>
      </c>
      <c r="G271">
        <v>0</v>
      </c>
      <c r="H271">
        <v>0</v>
      </c>
      <c r="I271">
        <v>4</v>
      </c>
      <c r="J271" s="61">
        <f t="shared" ca="1" si="70"/>
        <v>1.0181328125000009E-2</v>
      </c>
      <c r="K271" s="61">
        <f t="shared" ca="1" si="71"/>
        <v>1.5293336030559011E-4</v>
      </c>
      <c r="L271" s="82">
        <f t="shared" ca="1" si="72"/>
        <v>44</v>
      </c>
      <c r="M271" s="16">
        <f t="shared" ca="1" si="73"/>
        <v>956</v>
      </c>
      <c r="N271" s="3">
        <f t="shared" ca="1" si="74"/>
        <v>6</v>
      </c>
      <c r="O271" s="19">
        <f t="shared" ca="1" si="75"/>
        <v>3.3239268932937667</v>
      </c>
      <c r="P271" s="19">
        <f t="shared" ca="1" si="76"/>
        <v>33.239268932937669</v>
      </c>
      <c r="Q271" s="19">
        <f t="shared" ca="1" si="77"/>
        <v>28.178718937399587</v>
      </c>
      <c r="R271" s="19">
        <f t="shared" ca="1" si="78"/>
        <v>3.0708993935168629</v>
      </c>
      <c r="S271" s="19">
        <f t="shared" ca="1" si="79"/>
        <v>3.3239268932937667</v>
      </c>
      <c r="T271" s="19">
        <f t="shared" ca="1" si="80"/>
        <v>5.0833930920153635E-4</v>
      </c>
      <c r="U271" s="19">
        <f t="shared" ca="1" si="81"/>
        <v>1495.4024523027438</v>
      </c>
      <c r="V271" s="19">
        <f t="shared" ca="1" si="82"/>
        <v>0.22869692203987854</v>
      </c>
      <c r="W271" s="82">
        <f t="shared" ca="1" si="83"/>
        <v>1943.620920138889</v>
      </c>
      <c r="X271" s="19">
        <f t="shared" ca="1" si="84"/>
        <v>0.2972444784770833</v>
      </c>
      <c r="Y271" s="19">
        <f t="shared" si="85"/>
        <v>0</v>
      </c>
      <c r="Z271" s="82">
        <f t="shared" ca="1" si="86"/>
        <v>1943.620920138889</v>
      </c>
      <c r="AA271" s="19">
        <f t="shared" ca="1" si="87"/>
        <v>0.2972444784770833</v>
      </c>
      <c r="AE271" s="19"/>
    </row>
    <row r="272" spans="1:31" ht="12.75" customHeight="1" x14ac:dyDescent="0.2">
      <c r="A272">
        <v>1</v>
      </c>
      <c r="B272">
        <v>3</v>
      </c>
      <c r="C272">
        <f t="shared" ca="1" si="66"/>
        <v>6</v>
      </c>
      <c r="D272">
        <f t="shared" ca="1" si="67"/>
        <v>5</v>
      </c>
      <c r="E272">
        <f t="shared" ca="1" si="68"/>
        <v>1</v>
      </c>
      <c r="F272" s="61">
        <f t="shared" ca="1" si="69"/>
        <v>1.5020963711999999E-2</v>
      </c>
      <c r="G272">
        <v>0</v>
      </c>
      <c r="H272">
        <v>0</v>
      </c>
      <c r="I272">
        <v>3</v>
      </c>
      <c r="J272" s="61">
        <f t="shared" ca="1" si="70"/>
        <v>1.0717187500000017E-3</v>
      </c>
      <c r="K272" s="61">
        <f t="shared" ca="1" si="71"/>
        <v>1.6098248453220024E-5</v>
      </c>
      <c r="L272" s="82">
        <f t="shared" ca="1" si="72"/>
        <v>33</v>
      </c>
      <c r="M272" s="16">
        <f t="shared" ca="1" si="73"/>
        <v>967</v>
      </c>
      <c r="N272" s="3">
        <f t="shared" ca="1" si="74"/>
        <v>6</v>
      </c>
      <c r="O272" s="19">
        <f t="shared" ca="1" si="75"/>
        <v>3.3239268932937667</v>
      </c>
      <c r="P272" s="19">
        <f t="shared" ca="1" si="76"/>
        <v>33.239268932937669</v>
      </c>
      <c r="Q272" s="19">
        <f t="shared" ca="1" si="77"/>
        <v>33.239268932937669</v>
      </c>
      <c r="R272" s="19">
        <f t="shared" ca="1" si="78"/>
        <v>3.3239268932937671</v>
      </c>
      <c r="S272" s="19">
        <f t="shared" ca="1" si="79"/>
        <v>3.3239268932937667</v>
      </c>
      <c r="T272" s="19">
        <f t="shared" ca="1" si="80"/>
        <v>5.3509400968582819E-5</v>
      </c>
      <c r="U272" s="19">
        <f t="shared" ca="1" si="81"/>
        <v>1484.4024523027438</v>
      </c>
      <c r="V272" s="19">
        <f t="shared" ca="1" si="82"/>
        <v>2.3896279481738655E-2</v>
      </c>
      <c r="W272" s="82">
        <f t="shared" ca="1" si="83"/>
        <v>1457.7156901041667</v>
      </c>
      <c r="X272" s="19">
        <f t="shared" ca="1" si="84"/>
        <v>2.3466669353453963E-2</v>
      </c>
      <c r="Y272" s="19">
        <f t="shared" si="85"/>
        <v>0</v>
      </c>
      <c r="Z272" s="82">
        <f t="shared" ca="1" si="86"/>
        <v>1457.7156901041667</v>
      </c>
      <c r="AA272" s="19">
        <f t="shared" ca="1" si="87"/>
        <v>2.3466669353453963E-2</v>
      </c>
      <c r="AE272" s="19"/>
    </row>
    <row r="273" spans="1:31" ht="12.75" customHeight="1" x14ac:dyDescent="0.2">
      <c r="A273">
        <v>1</v>
      </c>
      <c r="B273">
        <v>3</v>
      </c>
      <c r="C273">
        <f t="shared" ca="1" si="66"/>
        <v>6</v>
      </c>
      <c r="D273">
        <f t="shared" ca="1" si="67"/>
        <v>5</v>
      </c>
      <c r="E273">
        <f t="shared" ca="1" si="68"/>
        <v>1</v>
      </c>
      <c r="F273" s="61">
        <f t="shared" ca="1" si="69"/>
        <v>1.5020963711999999E-2</v>
      </c>
      <c r="G273">
        <v>0</v>
      </c>
      <c r="H273">
        <v>0</v>
      </c>
      <c r="I273">
        <v>2</v>
      </c>
      <c r="J273" s="61">
        <f t="shared" ca="1" si="70"/>
        <v>5.6406250000000155E-5</v>
      </c>
      <c r="K273" s="61">
        <f t="shared" ca="1" si="71"/>
        <v>8.4727623438000227E-7</v>
      </c>
      <c r="L273" s="82">
        <f t="shared" ca="1" si="72"/>
        <v>22</v>
      </c>
      <c r="M273" s="16">
        <f t="shared" ca="1" si="73"/>
        <v>978</v>
      </c>
      <c r="N273" s="3">
        <f t="shared" ca="1" si="74"/>
        <v>6</v>
      </c>
      <c r="O273" s="19">
        <f t="shared" ca="1" si="75"/>
        <v>3.3239268932937667</v>
      </c>
      <c r="P273" s="19">
        <f t="shared" ca="1" si="76"/>
        <v>33.239268932937669</v>
      </c>
      <c r="Q273" s="19">
        <f t="shared" ca="1" si="77"/>
        <v>33.239268932937669</v>
      </c>
      <c r="R273" s="19">
        <f t="shared" ca="1" si="78"/>
        <v>3.3239268932937671</v>
      </c>
      <c r="S273" s="19">
        <f t="shared" ca="1" si="79"/>
        <v>3.3239268932937667</v>
      </c>
      <c r="T273" s="19">
        <f t="shared" ca="1" si="80"/>
        <v>2.8162842615043624E-6</v>
      </c>
      <c r="U273" s="19">
        <f t="shared" ca="1" si="81"/>
        <v>1473.4024523027438</v>
      </c>
      <c r="V273" s="19">
        <f t="shared" ca="1" si="82"/>
        <v>1.2483788815133296E-3</v>
      </c>
      <c r="W273" s="82">
        <f t="shared" ca="1" si="83"/>
        <v>971.8104600694445</v>
      </c>
      <c r="X273" s="19">
        <f t="shared" ca="1" si="84"/>
        <v>8.2339190713873645E-4</v>
      </c>
      <c r="Y273" s="19">
        <f t="shared" si="85"/>
        <v>0</v>
      </c>
      <c r="Z273" s="82">
        <f t="shared" ca="1" si="86"/>
        <v>971.8104600694445</v>
      </c>
      <c r="AA273" s="19">
        <f t="shared" ca="1" si="87"/>
        <v>8.2339190713873645E-4</v>
      </c>
      <c r="AE273" s="19"/>
    </row>
    <row r="274" spans="1:31" ht="12.75" customHeight="1" x14ac:dyDescent="0.2">
      <c r="A274">
        <v>1</v>
      </c>
      <c r="B274">
        <v>3</v>
      </c>
      <c r="C274">
        <f t="shared" ca="1" si="66"/>
        <v>6</v>
      </c>
      <c r="D274">
        <f t="shared" ca="1" si="67"/>
        <v>5</v>
      </c>
      <c r="E274">
        <f t="shared" ca="1" si="68"/>
        <v>1</v>
      </c>
      <c r="F274" s="61">
        <f t="shared" ca="1" si="69"/>
        <v>1.5020963711999999E-2</v>
      </c>
      <c r="G274">
        <v>0</v>
      </c>
      <c r="H274">
        <v>0</v>
      </c>
      <c r="I274">
        <v>1</v>
      </c>
      <c r="J274" s="61">
        <f t="shared" ca="1" si="70"/>
        <v>1.4843750000000054E-6</v>
      </c>
      <c r="K274" s="61">
        <f t="shared" ca="1" si="71"/>
        <v>2.2296743010000079E-8</v>
      </c>
      <c r="L274" s="82">
        <f t="shared" ca="1" si="72"/>
        <v>11</v>
      </c>
      <c r="M274" s="16">
        <f t="shared" ca="1" si="73"/>
        <v>989</v>
      </c>
      <c r="N274" s="3">
        <f t="shared" ca="1" si="74"/>
        <v>6</v>
      </c>
      <c r="O274" s="19">
        <f t="shared" ca="1" si="75"/>
        <v>3.3239268932937667</v>
      </c>
      <c r="P274" s="19">
        <f t="shared" ca="1" si="76"/>
        <v>33.239268932937669</v>
      </c>
      <c r="Q274" s="19">
        <f t="shared" ca="1" si="77"/>
        <v>33.239268932937669</v>
      </c>
      <c r="R274" s="19">
        <f t="shared" ca="1" si="78"/>
        <v>3.3239268932937671</v>
      </c>
      <c r="S274" s="19">
        <f t="shared" ca="1" si="79"/>
        <v>3.3239268932937667</v>
      </c>
      <c r="T274" s="19">
        <f t="shared" ca="1" si="80"/>
        <v>7.4112743723799068E-8</v>
      </c>
      <c r="U274" s="19">
        <f t="shared" ca="1" si="81"/>
        <v>1462.4024523027438</v>
      </c>
      <c r="V274" s="19">
        <f t="shared" ca="1" si="82"/>
        <v>3.2606811656188175E-5</v>
      </c>
      <c r="W274" s="82">
        <f t="shared" ca="1" si="83"/>
        <v>485.90523003472225</v>
      </c>
      <c r="X274" s="19">
        <f t="shared" ca="1" si="84"/>
        <v>1.0834104041299174E-5</v>
      </c>
      <c r="Y274" s="19">
        <f t="shared" si="85"/>
        <v>0</v>
      </c>
      <c r="Z274" s="82">
        <f t="shared" ca="1" si="86"/>
        <v>485.90523003472225</v>
      </c>
      <c r="AA274" s="19">
        <f t="shared" ca="1" si="87"/>
        <v>1.0834104041299174E-5</v>
      </c>
      <c r="AE274" s="19"/>
    </row>
    <row r="275" spans="1:31" ht="12.75" customHeight="1" x14ac:dyDescent="0.2">
      <c r="A275">
        <v>1</v>
      </c>
      <c r="B275">
        <v>3</v>
      </c>
      <c r="C275">
        <f t="shared" ca="1" si="66"/>
        <v>6</v>
      </c>
      <c r="D275">
        <f t="shared" ca="1" si="67"/>
        <v>5</v>
      </c>
      <c r="E275">
        <f t="shared" ca="1" si="68"/>
        <v>1</v>
      </c>
      <c r="F275" s="61">
        <f t="shared" ca="1" si="69"/>
        <v>1.5020963711999999E-2</v>
      </c>
      <c r="G275">
        <v>0</v>
      </c>
      <c r="H275">
        <v>0</v>
      </c>
      <c r="I275">
        <v>0</v>
      </c>
      <c r="J275" s="61">
        <f t="shared" ca="1" si="70"/>
        <v>1.5625000000000072E-8</v>
      </c>
      <c r="K275" s="61">
        <f t="shared" ca="1" si="71"/>
        <v>2.3470255800000105E-10</v>
      </c>
      <c r="L275" s="82">
        <f t="shared" ca="1" si="72"/>
        <v>0</v>
      </c>
      <c r="M275" s="16">
        <f t="shared" ca="1" si="73"/>
        <v>1000</v>
      </c>
      <c r="N275" s="3">
        <f t="shared" ca="1" si="74"/>
        <v>6</v>
      </c>
      <c r="O275" s="19">
        <f t="shared" ca="1" si="75"/>
        <v>3.3239268932937667</v>
      </c>
      <c r="P275" s="19">
        <f t="shared" ca="1" si="76"/>
        <v>33.239268932937669</v>
      </c>
      <c r="Q275" s="19">
        <f t="shared" ca="1" si="77"/>
        <v>33.239268932937669</v>
      </c>
      <c r="R275" s="19">
        <f t="shared" ca="1" si="78"/>
        <v>3.3239268932937671</v>
      </c>
      <c r="S275" s="19">
        <f t="shared" ca="1" si="79"/>
        <v>3.3239268932937667</v>
      </c>
      <c r="T275" s="19">
        <f t="shared" ca="1" si="80"/>
        <v>7.8013414446104358E-10</v>
      </c>
      <c r="U275" s="19">
        <f t="shared" ca="1" si="81"/>
        <v>1451.4024523027438</v>
      </c>
      <c r="V275" s="19">
        <f t="shared" ca="1" si="82"/>
        <v>3.4064786824292849E-7</v>
      </c>
      <c r="W275" s="82">
        <f t="shared" ca="1" si="83"/>
        <v>0</v>
      </c>
      <c r="X275" s="19">
        <f t="shared" ca="1" si="84"/>
        <v>0</v>
      </c>
      <c r="Y275" s="19">
        <f t="shared" si="85"/>
        <v>0</v>
      </c>
      <c r="Z275" s="82">
        <f t="shared" ca="1" si="86"/>
        <v>0</v>
      </c>
      <c r="AA275" s="19">
        <f t="shared" ca="1" si="87"/>
        <v>0</v>
      </c>
      <c r="AE275" s="19"/>
    </row>
    <row r="276" spans="1:31" ht="12.75" customHeight="1" x14ac:dyDescent="0.2">
      <c r="A276">
        <v>2</v>
      </c>
      <c r="B276">
        <v>0</v>
      </c>
      <c r="C276">
        <f t="shared" ref="C276:C339" ca="1" si="88">MIN(8, 1+$B$10+$B$9+A276+B276)</f>
        <v>4</v>
      </c>
      <c r="D276">
        <f t="shared" ref="D276:D339" ca="1" si="89">C276-(1+$B$10)</f>
        <v>3</v>
      </c>
      <c r="E276">
        <f t="shared" ref="E276:E339" ca="1" si="90">MIN(A276, C276-(1+$B$10+$B$9))</f>
        <v>2</v>
      </c>
      <c r="F276" s="61">
        <f t="shared" ref="F276:F339" ca="1" si="91">IF(A276=3, Set1QA, IF(A276=2, (1-Set1QA)*Set1TA + (1-Set1QA)*(1-Set1TA)*(1-Set1DA)*Set1AM3*Set1AM33, IF(A276=1, (1-Set1QA)*(1-Set1TA)*Set1DA + (1-Set1QA)*(1-Set1TA)*(1-Set1DA)*Set1AM3*Set1AM32, (1-Set1QA)*(1-Set1TA)*(1-Set1DA)*(1-Set1AM3)))) * IF($B$9+$B$10&gt;0, IF(B276=3, Set1QA, IF(B276=2, (1-Set1QA)*Set1TA, IF(B276=1, (1-Set1QA)*(1-Set1TA)*Set1DA, (1-Set1QA)*(1-Set1TA)*(1-Set1DA)))), IF(B276=0, 1, 0))</f>
        <v>0.13085086388183043</v>
      </c>
      <c r="G276">
        <v>1</v>
      </c>
      <c r="H276">
        <v>1</v>
      </c>
      <c r="I276">
        <v>7</v>
      </c>
      <c r="J276" s="61">
        <f t="shared" ref="J276:J339" ca="1" si="92">POWER(95%,G276)*POWER(5%, 1-G276) * IF($B$10=0, IF(H276=0, 1, 0), POWER(Set1WSHitRate,H276)*POWER(1-Set1WSHitRate, 1-H276)) * IF(I276&lt;=D276, POWER(Set1WSHitRate, I276)*POWER(1-Set1WSHitRate, D276-I276)*COMBIN(D276,I276), 0)</f>
        <v>0</v>
      </c>
      <c r="K276" s="61">
        <f t="shared" ref="K276:K339" ca="1" si="93">F276*J276</f>
        <v>0</v>
      </c>
      <c r="L276" s="82">
        <f t="shared" ref="L276:L339" ca="1" si="94">MAX((G276+H276)*Set1WSTP + I276*$B$6, Set1SaveTP)</f>
        <v>399</v>
      </c>
      <c r="M276" s="16">
        <f t="shared" ref="M276:M339" ca="1" si="95">MAX(Set1MinTP-(L276+Set1Regain), 0)</f>
        <v>601</v>
      </c>
      <c r="N276" s="3">
        <f t="shared" ref="N276:N339" ca="1" si="96">CEILING(M276/Set1MeleeTP, 1)</f>
        <v>4</v>
      </c>
      <c r="O276" s="19">
        <f t="shared" ref="O276:O339" ca="1" si="97">VLOOKUP(N276,AvgRoundsSet1,2)</f>
        <v>2.3453053758100548</v>
      </c>
      <c r="P276" s="19">
        <f t="shared" ref="P276:P339" ca="1" si="98">VLOOKUP(CEILING(MAX(M276-1, 0)/Set1MeleeTP, 1), AvgRoundsSet1, 2) + VLOOKUP(CEILING(MAX(M276-2, 0)/Set1MeleeTP, 1), AvgRoundsSet1, 2) + VLOOKUP(CEILING(MAX(M276-3, 0)/Set1MeleeTP, 1), AvgRoundsSet1, 2) + VLOOKUP(CEILING(MAX(M276-4, 0)/Set1MeleeTP, 1), AvgRoundsSet1, 2) + VLOOKUP(CEILING(MAX(M276-5, 0)/Set1MeleeTP, 1), AvgRoundsSet1, 2) + VLOOKUP(CEILING(MAX(M276-6, 0)/Set1MeleeTP, 1), AvgRoundsSet1, 2) + VLOOKUP(CEILING(MAX(M276-7, 0)/Set1MeleeTP, 1), AvgRoundsSet1, 2) + VLOOKUP(CEILING(MAX(M276-8, 0)/Set1MeleeTP, 1), AvgRoundsSet1, 2) + VLOOKUP(CEILING(MAX(M276-9, 0)/Set1MeleeTP, 1), AvgRoundsSet1, 2) + VLOOKUP(CEILING(MAX(M276-10, 0)/Set1MeleeTP, 1), AvgRoundsSet1, 2)</f>
        <v>23.453053758100552</v>
      </c>
      <c r="Q276" s="19">
        <f t="shared" ref="Q276:Q339" ca="1" si="99">VLOOKUP(CEILING(MAX(M276-11, 0)/Set1MeleeTP, 1), AvgRoundsSet1, 2) + VLOOKUP(CEILING(MAX(M276-12, 0)/Set1MeleeTP, 1), AvgRoundsSet1, 2) + VLOOKUP(CEILING(MAX(M276-13, 0)/Set1MeleeTP, 1), AvgRoundsSet1, 2) + VLOOKUP(CEILING(MAX(M276-14, 0)/Set1MeleeTP, 1), AvgRoundsSet1, 2) + VLOOKUP(CEILING(MAX(M276-15, 0)/Set1MeleeTP, 1), AvgRoundsSet1, 2) + VLOOKUP(CEILING(MAX(M276-16, 0)/Set1MeleeTP, 1), AvgRoundsSet1, 2) + VLOOKUP(CEILING(MAX(M276-17, 0)/Set1MeleeTP, 1), AvgRoundsSet1, 2) + VLOOKUP(CEILING(MAX(M276-18, 0)/Set1MeleeTP, 1), AvgRoundsSet1, 2) + VLOOKUP(CEILING(MAX(M276-19, 0)/Set1MeleeTP, 1), AvgRoundsSet1, 2) + VLOOKUP(CEILING(MAX(M276-20, 0)/Set1MeleeTP, 1), AvgRoundsSet1, 2)</f>
        <v>23.453053758100552</v>
      </c>
      <c r="R276" s="19">
        <f t="shared" ref="R276:R339" ca="1" si="100">(P276+Q276)/20</f>
        <v>2.3453053758100553</v>
      </c>
      <c r="S276" s="19">
        <f t="shared" ref="S276:S339" ca="1" si="101">R276*Set1ConserveTP + O276*(1-Set1ConserveTP)</f>
        <v>2.3453053758100548</v>
      </c>
      <c r="T276" s="19">
        <f t="shared" ref="T276:T339" ca="1" si="102">K276*S276</f>
        <v>0</v>
      </c>
      <c r="U276" s="19">
        <f t="shared" ref="U276:U339" ca="1" si="103">MIN(L276+(S276+Set1OverTP)*AvgHitsPerRound1*Set1MeleeTP + Set1Regain + 10.5*Set1ConserveTP, 3000)</f>
        <v>1478.9587218163997</v>
      </c>
      <c r="V276" s="19">
        <f t="shared" ref="V276:V339" ca="1" si="104">U276*K276</f>
        <v>0</v>
      </c>
      <c r="W276" s="82">
        <f t="shared" ref="W276:W339" ca="1" si="105">G276*$K$12*((1-$L$12)*$L$16 + $L$12*$M$16*$M$12)+ H276*$K$15*((1-$L$15)*$L$17 + $L$15*$M$17*$M$13) + I276*$K$13*((1-$L$13)*$L$16 + $L$13*$M$16*$M$13) + E276*$K$14*$L$14*$M$12</f>
        <v>5718.7981307870377</v>
      </c>
      <c r="X276" s="19">
        <f t="shared" ref="X276:X339" ca="1" si="106">K276*W276</f>
        <v>0</v>
      </c>
      <c r="Y276" s="19">
        <f t="shared" ref="Y276:Y339" si="107">IF($B$12=1, (VLOOKUP(C276, IF($B$13=10%,Souleater10,Souleater12), 6, 0) * $B$14), 0)</f>
        <v>0</v>
      </c>
      <c r="Z276" s="82">
        <f t="shared" ref="Z276:Z339" ca="1" si="108">Y276+W276</f>
        <v>5718.7981307870377</v>
      </c>
      <c r="AA276" s="19">
        <f t="shared" ref="AA276:AA339" ca="1" si="109">Z276*K276</f>
        <v>0</v>
      </c>
      <c r="AE276" s="19"/>
    </row>
    <row r="277" spans="1:31" ht="12.75" customHeight="1" x14ac:dyDescent="0.2">
      <c r="A277">
        <v>2</v>
      </c>
      <c r="B277">
        <v>0</v>
      </c>
      <c r="C277">
        <f t="shared" ca="1" si="88"/>
        <v>4</v>
      </c>
      <c r="D277">
        <f t="shared" ca="1" si="89"/>
        <v>3</v>
      </c>
      <c r="E277">
        <f t="shared" ca="1" si="90"/>
        <v>2</v>
      </c>
      <c r="F277" s="61">
        <f t="shared" ca="1" si="91"/>
        <v>0.13085086388183043</v>
      </c>
      <c r="G277">
        <v>1</v>
      </c>
      <c r="H277">
        <v>1</v>
      </c>
      <c r="I277">
        <v>6</v>
      </c>
      <c r="J277" s="61">
        <f t="shared" ca="1" si="92"/>
        <v>0</v>
      </c>
      <c r="K277" s="61">
        <f t="shared" ca="1" si="93"/>
        <v>0</v>
      </c>
      <c r="L277" s="82">
        <f t="shared" ca="1" si="94"/>
        <v>388</v>
      </c>
      <c r="M277" s="16">
        <f t="shared" ca="1" si="95"/>
        <v>612</v>
      </c>
      <c r="N277" s="3">
        <f t="shared" ca="1" si="96"/>
        <v>4</v>
      </c>
      <c r="O277" s="19">
        <f t="shared" ca="1" si="97"/>
        <v>2.3453053758100548</v>
      </c>
      <c r="P277" s="19">
        <f t="shared" ca="1" si="98"/>
        <v>23.453053758100552</v>
      </c>
      <c r="Q277" s="19">
        <f t="shared" ca="1" si="99"/>
        <v>23.453053758100552</v>
      </c>
      <c r="R277" s="19">
        <f t="shared" ca="1" si="100"/>
        <v>2.3453053758100553</v>
      </c>
      <c r="S277" s="19">
        <f t="shared" ca="1" si="101"/>
        <v>2.3453053758100548</v>
      </c>
      <c r="T277" s="19">
        <f t="shared" ca="1" si="102"/>
        <v>0</v>
      </c>
      <c r="U277" s="19">
        <f t="shared" ca="1" si="103"/>
        <v>1467.9587218163997</v>
      </c>
      <c r="V277" s="19">
        <f t="shared" ca="1" si="104"/>
        <v>0</v>
      </c>
      <c r="W277" s="82">
        <f t="shared" ca="1" si="105"/>
        <v>5232.8929007523147</v>
      </c>
      <c r="X277" s="19">
        <f t="shared" ca="1" si="106"/>
        <v>0</v>
      </c>
      <c r="Y277" s="19">
        <f t="shared" si="107"/>
        <v>0</v>
      </c>
      <c r="Z277" s="82">
        <f t="shared" ca="1" si="108"/>
        <v>5232.8929007523147</v>
      </c>
      <c r="AA277" s="19">
        <f t="shared" ca="1" si="109"/>
        <v>0</v>
      </c>
      <c r="AE277" s="19"/>
    </row>
    <row r="278" spans="1:31" ht="12.75" customHeight="1" x14ac:dyDescent="0.2">
      <c r="A278">
        <v>2</v>
      </c>
      <c r="B278">
        <v>0</v>
      </c>
      <c r="C278">
        <f t="shared" ca="1" si="88"/>
        <v>4</v>
      </c>
      <c r="D278">
        <f t="shared" ca="1" si="89"/>
        <v>3</v>
      </c>
      <c r="E278">
        <f t="shared" ca="1" si="90"/>
        <v>2</v>
      </c>
      <c r="F278" s="61">
        <f t="shared" ca="1" si="91"/>
        <v>0.13085086388183043</v>
      </c>
      <c r="G278">
        <v>1</v>
      </c>
      <c r="H278">
        <v>1</v>
      </c>
      <c r="I278">
        <v>5</v>
      </c>
      <c r="J278" s="61">
        <f t="shared" ca="1" si="92"/>
        <v>0</v>
      </c>
      <c r="K278" s="61">
        <f t="shared" ca="1" si="93"/>
        <v>0</v>
      </c>
      <c r="L278" s="82">
        <f t="shared" ca="1" si="94"/>
        <v>377</v>
      </c>
      <c r="M278" s="16">
        <f t="shared" ca="1" si="95"/>
        <v>623</v>
      </c>
      <c r="N278" s="3">
        <f t="shared" ca="1" si="96"/>
        <v>4</v>
      </c>
      <c r="O278" s="19">
        <f t="shared" ca="1" si="97"/>
        <v>2.3453053758100548</v>
      </c>
      <c r="P278" s="19">
        <f t="shared" ca="1" si="98"/>
        <v>23.453053758100552</v>
      </c>
      <c r="Q278" s="19">
        <f t="shared" ca="1" si="99"/>
        <v>23.453053758100552</v>
      </c>
      <c r="R278" s="19">
        <f t="shared" ca="1" si="100"/>
        <v>2.3453053758100553</v>
      </c>
      <c r="S278" s="19">
        <f t="shared" ca="1" si="101"/>
        <v>2.3453053758100548</v>
      </c>
      <c r="T278" s="19">
        <f t="shared" ca="1" si="102"/>
        <v>0</v>
      </c>
      <c r="U278" s="19">
        <f t="shared" ca="1" si="103"/>
        <v>1456.9587218163997</v>
      </c>
      <c r="V278" s="19">
        <f t="shared" ca="1" si="104"/>
        <v>0</v>
      </c>
      <c r="W278" s="82">
        <f t="shared" ca="1" si="105"/>
        <v>4746.9876707175936</v>
      </c>
      <c r="X278" s="19">
        <f t="shared" ca="1" si="106"/>
        <v>0</v>
      </c>
      <c r="Y278" s="19">
        <f t="shared" si="107"/>
        <v>0</v>
      </c>
      <c r="Z278" s="82">
        <f t="shared" ca="1" si="108"/>
        <v>4746.9876707175936</v>
      </c>
      <c r="AA278" s="19">
        <f t="shared" ca="1" si="109"/>
        <v>0</v>
      </c>
      <c r="AE278" s="19"/>
    </row>
    <row r="279" spans="1:31" ht="12.75" customHeight="1" x14ac:dyDescent="0.2">
      <c r="A279">
        <v>2</v>
      </c>
      <c r="B279">
        <v>0</v>
      </c>
      <c r="C279">
        <f t="shared" ca="1" si="88"/>
        <v>4</v>
      </c>
      <c r="D279">
        <f t="shared" ca="1" si="89"/>
        <v>3</v>
      </c>
      <c r="E279">
        <f t="shared" ca="1" si="90"/>
        <v>2</v>
      </c>
      <c r="F279" s="61">
        <f t="shared" ca="1" si="91"/>
        <v>0.13085086388183043</v>
      </c>
      <c r="G279">
        <v>1</v>
      </c>
      <c r="H279">
        <v>1</v>
      </c>
      <c r="I279">
        <v>4</v>
      </c>
      <c r="J279" s="61">
        <f t="shared" ca="1" si="92"/>
        <v>0</v>
      </c>
      <c r="K279" s="61">
        <f t="shared" ca="1" si="93"/>
        <v>0</v>
      </c>
      <c r="L279" s="82">
        <f t="shared" ca="1" si="94"/>
        <v>366</v>
      </c>
      <c r="M279" s="16">
        <f t="shared" ca="1" si="95"/>
        <v>634</v>
      </c>
      <c r="N279" s="3">
        <f t="shared" ca="1" si="96"/>
        <v>4</v>
      </c>
      <c r="O279" s="19">
        <f t="shared" ca="1" si="97"/>
        <v>2.3453053758100548</v>
      </c>
      <c r="P279" s="19">
        <f t="shared" ca="1" si="98"/>
        <v>23.453053758100552</v>
      </c>
      <c r="Q279" s="19">
        <f t="shared" ca="1" si="99"/>
        <v>23.453053758100552</v>
      </c>
      <c r="R279" s="19">
        <f t="shared" ca="1" si="100"/>
        <v>2.3453053758100553</v>
      </c>
      <c r="S279" s="19">
        <f t="shared" ca="1" si="101"/>
        <v>2.3453053758100548</v>
      </c>
      <c r="T279" s="19">
        <f t="shared" ca="1" si="102"/>
        <v>0</v>
      </c>
      <c r="U279" s="19">
        <f t="shared" ca="1" si="103"/>
        <v>1445.9587218163997</v>
      </c>
      <c r="V279" s="19">
        <f t="shared" ca="1" si="104"/>
        <v>0</v>
      </c>
      <c r="W279" s="82">
        <f t="shared" ca="1" si="105"/>
        <v>4261.0824406828706</v>
      </c>
      <c r="X279" s="19">
        <f t="shared" ca="1" si="106"/>
        <v>0</v>
      </c>
      <c r="Y279" s="19">
        <f t="shared" si="107"/>
        <v>0</v>
      </c>
      <c r="Z279" s="82">
        <f t="shared" ca="1" si="108"/>
        <v>4261.0824406828706</v>
      </c>
      <c r="AA279" s="19">
        <f t="shared" ca="1" si="109"/>
        <v>0</v>
      </c>
      <c r="AE279" s="19"/>
    </row>
    <row r="280" spans="1:31" ht="12.75" customHeight="1" x14ac:dyDescent="0.2">
      <c r="A280">
        <v>2</v>
      </c>
      <c r="B280">
        <v>0</v>
      </c>
      <c r="C280">
        <f t="shared" ca="1" si="88"/>
        <v>4</v>
      </c>
      <c r="D280">
        <f t="shared" ca="1" si="89"/>
        <v>3</v>
      </c>
      <c r="E280">
        <f t="shared" ca="1" si="90"/>
        <v>2</v>
      </c>
      <c r="F280" s="61">
        <f t="shared" ca="1" si="91"/>
        <v>0.13085086388183043</v>
      </c>
      <c r="G280">
        <v>1</v>
      </c>
      <c r="H280">
        <v>1</v>
      </c>
      <c r="I280">
        <v>3</v>
      </c>
      <c r="J280" s="61">
        <f t="shared" ca="1" si="92"/>
        <v>0</v>
      </c>
      <c r="K280" s="61">
        <f t="shared" ca="1" si="93"/>
        <v>0</v>
      </c>
      <c r="L280" s="82">
        <f t="shared" ca="1" si="94"/>
        <v>355</v>
      </c>
      <c r="M280" s="16">
        <f t="shared" ca="1" si="95"/>
        <v>645</v>
      </c>
      <c r="N280" s="3">
        <f t="shared" ca="1" si="96"/>
        <v>4</v>
      </c>
      <c r="O280" s="19">
        <f t="shared" ca="1" si="97"/>
        <v>2.3453053758100548</v>
      </c>
      <c r="P280" s="19">
        <f t="shared" ca="1" si="98"/>
        <v>23.453053758100552</v>
      </c>
      <c r="Q280" s="19">
        <f t="shared" ca="1" si="99"/>
        <v>23.453053758100552</v>
      </c>
      <c r="R280" s="19">
        <f t="shared" ca="1" si="100"/>
        <v>2.3453053758100553</v>
      </c>
      <c r="S280" s="19">
        <f t="shared" ca="1" si="101"/>
        <v>2.3453053758100548</v>
      </c>
      <c r="T280" s="19">
        <f t="shared" ca="1" si="102"/>
        <v>0</v>
      </c>
      <c r="U280" s="19">
        <f t="shared" ca="1" si="103"/>
        <v>1434.9587218163997</v>
      </c>
      <c r="V280" s="19">
        <f t="shared" ca="1" si="104"/>
        <v>0</v>
      </c>
      <c r="W280" s="82">
        <f t="shared" ca="1" si="105"/>
        <v>3775.1772106481485</v>
      </c>
      <c r="X280" s="19">
        <f t="shared" ca="1" si="106"/>
        <v>0</v>
      </c>
      <c r="Y280" s="19">
        <f t="shared" si="107"/>
        <v>0</v>
      </c>
      <c r="Z280" s="82">
        <f t="shared" ca="1" si="108"/>
        <v>3775.1772106481485</v>
      </c>
      <c r="AA280" s="19">
        <f t="shared" ca="1" si="109"/>
        <v>0</v>
      </c>
      <c r="AE280" s="19"/>
    </row>
    <row r="281" spans="1:31" ht="12.75" customHeight="1" x14ac:dyDescent="0.2">
      <c r="A281">
        <v>2</v>
      </c>
      <c r="B281">
        <v>0</v>
      </c>
      <c r="C281">
        <f t="shared" ca="1" si="88"/>
        <v>4</v>
      </c>
      <c r="D281">
        <f t="shared" ca="1" si="89"/>
        <v>3</v>
      </c>
      <c r="E281">
        <f t="shared" ca="1" si="90"/>
        <v>2</v>
      </c>
      <c r="F281" s="61">
        <f t="shared" ca="1" si="91"/>
        <v>0.13085086388183043</v>
      </c>
      <c r="G281">
        <v>1</v>
      </c>
      <c r="H281">
        <v>1</v>
      </c>
      <c r="I281">
        <v>2</v>
      </c>
      <c r="J281" s="61">
        <f t="shared" ca="1" si="92"/>
        <v>0</v>
      </c>
      <c r="K281" s="61">
        <f t="shared" ca="1" si="93"/>
        <v>0</v>
      </c>
      <c r="L281" s="82">
        <f t="shared" ca="1" si="94"/>
        <v>344</v>
      </c>
      <c r="M281" s="16">
        <f t="shared" ca="1" si="95"/>
        <v>656</v>
      </c>
      <c r="N281" s="3">
        <f t="shared" ca="1" si="96"/>
        <v>4</v>
      </c>
      <c r="O281" s="19">
        <f t="shared" ca="1" si="97"/>
        <v>2.3453053758100548</v>
      </c>
      <c r="P281" s="19">
        <f t="shared" ca="1" si="98"/>
        <v>23.453053758100552</v>
      </c>
      <c r="Q281" s="19">
        <f t="shared" ca="1" si="99"/>
        <v>23.453053758100552</v>
      </c>
      <c r="R281" s="19">
        <f t="shared" ca="1" si="100"/>
        <v>2.3453053758100553</v>
      </c>
      <c r="S281" s="19">
        <f t="shared" ca="1" si="101"/>
        <v>2.3453053758100548</v>
      </c>
      <c r="T281" s="19">
        <f t="shared" ca="1" si="102"/>
        <v>0</v>
      </c>
      <c r="U281" s="19">
        <f t="shared" ca="1" si="103"/>
        <v>1423.9587218163997</v>
      </c>
      <c r="V281" s="19">
        <f t="shared" ca="1" si="104"/>
        <v>0</v>
      </c>
      <c r="W281" s="82">
        <f t="shared" ca="1" si="105"/>
        <v>3289.2719806134264</v>
      </c>
      <c r="X281" s="19">
        <f t="shared" ca="1" si="106"/>
        <v>0</v>
      </c>
      <c r="Y281" s="19">
        <f t="shared" si="107"/>
        <v>0</v>
      </c>
      <c r="Z281" s="82">
        <f t="shared" ca="1" si="108"/>
        <v>3289.2719806134264</v>
      </c>
      <c r="AA281" s="19">
        <f t="shared" ca="1" si="109"/>
        <v>0</v>
      </c>
      <c r="AE281" s="19"/>
    </row>
    <row r="282" spans="1:31" ht="12.75" customHeight="1" x14ac:dyDescent="0.2">
      <c r="A282">
        <v>2</v>
      </c>
      <c r="B282">
        <v>0</v>
      </c>
      <c r="C282">
        <f t="shared" ca="1" si="88"/>
        <v>4</v>
      </c>
      <c r="D282">
        <f t="shared" ca="1" si="89"/>
        <v>3</v>
      </c>
      <c r="E282">
        <f t="shared" ca="1" si="90"/>
        <v>2</v>
      </c>
      <c r="F282" s="61">
        <f t="shared" ca="1" si="91"/>
        <v>0.13085086388183043</v>
      </c>
      <c r="G282">
        <v>1</v>
      </c>
      <c r="H282">
        <v>1</v>
      </c>
      <c r="I282">
        <v>1</v>
      </c>
      <c r="J282" s="61">
        <f t="shared" ca="1" si="92"/>
        <v>0</v>
      </c>
      <c r="K282" s="61">
        <f t="shared" ca="1" si="93"/>
        <v>0</v>
      </c>
      <c r="L282" s="82">
        <f t="shared" ca="1" si="94"/>
        <v>333</v>
      </c>
      <c r="M282" s="16">
        <f t="shared" ca="1" si="95"/>
        <v>667</v>
      </c>
      <c r="N282" s="3">
        <f t="shared" ca="1" si="96"/>
        <v>4</v>
      </c>
      <c r="O282" s="19">
        <f t="shared" ca="1" si="97"/>
        <v>2.3453053758100548</v>
      </c>
      <c r="P282" s="19">
        <f t="shared" ca="1" si="98"/>
        <v>23.453053758100552</v>
      </c>
      <c r="Q282" s="19">
        <f t="shared" ca="1" si="99"/>
        <v>23.453053758100552</v>
      </c>
      <c r="R282" s="19">
        <f t="shared" ca="1" si="100"/>
        <v>2.3453053758100553</v>
      </c>
      <c r="S282" s="19">
        <f t="shared" ca="1" si="101"/>
        <v>2.3453053758100548</v>
      </c>
      <c r="T282" s="19">
        <f t="shared" ca="1" si="102"/>
        <v>0</v>
      </c>
      <c r="U282" s="19">
        <f t="shared" ca="1" si="103"/>
        <v>1412.9587218163997</v>
      </c>
      <c r="V282" s="19">
        <f t="shared" ca="1" si="104"/>
        <v>0</v>
      </c>
      <c r="W282" s="82">
        <f t="shared" ca="1" si="105"/>
        <v>2803.3667505787039</v>
      </c>
      <c r="X282" s="19">
        <f t="shared" ca="1" si="106"/>
        <v>0</v>
      </c>
      <c r="Y282" s="19">
        <f t="shared" si="107"/>
        <v>0</v>
      </c>
      <c r="Z282" s="82">
        <f t="shared" ca="1" si="108"/>
        <v>2803.3667505787039</v>
      </c>
      <c r="AA282" s="19">
        <f t="shared" ca="1" si="109"/>
        <v>0</v>
      </c>
      <c r="AE282" s="19"/>
    </row>
    <row r="283" spans="1:31" ht="12.75" customHeight="1" x14ac:dyDescent="0.2">
      <c r="A283">
        <v>2</v>
      </c>
      <c r="B283">
        <v>0</v>
      </c>
      <c r="C283">
        <f t="shared" ca="1" si="88"/>
        <v>4</v>
      </c>
      <c r="D283">
        <f t="shared" ca="1" si="89"/>
        <v>3</v>
      </c>
      <c r="E283">
        <f t="shared" ca="1" si="90"/>
        <v>2</v>
      </c>
      <c r="F283" s="61">
        <f t="shared" ca="1" si="91"/>
        <v>0.13085086388183043</v>
      </c>
      <c r="G283">
        <v>1</v>
      </c>
      <c r="H283">
        <v>1</v>
      </c>
      <c r="I283">
        <v>0</v>
      </c>
      <c r="J283" s="61">
        <f t="shared" ca="1" si="92"/>
        <v>0</v>
      </c>
      <c r="K283" s="61">
        <f t="shared" ca="1" si="93"/>
        <v>0</v>
      </c>
      <c r="L283" s="82">
        <f t="shared" ca="1" si="94"/>
        <v>322</v>
      </c>
      <c r="M283" s="16">
        <f t="shared" ca="1" si="95"/>
        <v>678</v>
      </c>
      <c r="N283" s="3">
        <f t="shared" ca="1" si="96"/>
        <v>4</v>
      </c>
      <c r="O283" s="19">
        <f t="shared" ca="1" si="97"/>
        <v>2.3453053758100548</v>
      </c>
      <c r="P283" s="19">
        <f t="shared" ca="1" si="98"/>
        <v>23.453053758100552</v>
      </c>
      <c r="Q283" s="19">
        <f t="shared" ca="1" si="99"/>
        <v>23.453053758100552</v>
      </c>
      <c r="R283" s="19">
        <f t="shared" ca="1" si="100"/>
        <v>2.3453053758100553</v>
      </c>
      <c r="S283" s="19">
        <f t="shared" ca="1" si="101"/>
        <v>2.3453053758100548</v>
      </c>
      <c r="T283" s="19">
        <f t="shared" ca="1" si="102"/>
        <v>0</v>
      </c>
      <c r="U283" s="19">
        <f t="shared" ca="1" si="103"/>
        <v>1401.9587218163997</v>
      </c>
      <c r="V283" s="19">
        <f t="shared" ca="1" si="104"/>
        <v>0</v>
      </c>
      <c r="W283" s="82">
        <f t="shared" ca="1" si="105"/>
        <v>2317.4615205439818</v>
      </c>
      <c r="X283" s="19">
        <f t="shared" ca="1" si="106"/>
        <v>0</v>
      </c>
      <c r="Y283" s="19">
        <f t="shared" si="107"/>
        <v>0</v>
      </c>
      <c r="Z283" s="82">
        <f t="shared" ca="1" si="108"/>
        <v>2317.4615205439818</v>
      </c>
      <c r="AA283" s="19">
        <f t="shared" ca="1" si="109"/>
        <v>0</v>
      </c>
      <c r="AE283" s="19"/>
    </row>
    <row r="284" spans="1:31" ht="12.75" customHeight="1" x14ac:dyDescent="0.2">
      <c r="A284">
        <v>2</v>
      </c>
      <c r="B284">
        <v>0</v>
      </c>
      <c r="C284">
        <f t="shared" ca="1" si="88"/>
        <v>4</v>
      </c>
      <c r="D284">
        <f t="shared" ca="1" si="89"/>
        <v>3</v>
      </c>
      <c r="E284">
        <f t="shared" ca="1" si="90"/>
        <v>2</v>
      </c>
      <c r="F284" s="61">
        <f t="shared" ca="1" si="91"/>
        <v>0.13085086388183043</v>
      </c>
      <c r="G284">
        <v>1</v>
      </c>
      <c r="H284">
        <v>0</v>
      </c>
      <c r="I284">
        <v>7</v>
      </c>
      <c r="J284" s="61">
        <f t="shared" ca="1" si="92"/>
        <v>0</v>
      </c>
      <c r="K284" s="61">
        <f t="shared" ca="1" si="93"/>
        <v>0</v>
      </c>
      <c r="L284" s="82">
        <f t="shared" ca="1" si="94"/>
        <v>238</v>
      </c>
      <c r="M284" s="16">
        <f t="shared" ca="1" si="95"/>
        <v>762</v>
      </c>
      <c r="N284" s="3">
        <f t="shared" ca="1" si="96"/>
        <v>5</v>
      </c>
      <c r="O284" s="19">
        <f t="shared" ca="1" si="97"/>
        <v>2.8178718937399587</v>
      </c>
      <c r="P284" s="19">
        <f t="shared" ca="1" si="98"/>
        <v>25.815886347750073</v>
      </c>
      <c r="Q284" s="19">
        <f t="shared" ca="1" si="99"/>
        <v>23.453053758100552</v>
      </c>
      <c r="R284" s="19">
        <f t="shared" ca="1" si="100"/>
        <v>2.4634470052925312</v>
      </c>
      <c r="S284" s="19">
        <f t="shared" ca="1" si="101"/>
        <v>2.8178718937399587</v>
      </c>
      <c r="T284" s="19">
        <f t="shared" ca="1" si="102"/>
        <v>0</v>
      </c>
      <c r="U284" s="19">
        <f t="shared" ca="1" si="103"/>
        <v>1497.3251747165598</v>
      </c>
      <c r="V284" s="19">
        <f t="shared" ca="1" si="104"/>
        <v>0</v>
      </c>
      <c r="W284" s="82">
        <f t="shared" ca="1" si="105"/>
        <v>5718.7981307870377</v>
      </c>
      <c r="X284" s="19">
        <f t="shared" ca="1" si="106"/>
        <v>0</v>
      </c>
      <c r="Y284" s="19">
        <f t="shared" si="107"/>
        <v>0</v>
      </c>
      <c r="Z284" s="82">
        <f t="shared" ca="1" si="108"/>
        <v>5718.7981307870377</v>
      </c>
      <c r="AA284" s="19">
        <f t="shared" ca="1" si="109"/>
        <v>0</v>
      </c>
      <c r="AE284" s="19"/>
    </row>
    <row r="285" spans="1:31" ht="12.75" customHeight="1" x14ac:dyDescent="0.2">
      <c r="A285">
        <v>2</v>
      </c>
      <c r="B285">
        <v>0</v>
      </c>
      <c r="C285">
        <f t="shared" ca="1" si="88"/>
        <v>4</v>
      </c>
      <c r="D285">
        <f t="shared" ca="1" si="89"/>
        <v>3</v>
      </c>
      <c r="E285">
        <f t="shared" ca="1" si="90"/>
        <v>2</v>
      </c>
      <c r="F285" s="61">
        <f t="shared" ca="1" si="91"/>
        <v>0.13085086388183043</v>
      </c>
      <c r="G285">
        <v>1</v>
      </c>
      <c r="H285">
        <v>0</v>
      </c>
      <c r="I285">
        <v>6</v>
      </c>
      <c r="J285" s="61">
        <f t="shared" ca="1" si="92"/>
        <v>0</v>
      </c>
      <c r="K285" s="61">
        <f t="shared" ca="1" si="93"/>
        <v>0</v>
      </c>
      <c r="L285" s="82">
        <f t="shared" ca="1" si="94"/>
        <v>227</v>
      </c>
      <c r="M285" s="16">
        <f t="shared" ca="1" si="95"/>
        <v>773</v>
      </c>
      <c r="N285" s="3">
        <f t="shared" ca="1" si="96"/>
        <v>5</v>
      </c>
      <c r="O285" s="19">
        <f t="shared" ca="1" si="97"/>
        <v>2.8178718937399587</v>
      </c>
      <c r="P285" s="19">
        <f t="shared" ca="1" si="98"/>
        <v>28.178718937399587</v>
      </c>
      <c r="Q285" s="19">
        <f t="shared" ca="1" si="99"/>
        <v>26.288452865679979</v>
      </c>
      <c r="R285" s="19">
        <f t="shared" ca="1" si="100"/>
        <v>2.7233585901539783</v>
      </c>
      <c r="S285" s="19">
        <f t="shared" ca="1" si="101"/>
        <v>2.8178718937399587</v>
      </c>
      <c r="T285" s="19">
        <f t="shared" ca="1" si="102"/>
        <v>0</v>
      </c>
      <c r="U285" s="19">
        <f t="shared" ca="1" si="103"/>
        <v>1486.3251747165598</v>
      </c>
      <c r="V285" s="19">
        <f t="shared" ca="1" si="104"/>
        <v>0</v>
      </c>
      <c r="W285" s="82">
        <f t="shared" ca="1" si="105"/>
        <v>5232.8929007523147</v>
      </c>
      <c r="X285" s="19">
        <f t="shared" ca="1" si="106"/>
        <v>0</v>
      </c>
      <c r="Y285" s="19">
        <f t="shared" si="107"/>
        <v>0</v>
      </c>
      <c r="Z285" s="82">
        <f t="shared" ca="1" si="108"/>
        <v>5232.8929007523147</v>
      </c>
      <c r="AA285" s="19">
        <f t="shared" ca="1" si="109"/>
        <v>0</v>
      </c>
      <c r="AE285" s="19"/>
    </row>
    <row r="286" spans="1:31" ht="12.75" customHeight="1" x14ac:dyDescent="0.2">
      <c r="A286">
        <v>2</v>
      </c>
      <c r="B286">
        <v>0</v>
      </c>
      <c r="C286">
        <f t="shared" ca="1" si="88"/>
        <v>4</v>
      </c>
      <c r="D286">
        <f t="shared" ca="1" si="89"/>
        <v>3</v>
      </c>
      <c r="E286">
        <f t="shared" ca="1" si="90"/>
        <v>2</v>
      </c>
      <c r="F286" s="61">
        <f t="shared" ca="1" si="91"/>
        <v>0.13085086388183043</v>
      </c>
      <c r="G286">
        <v>1</v>
      </c>
      <c r="H286">
        <v>0</v>
      </c>
      <c r="I286">
        <v>5</v>
      </c>
      <c r="J286" s="61">
        <f t="shared" ca="1" si="92"/>
        <v>0</v>
      </c>
      <c r="K286" s="61">
        <f t="shared" ca="1" si="93"/>
        <v>0</v>
      </c>
      <c r="L286" s="82">
        <f t="shared" ca="1" si="94"/>
        <v>216</v>
      </c>
      <c r="M286" s="16">
        <f t="shared" ca="1" si="95"/>
        <v>784</v>
      </c>
      <c r="N286" s="3">
        <f t="shared" ca="1" si="96"/>
        <v>5</v>
      </c>
      <c r="O286" s="19">
        <f t="shared" ca="1" si="97"/>
        <v>2.8178718937399587</v>
      </c>
      <c r="P286" s="19">
        <f t="shared" ca="1" si="98"/>
        <v>28.178718937399587</v>
      </c>
      <c r="Q286" s="19">
        <f t="shared" ca="1" si="99"/>
        <v>28.178718937399587</v>
      </c>
      <c r="R286" s="19">
        <f t="shared" ca="1" si="100"/>
        <v>2.8178718937399587</v>
      </c>
      <c r="S286" s="19">
        <f t="shared" ca="1" si="101"/>
        <v>2.8178718937399587</v>
      </c>
      <c r="T286" s="19">
        <f t="shared" ca="1" si="102"/>
        <v>0</v>
      </c>
      <c r="U286" s="19">
        <f t="shared" ca="1" si="103"/>
        <v>1475.3251747165598</v>
      </c>
      <c r="V286" s="19">
        <f t="shared" ca="1" si="104"/>
        <v>0</v>
      </c>
      <c r="W286" s="82">
        <f t="shared" ca="1" si="105"/>
        <v>4746.9876707175936</v>
      </c>
      <c r="X286" s="19">
        <f t="shared" ca="1" si="106"/>
        <v>0</v>
      </c>
      <c r="Y286" s="19">
        <f t="shared" si="107"/>
        <v>0</v>
      </c>
      <c r="Z286" s="82">
        <f t="shared" ca="1" si="108"/>
        <v>4746.9876707175936</v>
      </c>
      <c r="AA286" s="19">
        <f t="shared" ca="1" si="109"/>
        <v>0</v>
      </c>
      <c r="AE286" s="19"/>
    </row>
    <row r="287" spans="1:31" ht="12.75" customHeight="1" x14ac:dyDescent="0.2">
      <c r="A287">
        <v>2</v>
      </c>
      <c r="B287">
        <v>0</v>
      </c>
      <c r="C287">
        <f t="shared" ca="1" si="88"/>
        <v>4</v>
      </c>
      <c r="D287">
        <f t="shared" ca="1" si="89"/>
        <v>3</v>
      </c>
      <c r="E287">
        <f t="shared" ca="1" si="90"/>
        <v>2</v>
      </c>
      <c r="F287" s="61">
        <f t="shared" ca="1" si="91"/>
        <v>0.13085086388183043</v>
      </c>
      <c r="G287">
        <v>1</v>
      </c>
      <c r="H287">
        <v>0</v>
      </c>
      <c r="I287">
        <v>4</v>
      </c>
      <c r="J287" s="61">
        <f t="shared" ca="1" si="92"/>
        <v>0</v>
      </c>
      <c r="K287" s="61">
        <f t="shared" ca="1" si="93"/>
        <v>0</v>
      </c>
      <c r="L287" s="82">
        <f t="shared" ca="1" si="94"/>
        <v>205</v>
      </c>
      <c r="M287" s="16">
        <f t="shared" ca="1" si="95"/>
        <v>795</v>
      </c>
      <c r="N287" s="3">
        <f t="shared" ca="1" si="96"/>
        <v>5</v>
      </c>
      <c r="O287" s="19">
        <f t="shared" ca="1" si="97"/>
        <v>2.8178718937399587</v>
      </c>
      <c r="P287" s="19">
        <f t="shared" ca="1" si="98"/>
        <v>28.178718937399587</v>
      </c>
      <c r="Q287" s="19">
        <f t="shared" ca="1" si="99"/>
        <v>28.178718937399587</v>
      </c>
      <c r="R287" s="19">
        <f t="shared" ca="1" si="100"/>
        <v>2.8178718937399587</v>
      </c>
      <c r="S287" s="19">
        <f t="shared" ca="1" si="101"/>
        <v>2.8178718937399587</v>
      </c>
      <c r="T287" s="19">
        <f t="shared" ca="1" si="102"/>
        <v>0</v>
      </c>
      <c r="U287" s="19">
        <f t="shared" ca="1" si="103"/>
        <v>1464.3251747165598</v>
      </c>
      <c r="V287" s="19">
        <f t="shared" ca="1" si="104"/>
        <v>0</v>
      </c>
      <c r="W287" s="82">
        <f t="shared" ca="1" si="105"/>
        <v>4261.0824406828706</v>
      </c>
      <c r="X287" s="19">
        <f t="shared" ca="1" si="106"/>
        <v>0</v>
      </c>
      <c r="Y287" s="19">
        <f t="shared" si="107"/>
        <v>0</v>
      </c>
      <c r="Z287" s="82">
        <f t="shared" ca="1" si="108"/>
        <v>4261.0824406828706</v>
      </c>
      <c r="AA287" s="19">
        <f t="shared" ca="1" si="109"/>
        <v>0</v>
      </c>
      <c r="AE287" s="19"/>
    </row>
    <row r="288" spans="1:31" ht="12.75" customHeight="1" x14ac:dyDescent="0.2">
      <c r="A288">
        <v>2</v>
      </c>
      <c r="B288">
        <v>0</v>
      </c>
      <c r="C288">
        <f t="shared" ca="1" si="88"/>
        <v>4</v>
      </c>
      <c r="D288">
        <f t="shared" ca="1" si="89"/>
        <v>3</v>
      </c>
      <c r="E288">
        <f t="shared" ca="1" si="90"/>
        <v>2</v>
      </c>
      <c r="F288" s="61">
        <f t="shared" ca="1" si="91"/>
        <v>0.13085086388183043</v>
      </c>
      <c r="G288">
        <v>1</v>
      </c>
      <c r="H288">
        <v>0</v>
      </c>
      <c r="I288">
        <v>3</v>
      </c>
      <c r="J288" s="61">
        <f t="shared" ca="1" si="92"/>
        <v>0.81450624999999988</v>
      </c>
      <c r="K288" s="61">
        <f t="shared" ca="1" si="93"/>
        <v>0.10657884644965013</v>
      </c>
      <c r="L288" s="82">
        <f t="shared" ca="1" si="94"/>
        <v>194</v>
      </c>
      <c r="M288" s="16">
        <f t="shared" ca="1" si="95"/>
        <v>806</v>
      </c>
      <c r="N288" s="3">
        <f t="shared" ca="1" si="96"/>
        <v>5</v>
      </c>
      <c r="O288" s="19">
        <f t="shared" ca="1" si="97"/>
        <v>2.8178718937399587</v>
      </c>
      <c r="P288" s="19">
        <f t="shared" ca="1" si="98"/>
        <v>28.178718937399587</v>
      </c>
      <c r="Q288" s="19">
        <f t="shared" ca="1" si="99"/>
        <v>28.178718937399587</v>
      </c>
      <c r="R288" s="19">
        <f t="shared" ca="1" si="100"/>
        <v>2.8178718937399587</v>
      </c>
      <c r="S288" s="19">
        <f t="shared" ca="1" si="101"/>
        <v>2.8178718937399587</v>
      </c>
      <c r="T288" s="19">
        <f t="shared" ca="1" si="102"/>
        <v>0.30032553587769589</v>
      </c>
      <c r="U288" s="19">
        <f t="shared" ca="1" si="103"/>
        <v>1453.3251747165598</v>
      </c>
      <c r="V288" s="19">
        <f t="shared" ca="1" si="104"/>
        <v>154.89372063752717</v>
      </c>
      <c r="W288" s="82">
        <f t="shared" ca="1" si="105"/>
        <v>3775.1772106481485</v>
      </c>
      <c r="X288" s="19">
        <f t="shared" ca="1" si="106"/>
        <v>402.35403225388751</v>
      </c>
      <c r="Y288" s="19">
        <f t="shared" si="107"/>
        <v>0</v>
      </c>
      <c r="Z288" s="82">
        <f t="shared" ca="1" si="108"/>
        <v>3775.1772106481485</v>
      </c>
      <c r="AA288" s="19">
        <f t="shared" ca="1" si="109"/>
        <v>402.35403225388751</v>
      </c>
      <c r="AE288" s="19"/>
    </row>
    <row r="289" spans="1:31" ht="12.75" customHeight="1" x14ac:dyDescent="0.2">
      <c r="A289">
        <v>2</v>
      </c>
      <c r="B289">
        <v>0</v>
      </c>
      <c r="C289">
        <f t="shared" ca="1" si="88"/>
        <v>4</v>
      </c>
      <c r="D289">
        <f t="shared" ca="1" si="89"/>
        <v>3</v>
      </c>
      <c r="E289">
        <f t="shared" ca="1" si="90"/>
        <v>2</v>
      </c>
      <c r="F289" s="61">
        <f t="shared" ca="1" si="91"/>
        <v>0.13085086388183043</v>
      </c>
      <c r="G289">
        <v>1</v>
      </c>
      <c r="H289">
        <v>0</v>
      </c>
      <c r="I289">
        <v>2</v>
      </c>
      <c r="J289" s="61">
        <f t="shared" ca="1" si="92"/>
        <v>0.12860625000000012</v>
      </c>
      <c r="K289" s="61">
        <f t="shared" ca="1" si="93"/>
        <v>1.6828238913102669E-2</v>
      </c>
      <c r="L289" s="82">
        <f t="shared" ca="1" si="94"/>
        <v>183</v>
      </c>
      <c r="M289" s="16">
        <f t="shared" ca="1" si="95"/>
        <v>817</v>
      </c>
      <c r="N289" s="3">
        <f t="shared" ca="1" si="96"/>
        <v>5</v>
      </c>
      <c r="O289" s="19">
        <f t="shared" ca="1" si="97"/>
        <v>2.8178718937399587</v>
      </c>
      <c r="P289" s="19">
        <f t="shared" ca="1" si="98"/>
        <v>28.178718937399587</v>
      </c>
      <c r="Q289" s="19">
        <f t="shared" ca="1" si="99"/>
        <v>28.178718937399587</v>
      </c>
      <c r="R289" s="19">
        <f t="shared" ca="1" si="100"/>
        <v>2.8178718937399587</v>
      </c>
      <c r="S289" s="19">
        <f t="shared" ca="1" si="101"/>
        <v>2.8178718937399587</v>
      </c>
      <c r="T289" s="19">
        <f t="shared" ca="1" si="102"/>
        <v>4.7419821454373082E-2</v>
      </c>
      <c r="U289" s="19">
        <f t="shared" ca="1" si="103"/>
        <v>1442.3251747165598</v>
      </c>
      <c r="V289" s="19">
        <f t="shared" ca="1" si="104"/>
        <v>24.271792630512817</v>
      </c>
      <c r="W289" s="82">
        <f t="shared" ca="1" si="105"/>
        <v>3289.2719806134264</v>
      </c>
      <c r="X289" s="19">
        <f t="shared" ca="1" si="106"/>
        <v>55.352654739937151</v>
      </c>
      <c r="Y289" s="19">
        <f t="shared" si="107"/>
        <v>0</v>
      </c>
      <c r="Z289" s="82">
        <f t="shared" ca="1" si="108"/>
        <v>3289.2719806134264</v>
      </c>
      <c r="AA289" s="19">
        <f t="shared" ca="1" si="109"/>
        <v>55.352654739937151</v>
      </c>
      <c r="AE289" s="19"/>
    </row>
    <row r="290" spans="1:31" ht="12.75" customHeight="1" x14ac:dyDescent="0.2">
      <c r="A290">
        <v>2</v>
      </c>
      <c r="B290">
        <v>0</v>
      </c>
      <c r="C290">
        <f t="shared" ca="1" si="88"/>
        <v>4</v>
      </c>
      <c r="D290">
        <f t="shared" ca="1" si="89"/>
        <v>3</v>
      </c>
      <c r="E290">
        <f t="shared" ca="1" si="90"/>
        <v>2</v>
      </c>
      <c r="F290" s="61">
        <f t="shared" ca="1" si="91"/>
        <v>0.13085086388183043</v>
      </c>
      <c r="G290">
        <v>1</v>
      </c>
      <c r="H290">
        <v>0</v>
      </c>
      <c r="I290">
        <v>1</v>
      </c>
      <c r="J290" s="61">
        <f t="shared" ca="1" si="92"/>
        <v>6.7687500000000109E-3</v>
      </c>
      <c r="K290" s="61">
        <f t="shared" ca="1" si="93"/>
        <v>8.8569678490014114E-4</v>
      </c>
      <c r="L290" s="82">
        <f t="shared" ca="1" si="94"/>
        <v>172</v>
      </c>
      <c r="M290" s="16">
        <f t="shared" ca="1" si="95"/>
        <v>828</v>
      </c>
      <c r="N290" s="3">
        <f t="shared" ca="1" si="96"/>
        <v>5</v>
      </c>
      <c r="O290" s="19">
        <f t="shared" ca="1" si="97"/>
        <v>2.8178718937399587</v>
      </c>
      <c r="P290" s="19">
        <f t="shared" ca="1" si="98"/>
        <v>28.178718937399587</v>
      </c>
      <c r="Q290" s="19">
        <f t="shared" ca="1" si="99"/>
        <v>28.178718937399587</v>
      </c>
      <c r="R290" s="19">
        <f t="shared" ca="1" si="100"/>
        <v>2.8178718937399587</v>
      </c>
      <c r="S290" s="19">
        <f t="shared" ca="1" si="101"/>
        <v>2.8178718937399587</v>
      </c>
      <c r="T290" s="19">
        <f t="shared" ca="1" si="102"/>
        <v>2.4957800765459536E-3</v>
      </c>
      <c r="U290" s="19">
        <f t="shared" ca="1" si="103"/>
        <v>1431.3251747165598</v>
      </c>
      <c r="V290" s="19">
        <f t="shared" ca="1" si="104"/>
        <v>1.2677201053930898</v>
      </c>
      <c r="W290" s="82">
        <f t="shared" ca="1" si="105"/>
        <v>2803.3667505787039</v>
      </c>
      <c r="X290" s="19">
        <f t="shared" ca="1" si="106"/>
        <v>2.482932917883514</v>
      </c>
      <c r="Y290" s="19">
        <f t="shared" si="107"/>
        <v>0</v>
      </c>
      <c r="Z290" s="82">
        <f t="shared" ca="1" si="108"/>
        <v>2803.3667505787039</v>
      </c>
      <c r="AA290" s="19">
        <f t="shared" ca="1" si="109"/>
        <v>2.482932917883514</v>
      </c>
      <c r="AE290" s="19"/>
    </row>
    <row r="291" spans="1:31" ht="12.75" customHeight="1" x14ac:dyDescent="0.2">
      <c r="A291">
        <v>2</v>
      </c>
      <c r="B291">
        <v>0</v>
      </c>
      <c r="C291">
        <f t="shared" ca="1" si="88"/>
        <v>4</v>
      </c>
      <c r="D291">
        <f t="shared" ca="1" si="89"/>
        <v>3</v>
      </c>
      <c r="E291">
        <f t="shared" ca="1" si="90"/>
        <v>2</v>
      </c>
      <c r="F291" s="61">
        <f t="shared" ca="1" si="91"/>
        <v>0.13085086388183043</v>
      </c>
      <c r="G291">
        <v>1</v>
      </c>
      <c r="H291">
        <v>0</v>
      </c>
      <c r="I291">
        <v>0</v>
      </c>
      <c r="J291" s="61">
        <f t="shared" ca="1" si="92"/>
        <v>1.1875000000000031E-4</v>
      </c>
      <c r="K291" s="61">
        <f t="shared" ca="1" si="93"/>
        <v>1.5538540085967403E-5</v>
      </c>
      <c r="L291" s="82">
        <f t="shared" ca="1" si="94"/>
        <v>161</v>
      </c>
      <c r="M291" s="16">
        <f t="shared" ca="1" si="95"/>
        <v>839</v>
      </c>
      <c r="N291" s="3">
        <f t="shared" ca="1" si="96"/>
        <v>5</v>
      </c>
      <c r="O291" s="19">
        <f t="shared" ca="1" si="97"/>
        <v>2.8178718937399587</v>
      </c>
      <c r="P291" s="19">
        <f t="shared" ca="1" si="98"/>
        <v>28.178718937399587</v>
      </c>
      <c r="Q291" s="19">
        <f t="shared" ca="1" si="99"/>
        <v>28.178718937399587</v>
      </c>
      <c r="R291" s="19">
        <f t="shared" ca="1" si="100"/>
        <v>2.8178718937399587</v>
      </c>
      <c r="S291" s="19">
        <f t="shared" ca="1" si="101"/>
        <v>2.8178718937399587</v>
      </c>
      <c r="T291" s="19">
        <f t="shared" ca="1" si="102"/>
        <v>4.3785615377999224E-5</v>
      </c>
      <c r="U291" s="19">
        <f t="shared" ca="1" si="103"/>
        <v>1420.3251747165598</v>
      </c>
      <c r="V291" s="19">
        <f t="shared" ca="1" si="104"/>
        <v>2.2069779662441918E-2</v>
      </c>
      <c r="W291" s="82">
        <f t="shared" ca="1" si="105"/>
        <v>2317.4615205439818</v>
      </c>
      <c r="X291" s="19">
        <f t="shared" ca="1" si="106"/>
        <v>3.6009968734659635E-2</v>
      </c>
      <c r="Y291" s="19">
        <f t="shared" si="107"/>
        <v>0</v>
      </c>
      <c r="Z291" s="82">
        <f t="shared" ca="1" si="108"/>
        <v>2317.4615205439818</v>
      </c>
      <c r="AA291" s="19">
        <f t="shared" ca="1" si="109"/>
        <v>3.6009968734659635E-2</v>
      </c>
      <c r="AE291" s="19"/>
    </row>
    <row r="292" spans="1:31" ht="12.75" customHeight="1" x14ac:dyDescent="0.2">
      <c r="A292">
        <v>2</v>
      </c>
      <c r="B292">
        <v>0</v>
      </c>
      <c r="C292">
        <f t="shared" ca="1" si="88"/>
        <v>4</v>
      </c>
      <c r="D292">
        <f t="shared" ca="1" si="89"/>
        <v>3</v>
      </c>
      <c r="E292">
        <f t="shared" ca="1" si="90"/>
        <v>2</v>
      </c>
      <c r="F292" s="61">
        <f t="shared" ca="1" si="91"/>
        <v>0.13085086388183043</v>
      </c>
      <c r="G292">
        <v>0</v>
      </c>
      <c r="H292">
        <v>1</v>
      </c>
      <c r="I292">
        <v>7</v>
      </c>
      <c r="J292" s="61">
        <f t="shared" ca="1" si="92"/>
        <v>0</v>
      </c>
      <c r="K292" s="61">
        <f t="shared" ca="1" si="93"/>
        <v>0</v>
      </c>
      <c r="L292" s="82">
        <f t="shared" ca="1" si="94"/>
        <v>238</v>
      </c>
      <c r="M292" s="16">
        <f t="shared" ca="1" si="95"/>
        <v>762</v>
      </c>
      <c r="N292" s="3">
        <f t="shared" ca="1" si="96"/>
        <v>5</v>
      </c>
      <c r="O292" s="19">
        <f t="shared" ca="1" si="97"/>
        <v>2.8178718937399587</v>
      </c>
      <c r="P292" s="19">
        <f t="shared" ca="1" si="98"/>
        <v>25.815886347750073</v>
      </c>
      <c r="Q292" s="19">
        <f t="shared" ca="1" si="99"/>
        <v>23.453053758100552</v>
      </c>
      <c r="R292" s="19">
        <f t="shared" ca="1" si="100"/>
        <v>2.4634470052925312</v>
      </c>
      <c r="S292" s="19">
        <f t="shared" ca="1" si="101"/>
        <v>2.8178718937399587</v>
      </c>
      <c r="T292" s="19">
        <f t="shared" ca="1" si="102"/>
        <v>0</v>
      </c>
      <c r="U292" s="19">
        <f t="shared" ca="1" si="103"/>
        <v>1497.3251747165598</v>
      </c>
      <c r="V292" s="19">
        <f t="shared" ca="1" si="104"/>
        <v>0</v>
      </c>
      <c r="W292" s="82">
        <f t="shared" ca="1" si="105"/>
        <v>3401.3366102430559</v>
      </c>
      <c r="X292" s="19">
        <f t="shared" ca="1" si="106"/>
        <v>0</v>
      </c>
      <c r="Y292" s="19">
        <f t="shared" si="107"/>
        <v>0</v>
      </c>
      <c r="Z292" s="82">
        <f t="shared" ca="1" si="108"/>
        <v>3401.3366102430559</v>
      </c>
      <c r="AA292" s="19">
        <f t="shared" ca="1" si="109"/>
        <v>0</v>
      </c>
      <c r="AE292" s="19"/>
    </row>
    <row r="293" spans="1:31" ht="12.75" customHeight="1" x14ac:dyDescent="0.2">
      <c r="A293">
        <v>2</v>
      </c>
      <c r="B293">
        <v>0</v>
      </c>
      <c r="C293">
        <f t="shared" ca="1" si="88"/>
        <v>4</v>
      </c>
      <c r="D293">
        <f t="shared" ca="1" si="89"/>
        <v>3</v>
      </c>
      <c r="E293">
        <f t="shared" ca="1" si="90"/>
        <v>2</v>
      </c>
      <c r="F293" s="61">
        <f t="shared" ca="1" si="91"/>
        <v>0.13085086388183043</v>
      </c>
      <c r="G293">
        <v>0</v>
      </c>
      <c r="H293">
        <v>1</v>
      </c>
      <c r="I293">
        <v>6</v>
      </c>
      <c r="J293" s="61">
        <f t="shared" ca="1" si="92"/>
        <v>0</v>
      </c>
      <c r="K293" s="61">
        <f t="shared" ca="1" si="93"/>
        <v>0</v>
      </c>
      <c r="L293" s="82">
        <f t="shared" ca="1" si="94"/>
        <v>227</v>
      </c>
      <c r="M293" s="16">
        <f t="shared" ca="1" si="95"/>
        <v>773</v>
      </c>
      <c r="N293" s="3">
        <f t="shared" ca="1" si="96"/>
        <v>5</v>
      </c>
      <c r="O293" s="19">
        <f t="shared" ca="1" si="97"/>
        <v>2.8178718937399587</v>
      </c>
      <c r="P293" s="19">
        <f t="shared" ca="1" si="98"/>
        <v>28.178718937399587</v>
      </c>
      <c r="Q293" s="19">
        <f t="shared" ca="1" si="99"/>
        <v>26.288452865679979</v>
      </c>
      <c r="R293" s="19">
        <f t="shared" ca="1" si="100"/>
        <v>2.7233585901539783</v>
      </c>
      <c r="S293" s="19">
        <f t="shared" ca="1" si="101"/>
        <v>2.8178718937399587</v>
      </c>
      <c r="T293" s="19">
        <f t="shared" ca="1" si="102"/>
        <v>0</v>
      </c>
      <c r="U293" s="19">
        <f t="shared" ca="1" si="103"/>
        <v>1486.3251747165598</v>
      </c>
      <c r="V293" s="19">
        <f t="shared" ca="1" si="104"/>
        <v>0</v>
      </c>
      <c r="W293" s="82">
        <f t="shared" ca="1" si="105"/>
        <v>2915.4313802083334</v>
      </c>
      <c r="X293" s="19">
        <f t="shared" ca="1" si="106"/>
        <v>0</v>
      </c>
      <c r="Y293" s="19">
        <f t="shared" si="107"/>
        <v>0</v>
      </c>
      <c r="Z293" s="82">
        <f t="shared" ca="1" si="108"/>
        <v>2915.4313802083334</v>
      </c>
      <c r="AA293" s="19">
        <f t="shared" ca="1" si="109"/>
        <v>0</v>
      </c>
      <c r="AE293" s="19"/>
    </row>
    <row r="294" spans="1:31" ht="12.75" customHeight="1" x14ac:dyDescent="0.2">
      <c r="A294">
        <v>2</v>
      </c>
      <c r="B294">
        <v>0</v>
      </c>
      <c r="C294">
        <f t="shared" ca="1" si="88"/>
        <v>4</v>
      </c>
      <c r="D294">
        <f t="shared" ca="1" si="89"/>
        <v>3</v>
      </c>
      <c r="E294">
        <f t="shared" ca="1" si="90"/>
        <v>2</v>
      </c>
      <c r="F294" s="61">
        <f t="shared" ca="1" si="91"/>
        <v>0.13085086388183043</v>
      </c>
      <c r="G294">
        <v>0</v>
      </c>
      <c r="H294">
        <v>1</v>
      </c>
      <c r="I294">
        <v>5</v>
      </c>
      <c r="J294" s="61">
        <f t="shared" ca="1" si="92"/>
        <v>0</v>
      </c>
      <c r="K294" s="61">
        <f t="shared" ca="1" si="93"/>
        <v>0</v>
      </c>
      <c r="L294" s="82">
        <f t="shared" ca="1" si="94"/>
        <v>216</v>
      </c>
      <c r="M294" s="16">
        <f t="shared" ca="1" si="95"/>
        <v>784</v>
      </c>
      <c r="N294" s="3">
        <f t="shared" ca="1" si="96"/>
        <v>5</v>
      </c>
      <c r="O294" s="19">
        <f t="shared" ca="1" si="97"/>
        <v>2.8178718937399587</v>
      </c>
      <c r="P294" s="19">
        <f t="shared" ca="1" si="98"/>
        <v>28.178718937399587</v>
      </c>
      <c r="Q294" s="19">
        <f t="shared" ca="1" si="99"/>
        <v>28.178718937399587</v>
      </c>
      <c r="R294" s="19">
        <f t="shared" ca="1" si="100"/>
        <v>2.8178718937399587</v>
      </c>
      <c r="S294" s="19">
        <f t="shared" ca="1" si="101"/>
        <v>2.8178718937399587</v>
      </c>
      <c r="T294" s="19">
        <f t="shared" ca="1" si="102"/>
        <v>0</v>
      </c>
      <c r="U294" s="19">
        <f t="shared" ca="1" si="103"/>
        <v>1475.3251747165598</v>
      </c>
      <c r="V294" s="19">
        <f t="shared" ca="1" si="104"/>
        <v>0</v>
      </c>
      <c r="W294" s="82">
        <f t="shared" ca="1" si="105"/>
        <v>2429.5261501736113</v>
      </c>
      <c r="X294" s="19">
        <f t="shared" ca="1" si="106"/>
        <v>0</v>
      </c>
      <c r="Y294" s="19">
        <f t="shared" si="107"/>
        <v>0</v>
      </c>
      <c r="Z294" s="82">
        <f t="shared" ca="1" si="108"/>
        <v>2429.5261501736113</v>
      </c>
      <c r="AA294" s="19">
        <f t="shared" ca="1" si="109"/>
        <v>0</v>
      </c>
      <c r="AE294" s="19"/>
    </row>
    <row r="295" spans="1:31" ht="12.75" customHeight="1" x14ac:dyDescent="0.2">
      <c r="A295">
        <v>2</v>
      </c>
      <c r="B295">
        <v>0</v>
      </c>
      <c r="C295">
        <f t="shared" ca="1" si="88"/>
        <v>4</v>
      </c>
      <c r="D295">
        <f t="shared" ca="1" si="89"/>
        <v>3</v>
      </c>
      <c r="E295">
        <f t="shared" ca="1" si="90"/>
        <v>2</v>
      </c>
      <c r="F295" s="61">
        <f t="shared" ca="1" si="91"/>
        <v>0.13085086388183043</v>
      </c>
      <c r="G295">
        <v>0</v>
      </c>
      <c r="H295">
        <v>1</v>
      </c>
      <c r="I295">
        <v>4</v>
      </c>
      <c r="J295" s="61">
        <f t="shared" ca="1" si="92"/>
        <v>0</v>
      </c>
      <c r="K295" s="61">
        <f t="shared" ca="1" si="93"/>
        <v>0</v>
      </c>
      <c r="L295" s="82">
        <f t="shared" ca="1" si="94"/>
        <v>205</v>
      </c>
      <c r="M295" s="16">
        <f t="shared" ca="1" si="95"/>
        <v>795</v>
      </c>
      <c r="N295" s="3">
        <f t="shared" ca="1" si="96"/>
        <v>5</v>
      </c>
      <c r="O295" s="19">
        <f t="shared" ca="1" si="97"/>
        <v>2.8178718937399587</v>
      </c>
      <c r="P295" s="19">
        <f t="shared" ca="1" si="98"/>
        <v>28.178718937399587</v>
      </c>
      <c r="Q295" s="19">
        <f t="shared" ca="1" si="99"/>
        <v>28.178718937399587</v>
      </c>
      <c r="R295" s="19">
        <f t="shared" ca="1" si="100"/>
        <v>2.8178718937399587</v>
      </c>
      <c r="S295" s="19">
        <f t="shared" ca="1" si="101"/>
        <v>2.8178718937399587</v>
      </c>
      <c r="T295" s="19">
        <f t="shared" ca="1" si="102"/>
        <v>0</v>
      </c>
      <c r="U295" s="19">
        <f t="shared" ca="1" si="103"/>
        <v>1464.3251747165598</v>
      </c>
      <c r="V295" s="19">
        <f t="shared" ca="1" si="104"/>
        <v>0</v>
      </c>
      <c r="W295" s="82">
        <f t="shared" ca="1" si="105"/>
        <v>1943.620920138889</v>
      </c>
      <c r="X295" s="19">
        <f t="shared" ca="1" si="106"/>
        <v>0</v>
      </c>
      <c r="Y295" s="19">
        <f t="shared" si="107"/>
        <v>0</v>
      </c>
      <c r="Z295" s="82">
        <f t="shared" ca="1" si="108"/>
        <v>1943.620920138889</v>
      </c>
      <c r="AA295" s="19">
        <f t="shared" ca="1" si="109"/>
        <v>0</v>
      </c>
      <c r="AE295" s="19"/>
    </row>
    <row r="296" spans="1:31" ht="12.75" customHeight="1" x14ac:dyDescent="0.2">
      <c r="A296">
        <v>2</v>
      </c>
      <c r="B296">
        <v>0</v>
      </c>
      <c r="C296">
        <f t="shared" ca="1" si="88"/>
        <v>4</v>
      </c>
      <c r="D296">
        <f t="shared" ca="1" si="89"/>
        <v>3</v>
      </c>
      <c r="E296">
        <f t="shared" ca="1" si="90"/>
        <v>2</v>
      </c>
      <c r="F296" s="61">
        <f t="shared" ca="1" si="91"/>
        <v>0.13085086388183043</v>
      </c>
      <c r="G296">
        <v>0</v>
      </c>
      <c r="H296">
        <v>1</v>
      </c>
      <c r="I296">
        <v>3</v>
      </c>
      <c r="J296" s="61">
        <f t="shared" ca="1" si="92"/>
        <v>0</v>
      </c>
      <c r="K296" s="61">
        <f t="shared" ca="1" si="93"/>
        <v>0</v>
      </c>
      <c r="L296" s="82">
        <f t="shared" ca="1" si="94"/>
        <v>194</v>
      </c>
      <c r="M296" s="16">
        <f t="shared" ca="1" si="95"/>
        <v>806</v>
      </c>
      <c r="N296" s="3">
        <f t="shared" ca="1" si="96"/>
        <v>5</v>
      </c>
      <c r="O296" s="19">
        <f t="shared" ca="1" si="97"/>
        <v>2.8178718937399587</v>
      </c>
      <c r="P296" s="19">
        <f t="shared" ca="1" si="98"/>
        <v>28.178718937399587</v>
      </c>
      <c r="Q296" s="19">
        <f t="shared" ca="1" si="99"/>
        <v>28.178718937399587</v>
      </c>
      <c r="R296" s="19">
        <f t="shared" ca="1" si="100"/>
        <v>2.8178718937399587</v>
      </c>
      <c r="S296" s="19">
        <f t="shared" ca="1" si="101"/>
        <v>2.8178718937399587</v>
      </c>
      <c r="T296" s="19">
        <f t="shared" ca="1" si="102"/>
        <v>0</v>
      </c>
      <c r="U296" s="19">
        <f t="shared" ca="1" si="103"/>
        <v>1453.3251747165598</v>
      </c>
      <c r="V296" s="19">
        <f t="shared" ca="1" si="104"/>
        <v>0</v>
      </c>
      <c r="W296" s="82">
        <f t="shared" ca="1" si="105"/>
        <v>1457.7156901041667</v>
      </c>
      <c r="X296" s="19">
        <f t="shared" ca="1" si="106"/>
        <v>0</v>
      </c>
      <c r="Y296" s="19">
        <f t="shared" si="107"/>
        <v>0</v>
      </c>
      <c r="Z296" s="82">
        <f t="shared" ca="1" si="108"/>
        <v>1457.7156901041667</v>
      </c>
      <c r="AA296" s="19">
        <f t="shared" ca="1" si="109"/>
        <v>0</v>
      </c>
      <c r="AE296" s="19"/>
    </row>
    <row r="297" spans="1:31" ht="12.75" customHeight="1" x14ac:dyDescent="0.2">
      <c r="A297">
        <v>2</v>
      </c>
      <c r="B297">
        <v>0</v>
      </c>
      <c r="C297">
        <f t="shared" ca="1" si="88"/>
        <v>4</v>
      </c>
      <c r="D297">
        <f t="shared" ca="1" si="89"/>
        <v>3</v>
      </c>
      <c r="E297">
        <f t="shared" ca="1" si="90"/>
        <v>2</v>
      </c>
      <c r="F297" s="61">
        <f t="shared" ca="1" si="91"/>
        <v>0.13085086388183043</v>
      </c>
      <c r="G297">
        <v>0</v>
      </c>
      <c r="H297">
        <v>1</v>
      </c>
      <c r="I297">
        <v>2</v>
      </c>
      <c r="J297" s="61">
        <f t="shared" ca="1" si="92"/>
        <v>0</v>
      </c>
      <c r="K297" s="61">
        <f t="shared" ca="1" si="93"/>
        <v>0</v>
      </c>
      <c r="L297" s="82">
        <f t="shared" ca="1" si="94"/>
        <v>183</v>
      </c>
      <c r="M297" s="16">
        <f t="shared" ca="1" si="95"/>
        <v>817</v>
      </c>
      <c r="N297" s="3">
        <f t="shared" ca="1" si="96"/>
        <v>5</v>
      </c>
      <c r="O297" s="19">
        <f t="shared" ca="1" si="97"/>
        <v>2.8178718937399587</v>
      </c>
      <c r="P297" s="19">
        <f t="shared" ca="1" si="98"/>
        <v>28.178718937399587</v>
      </c>
      <c r="Q297" s="19">
        <f t="shared" ca="1" si="99"/>
        <v>28.178718937399587</v>
      </c>
      <c r="R297" s="19">
        <f t="shared" ca="1" si="100"/>
        <v>2.8178718937399587</v>
      </c>
      <c r="S297" s="19">
        <f t="shared" ca="1" si="101"/>
        <v>2.8178718937399587</v>
      </c>
      <c r="T297" s="19">
        <f t="shared" ca="1" si="102"/>
        <v>0</v>
      </c>
      <c r="U297" s="19">
        <f t="shared" ca="1" si="103"/>
        <v>1442.3251747165598</v>
      </c>
      <c r="V297" s="19">
        <f t="shared" ca="1" si="104"/>
        <v>0</v>
      </c>
      <c r="W297" s="82">
        <f t="shared" ca="1" si="105"/>
        <v>971.8104600694445</v>
      </c>
      <c r="X297" s="19">
        <f t="shared" ca="1" si="106"/>
        <v>0</v>
      </c>
      <c r="Y297" s="19">
        <f t="shared" si="107"/>
        <v>0</v>
      </c>
      <c r="Z297" s="82">
        <f t="shared" ca="1" si="108"/>
        <v>971.8104600694445</v>
      </c>
      <c r="AA297" s="19">
        <f t="shared" ca="1" si="109"/>
        <v>0</v>
      </c>
      <c r="AE297" s="19"/>
    </row>
    <row r="298" spans="1:31" ht="12.75" customHeight="1" x14ac:dyDescent="0.2">
      <c r="A298">
        <v>2</v>
      </c>
      <c r="B298">
        <v>0</v>
      </c>
      <c r="C298">
        <f t="shared" ca="1" si="88"/>
        <v>4</v>
      </c>
      <c r="D298">
        <f t="shared" ca="1" si="89"/>
        <v>3</v>
      </c>
      <c r="E298">
        <f t="shared" ca="1" si="90"/>
        <v>2</v>
      </c>
      <c r="F298" s="61">
        <f t="shared" ca="1" si="91"/>
        <v>0.13085086388183043</v>
      </c>
      <c r="G298">
        <v>0</v>
      </c>
      <c r="H298">
        <v>1</v>
      </c>
      <c r="I298">
        <v>1</v>
      </c>
      <c r="J298" s="61">
        <f t="shared" ca="1" si="92"/>
        <v>0</v>
      </c>
      <c r="K298" s="61">
        <f t="shared" ca="1" si="93"/>
        <v>0</v>
      </c>
      <c r="L298" s="82">
        <f t="shared" ca="1" si="94"/>
        <v>172</v>
      </c>
      <c r="M298" s="16">
        <f t="shared" ca="1" si="95"/>
        <v>828</v>
      </c>
      <c r="N298" s="3">
        <f t="shared" ca="1" si="96"/>
        <v>5</v>
      </c>
      <c r="O298" s="19">
        <f t="shared" ca="1" si="97"/>
        <v>2.8178718937399587</v>
      </c>
      <c r="P298" s="19">
        <f t="shared" ca="1" si="98"/>
        <v>28.178718937399587</v>
      </c>
      <c r="Q298" s="19">
        <f t="shared" ca="1" si="99"/>
        <v>28.178718937399587</v>
      </c>
      <c r="R298" s="19">
        <f t="shared" ca="1" si="100"/>
        <v>2.8178718937399587</v>
      </c>
      <c r="S298" s="19">
        <f t="shared" ca="1" si="101"/>
        <v>2.8178718937399587</v>
      </c>
      <c r="T298" s="19">
        <f t="shared" ca="1" si="102"/>
        <v>0</v>
      </c>
      <c r="U298" s="19">
        <f t="shared" ca="1" si="103"/>
        <v>1431.3251747165598</v>
      </c>
      <c r="V298" s="19">
        <f t="shared" ca="1" si="104"/>
        <v>0</v>
      </c>
      <c r="W298" s="82">
        <f t="shared" ca="1" si="105"/>
        <v>485.90523003472225</v>
      </c>
      <c r="X298" s="19">
        <f t="shared" ca="1" si="106"/>
        <v>0</v>
      </c>
      <c r="Y298" s="19">
        <f t="shared" si="107"/>
        <v>0</v>
      </c>
      <c r="Z298" s="82">
        <f t="shared" ca="1" si="108"/>
        <v>485.90523003472225</v>
      </c>
      <c r="AA298" s="19">
        <f t="shared" ca="1" si="109"/>
        <v>0</v>
      </c>
      <c r="AE298" s="19"/>
    </row>
    <row r="299" spans="1:31" ht="12.75" customHeight="1" x14ac:dyDescent="0.2">
      <c r="A299">
        <v>2</v>
      </c>
      <c r="B299">
        <v>0</v>
      </c>
      <c r="C299">
        <f t="shared" ca="1" si="88"/>
        <v>4</v>
      </c>
      <c r="D299">
        <f t="shared" ca="1" si="89"/>
        <v>3</v>
      </c>
      <c r="E299">
        <f t="shared" ca="1" si="90"/>
        <v>2</v>
      </c>
      <c r="F299" s="61">
        <f t="shared" ca="1" si="91"/>
        <v>0.13085086388183043</v>
      </c>
      <c r="G299">
        <v>0</v>
      </c>
      <c r="H299">
        <v>1</v>
      </c>
      <c r="I299">
        <v>0</v>
      </c>
      <c r="J299" s="61">
        <f t="shared" ca="1" si="92"/>
        <v>0</v>
      </c>
      <c r="K299" s="61">
        <f t="shared" ca="1" si="93"/>
        <v>0</v>
      </c>
      <c r="L299" s="82">
        <f t="shared" ca="1" si="94"/>
        <v>161</v>
      </c>
      <c r="M299" s="16">
        <f t="shared" ca="1" si="95"/>
        <v>839</v>
      </c>
      <c r="N299" s="3">
        <f t="shared" ca="1" si="96"/>
        <v>5</v>
      </c>
      <c r="O299" s="19">
        <f t="shared" ca="1" si="97"/>
        <v>2.8178718937399587</v>
      </c>
      <c r="P299" s="19">
        <f t="shared" ca="1" si="98"/>
        <v>28.178718937399587</v>
      </c>
      <c r="Q299" s="19">
        <f t="shared" ca="1" si="99"/>
        <v>28.178718937399587</v>
      </c>
      <c r="R299" s="19">
        <f t="shared" ca="1" si="100"/>
        <v>2.8178718937399587</v>
      </c>
      <c r="S299" s="19">
        <f t="shared" ca="1" si="101"/>
        <v>2.8178718937399587</v>
      </c>
      <c r="T299" s="19">
        <f t="shared" ca="1" si="102"/>
        <v>0</v>
      </c>
      <c r="U299" s="19">
        <f t="shared" ca="1" si="103"/>
        <v>1420.3251747165598</v>
      </c>
      <c r="V299" s="19">
        <f t="shared" ca="1" si="104"/>
        <v>0</v>
      </c>
      <c r="W299" s="82">
        <f t="shared" ca="1" si="105"/>
        <v>0</v>
      </c>
      <c r="X299" s="19">
        <f t="shared" ca="1" si="106"/>
        <v>0</v>
      </c>
      <c r="Y299" s="19">
        <f t="shared" si="107"/>
        <v>0</v>
      </c>
      <c r="Z299" s="82">
        <f t="shared" ca="1" si="108"/>
        <v>0</v>
      </c>
      <c r="AA299" s="19">
        <f t="shared" ca="1" si="109"/>
        <v>0</v>
      </c>
      <c r="AE299" s="19"/>
    </row>
    <row r="300" spans="1:31" ht="12.75" customHeight="1" x14ac:dyDescent="0.2">
      <c r="A300">
        <v>2</v>
      </c>
      <c r="B300">
        <v>0</v>
      </c>
      <c r="C300">
        <f t="shared" ca="1" si="88"/>
        <v>4</v>
      </c>
      <c r="D300">
        <f t="shared" ca="1" si="89"/>
        <v>3</v>
      </c>
      <c r="E300">
        <f t="shared" ca="1" si="90"/>
        <v>2</v>
      </c>
      <c r="F300" s="61">
        <f t="shared" ca="1" si="91"/>
        <v>0.13085086388183043</v>
      </c>
      <c r="G300">
        <v>0</v>
      </c>
      <c r="H300">
        <v>0</v>
      </c>
      <c r="I300">
        <v>7</v>
      </c>
      <c r="J300" s="61">
        <f t="shared" ca="1" si="92"/>
        <v>0</v>
      </c>
      <c r="K300" s="61">
        <f t="shared" ca="1" si="93"/>
        <v>0</v>
      </c>
      <c r="L300" s="82">
        <f t="shared" ca="1" si="94"/>
        <v>77</v>
      </c>
      <c r="M300" s="16">
        <f t="shared" ca="1" si="95"/>
        <v>923</v>
      </c>
      <c r="N300" s="3">
        <f t="shared" ca="1" si="96"/>
        <v>5</v>
      </c>
      <c r="O300" s="19">
        <f t="shared" ca="1" si="97"/>
        <v>2.8178718937399587</v>
      </c>
      <c r="P300" s="19">
        <f t="shared" ca="1" si="98"/>
        <v>28.178718937399587</v>
      </c>
      <c r="Q300" s="19">
        <f t="shared" ca="1" si="99"/>
        <v>28.178718937399587</v>
      </c>
      <c r="R300" s="19">
        <f t="shared" ca="1" si="100"/>
        <v>2.8178718937399587</v>
      </c>
      <c r="S300" s="19">
        <f t="shared" ca="1" si="101"/>
        <v>2.8178718937399587</v>
      </c>
      <c r="T300" s="19">
        <f t="shared" ca="1" si="102"/>
        <v>0</v>
      </c>
      <c r="U300" s="19">
        <f t="shared" ca="1" si="103"/>
        <v>1336.3251747165598</v>
      </c>
      <c r="V300" s="19">
        <f t="shared" ca="1" si="104"/>
        <v>0</v>
      </c>
      <c r="W300" s="82">
        <f t="shared" ca="1" si="105"/>
        <v>3401.3366102430559</v>
      </c>
      <c r="X300" s="19">
        <f t="shared" ca="1" si="106"/>
        <v>0</v>
      </c>
      <c r="Y300" s="19">
        <f t="shared" si="107"/>
        <v>0</v>
      </c>
      <c r="Z300" s="82">
        <f t="shared" ca="1" si="108"/>
        <v>3401.3366102430559</v>
      </c>
      <c r="AA300" s="19">
        <f t="shared" ca="1" si="109"/>
        <v>0</v>
      </c>
      <c r="AE300" s="19"/>
    </row>
    <row r="301" spans="1:31" ht="12.75" customHeight="1" x14ac:dyDescent="0.2">
      <c r="A301">
        <v>2</v>
      </c>
      <c r="B301">
        <v>0</v>
      </c>
      <c r="C301">
        <f t="shared" ca="1" si="88"/>
        <v>4</v>
      </c>
      <c r="D301">
        <f t="shared" ca="1" si="89"/>
        <v>3</v>
      </c>
      <c r="E301">
        <f t="shared" ca="1" si="90"/>
        <v>2</v>
      </c>
      <c r="F301" s="61">
        <f t="shared" ca="1" si="91"/>
        <v>0.13085086388183043</v>
      </c>
      <c r="G301">
        <v>0</v>
      </c>
      <c r="H301">
        <v>0</v>
      </c>
      <c r="I301">
        <v>6</v>
      </c>
      <c r="J301" s="61">
        <f t="shared" ca="1" si="92"/>
        <v>0</v>
      </c>
      <c r="K301" s="61">
        <f t="shared" ca="1" si="93"/>
        <v>0</v>
      </c>
      <c r="L301" s="82">
        <f t="shared" ca="1" si="94"/>
        <v>66</v>
      </c>
      <c r="M301" s="16">
        <f t="shared" ca="1" si="95"/>
        <v>934</v>
      </c>
      <c r="N301" s="3">
        <f t="shared" ca="1" si="96"/>
        <v>5</v>
      </c>
      <c r="O301" s="19">
        <f t="shared" ca="1" si="97"/>
        <v>2.8178718937399587</v>
      </c>
      <c r="P301" s="19">
        <f t="shared" ca="1" si="98"/>
        <v>28.178718937399587</v>
      </c>
      <c r="Q301" s="19">
        <f t="shared" ca="1" si="99"/>
        <v>28.178718937399587</v>
      </c>
      <c r="R301" s="19">
        <f t="shared" ca="1" si="100"/>
        <v>2.8178718937399587</v>
      </c>
      <c r="S301" s="19">
        <f t="shared" ca="1" si="101"/>
        <v>2.8178718937399587</v>
      </c>
      <c r="T301" s="19">
        <f t="shared" ca="1" si="102"/>
        <v>0</v>
      </c>
      <c r="U301" s="19">
        <f t="shared" ca="1" si="103"/>
        <v>1325.3251747165598</v>
      </c>
      <c r="V301" s="19">
        <f t="shared" ca="1" si="104"/>
        <v>0</v>
      </c>
      <c r="W301" s="82">
        <f t="shared" ca="1" si="105"/>
        <v>2915.4313802083334</v>
      </c>
      <c r="X301" s="19">
        <f t="shared" ca="1" si="106"/>
        <v>0</v>
      </c>
      <c r="Y301" s="19">
        <f t="shared" si="107"/>
        <v>0</v>
      </c>
      <c r="Z301" s="82">
        <f t="shared" ca="1" si="108"/>
        <v>2915.4313802083334</v>
      </c>
      <c r="AA301" s="19">
        <f t="shared" ca="1" si="109"/>
        <v>0</v>
      </c>
      <c r="AE301" s="19"/>
    </row>
    <row r="302" spans="1:31" ht="12.75" customHeight="1" x14ac:dyDescent="0.2">
      <c r="A302">
        <v>2</v>
      </c>
      <c r="B302">
        <v>0</v>
      </c>
      <c r="C302">
        <f t="shared" ca="1" si="88"/>
        <v>4</v>
      </c>
      <c r="D302">
        <f t="shared" ca="1" si="89"/>
        <v>3</v>
      </c>
      <c r="E302">
        <f t="shared" ca="1" si="90"/>
        <v>2</v>
      </c>
      <c r="F302" s="61">
        <f t="shared" ca="1" si="91"/>
        <v>0.13085086388183043</v>
      </c>
      <c r="G302">
        <v>0</v>
      </c>
      <c r="H302">
        <v>0</v>
      </c>
      <c r="I302">
        <v>5</v>
      </c>
      <c r="J302" s="61">
        <f t="shared" ca="1" si="92"/>
        <v>0</v>
      </c>
      <c r="K302" s="61">
        <f t="shared" ca="1" si="93"/>
        <v>0</v>
      </c>
      <c r="L302" s="82">
        <f t="shared" ca="1" si="94"/>
        <v>55</v>
      </c>
      <c r="M302" s="16">
        <f t="shared" ca="1" si="95"/>
        <v>945</v>
      </c>
      <c r="N302" s="3">
        <f t="shared" ca="1" si="96"/>
        <v>5</v>
      </c>
      <c r="O302" s="19">
        <f t="shared" ca="1" si="97"/>
        <v>2.8178718937399587</v>
      </c>
      <c r="P302" s="19">
        <f t="shared" ca="1" si="98"/>
        <v>28.178718937399587</v>
      </c>
      <c r="Q302" s="19">
        <f t="shared" ca="1" si="99"/>
        <v>28.178718937399587</v>
      </c>
      <c r="R302" s="19">
        <f t="shared" ca="1" si="100"/>
        <v>2.8178718937399587</v>
      </c>
      <c r="S302" s="19">
        <f t="shared" ca="1" si="101"/>
        <v>2.8178718937399587</v>
      </c>
      <c r="T302" s="19">
        <f t="shared" ca="1" si="102"/>
        <v>0</v>
      </c>
      <c r="U302" s="19">
        <f t="shared" ca="1" si="103"/>
        <v>1314.3251747165598</v>
      </c>
      <c r="V302" s="19">
        <f t="shared" ca="1" si="104"/>
        <v>0</v>
      </c>
      <c r="W302" s="82">
        <f t="shared" ca="1" si="105"/>
        <v>2429.5261501736113</v>
      </c>
      <c r="X302" s="19">
        <f t="shared" ca="1" si="106"/>
        <v>0</v>
      </c>
      <c r="Y302" s="19">
        <f t="shared" si="107"/>
        <v>0</v>
      </c>
      <c r="Z302" s="82">
        <f t="shared" ca="1" si="108"/>
        <v>2429.5261501736113</v>
      </c>
      <c r="AA302" s="19">
        <f t="shared" ca="1" si="109"/>
        <v>0</v>
      </c>
      <c r="AE302" s="19"/>
    </row>
    <row r="303" spans="1:31" ht="12.75" customHeight="1" x14ac:dyDescent="0.2">
      <c r="A303">
        <v>2</v>
      </c>
      <c r="B303">
        <v>0</v>
      </c>
      <c r="C303">
        <f t="shared" ca="1" si="88"/>
        <v>4</v>
      </c>
      <c r="D303">
        <f t="shared" ca="1" si="89"/>
        <v>3</v>
      </c>
      <c r="E303">
        <f t="shared" ca="1" si="90"/>
        <v>2</v>
      </c>
      <c r="F303" s="61">
        <f t="shared" ca="1" si="91"/>
        <v>0.13085086388183043</v>
      </c>
      <c r="G303">
        <v>0</v>
      </c>
      <c r="H303">
        <v>0</v>
      </c>
      <c r="I303">
        <v>4</v>
      </c>
      <c r="J303" s="61">
        <f t="shared" ca="1" si="92"/>
        <v>0</v>
      </c>
      <c r="K303" s="61">
        <f t="shared" ca="1" si="93"/>
        <v>0</v>
      </c>
      <c r="L303" s="82">
        <f t="shared" ca="1" si="94"/>
        <v>44</v>
      </c>
      <c r="M303" s="16">
        <f t="shared" ca="1" si="95"/>
        <v>956</v>
      </c>
      <c r="N303" s="3">
        <f t="shared" ca="1" si="96"/>
        <v>6</v>
      </c>
      <c r="O303" s="19">
        <f t="shared" ca="1" si="97"/>
        <v>3.3239268932937667</v>
      </c>
      <c r="P303" s="19">
        <f t="shared" ca="1" si="98"/>
        <v>33.239268932937669</v>
      </c>
      <c r="Q303" s="19">
        <f t="shared" ca="1" si="99"/>
        <v>28.178718937399587</v>
      </c>
      <c r="R303" s="19">
        <f t="shared" ca="1" si="100"/>
        <v>3.0708993935168629</v>
      </c>
      <c r="S303" s="19">
        <f t="shared" ca="1" si="101"/>
        <v>3.3239268932937667</v>
      </c>
      <c r="T303" s="19">
        <f t="shared" ca="1" si="102"/>
        <v>0</v>
      </c>
      <c r="U303" s="19">
        <f t="shared" ca="1" si="103"/>
        <v>1495.4024523027438</v>
      </c>
      <c r="V303" s="19">
        <f t="shared" ca="1" si="104"/>
        <v>0</v>
      </c>
      <c r="W303" s="82">
        <f t="shared" ca="1" si="105"/>
        <v>1943.620920138889</v>
      </c>
      <c r="X303" s="19">
        <f t="shared" ca="1" si="106"/>
        <v>0</v>
      </c>
      <c r="Y303" s="19">
        <f t="shared" si="107"/>
        <v>0</v>
      </c>
      <c r="Z303" s="82">
        <f t="shared" ca="1" si="108"/>
        <v>1943.620920138889</v>
      </c>
      <c r="AA303" s="19">
        <f t="shared" ca="1" si="109"/>
        <v>0</v>
      </c>
      <c r="AE303" s="19"/>
    </row>
    <row r="304" spans="1:31" ht="12.75" customHeight="1" x14ac:dyDescent="0.2">
      <c r="A304">
        <v>2</v>
      </c>
      <c r="B304">
        <v>0</v>
      </c>
      <c r="C304">
        <f t="shared" ca="1" si="88"/>
        <v>4</v>
      </c>
      <c r="D304">
        <f t="shared" ca="1" si="89"/>
        <v>3</v>
      </c>
      <c r="E304">
        <f t="shared" ca="1" si="90"/>
        <v>2</v>
      </c>
      <c r="F304" s="61">
        <f t="shared" ca="1" si="91"/>
        <v>0.13085086388183043</v>
      </c>
      <c r="G304">
        <v>0</v>
      </c>
      <c r="H304">
        <v>0</v>
      </c>
      <c r="I304">
        <v>3</v>
      </c>
      <c r="J304" s="61">
        <f t="shared" ca="1" si="92"/>
        <v>4.2868749999999997E-2</v>
      </c>
      <c r="K304" s="61">
        <f t="shared" ca="1" si="93"/>
        <v>5.6094129710342177E-3</v>
      </c>
      <c r="L304" s="82">
        <f t="shared" ca="1" si="94"/>
        <v>33</v>
      </c>
      <c r="M304" s="16">
        <f t="shared" ca="1" si="95"/>
        <v>967</v>
      </c>
      <c r="N304" s="3">
        <f t="shared" ca="1" si="96"/>
        <v>6</v>
      </c>
      <c r="O304" s="19">
        <f t="shared" ca="1" si="97"/>
        <v>3.3239268932937667</v>
      </c>
      <c r="P304" s="19">
        <f t="shared" ca="1" si="98"/>
        <v>33.239268932937669</v>
      </c>
      <c r="Q304" s="19">
        <f t="shared" ca="1" si="99"/>
        <v>33.239268932937669</v>
      </c>
      <c r="R304" s="19">
        <f t="shared" ca="1" si="100"/>
        <v>3.3239268932937671</v>
      </c>
      <c r="S304" s="19">
        <f t="shared" ca="1" si="101"/>
        <v>3.3239268932937667</v>
      </c>
      <c r="T304" s="19">
        <f t="shared" ca="1" si="102"/>
        <v>1.8645278630011523E-2</v>
      </c>
      <c r="U304" s="19">
        <f t="shared" ca="1" si="103"/>
        <v>1484.4024523027438</v>
      </c>
      <c r="V304" s="19">
        <f t="shared" ca="1" si="104"/>
        <v>8.3266263701820122</v>
      </c>
      <c r="W304" s="82">
        <f t="shared" ca="1" si="105"/>
        <v>1457.7156901041667</v>
      </c>
      <c r="X304" s="19">
        <f t="shared" ca="1" si="106"/>
        <v>8.1769293001504089</v>
      </c>
      <c r="Y304" s="19">
        <f t="shared" si="107"/>
        <v>0</v>
      </c>
      <c r="Z304" s="82">
        <f t="shared" ca="1" si="108"/>
        <v>1457.7156901041667</v>
      </c>
      <c r="AA304" s="19">
        <f t="shared" ca="1" si="109"/>
        <v>8.1769293001504089</v>
      </c>
      <c r="AE304" s="19"/>
    </row>
    <row r="305" spans="1:31" ht="12.75" customHeight="1" x14ac:dyDescent="0.2">
      <c r="A305">
        <v>2</v>
      </c>
      <c r="B305">
        <v>0</v>
      </c>
      <c r="C305">
        <f t="shared" ca="1" si="88"/>
        <v>4</v>
      </c>
      <c r="D305">
        <f t="shared" ca="1" si="89"/>
        <v>3</v>
      </c>
      <c r="E305">
        <f t="shared" ca="1" si="90"/>
        <v>2</v>
      </c>
      <c r="F305" s="61">
        <f t="shared" ca="1" si="91"/>
        <v>0.13085086388183043</v>
      </c>
      <c r="G305">
        <v>0</v>
      </c>
      <c r="H305">
        <v>0</v>
      </c>
      <c r="I305">
        <v>2</v>
      </c>
      <c r="J305" s="61">
        <f t="shared" ca="1" si="92"/>
        <v>6.7687500000000074E-3</v>
      </c>
      <c r="K305" s="61">
        <f t="shared" ca="1" si="93"/>
        <v>8.856967849001407E-4</v>
      </c>
      <c r="L305" s="82">
        <f t="shared" ca="1" si="94"/>
        <v>22</v>
      </c>
      <c r="M305" s="16">
        <f t="shared" ca="1" si="95"/>
        <v>978</v>
      </c>
      <c r="N305" s="3">
        <f t="shared" ca="1" si="96"/>
        <v>6</v>
      </c>
      <c r="O305" s="19">
        <f t="shared" ca="1" si="97"/>
        <v>3.3239268932937667</v>
      </c>
      <c r="P305" s="19">
        <f t="shared" ca="1" si="98"/>
        <v>33.239268932937669</v>
      </c>
      <c r="Q305" s="19">
        <f t="shared" ca="1" si="99"/>
        <v>33.239268932937669</v>
      </c>
      <c r="R305" s="19">
        <f t="shared" ca="1" si="100"/>
        <v>3.3239268932937671</v>
      </c>
      <c r="S305" s="19">
        <f t="shared" ca="1" si="101"/>
        <v>3.3239268932937667</v>
      </c>
      <c r="T305" s="19">
        <f t="shared" ca="1" si="102"/>
        <v>2.943991362633402E-3</v>
      </c>
      <c r="U305" s="19">
        <f t="shared" ca="1" si="103"/>
        <v>1473.4024523027438</v>
      </c>
      <c r="V305" s="19">
        <f t="shared" ca="1" si="104"/>
        <v>1.304987814868523</v>
      </c>
      <c r="W305" s="82">
        <f t="shared" ca="1" si="105"/>
        <v>971.8104600694445</v>
      </c>
      <c r="X305" s="19">
        <f t="shared" ca="1" si="106"/>
        <v>0.86072940001583353</v>
      </c>
      <c r="Y305" s="19">
        <f t="shared" si="107"/>
        <v>0</v>
      </c>
      <c r="Z305" s="82">
        <f t="shared" ca="1" si="108"/>
        <v>971.8104600694445</v>
      </c>
      <c r="AA305" s="19">
        <f t="shared" ca="1" si="109"/>
        <v>0.86072940001583353</v>
      </c>
      <c r="AE305" s="19"/>
    </row>
    <row r="306" spans="1:31" ht="12.75" customHeight="1" x14ac:dyDescent="0.2">
      <c r="A306">
        <v>2</v>
      </c>
      <c r="B306">
        <v>0</v>
      </c>
      <c r="C306">
        <f t="shared" ca="1" si="88"/>
        <v>4</v>
      </c>
      <c r="D306">
        <f t="shared" ca="1" si="89"/>
        <v>3</v>
      </c>
      <c r="E306">
        <f t="shared" ca="1" si="90"/>
        <v>2</v>
      </c>
      <c r="F306" s="61">
        <f t="shared" ca="1" si="91"/>
        <v>0.13085086388183043</v>
      </c>
      <c r="G306">
        <v>0</v>
      </c>
      <c r="H306">
        <v>0</v>
      </c>
      <c r="I306">
        <v>1</v>
      </c>
      <c r="J306" s="61">
        <f t="shared" ca="1" si="92"/>
        <v>3.5625000000000061E-4</v>
      </c>
      <c r="K306" s="61">
        <f t="shared" ca="1" si="93"/>
        <v>4.6615620257902169E-5</v>
      </c>
      <c r="L306" s="82">
        <f t="shared" ca="1" si="94"/>
        <v>11</v>
      </c>
      <c r="M306" s="16">
        <f t="shared" ca="1" si="95"/>
        <v>989</v>
      </c>
      <c r="N306" s="3">
        <f t="shared" ca="1" si="96"/>
        <v>6</v>
      </c>
      <c r="O306" s="19">
        <f t="shared" ca="1" si="97"/>
        <v>3.3239268932937667</v>
      </c>
      <c r="P306" s="19">
        <f t="shared" ca="1" si="98"/>
        <v>33.239268932937669</v>
      </c>
      <c r="Q306" s="19">
        <f t="shared" ca="1" si="99"/>
        <v>33.239268932937669</v>
      </c>
      <c r="R306" s="19">
        <f t="shared" ca="1" si="100"/>
        <v>3.3239268932937671</v>
      </c>
      <c r="S306" s="19">
        <f t="shared" ca="1" si="101"/>
        <v>3.3239268932937667</v>
      </c>
      <c r="T306" s="19">
        <f t="shared" ca="1" si="102"/>
        <v>1.5494691382281073E-4</v>
      </c>
      <c r="U306" s="19">
        <f t="shared" ca="1" si="103"/>
        <v>1462.4024523027438</v>
      </c>
      <c r="V306" s="19">
        <f t="shared" ca="1" si="104"/>
        <v>6.8170797380769588E-2</v>
      </c>
      <c r="W306" s="82">
        <f t="shared" ca="1" si="105"/>
        <v>485.90523003472225</v>
      </c>
      <c r="X306" s="19">
        <f t="shared" ca="1" si="106"/>
        <v>2.2650773684627212E-2</v>
      </c>
      <c r="Y306" s="19">
        <f t="shared" si="107"/>
        <v>0</v>
      </c>
      <c r="Z306" s="82">
        <f t="shared" ca="1" si="108"/>
        <v>485.90523003472225</v>
      </c>
      <c r="AA306" s="19">
        <f t="shared" ca="1" si="109"/>
        <v>2.2650773684627212E-2</v>
      </c>
      <c r="AE306" s="19"/>
    </row>
    <row r="307" spans="1:31" ht="12.75" customHeight="1" x14ac:dyDescent="0.2">
      <c r="A307">
        <v>2</v>
      </c>
      <c r="B307">
        <v>0</v>
      </c>
      <c r="C307">
        <f t="shared" ca="1" si="88"/>
        <v>4</v>
      </c>
      <c r="D307">
        <f t="shared" ca="1" si="89"/>
        <v>3</v>
      </c>
      <c r="E307">
        <f t="shared" ca="1" si="90"/>
        <v>2</v>
      </c>
      <c r="F307" s="61">
        <f t="shared" ca="1" si="91"/>
        <v>0.13085086388183043</v>
      </c>
      <c r="G307">
        <v>0</v>
      </c>
      <c r="H307">
        <v>0</v>
      </c>
      <c r="I307">
        <v>0</v>
      </c>
      <c r="J307" s="61">
        <f t="shared" ca="1" si="92"/>
        <v>6.2500000000000164E-6</v>
      </c>
      <c r="K307" s="61">
        <f t="shared" ca="1" si="93"/>
        <v>8.1781789926144228E-7</v>
      </c>
      <c r="L307" s="82">
        <f t="shared" ca="1" si="94"/>
        <v>0</v>
      </c>
      <c r="M307" s="16">
        <f t="shared" ca="1" si="95"/>
        <v>1000</v>
      </c>
      <c r="N307" s="3">
        <f t="shared" ca="1" si="96"/>
        <v>6</v>
      </c>
      <c r="O307" s="19">
        <f t="shared" ca="1" si="97"/>
        <v>3.3239268932937667</v>
      </c>
      <c r="P307" s="19">
        <f t="shared" ca="1" si="98"/>
        <v>33.239268932937669</v>
      </c>
      <c r="Q307" s="19">
        <f t="shared" ca="1" si="99"/>
        <v>33.239268932937669</v>
      </c>
      <c r="R307" s="19">
        <f t="shared" ca="1" si="100"/>
        <v>3.3239268932937671</v>
      </c>
      <c r="S307" s="19">
        <f t="shared" ca="1" si="101"/>
        <v>3.3239268932937667</v>
      </c>
      <c r="T307" s="19">
        <f t="shared" ca="1" si="102"/>
        <v>2.7183669091721203E-6</v>
      </c>
      <c r="U307" s="19">
        <f t="shared" ca="1" si="103"/>
        <v>1451.4024523027438</v>
      </c>
      <c r="V307" s="19">
        <f t="shared" ca="1" si="104"/>
        <v>1.1869829045251356E-3</v>
      </c>
      <c r="W307" s="82">
        <f t="shared" ca="1" si="105"/>
        <v>0</v>
      </c>
      <c r="X307" s="19">
        <f t="shared" ca="1" si="106"/>
        <v>0</v>
      </c>
      <c r="Y307" s="19">
        <f t="shared" si="107"/>
        <v>0</v>
      </c>
      <c r="Z307" s="82">
        <f t="shared" ca="1" si="108"/>
        <v>0</v>
      </c>
      <c r="AA307" s="19">
        <f t="shared" ca="1" si="109"/>
        <v>0</v>
      </c>
      <c r="AE307" s="19"/>
    </row>
    <row r="308" spans="1:31" ht="12.75" customHeight="1" x14ac:dyDescent="0.2">
      <c r="A308">
        <v>2</v>
      </c>
      <c r="B308">
        <v>1</v>
      </c>
      <c r="C308">
        <f t="shared" ca="1" si="88"/>
        <v>5</v>
      </c>
      <c r="D308">
        <f t="shared" ca="1" si="89"/>
        <v>4</v>
      </c>
      <c r="E308">
        <f t="shared" ca="1" si="90"/>
        <v>2</v>
      </c>
      <c r="F308" s="61">
        <f t="shared" ca="1" si="91"/>
        <v>3.9085322977689602E-2</v>
      </c>
      <c r="G308">
        <v>1</v>
      </c>
      <c r="H308">
        <v>1</v>
      </c>
      <c r="I308">
        <v>7</v>
      </c>
      <c r="J308" s="61">
        <f t="shared" ca="1" si="92"/>
        <v>0</v>
      </c>
      <c r="K308" s="61">
        <f t="shared" ca="1" si="93"/>
        <v>0</v>
      </c>
      <c r="L308" s="82">
        <f t="shared" ca="1" si="94"/>
        <v>399</v>
      </c>
      <c r="M308" s="16">
        <f t="shared" ca="1" si="95"/>
        <v>601</v>
      </c>
      <c r="N308" s="3">
        <f t="shared" ca="1" si="96"/>
        <v>4</v>
      </c>
      <c r="O308" s="19">
        <f t="shared" ca="1" si="97"/>
        <v>2.3453053758100548</v>
      </c>
      <c r="P308" s="19">
        <f t="shared" ca="1" si="98"/>
        <v>23.453053758100552</v>
      </c>
      <c r="Q308" s="19">
        <f t="shared" ca="1" si="99"/>
        <v>23.453053758100552</v>
      </c>
      <c r="R308" s="19">
        <f t="shared" ca="1" si="100"/>
        <v>2.3453053758100553</v>
      </c>
      <c r="S308" s="19">
        <f t="shared" ca="1" si="101"/>
        <v>2.3453053758100548</v>
      </c>
      <c r="T308" s="19">
        <f t="shared" ca="1" si="102"/>
        <v>0</v>
      </c>
      <c r="U308" s="19">
        <f t="shared" ca="1" si="103"/>
        <v>1478.9587218163997</v>
      </c>
      <c r="V308" s="19">
        <f t="shared" ca="1" si="104"/>
        <v>0</v>
      </c>
      <c r="W308" s="82">
        <f t="shared" ca="1" si="105"/>
        <v>5718.7981307870377</v>
      </c>
      <c r="X308" s="19">
        <f t="shared" ca="1" si="106"/>
        <v>0</v>
      </c>
      <c r="Y308" s="19">
        <f t="shared" si="107"/>
        <v>0</v>
      </c>
      <c r="Z308" s="82">
        <f t="shared" ca="1" si="108"/>
        <v>5718.7981307870377</v>
      </c>
      <c r="AA308" s="19">
        <f t="shared" ca="1" si="109"/>
        <v>0</v>
      </c>
      <c r="AE308" s="19"/>
    </row>
    <row r="309" spans="1:31" ht="12.75" customHeight="1" x14ac:dyDescent="0.2">
      <c r="A309">
        <v>2</v>
      </c>
      <c r="B309">
        <v>1</v>
      </c>
      <c r="C309">
        <f t="shared" ca="1" si="88"/>
        <v>5</v>
      </c>
      <c r="D309">
        <f t="shared" ca="1" si="89"/>
        <v>4</v>
      </c>
      <c r="E309">
        <f t="shared" ca="1" si="90"/>
        <v>2</v>
      </c>
      <c r="F309" s="61">
        <f t="shared" ca="1" si="91"/>
        <v>3.9085322977689602E-2</v>
      </c>
      <c r="G309">
        <v>1</v>
      </c>
      <c r="H309">
        <v>1</v>
      </c>
      <c r="I309">
        <v>6</v>
      </c>
      <c r="J309" s="61">
        <f t="shared" ca="1" si="92"/>
        <v>0</v>
      </c>
      <c r="K309" s="61">
        <f t="shared" ca="1" si="93"/>
        <v>0</v>
      </c>
      <c r="L309" s="82">
        <f t="shared" ca="1" si="94"/>
        <v>388</v>
      </c>
      <c r="M309" s="16">
        <f t="shared" ca="1" si="95"/>
        <v>612</v>
      </c>
      <c r="N309" s="3">
        <f t="shared" ca="1" si="96"/>
        <v>4</v>
      </c>
      <c r="O309" s="19">
        <f t="shared" ca="1" si="97"/>
        <v>2.3453053758100548</v>
      </c>
      <c r="P309" s="19">
        <f t="shared" ca="1" si="98"/>
        <v>23.453053758100552</v>
      </c>
      <c r="Q309" s="19">
        <f t="shared" ca="1" si="99"/>
        <v>23.453053758100552</v>
      </c>
      <c r="R309" s="19">
        <f t="shared" ca="1" si="100"/>
        <v>2.3453053758100553</v>
      </c>
      <c r="S309" s="19">
        <f t="shared" ca="1" si="101"/>
        <v>2.3453053758100548</v>
      </c>
      <c r="T309" s="19">
        <f t="shared" ca="1" si="102"/>
        <v>0</v>
      </c>
      <c r="U309" s="19">
        <f t="shared" ca="1" si="103"/>
        <v>1467.9587218163997</v>
      </c>
      <c r="V309" s="19">
        <f t="shared" ca="1" si="104"/>
        <v>0</v>
      </c>
      <c r="W309" s="82">
        <f t="shared" ca="1" si="105"/>
        <v>5232.8929007523147</v>
      </c>
      <c r="X309" s="19">
        <f t="shared" ca="1" si="106"/>
        <v>0</v>
      </c>
      <c r="Y309" s="19">
        <f t="shared" si="107"/>
        <v>0</v>
      </c>
      <c r="Z309" s="82">
        <f t="shared" ca="1" si="108"/>
        <v>5232.8929007523147</v>
      </c>
      <c r="AA309" s="19">
        <f t="shared" ca="1" si="109"/>
        <v>0</v>
      </c>
      <c r="AE309" s="19"/>
    </row>
    <row r="310" spans="1:31" ht="12.75" customHeight="1" x14ac:dyDescent="0.2">
      <c r="A310">
        <v>2</v>
      </c>
      <c r="B310">
        <v>1</v>
      </c>
      <c r="C310">
        <f t="shared" ca="1" si="88"/>
        <v>5</v>
      </c>
      <c r="D310">
        <f t="shared" ca="1" si="89"/>
        <v>4</v>
      </c>
      <c r="E310">
        <f t="shared" ca="1" si="90"/>
        <v>2</v>
      </c>
      <c r="F310" s="61">
        <f t="shared" ca="1" si="91"/>
        <v>3.9085322977689602E-2</v>
      </c>
      <c r="G310">
        <v>1</v>
      </c>
      <c r="H310">
        <v>1</v>
      </c>
      <c r="I310">
        <v>5</v>
      </c>
      <c r="J310" s="61">
        <f t="shared" ca="1" si="92"/>
        <v>0</v>
      </c>
      <c r="K310" s="61">
        <f t="shared" ca="1" si="93"/>
        <v>0</v>
      </c>
      <c r="L310" s="82">
        <f t="shared" ca="1" si="94"/>
        <v>377</v>
      </c>
      <c r="M310" s="16">
        <f t="shared" ca="1" si="95"/>
        <v>623</v>
      </c>
      <c r="N310" s="3">
        <f t="shared" ca="1" si="96"/>
        <v>4</v>
      </c>
      <c r="O310" s="19">
        <f t="shared" ca="1" si="97"/>
        <v>2.3453053758100548</v>
      </c>
      <c r="P310" s="19">
        <f t="shared" ca="1" si="98"/>
        <v>23.453053758100552</v>
      </c>
      <c r="Q310" s="19">
        <f t="shared" ca="1" si="99"/>
        <v>23.453053758100552</v>
      </c>
      <c r="R310" s="19">
        <f t="shared" ca="1" si="100"/>
        <v>2.3453053758100553</v>
      </c>
      <c r="S310" s="19">
        <f t="shared" ca="1" si="101"/>
        <v>2.3453053758100548</v>
      </c>
      <c r="T310" s="19">
        <f t="shared" ca="1" si="102"/>
        <v>0</v>
      </c>
      <c r="U310" s="19">
        <f t="shared" ca="1" si="103"/>
        <v>1456.9587218163997</v>
      </c>
      <c r="V310" s="19">
        <f t="shared" ca="1" si="104"/>
        <v>0</v>
      </c>
      <c r="W310" s="82">
        <f t="shared" ca="1" si="105"/>
        <v>4746.9876707175936</v>
      </c>
      <c r="X310" s="19">
        <f t="shared" ca="1" si="106"/>
        <v>0</v>
      </c>
      <c r="Y310" s="19">
        <f t="shared" si="107"/>
        <v>0</v>
      </c>
      <c r="Z310" s="82">
        <f t="shared" ca="1" si="108"/>
        <v>4746.9876707175936</v>
      </c>
      <c r="AA310" s="19">
        <f t="shared" ca="1" si="109"/>
        <v>0</v>
      </c>
      <c r="AE310" s="19"/>
    </row>
    <row r="311" spans="1:31" ht="12.75" customHeight="1" x14ac:dyDescent="0.2">
      <c r="A311">
        <v>2</v>
      </c>
      <c r="B311">
        <v>1</v>
      </c>
      <c r="C311">
        <f t="shared" ca="1" si="88"/>
        <v>5</v>
      </c>
      <c r="D311">
        <f t="shared" ca="1" si="89"/>
        <v>4</v>
      </c>
      <c r="E311">
        <f t="shared" ca="1" si="90"/>
        <v>2</v>
      </c>
      <c r="F311" s="61">
        <f t="shared" ca="1" si="91"/>
        <v>3.9085322977689602E-2</v>
      </c>
      <c r="G311">
        <v>1</v>
      </c>
      <c r="H311">
        <v>1</v>
      </c>
      <c r="I311">
        <v>4</v>
      </c>
      <c r="J311" s="61">
        <f t="shared" ca="1" si="92"/>
        <v>0</v>
      </c>
      <c r="K311" s="61">
        <f t="shared" ca="1" si="93"/>
        <v>0</v>
      </c>
      <c r="L311" s="82">
        <f t="shared" ca="1" si="94"/>
        <v>366</v>
      </c>
      <c r="M311" s="16">
        <f t="shared" ca="1" si="95"/>
        <v>634</v>
      </c>
      <c r="N311" s="3">
        <f t="shared" ca="1" si="96"/>
        <v>4</v>
      </c>
      <c r="O311" s="19">
        <f t="shared" ca="1" si="97"/>
        <v>2.3453053758100548</v>
      </c>
      <c r="P311" s="19">
        <f t="shared" ca="1" si="98"/>
        <v>23.453053758100552</v>
      </c>
      <c r="Q311" s="19">
        <f t="shared" ca="1" si="99"/>
        <v>23.453053758100552</v>
      </c>
      <c r="R311" s="19">
        <f t="shared" ca="1" si="100"/>
        <v>2.3453053758100553</v>
      </c>
      <c r="S311" s="19">
        <f t="shared" ca="1" si="101"/>
        <v>2.3453053758100548</v>
      </c>
      <c r="T311" s="19">
        <f t="shared" ca="1" si="102"/>
        <v>0</v>
      </c>
      <c r="U311" s="19">
        <f t="shared" ca="1" si="103"/>
        <v>1445.9587218163997</v>
      </c>
      <c r="V311" s="19">
        <f t="shared" ca="1" si="104"/>
        <v>0</v>
      </c>
      <c r="W311" s="82">
        <f t="shared" ca="1" si="105"/>
        <v>4261.0824406828706</v>
      </c>
      <c r="X311" s="19">
        <f t="shared" ca="1" si="106"/>
        <v>0</v>
      </c>
      <c r="Y311" s="19">
        <f t="shared" si="107"/>
        <v>0</v>
      </c>
      <c r="Z311" s="82">
        <f t="shared" ca="1" si="108"/>
        <v>4261.0824406828706</v>
      </c>
      <c r="AA311" s="19">
        <f t="shared" ca="1" si="109"/>
        <v>0</v>
      </c>
      <c r="AE311" s="19"/>
    </row>
    <row r="312" spans="1:31" ht="12.75" customHeight="1" x14ac:dyDescent="0.2">
      <c r="A312">
        <v>2</v>
      </c>
      <c r="B312">
        <v>1</v>
      </c>
      <c r="C312">
        <f t="shared" ca="1" si="88"/>
        <v>5</v>
      </c>
      <c r="D312">
        <f t="shared" ca="1" si="89"/>
        <v>4</v>
      </c>
      <c r="E312">
        <f t="shared" ca="1" si="90"/>
        <v>2</v>
      </c>
      <c r="F312" s="61">
        <f t="shared" ca="1" si="91"/>
        <v>3.9085322977689602E-2</v>
      </c>
      <c r="G312">
        <v>1</v>
      </c>
      <c r="H312">
        <v>1</v>
      </c>
      <c r="I312">
        <v>3</v>
      </c>
      <c r="J312" s="61">
        <f t="shared" ca="1" si="92"/>
        <v>0</v>
      </c>
      <c r="K312" s="61">
        <f t="shared" ca="1" si="93"/>
        <v>0</v>
      </c>
      <c r="L312" s="82">
        <f t="shared" ca="1" si="94"/>
        <v>355</v>
      </c>
      <c r="M312" s="16">
        <f t="shared" ca="1" si="95"/>
        <v>645</v>
      </c>
      <c r="N312" s="3">
        <f t="shared" ca="1" si="96"/>
        <v>4</v>
      </c>
      <c r="O312" s="19">
        <f t="shared" ca="1" si="97"/>
        <v>2.3453053758100548</v>
      </c>
      <c r="P312" s="19">
        <f t="shared" ca="1" si="98"/>
        <v>23.453053758100552</v>
      </c>
      <c r="Q312" s="19">
        <f t="shared" ca="1" si="99"/>
        <v>23.453053758100552</v>
      </c>
      <c r="R312" s="19">
        <f t="shared" ca="1" si="100"/>
        <v>2.3453053758100553</v>
      </c>
      <c r="S312" s="19">
        <f t="shared" ca="1" si="101"/>
        <v>2.3453053758100548</v>
      </c>
      <c r="T312" s="19">
        <f t="shared" ca="1" si="102"/>
        <v>0</v>
      </c>
      <c r="U312" s="19">
        <f t="shared" ca="1" si="103"/>
        <v>1434.9587218163997</v>
      </c>
      <c r="V312" s="19">
        <f t="shared" ca="1" si="104"/>
        <v>0</v>
      </c>
      <c r="W312" s="82">
        <f t="shared" ca="1" si="105"/>
        <v>3775.1772106481485</v>
      </c>
      <c r="X312" s="19">
        <f t="shared" ca="1" si="106"/>
        <v>0</v>
      </c>
      <c r="Y312" s="19">
        <f t="shared" si="107"/>
        <v>0</v>
      </c>
      <c r="Z312" s="82">
        <f t="shared" ca="1" si="108"/>
        <v>3775.1772106481485</v>
      </c>
      <c r="AA312" s="19">
        <f t="shared" ca="1" si="109"/>
        <v>0</v>
      </c>
      <c r="AE312" s="19"/>
    </row>
    <row r="313" spans="1:31" ht="12.75" customHeight="1" x14ac:dyDescent="0.2">
      <c r="A313">
        <v>2</v>
      </c>
      <c r="B313">
        <v>1</v>
      </c>
      <c r="C313">
        <f t="shared" ca="1" si="88"/>
        <v>5</v>
      </c>
      <c r="D313">
        <f t="shared" ca="1" si="89"/>
        <v>4</v>
      </c>
      <c r="E313">
        <f t="shared" ca="1" si="90"/>
        <v>2</v>
      </c>
      <c r="F313" s="61">
        <f t="shared" ca="1" si="91"/>
        <v>3.9085322977689602E-2</v>
      </c>
      <c r="G313">
        <v>1</v>
      </c>
      <c r="H313">
        <v>1</v>
      </c>
      <c r="I313">
        <v>2</v>
      </c>
      <c r="J313" s="61">
        <f t="shared" ca="1" si="92"/>
        <v>0</v>
      </c>
      <c r="K313" s="61">
        <f t="shared" ca="1" si="93"/>
        <v>0</v>
      </c>
      <c r="L313" s="82">
        <f t="shared" ca="1" si="94"/>
        <v>344</v>
      </c>
      <c r="M313" s="16">
        <f t="shared" ca="1" si="95"/>
        <v>656</v>
      </c>
      <c r="N313" s="3">
        <f t="shared" ca="1" si="96"/>
        <v>4</v>
      </c>
      <c r="O313" s="19">
        <f t="shared" ca="1" si="97"/>
        <v>2.3453053758100548</v>
      </c>
      <c r="P313" s="19">
        <f t="shared" ca="1" si="98"/>
        <v>23.453053758100552</v>
      </c>
      <c r="Q313" s="19">
        <f t="shared" ca="1" si="99"/>
        <v>23.453053758100552</v>
      </c>
      <c r="R313" s="19">
        <f t="shared" ca="1" si="100"/>
        <v>2.3453053758100553</v>
      </c>
      <c r="S313" s="19">
        <f t="shared" ca="1" si="101"/>
        <v>2.3453053758100548</v>
      </c>
      <c r="T313" s="19">
        <f t="shared" ca="1" si="102"/>
        <v>0</v>
      </c>
      <c r="U313" s="19">
        <f t="shared" ca="1" si="103"/>
        <v>1423.9587218163997</v>
      </c>
      <c r="V313" s="19">
        <f t="shared" ca="1" si="104"/>
        <v>0</v>
      </c>
      <c r="W313" s="82">
        <f t="shared" ca="1" si="105"/>
        <v>3289.2719806134264</v>
      </c>
      <c r="X313" s="19">
        <f t="shared" ca="1" si="106"/>
        <v>0</v>
      </c>
      <c r="Y313" s="19">
        <f t="shared" si="107"/>
        <v>0</v>
      </c>
      <c r="Z313" s="82">
        <f t="shared" ca="1" si="108"/>
        <v>3289.2719806134264</v>
      </c>
      <c r="AA313" s="19">
        <f t="shared" ca="1" si="109"/>
        <v>0</v>
      </c>
      <c r="AE313" s="19"/>
    </row>
    <row r="314" spans="1:31" ht="12.75" customHeight="1" x14ac:dyDescent="0.2">
      <c r="A314">
        <v>2</v>
      </c>
      <c r="B314">
        <v>1</v>
      </c>
      <c r="C314">
        <f t="shared" ca="1" si="88"/>
        <v>5</v>
      </c>
      <c r="D314">
        <f t="shared" ca="1" si="89"/>
        <v>4</v>
      </c>
      <c r="E314">
        <f t="shared" ca="1" si="90"/>
        <v>2</v>
      </c>
      <c r="F314" s="61">
        <f t="shared" ca="1" si="91"/>
        <v>3.9085322977689602E-2</v>
      </c>
      <c r="G314">
        <v>1</v>
      </c>
      <c r="H314">
        <v>1</v>
      </c>
      <c r="I314">
        <v>1</v>
      </c>
      <c r="J314" s="61">
        <f t="shared" ca="1" si="92"/>
        <v>0</v>
      </c>
      <c r="K314" s="61">
        <f t="shared" ca="1" si="93"/>
        <v>0</v>
      </c>
      <c r="L314" s="82">
        <f t="shared" ca="1" si="94"/>
        <v>333</v>
      </c>
      <c r="M314" s="16">
        <f t="shared" ca="1" si="95"/>
        <v>667</v>
      </c>
      <c r="N314" s="3">
        <f t="shared" ca="1" si="96"/>
        <v>4</v>
      </c>
      <c r="O314" s="19">
        <f t="shared" ca="1" si="97"/>
        <v>2.3453053758100548</v>
      </c>
      <c r="P314" s="19">
        <f t="shared" ca="1" si="98"/>
        <v>23.453053758100552</v>
      </c>
      <c r="Q314" s="19">
        <f t="shared" ca="1" si="99"/>
        <v>23.453053758100552</v>
      </c>
      <c r="R314" s="19">
        <f t="shared" ca="1" si="100"/>
        <v>2.3453053758100553</v>
      </c>
      <c r="S314" s="19">
        <f t="shared" ca="1" si="101"/>
        <v>2.3453053758100548</v>
      </c>
      <c r="T314" s="19">
        <f t="shared" ca="1" si="102"/>
        <v>0</v>
      </c>
      <c r="U314" s="19">
        <f t="shared" ca="1" si="103"/>
        <v>1412.9587218163997</v>
      </c>
      <c r="V314" s="19">
        <f t="shared" ca="1" si="104"/>
        <v>0</v>
      </c>
      <c r="W314" s="82">
        <f t="shared" ca="1" si="105"/>
        <v>2803.3667505787039</v>
      </c>
      <c r="X314" s="19">
        <f t="shared" ca="1" si="106"/>
        <v>0</v>
      </c>
      <c r="Y314" s="19">
        <f t="shared" si="107"/>
        <v>0</v>
      </c>
      <c r="Z314" s="82">
        <f t="shared" ca="1" si="108"/>
        <v>2803.3667505787039</v>
      </c>
      <c r="AA314" s="19">
        <f t="shared" ca="1" si="109"/>
        <v>0</v>
      </c>
      <c r="AE314" s="19"/>
    </row>
    <row r="315" spans="1:31" ht="12.75" customHeight="1" x14ac:dyDescent="0.2">
      <c r="A315">
        <v>2</v>
      </c>
      <c r="B315">
        <v>1</v>
      </c>
      <c r="C315">
        <f t="shared" ca="1" si="88"/>
        <v>5</v>
      </c>
      <c r="D315">
        <f t="shared" ca="1" si="89"/>
        <v>4</v>
      </c>
      <c r="E315">
        <f t="shared" ca="1" si="90"/>
        <v>2</v>
      </c>
      <c r="F315" s="61">
        <f t="shared" ca="1" si="91"/>
        <v>3.9085322977689602E-2</v>
      </c>
      <c r="G315">
        <v>1</v>
      </c>
      <c r="H315">
        <v>1</v>
      </c>
      <c r="I315">
        <v>0</v>
      </c>
      <c r="J315" s="61">
        <f t="shared" ca="1" si="92"/>
        <v>0</v>
      </c>
      <c r="K315" s="61">
        <f t="shared" ca="1" si="93"/>
        <v>0</v>
      </c>
      <c r="L315" s="82">
        <f t="shared" ca="1" si="94"/>
        <v>322</v>
      </c>
      <c r="M315" s="16">
        <f t="shared" ca="1" si="95"/>
        <v>678</v>
      </c>
      <c r="N315" s="3">
        <f t="shared" ca="1" si="96"/>
        <v>4</v>
      </c>
      <c r="O315" s="19">
        <f t="shared" ca="1" si="97"/>
        <v>2.3453053758100548</v>
      </c>
      <c r="P315" s="19">
        <f t="shared" ca="1" si="98"/>
        <v>23.453053758100552</v>
      </c>
      <c r="Q315" s="19">
        <f t="shared" ca="1" si="99"/>
        <v>23.453053758100552</v>
      </c>
      <c r="R315" s="19">
        <f t="shared" ca="1" si="100"/>
        <v>2.3453053758100553</v>
      </c>
      <c r="S315" s="19">
        <f t="shared" ca="1" si="101"/>
        <v>2.3453053758100548</v>
      </c>
      <c r="T315" s="19">
        <f t="shared" ca="1" si="102"/>
        <v>0</v>
      </c>
      <c r="U315" s="19">
        <f t="shared" ca="1" si="103"/>
        <v>1401.9587218163997</v>
      </c>
      <c r="V315" s="19">
        <f t="shared" ca="1" si="104"/>
        <v>0</v>
      </c>
      <c r="W315" s="82">
        <f t="shared" ca="1" si="105"/>
        <v>2317.4615205439818</v>
      </c>
      <c r="X315" s="19">
        <f t="shared" ca="1" si="106"/>
        <v>0</v>
      </c>
      <c r="Y315" s="19">
        <f t="shared" si="107"/>
        <v>0</v>
      </c>
      <c r="Z315" s="82">
        <f t="shared" ca="1" si="108"/>
        <v>2317.4615205439818</v>
      </c>
      <c r="AA315" s="19">
        <f t="shared" ca="1" si="109"/>
        <v>0</v>
      </c>
      <c r="AE315" s="19"/>
    </row>
    <row r="316" spans="1:31" ht="12.75" customHeight="1" x14ac:dyDescent="0.2">
      <c r="A316">
        <v>2</v>
      </c>
      <c r="B316">
        <v>1</v>
      </c>
      <c r="C316">
        <f t="shared" ca="1" si="88"/>
        <v>5</v>
      </c>
      <c r="D316">
        <f t="shared" ca="1" si="89"/>
        <v>4</v>
      </c>
      <c r="E316">
        <f t="shared" ca="1" si="90"/>
        <v>2</v>
      </c>
      <c r="F316" s="61">
        <f t="shared" ca="1" si="91"/>
        <v>3.9085322977689602E-2</v>
      </c>
      <c r="G316">
        <v>1</v>
      </c>
      <c r="H316">
        <v>0</v>
      </c>
      <c r="I316">
        <v>7</v>
      </c>
      <c r="J316" s="61">
        <f t="shared" ca="1" si="92"/>
        <v>0</v>
      </c>
      <c r="K316" s="61">
        <f t="shared" ca="1" si="93"/>
        <v>0</v>
      </c>
      <c r="L316" s="82">
        <f t="shared" ca="1" si="94"/>
        <v>238</v>
      </c>
      <c r="M316" s="16">
        <f t="shared" ca="1" si="95"/>
        <v>762</v>
      </c>
      <c r="N316" s="3">
        <f t="shared" ca="1" si="96"/>
        <v>5</v>
      </c>
      <c r="O316" s="19">
        <f t="shared" ca="1" si="97"/>
        <v>2.8178718937399587</v>
      </c>
      <c r="P316" s="19">
        <f t="shared" ca="1" si="98"/>
        <v>25.815886347750073</v>
      </c>
      <c r="Q316" s="19">
        <f t="shared" ca="1" si="99"/>
        <v>23.453053758100552</v>
      </c>
      <c r="R316" s="19">
        <f t="shared" ca="1" si="100"/>
        <v>2.4634470052925312</v>
      </c>
      <c r="S316" s="19">
        <f t="shared" ca="1" si="101"/>
        <v>2.8178718937399587</v>
      </c>
      <c r="T316" s="19">
        <f t="shared" ca="1" si="102"/>
        <v>0</v>
      </c>
      <c r="U316" s="19">
        <f t="shared" ca="1" si="103"/>
        <v>1497.3251747165598</v>
      </c>
      <c r="V316" s="19">
        <f t="shared" ca="1" si="104"/>
        <v>0</v>
      </c>
      <c r="W316" s="82">
        <f t="shared" ca="1" si="105"/>
        <v>5718.7981307870377</v>
      </c>
      <c r="X316" s="19">
        <f t="shared" ca="1" si="106"/>
        <v>0</v>
      </c>
      <c r="Y316" s="19">
        <f t="shared" si="107"/>
        <v>0</v>
      </c>
      <c r="Z316" s="82">
        <f t="shared" ca="1" si="108"/>
        <v>5718.7981307870377</v>
      </c>
      <c r="AA316" s="19">
        <f t="shared" ca="1" si="109"/>
        <v>0</v>
      </c>
      <c r="AE316" s="19"/>
    </row>
    <row r="317" spans="1:31" ht="12.75" customHeight="1" x14ac:dyDescent="0.2">
      <c r="A317">
        <v>2</v>
      </c>
      <c r="B317">
        <v>1</v>
      </c>
      <c r="C317">
        <f t="shared" ca="1" si="88"/>
        <v>5</v>
      </c>
      <c r="D317">
        <f t="shared" ca="1" si="89"/>
        <v>4</v>
      </c>
      <c r="E317">
        <f t="shared" ca="1" si="90"/>
        <v>2</v>
      </c>
      <c r="F317" s="61">
        <f t="shared" ca="1" si="91"/>
        <v>3.9085322977689602E-2</v>
      </c>
      <c r="G317">
        <v>1</v>
      </c>
      <c r="H317">
        <v>0</v>
      </c>
      <c r="I317">
        <v>6</v>
      </c>
      <c r="J317" s="61">
        <f t="shared" ca="1" si="92"/>
        <v>0</v>
      </c>
      <c r="K317" s="61">
        <f t="shared" ca="1" si="93"/>
        <v>0</v>
      </c>
      <c r="L317" s="82">
        <f t="shared" ca="1" si="94"/>
        <v>227</v>
      </c>
      <c r="M317" s="16">
        <f t="shared" ca="1" si="95"/>
        <v>773</v>
      </c>
      <c r="N317" s="3">
        <f t="shared" ca="1" si="96"/>
        <v>5</v>
      </c>
      <c r="O317" s="19">
        <f t="shared" ca="1" si="97"/>
        <v>2.8178718937399587</v>
      </c>
      <c r="P317" s="19">
        <f t="shared" ca="1" si="98"/>
        <v>28.178718937399587</v>
      </c>
      <c r="Q317" s="19">
        <f t="shared" ca="1" si="99"/>
        <v>26.288452865679979</v>
      </c>
      <c r="R317" s="19">
        <f t="shared" ca="1" si="100"/>
        <v>2.7233585901539783</v>
      </c>
      <c r="S317" s="19">
        <f t="shared" ca="1" si="101"/>
        <v>2.8178718937399587</v>
      </c>
      <c r="T317" s="19">
        <f t="shared" ca="1" si="102"/>
        <v>0</v>
      </c>
      <c r="U317" s="19">
        <f t="shared" ca="1" si="103"/>
        <v>1486.3251747165598</v>
      </c>
      <c r="V317" s="19">
        <f t="shared" ca="1" si="104"/>
        <v>0</v>
      </c>
      <c r="W317" s="82">
        <f t="shared" ca="1" si="105"/>
        <v>5232.8929007523147</v>
      </c>
      <c r="X317" s="19">
        <f t="shared" ca="1" si="106"/>
        <v>0</v>
      </c>
      <c r="Y317" s="19">
        <f t="shared" si="107"/>
        <v>0</v>
      </c>
      <c r="Z317" s="82">
        <f t="shared" ca="1" si="108"/>
        <v>5232.8929007523147</v>
      </c>
      <c r="AA317" s="19">
        <f t="shared" ca="1" si="109"/>
        <v>0</v>
      </c>
      <c r="AE317" s="19"/>
    </row>
    <row r="318" spans="1:31" ht="12.75" customHeight="1" x14ac:dyDescent="0.2">
      <c r="A318">
        <v>2</v>
      </c>
      <c r="B318">
        <v>1</v>
      </c>
      <c r="C318">
        <f t="shared" ca="1" si="88"/>
        <v>5</v>
      </c>
      <c r="D318">
        <f t="shared" ca="1" si="89"/>
        <v>4</v>
      </c>
      <c r="E318">
        <f t="shared" ca="1" si="90"/>
        <v>2</v>
      </c>
      <c r="F318" s="61">
        <f t="shared" ca="1" si="91"/>
        <v>3.9085322977689602E-2</v>
      </c>
      <c r="G318">
        <v>1</v>
      </c>
      <c r="H318">
        <v>0</v>
      </c>
      <c r="I318">
        <v>5</v>
      </c>
      <c r="J318" s="61">
        <f t="shared" ca="1" si="92"/>
        <v>0</v>
      </c>
      <c r="K318" s="61">
        <f t="shared" ca="1" si="93"/>
        <v>0</v>
      </c>
      <c r="L318" s="82">
        <f t="shared" ca="1" si="94"/>
        <v>216</v>
      </c>
      <c r="M318" s="16">
        <f t="shared" ca="1" si="95"/>
        <v>784</v>
      </c>
      <c r="N318" s="3">
        <f t="shared" ca="1" si="96"/>
        <v>5</v>
      </c>
      <c r="O318" s="19">
        <f t="shared" ca="1" si="97"/>
        <v>2.8178718937399587</v>
      </c>
      <c r="P318" s="19">
        <f t="shared" ca="1" si="98"/>
        <v>28.178718937399587</v>
      </c>
      <c r="Q318" s="19">
        <f t="shared" ca="1" si="99"/>
        <v>28.178718937399587</v>
      </c>
      <c r="R318" s="19">
        <f t="shared" ca="1" si="100"/>
        <v>2.8178718937399587</v>
      </c>
      <c r="S318" s="19">
        <f t="shared" ca="1" si="101"/>
        <v>2.8178718937399587</v>
      </c>
      <c r="T318" s="19">
        <f t="shared" ca="1" si="102"/>
        <v>0</v>
      </c>
      <c r="U318" s="19">
        <f t="shared" ca="1" si="103"/>
        <v>1475.3251747165598</v>
      </c>
      <c r="V318" s="19">
        <f t="shared" ca="1" si="104"/>
        <v>0</v>
      </c>
      <c r="W318" s="82">
        <f t="shared" ca="1" si="105"/>
        <v>4746.9876707175936</v>
      </c>
      <c r="X318" s="19">
        <f t="shared" ca="1" si="106"/>
        <v>0</v>
      </c>
      <c r="Y318" s="19">
        <f t="shared" si="107"/>
        <v>0</v>
      </c>
      <c r="Z318" s="82">
        <f t="shared" ca="1" si="108"/>
        <v>4746.9876707175936</v>
      </c>
      <c r="AA318" s="19">
        <f t="shared" ca="1" si="109"/>
        <v>0</v>
      </c>
      <c r="AE318" s="19"/>
    </row>
    <row r="319" spans="1:31" ht="12.75" customHeight="1" x14ac:dyDescent="0.2">
      <c r="A319">
        <v>2</v>
      </c>
      <c r="B319">
        <v>1</v>
      </c>
      <c r="C319">
        <f t="shared" ca="1" si="88"/>
        <v>5</v>
      </c>
      <c r="D319">
        <f t="shared" ca="1" si="89"/>
        <v>4</v>
      </c>
      <c r="E319">
        <f t="shared" ca="1" si="90"/>
        <v>2</v>
      </c>
      <c r="F319" s="61">
        <f t="shared" ca="1" si="91"/>
        <v>3.9085322977689602E-2</v>
      </c>
      <c r="G319">
        <v>1</v>
      </c>
      <c r="H319">
        <v>0</v>
      </c>
      <c r="I319">
        <v>4</v>
      </c>
      <c r="J319" s="61">
        <f t="shared" ca="1" si="92"/>
        <v>0.77378093749999999</v>
      </c>
      <c r="K319" s="61">
        <f t="shared" ca="1" si="93"/>
        <v>3.0243477856166951E-2</v>
      </c>
      <c r="L319" s="82">
        <f t="shared" ca="1" si="94"/>
        <v>205</v>
      </c>
      <c r="M319" s="16">
        <f t="shared" ca="1" si="95"/>
        <v>795</v>
      </c>
      <c r="N319" s="3">
        <f t="shared" ca="1" si="96"/>
        <v>5</v>
      </c>
      <c r="O319" s="19">
        <f t="shared" ca="1" si="97"/>
        <v>2.8178718937399587</v>
      </c>
      <c r="P319" s="19">
        <f t="shared" ca="1" si="98"/>
        <v>28.178718937399587</v>
      </c>
      <c r="Q319" s="19">
        <f t="shared" ca="1" si="99"/>
        <v>28.178718937399587</v>
      </c>
      <c r="R319" s="19">
        <f t="shared" ca="1" si="100"/>
        <v>2.8178718937399587</v>
      </c>
      <c r="S319" s="19">
        <f t="shared" ca="1" si="101"/>
        <v>2.8178718937399587</v>
      </c>
      <c r="T319" s="19">
        <f t="shared" ca="1" si="102"/>
        <v>8.5222246219839676E-2</v>
      </c>
      <c r="U319" s="19">
        <f t="shared" ca="1" si="103"/>
        <v>1464.3251747165598</v>
      </c>
      <c r="V319" s="19">
        <f t="shared" ca="1" si="104"/>
        <v>44.286285995768075</v>
      </c>
      <c r="W319" s="82">
        <f t="shared" ca="1" si="105"/>
        <v>4261.0824406828706</v>
      </c>
      <c r="X319" s="19">
        <f t="shared" ca="1" si="106"/>
        <v>128.86995243809423</v>
      </c>
      <c r="Y319" s="19">
        <f t="shared" si="107"/>
        <v>0</v>
      </c>
      <c r="Z319" s="82">
        <f t="shared" ca="1" si="108"/>
        <v>4261.0824406828706</v>
      </c>
      <c r="AA319" s="19">
        <f t="shared" ca="1" si="109"/>
        <v>128.86995243809423</v>
      </c>
      <c r="AE319" s="19"/>
    </row>
    <row r="320" spans="1:31" ht="12.75" customHeight="1" x14ac:dyDescent="0.2">
      <c r="A320">
        <v>2</v>
      </c>
      <c r="B320">
        <v>1</v>
      </c>
      <c r="C320">
        <f t="shared" ca="1" si="88"/>
        <v>5</v>
      </c>
      <c r="D320">
        <f t="shared" ca="1" si="89"/>
        <v>4</v>
      </c>
      <c r="E320">
        <f t="shared" ca="1" si="90"/>
        <v>2</v>
      </c>
      <c r="F320" s="61">
        <f t="shared" ca="1" si="91"/>
        <v>3.9085322977689602E-2</v>
      </c>
      <c r="G320">
        <v>1</v>
      </c>
      <c r="H320">
        <v>0</v>
      </c>
      <c r="I320">
        <v>3</v>
      </c>
      <c r="J320" s="61">
        <f t="shared" ca="1" si="92"/>
        <v>0.16290125000000011</v>
      </c>
      <c r="K320" s="61">
        <f t="shared" ca="1" si="93"/>
        <v>6.3670479697193628E-3</v>
      </c>
      <c r="L320" s="82">
        <f t="shared" ca="1" si="94"/>
        <v>194</v>
      </c>
      <c r="M320" s="16">
        <f t="shared" ca="1" si="95"/>
        <v>806</v>
      </c>
      <c r="N320" s="3">
        <f t="shared" ca="1" si="96"/>
        <v>5</v>
      </c>
      <c r="O320" s="19">
        <f t="shared" ca="1" si="97"/>
        <v>2.8178718937399587</v>
      </c>
      <c r="P320" s="19">
        <f t="shared" ca="1" si="98"/>
        <v>28.178718937399587</v>
      </c>
      <c r="Q320" s="19">
        <f t="shared" ca="1" si="99"/>
        <v>28.178718937399587</v>
      </c>
      <c r="R320" s="19">
        <f t="shared" ca="1" si="100"/>
        <v>2.8178718937399587</v>
      </c>
      <c r="S320" s="19">
        <f t="shared" ca="1" si="101"/>
        <v>2.8178718937399587</v>
      </c>
      <c r="T320" s="19">
        <f t="shared" ca="1" si="102"/>
        <v>1.7941525519966261E-2</v>
      </c>
      <c r="U320" s="19">
        <f t="shared" ca="1" si="103"/>
        <v>1453.3251747165598</v>
      </c>
      <c r="V320" s="19">
        <f t="shared" ca="1" si="104"/>
        <v>9.2533911030211105</v>
      </c>
      <c r="W320" s="82">
        <f t="shared" ca="1" si="105"/>
        <v>3775.1772106481485</v>
      </c>
      <c r="X320" s="19">
        <f t="shared" ca="1" si="106"/>
        <v>24.036734394388102</v>
      </c>
      <c r="Y320" s="19">
        <f t="shared" si="107"/>
        <v>0</v>
      </c>
      <c r="Z320" s="82">
        <f t="shared" ca="1" si="108"/>
        <v>3775.1772106481485</v>
      </c>
      <c r="AA320" s="19">
        <f t="shared" ca="1" si="109"/>
        <v>24.036734394388102</v>
      </c>
      <c r="AE320" s="19"/>
    </row>
    <row r="321" spans="1:31" ht="12.75" customHeight="1" x14ac:dyDescent="0.2">
      <c r="A321">
        <v>2</v>
      </c>
      <c r="B321">
        <v>1</v>
      </c>
      <c r="C321">
        <f t="shared" ca="1" si="88"/>
        <v>5</v>
      </c>
      <c r="D321">
        <f t="shared" ca="1" si="89"/>
        <v>4</v>
      </c>
      <c r="E321">
        <f t="shared" ca="1" si="90"/>
        <v>2</v>
      </c>
      <c r="F321" s="61">
        <f t="shared" ca="1" si="91"/>
        <v>3.9085322977689602E-2</v>
      </c>
      <c r="G321">
        <v>1</v>
      </c>
      <c r="H321">
        <v>0</v>
      </c>
      <c r="I321">
        <v>2</v>
      </c>
      <c r="J321" s="61">
        <f t="shared" ca="1" si="92"/>
        <v>1.2860625000000021E-2</v>
      </c>
      <c r="K321" s="61">
        <f t="shared" ca="1" si="93"/>
        <v>5.0266168181995017E-4</v>
      </c>
      <c r="L321" s="82">
        <f t="shared" ca="1" si="94"/>
        <v>183</v>
      </c>
      <c r="M321" s="16">
        <f t="shared" ca="1" si="95"/>
        <v>817</v>
      </c>
      <c r="N321" s="3">
        <f t="shared" ca="1" si="96"/>
        <v>5</v>
      </c>
      <c r="O321" s="19">
        <f t="shared" ca="1" si="97"/>
        <v>2.8178718937399587</v>
      </c>
      <c r="P321" s="19">
        <f t="shared" ca="1" si="98"/>
        <v>28.178718937399587</v>
      </c>
      <c r="Q321" s="19">
        <f t="shared" ca="1" si="99"/>
        <v>28.178718937399587</v>
      </c>
      <c r="R321" s="19">
        <f t="shared" ca="1" si="100"/>
        <v>2.8178718937399587</v>
      </c>
      <c r="S321" s="19">
        <f t="shared" ca="1" si="101"/>
        <v>2.8178718937399587</v>
      </c>
      <c r="T321" s="19">
        <f t="shared" ca="1" si="102"/>
        <v>1.4164362252604955E-3</v>
      </c>
      <c r="U321" s="19">
        <f t="shared" ca="1" si="103"/>
        <v>1442.3251747165598</v>
      </c>
      <c r="V321" s="19">
        <f t="shared" ca="1" si="104"/>
        <v>0.72500159805427944</v>
      </c>
      <c r="W321" s="82">
        <f t="shared" ca="1" si="105"/>
        <v>3289.2719806134264</v>
      </c>
      <c r="X321" s="19">
        <f t="shared" ca="1" si="106"/>
        <v>1.6533909857383835</v>
      </c>
      <c r="Y321" s="19">
        <f t="shared" si="107"/>
        <v>0</v>
      </c>
      <c r="Z321" s="82">
        <f t="shared" ca="1" si="108"/>
        <v>3289.2719806134264</v>
      </c>
      <c r="AA321" s="19">
        <f t="shared" ca="1" si="109"/>
        <v>1.6533909857383835</v>
      </c>
      <c r="AE321" s="19"/>
    </row>
    <row r="322" spans="1:31" ht="12.75" customHeight="1" x14ac:dyDescent="0.2">
      <c r="A322">
        <v>2</v>
      </c>
      <c r="B322">
        <v>1</v>
      </c>
      <c r="C322">
        <f t="shared" ca="1" si="88"/>
        <v>5</v>
      </c>
      <c r="D322">
        <f t="shared" ca="1" si="89"/>
        <v>4</v>
      </c>
      <c r="E322">
        <f t="shared" ca="1" si="90"/>
        <v>2</v>
      </c>
      <c r="F322" s="61">
        <f t="shared" ca="1" si="91"/>
        <v>3.9085322977689602E-2</v>
      </c>
      <c r="G322">
        <v>1</v>
      </c>
      <c r="H322">
        <v>0</v>
      </c>
      <c r="I322">
        <v>1</v>
      </c>
      <c r="J322" s="61">
        <f t="shared" ca="1" si="92"/>
        <v>4.5125000000000118E-4</v>
      </c>
      <c r="K322" s="61">
        <f t="shared" ca="1" si="93"/>
        <v>1.7637251993682479E-5</v>
      </c>
      <c r="L322" s="82">
        <f t="shared" ca="1" si="94"/>
        <v>172</v>
      </c>
      <c r="M322" s="16">
        <f t="shared" ca="1" si="95"/>
        <v>828</v>
      </c>
      <c r="N322" s="3">
        <f t="shared" ca="1" si="96"/>
        <v>5</v>
      </c>
      <c r="O322" s="19">
        <f t="shared" ca="1" si="97"/>
        <v>2.8178718937399587</v>
      </c>
      <c r="P322" s="19">
        <f t="shared" ca="1" si="98"/>
        <v>28.178718937399587</v>
      </c>
      <c r="Q322" s="19">
        <f t="shared" ca="1" si="99"/>
        <v>28.178718937399587</v>
      </c>
      <c r="R322" s="19">
        <f t="shared" ca="1" si="100"/>
        <v>2.8178718937399587</v>
      </c>
      <c r="S322" s="19">
        <f t="shared" ca="1" si="101"/>
        <v>2.8178718937399587</v>
      </c>
      <c r="T322" s="19">
        <f t="shared" ca="1" si="102"/>
        <v>4.9699516675806909E-5</v>
      </c>
      <c r="U322" s="19">
        <f t="shared" ca="1" si="103"/>
        <v>1431.3251747165598</v>
      </c>
      <c r="V322" s="19">
        <f t="shared" ca="1" si="104"/>
        <v>2.5244642791377569E-2</v>
      </c>
      <c r="W322" s="82">
        <f t="shared" ca="1" si="105"/>
        <v>2803.3667505787039</v>
      </c>
      <c r="X322" s="19">
        <f t="shared" ca="1" si="106"/>
        <v>4.9443685810667416E-2</v>
      </c>
      <c r="Y322" s="19">
        <f t="shared" si="107"/>
        <v>0</v>
      </c>
      <c r="Z322" s="82">
        <f t="shared" ca="1" si="108"/>
        <v>2803.3667505787039</v>
      </c>
      <c r="AA322" s="19">
        <f t="shared" ca="1" si="109"/>
        <v>4.9443685810667416E-2</v>
      </c>
      <c r="AE322" s="19"/>
    </row>
    <row r="323" spans="1:31" ht="12.75" customHeight="1" x14ac:dyDescent="0.2">
      <c r="A323">
        <v>2</v>
      </c>
      <c r="B323">
        <v>1</v>
      </c>
      <c r="C323">
        <f t="shared" ca="1" si="88"/>
        <v>5</v>
      </c>
      <c r="D323">
        <f t="shared" ca="1" si="89"/>
        <v>4</v>
      </c>
      <c r="E323">
        <f t="shared" ca="1" si="90"/>
        <v>2</v>
      </c>
      <c r="F323" s="61">
        <f t="shared" ca="1" si="91"/>
        <v>3.9085322977689602E-2</v>
      </c>
      <c r="G323">
        <v>1</v>
      </c>
      <c r="H323">
        <v>0</v>
      </c>
      <c r="I323">
        <v>0</v>
      </c>
      <c r="J323" s="61">
        <f t="shared" ca="1" si="92"/>
        <v>5.9375000000000207E-6</v>
      </c>
      <c r="K323" s="61">
        <f t="shared" ca="1" si="93"/>
        <v>2.3206910518003282E-7</v>
      </c>
      <c r="L323" s="82">
        <f t="shared" ca="1" si="94"/>
        <v>161</v>
      </c>
      <c r="M323" s="16">
        <f t="shared" ca="1" si="95"/>
        <v>839</v>
      </c>
      <c r="N323" s="3">
        <f t="shared" ca="1" si="96"/>
        <v>5</v>
      </c>
      <c r="O323" s="19">
        <f t="shared" ca="1" si="97"/>
        <v>2.8178718937399587</v>
      </c>
      <c r="P323" s="19">
        <f t="shared" ca="1" si="98"/>
        <v>28.178718937399587</v>
      </c>
      <c r="Q323" s="19">
        <f t="shared" ca="1" si="99"/>
        <v>28.178718937399587</v>
      </c>
      <c r="R323" s="19">
        <f t="shared" ca="1" si="100"/>
        <v>2.8178718937399587</v>
      </c>
      <c r="S323" s="19">
        <f t="shared" ca="1" si="101"/>
        <v>2.8178718937399587</v>
      </c>
      <c r="T323" s="19">
        <f t="shared" ca="1" si="102"/>
        <v>6.5394100889219674E-7</v>
      </c>
      <c r="U323" s="19">
        <f t="shared" ca="1" si="103"/>
        <v>1420.3251747165598</v>
      </c>
      <c r="V323" s="19">
        <f t="shared" ca="1" si="104"/>
        <v>3.2961359236114579E-4</v>
      </c>
      <c r="W323" s="82">
        <f t="shared" ca="1" si="105"/>
        <v>2317.4615205439818</v>
      </c>
      <c r="X323" s="19">
        <f t="shared" ca="1" si="106"/>
        <v>5.3781122136180011E-4</v>
      </c>
      <c r="Y323" s="19">
        <f t="shared" si="107"/>
        <v>0</v>
      </c>
      <c r="Z323" s="82">
        <f t="shared" ca="1" si="108"/>
        <v>2317.4615205439818</v>
      </c>
      <c r="AA323" s="19">
        <f t="shared" ca="1" si="109"/>
        <v>5.3781122136180011E-4</v>
      </c>
      <c r="AE323" s="19"/>
    </row>
    <row r="324" spans="1:31" ht="12.75" customHeight="1" x14ac:dyDescent="0.2">
      <c r="A324">
        <v>2</v>
      </c>
      <c r="B324">
        <v>1</v>
      </c>
      <c r="C324">
        <f t="shared" ca="1" si="88"/>
        <v>5</v>
      </c>
      <c r="D324">
        <f t="shared" ca="1" si="89"/>
        <v>4</v>
      </c>
      <c r="E324">
        <f t="shared" ca="1" si="90"/>
        <v>2</v>
      </c>
      <c r="F324" s="61">
        <f t="shared" ca="1" si="91"/>
        <v>3.9085322977689602E-2</v>
      </c>
      <c r="G324">
        <v>0</v>
      </c>
      <c r="H324">
        <v>1</v>
      </c>
      <c r="I324">
        <v>7</v>
      </c>
      <c r="J324" s="61">
        <f t="shared" ca="1" si="92"/>
        <v>0</v>
      </c>
      <c r="K324" s="61">
        <f t="shared" ca="1" si="93"/>
        <v>0</v>
      </c>
      <c r="L324" s="82">
        <f t="shared" ca="1" si="94"/>
        <v>238</v>
      </c>
      <c r="M324" s="16">
        <f t="shared" ca="1" si="95"/>
        <v>762</v>
      </c>
      <c r="N324" s="3">
        <f t="shared" ca="1" si="96"/>
        <v>5</v>
      </c>
      <c r="O324" s="19">
        <f t="shared" ca="1" si="97"/>
        <v>2.8178718937399587</v>
      </c>
      <c r="P324" s="19">
        <f t="shared" ca="1" si="98"/>
        <v>25.815886347750073</v>
      </c>
      <c r="Q324" s="19">
        <f t="shared" ca="1" si="99"/>
        <v>23.453053758100552</v>
      </c>
      <c r="R324" s="19">
        <f t="shared" ca="1" si="100"/>
        <v>2.4634470052925312</v>
      </c>
      <c r="S324" s="19">
        <f t="shared" ca="1" si="101"/>
        <v>2.8178718937399587</v>
      </c>
      <c r="T324" s="19">
        <f t="shared" ca="1" si="102"/>
        <v>0</v>
      </c>
      <c r="U324" s="19">
        <f t="shared" ca="1" si="103"/>
        <v>1497.3251747165598</v>
      </c>
      <c r="V324" s="19">
        <f t="shared" ca="1" si="104"/>
        <v>0</v>
      </c>
      <c r="W324" s="82">
        <f t="shared" ca="1" si="105"/>
        <v>3401.3366102430559</v>
      </c>
      <c r="X324" s="19">
        <f t="shared" ca="1" si="106"/>
        <v>0</v>
      </c>
      <c r="Y324" s="19">
        <f t="shared" si="107"/>
        <v>0</v>
      </c>
      <c r="Z324" s="82">
        <f t="shared" ca="1" si="108"/>
        <v>3401.3366102430559</v>
      </c>
      <c r="AA324" s="19">
        <f t="shared" ca="1" si="109"/>
        <v>0</v>
      </c>
      <c r="AE324" s="19"/>
    </row>
    <row r="325" spans="1:31" ht="12.75" customHeight="1" x14ac:dyDescent="0.2">
      <c r="A325">
        <v>2</v>
      </c>
      <c r="B325">
        <v>1</v>
      </c>
      <c r="C325">
        <f t="shared" ca="1" si="88"/>
        <v>5</v>
      </c>
      <c r="D325">
        <f t="shared" ca="1" si="89"/>
        <v>4</v>
      </c>
      <c r="E325">
        <f t="shared" ca="1" si="90"/>
        <v>2</v>
      </c>
      <c r="F325" s="61">
        <f t="shared" ca="1" si="91"/>
        <v>3.9085322977689602E-2</v>
      </c>
      <c r="G325">
        <v>0</v>
      </c>
      <c r="H325">
        <v>1</v>
      </c>
      <c r="I325">
        <v>6</v>
      </c>
      <c r="J325" s="61">
        <f t="shared" ca="1" si="92"/>
        <v>0</v>
      </c>
      <c r="K325" s="61">
        <f t="shared" ca="1" si="93"/>
        <v>0</v>
      </c>
      <c r="L325" s="82">
        <f t="shared" ca="1" si="94"/>
        <v>227</v>
      </c>
      <c r="M325" s="16">
        <f t="shared" ca="1" si="95"/>
        <v>773</v>
      </c>
      <c r="N325" s="3">
        <f t="shared" ca="1" si="96"/>
        <v>5</v>
      </c>
      <c r="O325" s="19">
        <f t="shared" ca="1" si="97"/>
        <v>2.8178718937399587</v>
      </c>
      <c r="P325" s="19">
        <f t="shared" ca="1" si="98"/>
        <v>28.178718937399587</v>
      </c>
      <c r="Q325" s="19">
        <f t="shared" ca="1" si="99"/>
        <v>26.288452865679979</v>
      </c>
      <c r="R325" s="19">
        <f t="shared" ca="1" si="100"/>
        <v>2.7233585901539783</v>
      </c>
      <c r="S325" s="19">
        <f t="shared" ca="1" si="101"/>
        <v>2.8178718937399587</v>
      </c>
      <c r="T325" s="19">
        <f t="shared" ca="1" si="102"/>
        <v>0</v>
      </c>
      <c r="U325" s="19">
        <f t="shared" ca="1" si="103"/>
        <v>1486.3251747165598</v>
      </c>
      <c r="V325" s="19">
        <f t="shared" ca="1" si="104"/>
        <v>0</v>
      </c>
      <c r="W325" s="82">
        <f t="shared" ca="1" si="105"/>
        <v>2915.4313802083334</v>
      </c>
      <c r="X325" s="19">
        <f t="shared" ca="1" si="106"/>
        <v>0</v>
      </c>
      <c r="Y325" s="19">
        <f t="shared" si="107"/>
        <v>0</v>
      </c>
      <c r="Z325" s="82">
        <f t="shared" ca="1" si="108"/>
        <v>2915.4313802083334</v>
      </c>
      <c r="AA325" s="19">
        <f t="shared" ca="1" si="109"/>
        <v>0</v>
      </c>
      <c r="AE325" s="19"/>
    </row>
    <row r="326" spans="1:31" ht="12.75" customHeight="1" x14ac:dyDescent="0.2">
      <c r="A326">
        <v>2</v>
      </c>
      <c r="B326">
        <v>1</v>
      </c>
      <c r="C326">
        <f t="shared" ca="1" si="88"/>
        <v>5</v>
      </c>
      <c r="D326">
        <f t="shared" ca="1" si="89"/>
        <v>4</v>
      </c>
      <c r="E326">
        <f t="shared" ca="1" si="90"/>
        <v>2</v>
      </c>
      <c r="F326" s="61">
        <f t="shared" ca="1" si="91"/>
        <v>3.9085322977689602E-2</v>
      </c>
      <c r="G326">
        <v>0</v>
      </c>
      <c r="H326">
        <v>1</v>
      </c>
      <c r="I326">
        <v>5</v>
      </c>
      <c r="J326" s="61">
        <f t="shared" ca="1" si="92"/>
        <v>0</v>
      </c>
      <c r="K326" s="61">
        <f t="shared" ca="1" si="93"/>
        <v>0</v>
      </c>
      <c r="L326" s="82">
        <f t="shared" ca="1" si="94"/>
        <v>216</v>
      </c>
      <c r="M326" s="16">
        <f t="shared" ca="1" si="95"/>
        <v>784</v>
      </c>
      <c r="N326" s="3">
        <f t="shared" ca="1" si="96"/>
        <v>5</v>
      </c>
      <c r="O326" s="19">
        <f t="shared" ca="1" si="97"/>
        <v>2.8178718937399587</v>
      </c>
      <c r="P326" s="19">
        <f t="shared" ca="1" si="98"/>
        <v>28.178718937399587</v>
      </c>
      <c r="Q326" s="19">
        <f t="shared" ca="1" si="99"/>
        <v>28.178718937399587</v>
      </c>
      <c r="R326" s="19">
        <f t="shared" ca="1" si="100"/>
        <v>2.8178718937399587</v>
      </c>
      <c r="S326" s="19">
        <f t="shared" ca="1" si="101"/>
        <v>2.8178718937399587</v>
      </c>
      <c r="T326" s="19">
        <f t="shared" ca="1" si="102"/>
        <v>0</v>
      </c>
      <c r="U326" s="19">
        <f t="shared" ca="1" si="103"/>
        <v>1475.3251747165598</v>
      </c>
      <c r="V326" s="19">
        <f t="shared" ca="1" si="104"/>
        <v>0</v>
      </c>
      <c r="W326" s="82">
        <f t="shared" ca="1" si="105"/>
        <v>2429.5261501736113</v>
      </c>
      <c r="X326" s="19">
        <f t="shared" ca="1" si="106"/>
        <v>0</v>
      </c>
      <c r="Y326" s="19">
        <f t="shared" si="107"/>
        <v>0</v>
      </c>
      <c r="Z326" s="82">
        <f t="shared" ca="1" si="108"/>
        <v>2429.5261501736113</v>
      </c>
      <c r="AA326" s="19">
        <f t="shared" ca="1" si="109"/>
        <v>0</v>
      </c>
      <c r="AE326" s="19"/>
    </row>
    <row r="327" spans="1:31" ht="12.75" customHeight="1" x14ac:dyDescent="0.2">
      <c r="A327">
        <v>2</v>
      </c>
      <c r="B327">
        <v>1</v>
      </c>
      <c r="C327">
        <f t="shared" ca="1" si="88"/>
        <v>5</v>
      </c>
      <c r="D327">
        <f t="shared" ca="1" si="89"/>
        <v>4</v>
      </c>
      <c r="E327">
        <f t="shared" ca="1" si="90"/>
        <v>2</v>
      </c>
      <c r="F327" s="61">
        <f t="shared" ca="1" si="91"/>
        <v>3.9085322977689602E-2</v>
      </c>
      <c r="G327">
        <v>0</v>
      </c>
      <c r="H327">
        <v>1</v>
      </c>
      <c r="I327">
        <v>4</v>
      </c>
      <c r="J327" s="61">
        <f t="shared" ca="1" si="92"/>
        <v>0</v>
      </c>
      <c r="K327" s="61">
        <f t="shared" ca="1" si="93"/>
        <v>0</v>
      </c>
      <c r="L327" s="82">
        <f t="shared" ca="1" si="94"/>
        <v>205</v>
      </c>
      <c r="M327" s="16">
        <f t="shared" ca="1" si="95"/>
        <v>795</v>
      </c>
      <c r="N327" s="3">
        <f t="shared" ca="1" si="96"/>
        <v>5</v>
      </c>
      <c r="O327" s="19">
        <f t="shared" ca="1" si="97"/>
        <v>2.8178718937399587</v>
      </c>
      <c r="P327" s="19">
        <f t="shared" ca="1" si="98"/>
        <v>28.178718937399587</v>
      </c>
      <c r="Q327" s="19">
        <f t="shared" ca="1" si="99"/>
        <v>28.178718937399587</v>
      </c>
      <c r="R327" s="19">
        <f t="shared" ca="1" si="100"/>
        <v>2.8178718937399587</v>
      </c>
      <c r="S327" s="19">
        <f t="shared" ca="1" si="101"/>
        <v>2.8178718937399587</v>
      </c>
      <c r="T327" s="19">
        <f t="shared" ca="1" si="102"/>
        <v>0</v>
      </c>
      <c r="U327" s="19">
        <f t="shared" ca="1" si="103"/>
        <v>1464.3251747165598</v>
      </c>
      <c r="V327" s="19">
        <f t="shared" ca="1" si="104"/>
        <v>0</v>
      </c>
      <c r="W327" s="82">
        <f t="shared" ca="1" si="105"/>
        <v>1943.620920138889</v>
      </c>
      <c r="X327" s="19">
        <f t="shared" ca="1" si="106"/>
        <v>0</v>
      </c>
      <c r="Y327" s="19">
        <f t="shared" si="107"/>
        <v>0</v>
      </c>
      <c r="Z327" s="82">
        <f t="shared" ca="1" si="108"/>
        <v>1943.620920138889</v>
      </c>
      <c r="AA327" s="19">
        <f t="shared" ca="1" si="109"/>
        <v>0</v>
      </c>
      <c r="AE327" s="19"/>
    </row>
    <row r="328" spans="1:31" ht="12.75" customHeight="1" x14ac:dyDescent="0.2">
      <c r="A328">
        <v>2</v>
      </c>
      <c r="B328">
        <v>1</v>
      </c>
      <c r="C328">
        <f t="shared" ca="1" si="88"/>
        <v>5</v>
      </c>
      <c r="D328">
        <f t="shared" ca="1" si="89"/>
        <v>4</v>
      </c>
      <c r="E328">
        <f t="shared" ca="1" si="90"/>
        <v>2</v>
      </c>
      <c r="F328" s="61">
        <f t="shared" ca="1" si="91"/>
        <v>3.9085322977689602E-2</v>
      </c>
      <c r="G328">
        <v>0</v>
      </c>
      <c r="H328">
        <v>1</v>
      </c>
      <c r="I328">
        <v>3</v>
      </c>
      <c r="J328" s="61">
        <f t="shared" ca="1" si="92"/>
        <v>0</v>
      </c>
      <c r="K328" s="61">
        <f t="shared" ca="1" si="93"/>
        <v>0</v>
      </c>
      <c r="L328" s="82">
        <f t="shared" ca="1" si="94"/>
        <v>194</v>
      </c>
      <c r="M328" s="16">
        <f t="shared" ca="1" si="95"/>
        <v>806</v>
      </c>
      <c r="N328" s="3">
        <f t="shared" ca="1" si="96"/>
        <v>5</v>
      </c>
      <c r="O328" s="19">
        <f t="shared" ca="1" si="97"/>
        <v>2.8178718937399587</v>
      </c>
      <c r="P328" s="19">
        <f t="shared" ca="1" si="98"/>
        <v>28.178718937399587</v>
      </c>
      <c r="Q328" s="19">
        <f t="shared" ca="1" si="99"/>
        <v>28.178718937399587</v>
      </c>
      <c r="R328" s="19">
        <f t="shared" ca="1" si="100"/>
        <v>2.8178718937399587</v>
      </c>
      <c r="S328" s="19">
        <f t="shared" ca="1" si="101"/>
        <v>2.8178718937399587</v>
      </c>
      <c r="T328" s="19">
        <f t="shared" ca="1" si="102"/>
        <v>0</v>
      </c>
      <c r="U328" s="19">
        <f t="shared" ca="1" si="103"/>
        <v>1453.3251747165598</v>
      </c>
      <c r="V328" s="19">
        <f t="shared" ca="1" si="104"/>
        <v>0</v>
      </c>
      <c r="W328" s="82">
        <f t="shared" ca="1" si="105"/>
        <v>1457.7156901041667</v>
      </c>
      <c r="X328" s="19">
        <f t="shared" ca="1" si="106"/>
        <v>0</v>
      </c>
      <c r="Y328" s="19">
        <f t="shared" si="107"/>
        <v>0</v>
      </c>
      <c r="Z328" s="82">
        <f t="shared" ca="1" si="108"/>
        <v>1457.7156901041667</v>
      </c>
      <c r="AA328" s="19">
        <f t="shared" ca="1" si="109"/>
        <v>0</v>
      </c>
      <c r="AE328" s="19"/>
    </row>
    <row r="329" spans="1:31" ht="12.75" customHeight="1" x14ac:dyDescent="0.2">
      <c r="A329">
        <v>2</v>
      </c>
      <c r="B329">
        <v>1</v>
      </c>
      <c r="C329">
        <f t="shared" ca="1" si="88"/>
        <v>5</v>
      </c>
      <c r="D329">
        <f t="shared" ca="1" si="89"/>
        <v>4</v>
      </c>
      <c r="E329">
        <f t="shared" ca="1" si="90"/>
        <v>2</v>
      </c>
      <c r="F329" s="61">
        <f t="shared" ca="1" si="91"/>
        <v>3.9085322977689602E-2</v>
      </c>
      <c r="G329">
        <v>0</v>
      </c>
      <c r="H329">
        <v>1</v>
      </c>
      <c r="I329">
        <v>2</v>
      </c>
      <c r="J329" s="61">
        <f t="shared" ca="1" si="92"/>
        <v>0</v>
      </c>
      <c r="K329" s="61">
        <f t="shared" ca="1" si="93"/>
        <v>0</v>
      </c>
      <c r="L329" s="82">
        <f t="shared" ca="1" si="94"/>
        <v>183</v>
      </c>
      <c r="M329" s="16">
        <f t="shared" ca="1" si="95"/>
        <v>817</v>
      </c>
      <c r="N329" s="3">
        <f t="shared" ca="1" si="96"/>
        <v>5</v>
      </c>
      <c r="O329" s="19">
        <f t="shared" ca="1" si="97"/>
        <v>2.8178718937399587</v>
      </c>
      <c r="P329" s="19">
        <f t="shared" ca="1" si="98"/>
        <v>28.178718937399587</v>
      </c>
      <c r="Q329" s="19">
        <f t="shared" ca="1" si="99"/>
        <v>28.178718937399587</v>
      </c>
      <c r="R329" s="19">
        <f t="shared" ca="1" si="100"/>
        <v>2.8178718937399587</v>
      </c>
      <c r="S329" s="19">
        <f t="shared" ca="1" si="101"/>
        <v>2.8178718937399587</v>
      </c>
      <c r="T329" s="19">
        <f t="shared" ca="1" si="102"/>
        <v>0</v>
      </c>
      <c r="U329" s="19">
        <f t="shared" ca="1" si="103"/>
        <v>1442.3251747165598</v>
      </c>
      <c r="V329" s="19">
        <f t="shared" ca="1" si="104"/>
        <v>0</v>
      </c>
      <c r="W329" s="82">
        <f t="shared" ca="1" si="105"/>
        <v>971.8104600694445</v>
      </c>
      <c r="X329" s="19">
        <f t="shared" ca="1" si="106"/>
        <v>0</v>
      </c>
      <c r="Y329" s="19">
        <f t="shared" si="107"/>
        <v>0</v>
      </c>
      <c r="Z329" s="82">
        <f t="shared" ca="1" si="108"/>
        <v>971.8104600694445</v>
      </c>
      <c r="AA329" s="19">
        <f t="shared" ca="1" si="109"/>
        <v>0</v>
      </c>
      <c r="AE329" s="19"/>
    </row>
    <row r="330" spans="1:31" ht="12.75" customHeight="1" x14ac:dyDescent="0.2">
      <c r="A330">
        <v>2</v>
      </c>
      <c r="B330">
        <v>1</v>
      </c>
      <c r="C330">
        <f t="shared" ca="1" si="88"/>
        <v>5</v>
      </c>
      <c r="D330">
        <f t="shared" ca="1" si="89"/>
        <v>4</v>
      </c>
      <c r="E330">
        <f t="shared" ca="1" si="90"/>
        <v>2</v>
      </c>
      <c r="F330" s="61">
        <f t="shared" ca="1" si="91"/>
        <v>3.9085322977689602E-2</v>
      </c>
      <c r="G330">
        <v>0</v>
      </c>
      <c r="H330">
        <v>1</v>
      </c>
      <c r="I330">
        <v>1</v>
      </c>
      <c r="J330" s="61">
        <f t="shared" ca="1" si="92"/>
        <v>0</v>
      </c>
      <c r="K330" s="61">
        <f t="shared" ca="1" si="93"/>
        <v>0</v>
      </c>
      <c r="L330" s="82">
        <f t="shared" ca="1" si="94"/>
        <v>172</v>
      </c>
      <c r="M330" s="16">
        <f t="shared" ca="1" si="95"/>
        <v>828</v>
      </c>
      <c r="N330" s="3">
        <f t="shared" ca="1" si="96"/>
        <v>5</v>
      </c>
      <c r="O330" s="19">
        <f t="shared" ca="1" si="97"/>
        <v>2.8178718937399587</v>
      </c>
      <c r="P330" s="19">
        <f t="shared" ca="1" si="98"/>
        <v>28.178718937399587</v>
      </c>
      <c r="Q330" s="19">
        <f t="shared" ca="1" si="99"/>
        <v>28.178718937399587</v>
      </c>
      <c r="R330" s="19">
        <f t="shared" ca="1" si="100"/>
        <v>2.8178718937399587</v>
      </c>
      <c r="S330" s="19">
        <f t="shared" ca="1" si="101"/>
        <v>2.8178718937399587</v>
      </c>
      <c r="T330" s="19">
        <f t="shared" ca="1" si="102"/>
        <v>0</v>
      </c>
      <c r="U330" s="19">
        <f t="shared" ca="1" si="103"/>
        <v>1431.3251747165598</v>
      </c>
      <c r="V330" s="19">
        <f t="shared" ca="1" si="104"/>
        <v>0</v>
      </c>
      <c r="W330" s="82">
        <f t="shared" ca="1" si="105"/>
        <v>485.90523003472225</v>
      </c>
      <c r="X330" s="19">
        <f t="shared" ca="1" si="106"/>
        <v>0</v>
      </c>
      <c r="Y330" s="19">
        <f t="shared" si="107"/>
        <v>0</v>
      </c>
      <c r="Z330" s="82">
        <f t="shared" ca="1" si="108"/>
        <v>485.90523003472225</v>
      </c>
      <c r="AA330" s="19">
        <f t="shared" ca="1" si="109"/>
        <v>0</v>
      </c>
      <c r="AE330" s="19"/>
    </row>
    <row r="331" spans="1:31" ht="12.75" customHeight="1" x14ac:dyDescent="0.2">
      <c r="A331">
        <v>2</v>
      </c>
      <c r="B331">
        <v>1</v>
      </c>
      <c r="C331">
        <f t="shared" ca="1" si="88"/>
        <v>5</v>
      </c>
      <c r="D331">
        <f t="shared" ca="1" si="89"/>
        <v>4</v>
      </c>
      <c r="E331">
        <f t="shared" ca="1" si="90"/>
        <v>2</v>
      </c>
      <c r="F331" s="61">
        <f t="shared" ca="1" si="91"/>
        <v>3.9085322977689602E-2</v>
      </c>
      <c r="G331">
        <v>0</v>
      </c>
      <c r="H331">
        <v>1</v>
      </c>
      <c r="I331">
        <v>0</v>
      </c>
      <c r="J331" s="61">
        <f t="shared" ca="1" si="92"/>
        <v>0</v>
      </c>
      <c r="K331" s="61">
        <f t="shared" ca="1" si="93"/>
        <v>0</v>
      </c>
      <c r="L331" s="82">
        <f t="shared" ca="1" si="94"/>
        <v>161</v>
      </c>
      <c r="M331" s="16">
        <f t="shared" ca="1" si="95"/>
        <v>839</v>
      </c>
      <c r="N331" s="3">
        <f t="shared" ca="1" si="96"/>
        <v>5</v>
      </c>
      <c r="O331" s="19">
        <f t="shared" ca="1" si="97"/>
        <v>2.8178718937399587</v>
      </c>
      <c r="P331" s="19">
        <f t="shared" ca="1" si="98"/>
        <v>28.178718937399587</v>
      </c>
      <c r="Q331" s="19">
        <f t="shared" ca="1" si="99"/>
        <v>28.178718937399587</v>
      </c>
      <c r="R331" s="19">
        <f t="shared" ca="1" si="100"/>
        <v>2.8178718937399587</v>
      </c>
      <c r="S331" s="19">
        <f t="shared" ca="1" si="101"/>
        <v>2.8178718937399587</v>
      </c>
      <c r="T331" s="19">
        <f t="shared" ca="1" si="102"/>
        <v>0</v>
      </c>
      <c r="U331" s="19">
        <f t="shared" ca="1" si="103"/>
        <v>1420.3251747165598</v>
      </c>
      <c r="V331" s="19">
        <f t="shared" ca="1" si="104"/>
        <v>0</v>
      </c>
      <c r="W331" s="82">
        <f t="shared" ca="1" si="105"/>
        <v>0</v>
      </c>
      <c r="X331" s="19">
        <f t="shared" ca="1" si="106"/>
        <v>0</v>
      </c>
      <c r="Y331" s="19">
        <f t="shared" si="107"/>
        <v>0</v>
      </c>
      <c r="Z331" s="82">
        <f t="shared" ca="1" si="108"/>
        <v>0</v>
      </c>
      <c r="AA331" s="19">
        <f t="shared" ca="1" si="109"/>
        <v>0</v>
      </c>
      <c r="AE331" s="19"/>
    </row>
    <row r="332" spans="1:31" ht="12.75" customHeight="1" x14ac:dyDescent="0.2">
      <c r="A332">
        <v>2</v>
      </c>
      <c r="B332">
        <v>1</v>
      </c>
      <c r="C332">
        <f t="shared" ca="1" si="88"/>
        <v>5</v>
      </c>
      <c r="D332">
        <f t="shared" ca="1" si="89"/>
        <v>4</v>
      </c>
      <c r="E332">
        <f t="shared" ca="1" si="90"/>
        <v>2</v>
      </c>
      <c r="F332" s="61">
        <f t="shared" ca="1" si="91"/>
        <v>3.9085322977689602E-2</v>
      </c>
      <c r="G332">
        <v>0</v>
      </c>
      <c r="H332">
        <v>0</v>
      </c>
      <c r="I332">
        <v>7</v>
      </c>
      <c r="J332" s="61">
        <f t="shared" ca="1" si="92"/>
        <v>0</v>
      </c>
      <c r="K332" s="61">
        <f t="shared" ca="1" si="93"/>
        <v>0</v>
      </c>
      <c r="L332" s="82">
        <f t="shared" ca="1" si="94"/>
        <v>77</v>
      </c>
      <c r="M332" s="16">
        <f t="shared" ca="1" si="95"/>
        <v>923</v>
      </c>
      <c r="N332" s="3">
        <f t="shared" ca="1" si="96"/>
        <v>5</v>
      </c>
      <c r="O332" s="19">
        <f t="shared" ca="1" si="97"/>
        <v>2.8178718937399587</v>
      </c>
      <c r="P332" s="19">
        <f t="shared" ca="1" si="98"/>
        <v>28.178718937399587</v>
      </c>
      <c r="Q332" s="19">
        <f t="shared" ca="1" si="99"/>
        <v>28.178718937399587</v>
      </c>
      <c r="R332" s="19">
        <f t="shared" ca="1" si="100"/>
        <v>2.8178718937399587</v>
      </c>
      <c r="S332" s="19">
        <f t="shared" ca="1" si="101"/>
        <v>2.8178718937399587</v>
      </c>
      <c r="T332" s="19">
        <f t="shared" ca="1" si="102"/>
        <v>0</v>
      </c>
      <c r="U332" s="19">
        <f t="shared" ca="1" si="103"/>
        <v>1336.3251747165598</v>
      </c>
      <c r="V332" s="19">
        <f t="shared" ca="1" si="104"/>
        <v>0</v>
      </c>
      <c r="W332" s="82">
        <f t="shared" ca="1" si="105"/>
        <v>3401.3366102430559</v>
      </c>
      <c r="X332" s="19">
        <f t="shared" ca="1" si="106"/>
        <v>0</v>
      </c>
      <c r="Y332" s="19">
        <f t="shared" si="107"/>
        <v>0</v>
      </c>
      <c r="Z332" s="82">
        <f t="shared" ca="1" si="108"/>
        <v>3401.3366102430559</v>
      </c>
      <c r="AA332" s="19">
        <f t="shared" ca="1" si="109"/>
        <v>0</v>
      </c>
      <c r="AE332" s="19"/>
    </row>
    <row r="333" spans="1:31" ht="12.75" customHeight="1" x14ac:dyDescent="0.2">
      <c r="A333">
        <v>2</v>
      </c>
      <c r="B333">
        <v>1</v>
      </c>
      <c r="C333">
        <f t="shared" ca="1" si="88"/>
        <v>5</v>
      </c>
      <c r="D333">
        <f t="shared" ca="1" si="89"/>
        <v>4</v>
      </c>
      <c r="E333">
        <f t="shared" ca="1" si="90"/>
        <v>2</v>
      </c>
      <c r="F333" s="61">
        <f t="shared" ca="1" si="91"/>
        <v>3.9085322977689602E-2</v>
      </c>
      <c r="G333">
        <v>0</v>
      </c>
      <c r="H333">
        <v>0</v>
      </c>
      <c r="I333">
        <v>6</v>
      </c>
      <c r="J333" s="61">
        <f t="shared" ca="1" si="92"/>
        <v>0</v>
      </c>
      <c r="K333" s="61">
        <f t="shared" ca="1" si="93"/>
        <v>0</v>
      </c>
      <c r="L333" s="82">
        <f t="shared" ca="1" si="94"/>
        <v>66</v>
      </c>
      <c r="M333" s="16">
        <f t="shared" ca="1" si="95"/>
        <v>934</v>
      </c>
      <c r="N333" s="3">
        <f t="shared" ca="1" si="96"/>
        <v>5</v>
      </c>
      <c r="O333" s="19">
        <f t="shared" ca="1" si="97"/>
        <v>2.8178718937399587</v>
      </c>
      <c r="P333" s="19">
        <f t="shared" ca="1" si="98"/>
        <v>28.178718937399587</v>
      </c>
      <c r="Q333" s="19">
        <f t="shared" ca="1" si="99"/>
        <v>28.178718937399587</v>
      </c>
      <c r="R333" s="19">
        <f t="shared" ca="1" si="100"/>
        <v>2.8178718937399587</v>
      </c>
      <c r="S333" s="19">
        <f t="shared" ca="1" si="101"/>
        <v>2.8178718937399587</v>
      </c>
      <c r="T333" s="19">
        <f t="shared" ca="1" si="102"/>
        <v>0</v>
      </c>
      <c r="U333" s="19">
        <f t="shared" ca="1" si="103"/>
        <v>1325.3251747165598</v>
      </c>
      <c r="V333" s="19">
        <f t="shared" ca="1" si="104"/>
        <v>0</v>
      </c>
      <c r="W333" s="82">
        <f t="shared" ca="1" si="105"/>
        <v>2915.4313802083334</v>
      </c>
      <c r="X333" s="19">
        <f t="shared" ca="1" si="106"/>
        <v>0</v>
      </c>
      <c r="Y333" s="19">
        <f t="shared" si="107"/>
        <v>0</v>
      </c>
      <c r="Z333" s="82">
        <f t="shared" ca="1" si="108"/>
        <v>2915.4313802083334</v>
      </c>
      <c r="AA333" s="19">
        <f t="shared" ca="1" si="109"/>
        <v>0</v>
      </c>
      <c r="AE333" s="19"/>
    </row>
    <row r="334" spans="1:31" ht="12.75" customHeight="1" x14ac:dyDescent="0.2">
      <c r="A334">
        <v>2</v>
      </c>
      <c r="B334">
        <v>1</v>
      </c>
      <c r="C334">
        <f t="shared" ca="1" si="88"/>
        <v>5</v>
      </c>
      <c r="D334">
        <f t="shared" ca="1" si="89"/>
        <v>4</v>
      </c>
      <c r="E334">
        <f t="shared" ca="1" si="90"/>
        <v>2</v>
      </c>
      <c r="F334" s="61">
        <f t="shared" ca="1" si="91"/>
        <v>3.9085322977689602E-2</v>
      </c>
      <c r="G334">
        <v>0</v>
      </c>
      <c r="H334">
        <v>0</v>
      </c>
      <c r="I334">
        <v>5</v>
      </c>
      <c r="J334" s="61">
        <f t="shared" ca="1" si="92"/>
        <v>0</v>
      </c>
      <c r="K334" s="61">
        <f t="shared" ca="1" si="93"/>
        <v>0</v>
      </c>
      <c r="L334" s="82">
        <f t="shared" ca="1" si="94"/>
        <v>55</v>
      </c>
      <c r="M334" s="16">
        <f t="shared" ca="1" si="95"/>
        <v>945</v>
      </c>
      <c r="N334" s="3">
        <f t="shared" ca="1" si="96"/>
        <v>5</v>
      </c>
      <c r="O334" s="19">
        <f t="shared" ca="1" si="97"/>
        <v>2.8178718937399587</v>
      </c>
      <c r="P334" s="19">
        <f t="shared" ca="1" si="98"/>
        <v>28.178718937399587</v>
      </c>
      <c r="Q334" s="19">
        <f t="shared" ca="1" si="99"/>
        <v>28.178718937399587</v>
      </c>
      <c r="R334" s="19">
        <f t="shared" ca="1" si="100"/>
        <v>2.8178718937399587</v>
      </c>
      <c r="S334" s="19">
        <f t="shared" ca="1" si="101"/>
        <v>2.8178718937399587</v>
      </c>
      <c r="T334" s="19">
        <f t="shared" ca="1" si="102"/>
        <v>0</v>
      </c>
      <c r="U334" s="19">
        <f t="shared" ca="1" si="103"/>
        <v>1314.3251747165598</v>
      </c>
      <c r="V334" s="19">
        <f t="shared" ca="1" si="104"/>
        <v>0</v>
      </c>
      <c r="W334" s="82">
        <f t="shared" ca="1" si="105"/>
        <v>2429.5261501736113</v>
      </c>
      <c r="X334" s="19">
        <f t="shared" ca="1" si="106"/>
        <v>0</v>
      </c>
      <c r="Y334" s="19">
        <f t="shared" si="107"/>
        <v>0</v>
      </c>
      <c r="Z334" s="82">
        <f t="shared" ca="1" si="108"/>
        <v>2429.5261501736113</v>
      </c>
      <c r="AA334" s="19">
        <f t="shared" ca="1" si="109"/>
        <v>0</v>
      </c>
      <c r="AE334" s="19"/>
    </row>
    <row r="335" spans="1:31" ht="12.75" customHeight="1" x14ac:dyDescent="0.2">
      <c r="A335">
        <v>2</v>
      </c>
      <c r="B335">
        <v>1</v>
      </c>
      <c r="C335">
        <f t="shared" ca="1" si="88"/>
        <v>5</v>
      </c>
      <c r="D335">
        <f t="shared" ca="1" si="89"/>
        <v>4</v>
      </c>
      <c r="E335">
        <f t="shared" ca="1" si="90"/>
        <v>2</v>
      </c>
      <c r="F335" s="61">
        <f t="shared" ca="1" si="91"/>
        <v>3.9085322977689602E-2</v>
      </c>
      <c r="G335">
        <v>0</v>
      </c>
      <c r="H335">
        <v>0</v>
      </c>
      <c r="I335">
        <v>4</v>
      </c>
      <c r="J335" s="61">
        <f t="shared" ca="1" si="92"/>
        <v>4.0725312499999999E-2</v>
      </c>
      <c r="K335" s="61">
        <f t="shared" ca="1" si="93"/>
        <v>1.5917619924298396E-3</v>
      </c>
      <c r="L335" s="82">
        <f t="shared" ca="1" si="94"/>
        <v>44</v>
      </c>
      <c r="M335" s="16">
        <f t="shared" ca="1" si="95"/>
        <v>956</v>
      </c>
      <c r="N335" s="3">
        <f t="shared" ca="1" si="96"/>
        <v>6</v>
      </c>
      <c r="O335" s="19">
        <f t="shared" ca="1" si="97"/>
        <v>3.3239268932937667</v>
      </c>
      <c r="P335" s="19">
        <f t="shared" ca="1" si="98"/>
        <v>33.239268932937669</v>
      </c>
      <c r="Q335" s="19">
        <f t="shared" ca="1" si="99"/>
        <v>28.178718937399587</v>
      </c>
      <c r="R335" s="19">
        <f t="shared" ca="1" si="100"/>
        <v>3.0708993935168629</v>
      </c>
      <c r="S335" s="19">
        <f t="shared" ca="1" si="101"/>
        <v>3.3239268932937667</v>
      </c>
      <c r="T335" s="19">
        <f t="shared" ca="1" si="102"/>
        <v>5.2909004943604131E-3</v>
      </c>
      <c r="U335" s="19">
        <f t="shared" ca="1" si="103"/>
        <v>1495.4024523027438</v>
      </c>
      <c r="V335" s="19">
        <f t="shared" ca="1" si="104"/>
        <v>2.3803247869618835</v>
      </c>
      <c r="W335" s="82">
        <f t="shared" ca="1" si="105"/>
        <v>1943.620920138889</v>
      </c>
      <c r="X335" s="19">
        <f t="shared" ca="1" si="106"/>
        <v>3.0937819083685962</v>
      </c>
      <c r="Y335" s="19">
        <f t="shared" si="107"/>
        <v>0</v>
      </c>
      <c r="Z335" s="82">
        <f t="shared" ca="1" si="108"/>
        <v>1943.620920138889</v>
      </c>
      <c r="AA335" s="19">
        <f t="shared" ca="1" si="109"/>
        <v>3.0937819083685962</v>
      </c>
      <c r="AE335" s="19"/>
    </row>
    <row r="336" spans="1:31" ht="12.75" customHeight="1" x14ac:dyDescent="0.2">
      <c r="A336">
        <v>2</v>
      </c>
      <c r="B336">
        <v>1</v>
      </c>
      <c r="C336">
        <f t="shared" ca="1" si="88"/>
        <v>5</v>
      </c>
      <c r="D336">
        <f t="shared" ca="1" si="89"/>
        <v>4</v>
      </c>
      <c r="E336">
        <f t="shared" ca="1" si="90"/>
        <v>2</v>
      </c>
      <c r="F336" s="61">
        <f t="shared" ca="1" si="91"/>
        <v>3.9085322977689602E-2</v>
      </c>
      <c r="G336">
        <v>0</v>
      </c>
      <c r="H336">
        <v>0</v>
      </c>
      <c r="I336">
        <v>3</v>
      </c>
      <c r="J336" s="61">
        <f t="shared" ca="1" si="92"/>
        <v>8.5737500000000067E-3</v>
      </c>
      <c r="K336" s="61">
        <f t="shared" ca="1" si="93"/>
        <v>3.3510778787996647E-4</v>
      </c>
      <c r="L336" s="82">
        <f t="shared" ca="1" si="94"/>
        <v>33</v>
      </c>
      <c r="M336" s="16">
        <f t="shared" ca="1" si="95"/>
        <v>967</v>
      </c>
      <c r="N336" s="3">
        <f t="shared" ca="1" si="96"/>
        <v>6</v>
      </c>
      <c r="O336" s="19">
        <f t="shared" ca="1" si="97"/>
        <v>3.3239268932937667</v>
      </c>
      <c r="P336" s="19">
        <f t="shared" ca="1" si="98"/>
        <v>33.239268932937669</v>
      </c>
      <c r="Q336" s="19">
        <f t="shared" ca="1" si="99"/>
        <v>33.239268932937669</v>
      </c>
      <c r="R336" s="19">
        <f t="shared" ca="1" si="100"/>
        <v>3.3239268932937671</v>
      </c>
      <c r="S336" s="19">
        <f t="shared" ca="1" si="101"/>
        <v>3.3239268932937667</v>
      </c>
      <c r="T336" s="19">
        <f t="shared" ca="1" si="102"/>
        <v>1.1138737882864034E-3</v>
      </c>
      <c r="U336" s="19">
        <f t="shared" ca="1" si="103"/>
        <v>1484.4024523027438</v>
      </c>
      <c r="V336" s="19">
        <f t="shared" ca="1" si="104"/>
        <v>0.49743482211476991</v>
      </c>
      <c r="W336" s="82">
        <f t="shared" ca="1" si="105"/>
        <v>1457.7156901041667</v>
      </c>
      <c r="X336" s="19">
        <f t="shared" ca="1" si="106"/>
        <v>0.48849188026872603</v>
      </c>
      <c r="Y336" s="19">
        <f t="shared" si="107"/>
        <v>0</v>
      </c>
      <c r="Z336" s="82">
        <f t="shared" ca="1" si="108"/>
        <v>1457.7156901041667</v>
      </c>
      <c r="AA336" s="19">
        <f t="shared" ca="1" si="109"/>
        <v>0.48849188026872603</v>
      </c>
      <c r="AE336" s="19"/>
    </row>
    <row r="337" spans="1:31" ht="12.75" customHeight="1" x14ac:dyDescent="0.2">
      <c r="A337">
        <v>2</v>
      </c>
      <c r="B337">
        <v>1</v>
      </c>
      <c r="C337">
        <f t="shared" ca="1" si="88"/>
        <v>5</v>
      </c>
      <c r="D337">
        <f t="shared" ca="1" si="89"/>
        <v>4</v>
      </c>
      <c r="E337">
        <f t="shared" ca="1" si="90"/>
        <v>2</v>
      </c>
      <c r="F337" s="61">
        <f t="shared" ca="1" si="91"/>
        <v>3.9085322977689602E-2</v>
      </c>
      <c r="G337">
        <v>0</v>
      </c>
      <c r="H337">
        <v>0</v>
      </c>
      <c r="I337">
        <v>2</v>
      </c>
      <c r="J337" s="61">
        <f t="shared" ca="1" si="92"/>
        <v>6.7687500000000126E-4</v>
      </c>
      <c r="K337" s="61">
        <f t="shared" ca="1" si="93"/>
        <v>2.6455877990523699E-5</v>
      </c>
      <c r="L337" s="82">
        <f t="shared" ca="1" si="94"/>
        <v>22</v>
      </c>
      <c r="M337" s="16">
        <f t="shared" ca="1" si="95"/>
        <v>978</v>
      </c>
      <c r="N337" s="3">
        <f t="shared" ca="1" si="96"/>
        <v>6</v>
      </c>
      <c r="O337" s="19">
        <f t="shared" ca="1" si="97"/>
        <v>3.3239268932937667</v>
      </c>
      <c r="P337" s="19">
        <f t="shared" ca="1" si="98"/>
        <v>33.239268932937669</v>
      </c>
      <c r="Q337" s="19">
        <f t="shared" ca="1" si="99"/>
        <v>33.239268932937669</v>
      </c>
      <c r="R337" s="19">
        <f t="shared" ca="1" si="100"/>
        <v>3.3239268932937671</v>
      </c>
      <c r="S337" s="19">
        <f t="shared" ca="1" si="101"/>
        <v>3.3239268932937667</v>
      </c>
      <c r="T337" s="19">
        <f t="shared" ca="1" si="102"/>
        <v>8.7937404338400376E-5</v>
      </c>
      <c r="U337" s="19">
        <f t="shared" ca="1" si="103"/>
        <v>1473.4024523027438</v>
      </c>
      <c r="V337" s="19">
        <f t="shared" ca="1" si="104"/>
        <v>3.8980155509059804E-2</v>
      </c>
      <c r="W337" s="82">
        <f t="shared" ca="1" si="105"/>
        <v>971.8104600694445</v>
      </c>
      <c r="X337" s="19">
        <f t="shared" ca="1" si="106"/>
        <v>2.5710098961511926E-2</v>
      </c>
      <c r="Y337" s="19">
        <f t="shared" si="107"/>
        <v>0</v>
      </c>
      <c r="Z337" s="82">
        <f t="shared" ca="1" si="108"/>
        <v>971.8104600694445</v>
      </c>
      <c r="AA337" s="19">
        <f t="shared" ca="1" si="109"/>
        <v>2.5710098961511926E-2</v>
      </c>
      <c r="AE337" s="19"/>
    </row>
    <row r="338" spans="1:31" ht="12.75" customHeight="1" x14ac:dyDescent="0.2">
      <c r="A338">
        <v>2</v>
      </c>
      <c r="B338">
        <v>1</v>
      </c>
      <c r="C338">
        <f t="shared" ca="1" si="88"/>
        <v>5</v>
      </c>
      <c r="D338">
        <f t="shared" ca="1" si="89"/>
        <v>4</v>
      </c>
      <c r="E338">
        <f t="shared" ca="1" si="90"/>
        <v>2</v>
      </c>
      <c r="F338" s="61">
        <f t="shared" ca="1" si="91"/>
        <v>3.9085322977689602E-2</v>
      </c>
      <c r="G338">
        <v>0</v>
      </c>
      <c r="H338">
        <v>0</v>
      </c>
      <c r="I338">
        <v>1</v>
      </c>
      <c r="J338" s="61">
        <f t="shared" ca="1" si="92"/>
        <v>2.3750000000000062E-5</v>
      </c>
      <c r="K338" s="61">
        <f t="shared" ca="1" si="93"/>
        <v>9.2827642072013045E-7</v>
      </c>
      <c r="L338" s="82">
        <f t="shared" ca="1" si="94"/>
        <v>11</v>
      </c>
      <c r="M338" s="16">
        <f t="shared" ca="1" si="95"/>
        <v>989</v>
      </c>
      <c r="N338" s="3">
        <f t="shared" ca="1" si="96"/>
        <v>6</v>
      </c>
      <c r="O338" s="19">
        <f t="shared" ca="1" si="97"/>
        <v>3.3239268932937667</v>
      </c>
      <c r="P338" s="19">
        <f t="shared" ca="1" si="98"/>
        <v>33.239268932937669</v>
      </c>
      <c r="Q338" s="19">
        <f t="shared" ca="1" si="99"/>
        <v>33.239268932937669</v>
      </c>
      <c r="R338" s="19">
        <f t="shared" ca="1" si="100"/>
        <v>3.3239268932937671</v>
      </c>
      <c r="S338" s="19">
        <f t="shared" ca="1" si="101"/>
        <v>3.3239268932937667</v>
      </c>
      <c r="T338" s="19">
        <f t="shared" ca="1" si="102"/>
        <v>3.0855229592421209E-6</v>
      </c>
      <c r="U338" s="19">
        <f t="shared" ca="1" si="103"/>
        <v>1462.4024523027438</v>
      </c>
      <c r="V338" s="19">
        <f t="shared" ca="1" si="104"/>
        <v>1.3575137140759324E-3</v>
      </c>
      <c r="W338" s="82">
        <f t="shared" ca="1" si="105"/>
        <v>485.90523003472225</v>
      </c>
      <c r="X338" s="19">
        <f t="shared" ca="1" si="106"/>
        <v>4.5105436774582359E-4</v>
      </c>
      <c r="Y338" s="19">
        <f t="shared" si="107"/>
        <v>0</v>
      </c>
      <c r="Z338" s="82">
        <f t="shared" ca="1" si="108"/>
        <v>485.90523003472225</v>
      </c>
      <c r="AA338" s="19">
        <f t="shared" ca="1" si="109"/>
        <v>4.5105436774582359E-4</v>
      </c>
      <c r="AE338" s="19"/>
    </row>
    <row r="339" spans="1:31" ht="12.75" customHeight="1" x14ac:dyDescent="0.2">
      <c r="A339">
        <v>2</v>
      </c>
      <c r="B339">
        <v>1</v>
      </c>
      <c r="C339">
        <f t="shared" ca="1" si="88"/>
        <v>5</v>
      </c>
      <c r="D339">
        <f t="shared" ca="1" si="89"/>
        <v>4</v>
      </c>
      <c r="E339">
        <f t="shared" ca="1" si="90"/>
        <v>2</v>
      </c>
      <c r="F339" s="61">
        <f t="shared" ca="1" si="91"/>
        <v>3.9085322977689602E-2</v>
      </c>
      <c r="G339">
        <v>0</v>
      </c>
      <c r="H339">
        <v>0</v>
      </c>
      <c r="I339">
        <v>0</v>
      </c>
      <c r="J339" s="61">
        <f t="shared" ca="1" si="92"/>
        <v>3.1250000000000114E-7</v>
      </c>
      <c r="K339" s="61">
        <f t="shared" ca="1" si="93"/>
        <v>1.2214163430528045E-8</v>
      </c>
      <c r="L339" s="82">
        <f t="shared" ca="1" si="94"/>
        <v>0</v>
      </c>
      <c r="M339" s="16">
        <f t="shared" ca="1" si="95"/>
        <v>1000</v>
      </c>
      <c r="N339" s="3">
        <f t="shared" ca="1" si="96"/>
        <v>6</v>
      </c>
      <c r="O339" s="19">
        <f t="shared" ca="1" si="97"/>
        <v>3.3239268932937667</v>
      </c>
      <c r="P339" s="19">
        <f t="shared" ca="1" si="98"/>
        <v>33.239268932937669</v>
      </c>
      <c r="Q339" s="19">
        <f t="shared" ca="1" si="99"/>
        <v>33.239268932937669</v>
      </c>
      <c r="R339" s="19">
        <f t="shared" ca="1" si="100"/>
        <v>3.3239268932937671</v>
      </c>
      <c r="S339" s="19">
        <f t="shared" ca="1" si="101"/>
        <v>3.3239268932937667</v>
      </c>
      <c r="T339" s="19">
        <f t="shared" ca="1" si="102"/>
        <v>4.0598986305817421E-8</v>
      </c>
      <c r="U339" s="19">
        <f t="shared" ca="1" si="103"/>
        <v>1451.4024523027438</v>
      </c>
      <c r="V339" s="19">
        <f t="shared" ca="1" si="104"/>
        <v>1.7727666755894899E-5</v>
      </c>
      <c r="W339" s="82">
        <f t="shared" ca="1" si="105"/>
        <v>0</v>
      </c>
      <c r="X339" s="19">
        <f t="shared" ca="1" si="106"/>
        <v>0</v>
      </c>
      <c r="Y339" s="19">
        <f t="shared" si="107"/>
        <v>0</v>
      </c>
      <c r="Z339" s="82">
        <f t="shared" ca="1" si="108"/>
        <v>0</v>
      </c>
      <c r="AA339" s="19">
        <f t="shared" ca="1" si="109"/>
        <v>0</v>
      </c>
      <c r="AE339" s="19"/>
    </row>
    <row r="340" spans="1:31" ht="12.75" customHeight="1" x14ac:dyDescent="0.2">
      <c r="A340">
        <v>2</v>
      </c>
      <c r="B340">
        <v>2</v>
      </c>
      <c r="C340">
        <f t="shared" ref="C340:C403" ca="1" si="110">MIN(8, 1+$B$10+$B$9+A340+B340)</f>
        <v>6</v>
      </c>
      <c r="D340">
        <f t="shared" ref="D340:D403" ca="1" si="111">C340-(1+$B$10)</f>
        <v>5</v>
      </c>
      <c r="E340">
        <f t="shared" ref="E340:E403" ca="1" si="112">MIN(A340, C340-(1+$B$10+$B$9))</f>
        <v>2</v>
      </c>
      <c r="F340" s="61">
        <f t="shared" ref="F340:F403" ca="1" si="113">IF(A340=3, Set1QA, IF(A340=2, (1-Set1QA)*Set1TA + (1-Set1QA)*(1-Set1TA)*(1-Set1DA)*Set1AM3*Set1AM33, IF(A340=1, (1-Set1QA)*(1-Set1TA)*Set1DA + (1-Set1QA)*(1-Set1TA)*(1-Set1DA)*Set1AM3*Set1AM32, (1-Set1QA)*(1-Set1TA)*(1-Set1DA)*(1-Set1AM3)))) * IF($B$9+$B$10&gt;0, IF(B340=3, Set1QA, IF(B340=2, (1-Set1QA)*Set1TA, IF(B340=1, (1-Set1QA)*(1-Set1TA)*Set1DA, (1-Set1QA)*(1-Set1TA)*(1-Set1DA)))), IF(B340=0, 1, 0))</f>
        <v>7.0806744524800009E-3</v>
      </c>
      <c r="G340">
        <v>1</v>
      </c>
      <c r="H340">
        <v>1</v>
      </c>
      <c r="I340">
        <v>7</v>
      </c>
      <c r="J340" s="61">
        <f t="shared" ref="J340:J403" ca="1" si="114">POWER(95%,G340)*POWER(5%, 1-G340) * IF($B$10=0, IF(H340=0, 1, 0), POWER(Set1WSHitRate,H340)*POWER(1-Set1WSHitRate, 1-H340)) * IF(I340&lt;=D340, POWER(Set1WSHitRate, I340)*POWER(1-Set1WSHitRate, D340-I340)*COMBIN(D340,I340), 0)</f>
        <v>0</v>
      </c>
      <c r="K340" s="61">
        <f t="shared" ref="K340:K403" ca="1" si="115">F340*J340</f>
        <v>0</v>
      </c>
      <c r="L340" s="82">
        <f t="shared" ref="L340:L403" ca="1" si="116">MAX((G340+H340)*Set1WSTP + I340*$B$6, Set1SaveTP)</f>
        <v>399</v>
      </c>
      <c r="M340" s="16">
        <f t="shared" ref="M340:M403" ca="1" si="117">MAX(Set1MinTP-(L340+Set1Regain), 0)</f>
        <v>601</v>
      </c>
      <c r="N340" s="3">
        <f t="shared" ref="N340:N403" ca="1" si="118">CEILING(M340/Set1MeleeTP, 1)</f>
        <v>4</v>
      </c>
      <c r="O340" s="19">
        <f t="shared" ref="O340:O403" ca="1" si="119">VLOOKUP(N340,AvgRoundsSet1,2)</f>
        <v>2.3453053758100548</v>
      </c>
      <c r="P340" s="19">
        <f t="shared" ref="P340:P403" ca="1" si="120">VLOOKUP(CEILING(MAX(M340-1, 0)/Set1MeleeTP, 1), AvgRoundsSet1, 2) + VLOOKUP(CEILING(MAX(M340-2, 0)/Set1MeleeTP, 1), AvgRoundsSet1, 2) + VLOOKUP(CEILING(MAX(M340-3, 0)/Set1MeleeTP, 1), AvgRoundsSet1, 2) + VLOOKUP(CEILING(MAX(M340-4, 0)/Set1MeleeTP, 1), AvgRoundsSet1, 2) + VLOOKUP(CEILING(MAX(M340-5, 0)/Set1MeleeTP, 1), AvgRoundsSet1, 2) + VLOOKUP(CEILING(MAX(M340-6, 0)/Set1MeleeTP, 1), AvgRoundsSet1, 2) + VLOOKUP(CEILING(MAX(M340-7, 0)/Set1MeleeTP, 1), AvgRoundsSet1, 2) + VLOOKUP(CEILING(MAX(M340-8, 0)/Set1MeleeTP, 1), AvgRoundsSet1, 2) + VLOOKUP(CEILING(MAX(M340-9, 0)/Set1MeleeTP, 1), AvgRoundsSet1, 2) + VLOOKUP(CEILING(MAX(M340-10, 0)/Set1MeleeTP, 1), AvgRoundsSet1, 2)</f>
        <v>23.453053758100552</v>
      </c>
      <c r="Q340" s="19">
        <f t="shared" ref="Q340:Q403" ca="1" si="121">VLOOKUP(CEILING(MAX(M340-11, 0)/Set1MeleeTP, 1), AvgRoundsSet1, 2) + VLOOKUP(CEILING(MAX(M340-12, 0)/Set1MeleeTP, 1), AvgRoundsSet1, 2) + VLOOKUP(CEILING(MAX(M340-13, 0)/Set1MeleeTP, 1), AvgRoundsSet1, 2) + VLOOKUP(CEILING(MAX(M340-14, 0)/Set1MeleeTP, 1), AvgRoundsSet1, 2) + VLOOKUP(CEILING(MAX(M340-15, 0)/Set1MeleeTP, 1), AvgRoundsSet1, 2) + VLOOKUP(CEILING(MAX(M340-16, 0)/Set1MeleeTP, 1), AvgRoundsSet1, 2) + VLOOKUP(CEILING(MAX(M340-17, 0)/Set1MeleeTP, 1), AvgRoundsSet1, 2) + VLOOKUP(CEILING(MAX(M340-18, 0)/Set1MeleeTP, 1), AvgRoundsSet1, 2) + VLOOKUP(CEILING(MAX(M340-19, 0)/Set1MeleeTP, 1), AvgRoundsSet1, 2) + VLOOKUP(CEILING(MAX(M340-20, 0)/Set1MeleeTP, 1), AvgRoundsSet1, 2)</f>
        <v>23.453053758100552</v>
      </c>
      <c r="R340" s="19">
        <f t="shared" ref="R340:R403" ca="1" si="122">(P340+Q340)/20</f>
        <v>2.3453053758100553</v>
      </c>
      <c r="S340" s="19">
        <f t="shared" ref="S340:S403" ca="1" si="123">R340*Set1ConserveTP + O340*(1-Set1ConserveTP)</f>
        <v>2.3453053758100548</v>
      </c>
      <c r="T340" s="19">
        <f t="shared" ref="T340:T403" ca="1" si="124">K340*S340</f>
        <v>0</v>
      </c>
      <c r="U340" s="19">
        <f t="shared" ref="U340:U403" ca="1" si="125">MIN(L340+(S340+Set1OverTP)*AvgHitsPerRound1*Set1MeleeTP + Set1Regain + 10.5*Set1ConserveTP, 3000)</f>
        <v>1478.9587218163997</v>
      </c>
      <c r="V340" s="19">
        <f t="shared" ref="V340:V403" ca="1" si="126">U340*K340</f>
        <v>0</v>
      </c>
      <c r="W340" s="82">
        <f t="shared" ref="W340:W403" ca="1" si="127">G340*$K$12*((1-$L$12)*$L$16 + $L$12*$M$16*$M$12)+ H340*$K$15*((1-$L$15)*$L$17 + $L$15*$M$17*$M$13) + I340*$K$13*((1-$L$13)*$L$16 + $L$13*$M$16*$M$13) + E340*$K$14*$L$14*$M$12</f>
        <v>5718.7981307870377</v>
      </c>
      <c r="X340" s="19">
        <f t="shared" ref="X340:X403" ca="1" si="128">K340*W340</f>
        <v>0</v>
      </c>
      <c r="Y340" s="19">
        <f t="shared" ref="Y340:Y403" si="129">IF($B$12=1, (VLOOKUP(C340, IF($B$13=10%,Souleater10,Souleater12), 6, 0) * $B$14), 0)</f>
        <v>0</v>
      </c>
      <c r="Z340" s="82">
        <f t="shared" ref="Z340:Z403" ca="1" si="130">Y340+W340</f>
        <v>5718.7981307870377</v>
      </c>
      <c r="AA340" s="19">
        <f t="shared" ref="AA340:AA403" ca="1" si="131">Z340*K340</f>
        <v>0</v>
      </c>
      <c r="AE340" s="19"/>
    </row>
    <row r="341" spans="1:31" ht="12.75" customHeight="1" x14ac:dyDescent="0.2">
      <c r="A341">
        <v>2</v>
      </c>
      <c r="B341">
        <v>2</v>
      </c>
      <c r="C341">
        <f t="shared" ca="1" si="110"/>
        <v>6</v>
      </c>
      <c r="D341">
        <f t="shared" ca="1" si="111"/>
        <v>5</v>
      </c>
      <c r="E341">
        <f t="shared" ca="1" si="112"/>
        <v>2</v>
      </c>
      <c r="F341" s="61">
        <f t="shared" ca="1" si="113"/>
        <v>7.0806744524800009E-3</v>
      </c>
      <c r="G341">
        <v>1</v>
      </c>
      <c r="H341">
        <v>1</v>
      </c>
      <c r="I341">
        <v>6</v>
      </c>
      <c r="J341" s="61">
        <f t="shared" ca="1" si="114"/>
        <v>0</v>
      </c>
      <c r="K341" s="61">
        <f t="shared" ca="1" si="115"/>
        <v>0</v>
      </c>
      <c r="L341" s="82">
        <f t="shared" ca="1" si="116"/>
        <v>388</v>
      </c>
      <c r="M341" s="16">
        <f t="shared" ca="1" si="117"/>
        <v>612</v>
      </c>
      <c r="N341" s="3">
        <f t="shared" ca="1" si="118"/>
        <v>4</v>
      </c>
      <c r="O341" s="19">
        <f t="shared" ca="1" si="119"/>
        <v>2.3453053758100548</v>
      </c>
      <c r="P341" s="19">
        <f t="shared" ca="1" si="120"/>
        <v>23.453053758100552</v>
      </c>
      <c r="Q341" s="19">
        <f t="shared" ca="1" si="121"/>
        <v>23.453053758100552</v>
      </c>
      <c r="R341" s="19">
        <f t="shared" ca="1" si="122"/>
        <v>2.3453053758100553</v>
      </c>
      <c r="S341" s="19">
        <f t="shared" ca="1" si="123"/>
        <v>2.3453053758100548</v>
      </c>
      <c r="T341" s="19">
        <f t="shared" ca="1" si="124"/>
        <v>0</v>
      </c>
      <c r="U341" s="19">
        <f t="shared" ca="1" si="125"/>
        <v>1467.9587218163997</v>
      </c>
      <c r="V341" s="19">
        <f t="shared" ca="1" si="126"/>
        <v>0</v>
      </c>
      <c r="W341" s="82">
        <f t="shared" ca="1" si="127"/>
        <v>5232.8929007523147</v>
      </c>
      <c r="X341" s="19">
        <f t="shared" ca="1" si="128"/>
        <v>0</v>
      </c>
      <c r="Y341" s="19">
        <f t="shared" si="129"/>
        <v>0</v>
      </c>
      <c r="Z341" s="82">
        <f t="shared" ca="1" si="130"/>
        <v>5232.8929007523147</v>
      </c>
      <c r="AA341" s="19">
        <f t="shared" ca="1" si="131"/>
        <v>0</v>
      </c>
      <c r="AE341" s="19"/>
    </row>
    <row r="342" spans="1:31" ht="12.75" customHeight="1" x14ac:dyDescent="0.2">
      <c r="A342">
        <v>2</v>
      </c>
      <c r="B342">
        <v>2</v>
      </c>
      <c r="C342">
        <f t="shared" ca="1" si="110"/>
        <v>6</v>
      </c>
      <c r="D342">
        <f t="shared" ca="1" si="111"/>
        <v>5</v>
      </c>
      <c r="E342">
        <f t="shared" ca="1" si="112"/>
        <v>2</v>
      </c>
      <c r="F342" s="61">
        <f t="shared" ca="1" si="113"/>
        <v>7.0806744524800009E-3</v>
      </c>
      <c r="G342">
        <v>1</v>
      </c>
      <c r="H342">
        <v>1</v>
      </c>
      <c r="I342">
        <v>5</v>
      </c>
      <c r="J342" s="61">
        <f t="shared" ca="1" si="114"/>
        <v>0</v>
      </c>
      <c r="K342" s="61">
        <f t="shared" ca="1" si="115"/>
        <v>0</v>
      </c>
      <c r="L342" s="82">
        <f t="shared" ca="1" si="116"/>
        <v>377</v>
      </c>
      <c r="M342" s="16">
        <f t="shared" ca="1" si="117"/>
        <v>623</v>
      </c>
      <c r="N342" s="3">
        <f t="shared" ca="1" si="118"/>
        <v>4</v>
      </c>
      <c r="O342" s="19">
        <f t="shared" ca="1" si="119"/>
        <v>2.3453053758100548</v>
      </c>
      <c r="P342" s="19">
        <f t="shared" ca="1" si="120"/>
        <v>23.453053758100552</v>
      </c>
      <c r="Q342" s="19">
        <f t="shared" ca="1" si="121"/>
        <v>23.453053758100552</v>
      </c>
      <c r="R342" s="19">
        <f t="shared" ca="1" si="122"/>
        <v>2.3453053758100553</v>
      </c>
      <c r="S342" s="19">
        <f t="shared" ca="1" si="123"/>
        <v>2.3453053758100548</v>
      </c>
      <c r="T342" s="19">
        <f t="shared" ca="1" si="124"/>
        <v>0</v>
      </c>
      <c r="U342" s="19">
        <f t="shared" ca="1" si="125"/>
        <v>1456.9587218163997</v>
      </c>
      <c r="V342" s="19">
        <f t="shared" ca="1" si="126"/>
        <v>0</v>
      </c>
      <c r="W342" s="82">
        <f t="shared" ca="1" si="127"/>
        <v>4746.9876707175936</v>
      </c>
      <c r="X342" s="19">
        <f t="shared" ca="1" si="128"/>
        <v>0</v>
      </c>
      <c r="Y342" s="19">
        <f t="shared" si="129"/>
        <v>0</v>
      </c>
      <c r="Z342" s="82">
        <f t="shared" ca="1" si="130"/>
        <v>4746.9876707175936</v>
      </c>
      <c r="AA342" s="19">
        <f t="shared" ca="1" si="131"/>
        <v>0</v>
      </c>
      <c r="AE342" s="19"/>
    </row>
    <row r="343" spans="1:31" ht="12.75" customHeight="1" x14ac:dyDescent="0.2">
      <c r="A343">
        <v>2</v>
      </c>
      <c r="B343">
        <v>2</v>
      </c>
      <c r="C343">
        <f t="shared" ca="1" si="110"/>
        <v>6</v>
      </c>
      <c r="D343">
        <f t="shared" ca="1" si="111"/>
        <v>5</v>
      </c>
      <c r="E343">
        <f t="shared" ca="1" si="112"/>
        <v>2</v>
      </c>
      <c r="F343" s="61">
        <f t="shared" ca="1" si="113"/>
        <v>7.0806744524800009E-3</v>
      </c>
      <c r="G343">
        <v>1</v>
      </c>
      <c r="H343">
        <v>1</v>
      </c>
      <c r="I343">
        <v>4</v>
      </c>
      <c r="J343" s="61">
        <f t="shared" ca="1" si="114"/>
        <v>0</v>
      </c>
      <c r="K343" s="61">
        <f t="shared" ca="1" si="115"/>
        <v>0</v>
      </c>
      <c r="L343" s="82">
        <f t="shared" ca="1" si="116"/>
        <v>366</v>
      </c>
      <c r="M343" s="16">
        <f t="shared" ca="1" si="117"/>
        <v>634</v>
      </c>
      <c r="N343" s="3">
        <f t="shared" ca="1" si="118"/>
        <v>4</v>
      </c>
      <c r="O343" s="19">
        <f t="shared" ca="1" si="119"/>
        <v>2.3453053758100548</v>
      </c>
      <c r="P343" s="19">
        <f t="shared" ca="1" si="120"/>
        <v>23.453053758100552</v>
      </c>
      <c r="Q343" s="19">
        <f t="shared" ca="1" si="121"/>
        <v>23.453053758100552</v>
      </c>
      <c r="R343" s="19">
        <f t="shared" ca="1" si="122"/>
        <v>2.3453053758100553</v>
      </c>
      <c r="S343" s="19">
        <f t="shared" ca="1" si="123"/>
        <v>2.3453053758100548</v>
      </c>
      <c r="T343" s="19">
        <f t="shared" ca="1" si="124"/>
        <v>0</v>
      </c>
      <c r="U343" s="19">
        <f t="shared" ca="1" si="125"/>
        <v>1445.9587218163997</v>
      </c>
      <c r="V343" s="19">
        <f t="shared" ca="1" si="126"/>
        <v>0</v>
      </c>
      <c r="W343" s="82">
        <f t="shared" ca="1" si="127"/>
        <v>4261.0824406828706</v>
      </c>
      <c r="X343" s="19">
        <f t="shared" ca="1" si="128"/>
        <v>0</v>
      </c>
      <c r="Y343" s="19">
        <f t="shared" si="129"/>
        <v>0</v>
      </c>
      <c r="Z343" s="82">
        <f t="shared" ca="1" si="130"/>
        <v>4261.0824406828706</v>
      </c>
      <c r="AA343" s="19">
        <f t="shared" ca="1" si="131"/>
        <v>0</v>
      </c>
      <c r="AE343" s="19"/>
    </row>
    <row r="344" spans="1:31" ht="12.75" customHeight="1" x14ac:dyDescent="0.2">
      <c r="A344">
        <v>2</v>
      </c>
      <c r="B344">
        <v>2</v>
      </c>
      <c r="C344">
        <f t="shared" ca="1" si="110"/>
        <v>6</v>
      </c>
      <c r="D344">
        <f t="shared" ca="1" si="111"/>
        <v>5</v>
      </c>
      <c r="E344">
        <f t="shared" ca="1" si="112"/>
        <v>2</v>
      </c>
      <c r="F344" s="61">
        <f t="shared" ca="1" si="113"/>
        <v>7.0806744524800009E-3</v>
      </c>
      <c r="G344">
        <v>1</v>
      </c>
      <c r="H344">
        <v>1</v>
      </c>
      <c r="I344">
        <v>3</v>
      </c>
      <c r="J344" s="61">
        <f t="shared" ca="1" si="114"/>
        <v>0</v>
      </c>
      <c r="K344" s="61">
        <f t="shared" ca="1" si="115"/>
        <v>0</v>
      </c>
      <c r="L344" s="82">
        <f t="shared" ca="1" si="116"/>
        <v>355</v>
      </c>
      <c r="M344" s="16">
        <f t="shared" ca="1" si="117"/>
        <v>645</v>
      </c>
      <c r="N344" s="3">
        <f t="shared" ca="1" si="118"/>
        <v>4</v>
      </c>
      <c r="O344" s="19">
        <f t="shared" ca="1" si="119"/>
        <v>2.3453053758100548</v>
      </c>
      <c r="P344" s="19">
        <f t="shared" ca="1" si="120"/>
        <v>23.453053758100552</v>
      </c>
      <c r="Q344" s="19">
        <f t="shared" ca="1" si="121"/>
        <v>23.453053758100552</v>
      </c>
      <c r="R344" s="19">
        <f t="shared" ca="1" si="122"/>
        <v>2.3453053758100553</v>
      </c>
      <c r="S344" s="19">
        <f t="shared" ca="1" si="123"/>
        <v>2.3453053758100548</v>
      </c>
      <c r="T344" s="19">
        <f t="shared" ca="1" si="124"/>
        <v>0</v>
      </c>
      <c r="U344" s="19">
        <f t="shared" ca="1" si="125"/>
        <v>1434.9587218163997</v>
      </c>
      <c r="V344" s="19">
        <f t="shared" ca="1" si="126"/>
        <v>0</v>
      </c>
      <c r="W344" s="82">
        <f t="shared" ca="1" si="127"/>
        <v>3775.1772106481485</v>
      </c>
      <c r="X344" s="19">
        <f t="shared" ca="1" si="128"/>
        <v>0</v>
      </c>
      <c r="Y344" s="19">
        <f t="shared" si="129"/>
        <v>0</v>
      </c>
      <c r="Z344" s="82">
        <f t="shared" ca="1" si="130"/>
        <v>3775.1772106481485</v>
      </c>
      <c r="AA344" s="19">
        <f t="shared" ca="1" si="131"/>
        <v>0</v>
      </c>
      <c r="AE344" s="19"/>
    </row>
    <row r="345" spans="1:31" ht="12.75" customHeight="1" x14ac:dyDescent="0.2">
      <c r="A345">
        <v>2</v>
      </c>
      <c r="B345">
        <v>2</v>
      </c>
      <c r="C345">
        <f t="shared" ca="1" si="110"/>
        <v>6</v>
      </c>
      <c r="D345">
        <f t="shared" ca="1" si="111"/>
        <v>5</v>
      </c>
      <c r="E345">
        <f t="shared" ca="1" si="112"/>
        <v>2</v>
      </c>
      <c r="F345" s="61">
        <f t="shared" ca="1" si="113"/>
        <v>7.0806744524800009E-3</v>
      </c>
      <c r="G345">
        <v>1</v>
      </c>
      <c r="H345">
        <v>1</v>
      </c>
      <c r="I345">
        <v>2</v>
      </c>
      <c r="J345" s="61">
        <f t="shared" ca="1" si="114"/>
        <v>0</v>
      </c>
      <c r="K345" s="61">
        <f t="shared" ca="1" si="115"/>
        <v>0</v>
      </c>
      <c r="L345" s="82">
        <f t="shared" ca="1" si="116"/>
        <v>344</v>
      </c>
      <c r="M345" s="16">
        <f t="shared" ca="1" si="117"/>
        <v>656</v>
      </c>
      <c r="N345" s="3">
        <f t="shared" ca="1" si="118"/>
        <v>4</v>
      </c>
      <c r="O345" s="19">
        <f t="shared" ca="1" si="119"/>
        <v>2.3453053758100548</v>
      </c>
      <c r="P345" s="19">
        <f t="shared" ca="1" si="120"/>
        <v>23.453053758100552</v>
      </c>
      <c r="Q345" s="19">
        <f t="shared" ca="1" si="121"/>
        <v>23.453053758100552</v>
      </c>
      <c r="R345" s="19">
        <f t="shared" ca="1" si="122"/>
        <v>2.3453053758100553</v>
      </c>
      <c r="S345" s="19">
        <f t="shared" ca="1" si="123"/>
        <v>2.3453053758100548</v>
      </c>
      <c r="T345" s="19">
        <f t="shared" ca="1" si="124"/>
        <v>0</v>
      </c>
      <c r="U345" s="19">
        <f t="shared" ca="1" si="125"/>
        <v>1423.9587218163997</v>
      </c>
      <c r="V345" s="19">
        <f t="shared" ca="1" si="126"/>
        <v>0</v>
      </c>
      <c r="W345" s="82">
        <f t="shared" ca="1" si="127"/>
        <v>3289.2719806134264</v>
      </c>
      <c r="X345" s="19">
        <f t="shared" ca="1" si="128"/>
        <v>0</v>
      </c>
      <c r="Y345" s="19">
        <f t="shared" si="129"/>
        <v>0</v>
      </c>
      <c r="Z345" s="82">
        <f t="shared" ca="1" si="130"/>
        <v>3289.2719806134264</v>
      </c>
      <c r="AA345" s="19">
        <f t="shared" ca="1" si="131"/>
        <v>0</v>
      </c>
      <c r="AE345" s="19"/>
    </row>
    <row r="346" spans="1:31" ht="12.75" customHeight="1" x14ac:dyDescent="0.2">
      <c r="A346">
        <v>2</v>
      </c>
      <c r="B346">
        <v>2</v>
      </c>
      <c r="C346">
        <f t="shared" ca="1" si="110"/>
        <v>6</v>
      </c>
      <c r="D346">
        <f t="shared" ca="1" si="111"/>
        <v>5</v>
      </c>
      <c r="E346">
        <f t="shared" ca="1" si="112"/>
        <v>2</v>
      </c>
      <c r="F346" s="61">
        <f t="shared" ca="1" si="113"/>
        <v>7.0806744524800009E-3</v>
      </c>
      <c r="G346">
        <v>1</v>
      </c>
      <c r="H346">
        <v>1</v>
      </c>
      <c r="I346">
        <v>1</v>
      </c>
      <c r="J346" s="61">
        <f t="shared" ca="1" si="114"/>
        <v>0</v>
      </c>
      <c r="K346" s="61">
        <f t="shared" ca="1" si="115"/>
        <v>0</v>
      </c>
      <c r="L346" s="82">
        <f t="shared" ca="1" si="116"/>
        <v>333</v>
      </c>
      <c r="M346" s="16">
        <f t="shared" ca="1" si="117"/>
        <v>667</v>
      </c>
      <c r="N346" s="3">
        <f t="shared" ca="1" si="118"/>
        <v>4</v>
      </c>
      <c r="O346" s="19">
        <f t="shared" ca="1" si="119"/>
        <v>2.3453053758100548</v>
      </c>
      <c r="P346" s="19">
        <f t="shared" ca="1" si="120"/>
        <v>23.453053758100552</v>
      </c>
      <c r="Q346" s="19">
        <f t="shared" ca="1" si="121"/>
        <v>23.453053758100552</v>
      </c>
      <c r="R346" s="19">
        <f t="shared" ca="1" si="122"/>
        <v>2.3453053758100553</v>
      </c>
      <c r="S346" s="19">
        <f t="shared" ca="1" si="123"/>
        <v>2.3453053758100548</v>
      </c>
      <c r="T346" s="19">
        <f t="shared" ca="1" si="124"/>
        <v>0</v>
      </c>
      <c r="U346" s="19">
        <f t="shared" ca="1" si="125"/>
        <v>1412.9587218163997</v>
      </c>
      <c r="V346" s="19">
        <f t="shared" ca="1" si="126"/>
        <v>0</v>
      </c>
      <c r="W346" s="82">
        <f t="shared" ca="1" si="127"/>
        <v>2803.3667505787039</v>
      </c>
      <c r="X346" s="19">
        <f t="shared" ca="1" si="128"/>
        <v>0</v>
      </c>
      <c r="Y346" s="19">
        <f t="shared" si="129"/>
        <v>0</v>
      </c>
      <c r="Z346" s="82">
        <f t="shared" ca="1" si="130"/>
        <v>2803.3667505787039</v>
      </c>
      <c r="AA346" s="19">
        <f t="shared" ca="1" si="131"/>
        <v>0</v>
      </c>
      <c r="AE346" s="19"/>
    </row>
    <row r="347" spans="1:31" ht="12.75" customHeight="1" x14ac:dyDescent="0.2">
      <c r="A347">
        <v>2</v>
      </c>
      <c r="B347">
        <v>2</v>
      </c>
      <c r="C347">
        <f t="shared" ca="1" si="110"/>
        <v>6</v>
      </c>
      <c r="D347">
        <f t="shared" ca="1" si="111"/>
        <v>5</v>
      </c>
      <c r="E347">
        <f t="shared" ca="1" si="112"/>
        <v>2</v>
      </c>
      <c r="F347" s="61">
        <f t="shared" ca="1" si="113"/>
        <v>7.0806744524800009E-3</v>
      </c>
      <c r="G347">
        <v>1</v>
      </c>
      <c r="H347">
        <v>1</v>
      </c>
      <c r="I347">
        <v>0</v>
      </c>
      <c r="J347" s="61">
        <f t="shared" ca="1" si="114"/>
        <v>0</v>
      </c>
      <c r="K347" s="61">
        <f t="shared" ca="1" si="115"/>
        <v>0</v>
      </c>
      <c r="L347" s="82">
        <f t="shared" ca="1" si="116"/>
        <v>322</v>
      </c>
      <c r="M347" s="16">
        <f t="shared" ca="1" si="117"/>
        <v>678</v>
      </c>
      <c r="N347" s="3">
        <f t="shared" ca="1" si="118"/>
        <v>4</v>
      </c>
      <c r="O347" s="19">
        <f t="shared" ca="1" si="119"/>
        <v>2.3453053758100548</v>
      </c>
      <c r="P347" s="19">
        <f t="shared" ca="1" si="120"/>
        <v>23.453053758100552</v>
      </c>
      <c r="Q347" s="19">
        <f t="shared" ca="1" si="121"/>
        <v>23.453053758100552</v>
      </c>
      <c r="R347" s="19">
        <f t="shared" ca="1" si="122"/>
        <v>2.3453053758100553</v>
      </c>
      <c r="S347" s="19">
        <f t="shared" ca="1" si="123"/>
        <v>2.3453053758100548</v>
      </c>
      <c r="T347" s="19">
        <f t="shared" ca="1" si="124"/>
        <v>0</v>
      </c>
      <c r="U347" s="19">
        <f t="shared" ca="1" si="125"/>
        <v>1401.9587218163997</v>
      </c>
      <c r="V347" s="19">
        <f t="shared" ca="1" si="126"/>
        <v>0</v>
      </c>
      <c r="W347" s="82">
        <f t="shared" ca="1" si="127"/>
        <v>2317.4615205439818</v>
      </c>
      <c r="X347" s="19">
        <f t="shared" ca="1" si="128"/>
        <v>0</v>
      </c>
      <c r="Y347" s="19">
        <f t="shared" si="129"/>
        <v>0</v>
      </c>
      <c r="Z347" s="82">
        <f t="shared" ca="1" si="130"/>
        <v>2317.4615205439818</v>
      </c>
      <c r="AA347" s="19">
        <f t="shared" ca="1" si="131"/>
        <v>0</v>
      </c>
      <c r="AE347" s="19"/>
    </row>
    <row r="348" spans="1:31" ht="12.75" customHeight="1" x14ac:dyDescent="0.2">
      <c r="A348">
        <v>2</v>
      </c>
      <c r="B348">
        <v>2</v>
      </c>
      <c r="C348">
        <f t="shared" ca="1" si="110"/>
        <v>6</v>
      </c>
      <c r="D348">
        <f t="shared" ca="1" si="111"/>
        <v>5</v>
      </c>
      <c r="E348">
        <f t="shared" ca="1" si="112"/>
        <v>2</v>
      </c>
      <c r="F348" s="61">
        <f t="shared" ca="1" si="113"/>
        <v>7.0806744524800009E-3</v>
      </c>
      <c r="G348">
        <v>1</v>
      </c>
      <c r="H348">
        <v>0</v>
      </c>
      <c r="I348">
        <v>7</v>
      </c>
      <c r="J348" s="61">
        <f t="shared" ca="1" si="114"/>
        <v>0</v>
      </c>
      <c r="K348" s="61">
        <f t="shared" ca="1" si="115"/>
        <v>0</v>
      </c>
      <c r="L348" s="82">
        <f t="shared" ca="1" si="116"/>
        <v>238</v>
      </c>
      <c r="M348" s="16">
        <f t="shared" ca="1" si="117"/>
        <v>762</v>
      </c>
      <c r="N348" s="3">
        <f t="shared" ca="1" si="118"/>
        <v>5</v>
      </c>
      <c r="O348" s="19">
        <f t="shared" ca="1" si="119"/>
        <v>2.8178718937399587</v>
      </c>
      <c r="P348" s="19">
        <f t="shared" ca="1" si="120"/>
        <v>25.815886347750073</v>
      </c>
      <c r="Q348" s="19">
        <f t="shared" ca="1" si="121"/>
        <v>23.453053758100552</v>
      </c>
      <c r="R348" s="19">
        <f t="shared" ca="1" si="122"/>
        <v>2.4634470052925312</v>
      </c>
      <c r="S348" s="19">
        <f t="shared" ca="1" si="123"/>
        <v>2.8178718937399587</v>
      </c>
      <c r="T348" s="19">
        <f t="shared" ca="1" si="124"/>
        <v>0</v>
      </c>
      <c r="U348" s="19">
        <f t="shared" ca="1" si="125"/>
        <v>1497.3251747165598</v>
      </c>
      <c r="V348" s="19">
        <f t="shared" ca="1" si="126"/>
        <v>0</v>
      </c>
      <c r="W348" s="82">
        <f t="shared" ca="1" si="127"/>
        <v>5718.7981307870377</v>
      </c>
      <c r="X348" s="19">
        <f t="shared" ca="1" si="128"/>
        <v>0</v>
      </c>
      <c r="Y348" s="19">
        <f t="shared" si="129"/>
        <v>0</v>
      </c>
      <c r="Z348" s="82">
        <f t="shared" ca="1" si="130"/>
        <v>5718.7981307870377</v>
      </c>
      <c r="AA348" s="19">
        <f t="shared" ca="1" si="131"/>
        <v>0</v>
      </c>
      <c r="AE348" s="19"/>
    </row>
    <row r="349" spans="1:31" ht="12.75" customHeight="1" x14ac:dyDescent="0.2">
      <c r="A349">
        <v>2</v>
      </c>
      <c r="B349">
        <v>2</v>
      </c>
      <c r="C349">
        <f t="shared" ca="1" si="110"/>
        <v>6</v>
      </c>
      <c r="D349">
        <f t="shared" ca="1" si="111"/>
        <v>5</v>
      </c>
      <c r="E349">
        <f t="shared" ca="1" si="112"/>
        <v>2</v>
      </c>
      <c r="F349" s="61">
        <f t="shared" ca="1" si="113"/>
        <v>7.0806744524800009E-3</v>
      </c>
      <c r="G349">
        <v>1</v>
      </c>
      <c r="H349">
        <v>0</v>
      </c>
      <c r="I349">
        <v>6</v>
      </c>
      <c r="J349" s="61">
        <f t="shared" ca="1" si="114"/>
        <v>0</v>
      </c>
      <c r="K349" s="61">
        <f t="shared" ca="1" si="115"/>
        <v>0</v>
      </c>
      <c r="L349" s="82">
        <f t="shared" ca="1" si="116"/>
        <v>227</v>
      </c>
      <c r="M349" s="16">
        <f t="shared" ca="1" si="117"/>
        <v>773</v>
      </c>
      <c r="N349" s="3">
        <f t="shared" ca="1" si="118"/>
        <v>5</v>
      </c>
      <c r="O349" s="19">
        <f t="shared" ca="1" si="119"/>
        <v>2.8178718937399587</v>
      </c>
      <c r="P349" s="19">
        <f t="shared" ca="1" si="120"/>
        <v>28.178718937399587</v>
      </c>
      <c r="Q349" s="19">
        <f t="shared" ca="1" si="121"/>
        <v>26.288452865679979</v>
      </c>
      <c r="R349" s="19">
        <f t="shared" ca="1" si="122"/>
        <v>2.7233585901539783</v>
      </c>
      <c r="S349" s="19">
        <f t="shared" ca="1" si="123"/>
        <v>2.8178718937399587</v>
      </c>
      <c r="T349" s="19">
        <f t="shared" ca="1" si="124"/>
        <v>0</v>
      </c>
      <c r="U349" s="19">
        <f t="shared" ca="1" si="125"/>
        <v>1486.3251747165598</v>
      </c>
      <c r="V349" s="19">
        <f t="shared" ca="1" si="126"/>
        <v>0</v>
      </c>
      <c r="W349" s="82">
        <f t="shared" ca="1" si="127"/>
        <v>5232.8929007523147</v>
      </c>
      <c r="X349" s="19">
        <f t="shared" ca="1" si="128"/>
        <v>0</v>
      </c>
      <c r="Y349" s="19">
        <f t="shared" si="129"/>
        <v>0</v>
      </c>
      <c r="Z349" s="82">
        <f t="shared" ca="1" si="130"/>
        <v>5232.8929007523147</v>
      </c>
      <c r="AA349" s="19">
        <f t="shared" ca="1" si="131"/>
        <v>0</v>
      </c>
      <c r="AE349" s="19"/>
    </row>
    <row r="350" spans="1:31" ht="12.75" customHeight="1" x14ac:dyDescent="0.2">
      <c r="A350">
        <v>2</v>
      </c>
      <c r="B350">
        <v>2</v>
      </c>
      <c r="C350">
        <f t="shared" ca="1" si="110"/>
        <v>6</v>
      </c>
      <c r="D350">
        <f t="shared" ca="1" si="111"/>
        <v>5</v>
      </c>
      <c r="E350">
        <f t="shared" ca="1" si="112"/>
        <v>2</v>
      </c>
      <c r="F350" s="61">
        <f t="shared" ca="1" si="113"/>
        <v>7.0806744524800009E-3</v>
      </c>
      <c r="G350">
        <v>1</v>
      </c>
      <c r="H350">
        <v>0</v>
      </c>
      <c r="I350">
        <v>5</v>
      </c>
      <c r="J350" s="61">
        <f t="shared" ca="1" si="114"/>
        <v>0.73509189062499991</v>
      </c>
      <c r="K350" s="61">
        <f t="shared" ca="1" si="115"/>
        <v>5.2049463701736602E-3</v>
      </c>
      <c r="L350" s="82">
        <f t="shared" ca="1" si="116"/>
        <v>216</v>
      </c>
      <c r="M350" s="16">
        <f t="shared" ca="1" si="117"/>
        <v>784</v>
      </c>
      <c r="N350" s="3">
        <f t="shared" ca="1" si="118"/>
        <v>5</v>
      </c>
      <c r="O350" s="19">
        <f t="shared" ca="1" si="119"/>
        <v>2.8178718937399587</v>
      </c>
      <c r="P350" s="19">
        <f t="shared" ca="1" si="120"/>
        <v>28.178718937399587</v>
      </c>
      <c r="Q350" s="19">
        <f t="shared" ca="1" si="121"/>
        <v>28.178718937399587</v>
      </c>
      <c r="R350" s="19">
        <f t="shared" ca="1" si="122"/>
        <v>2.8178718937399587</v>
      </c>
      <c r="S350" s="19">
        <f t="shared" ca="1" si="123"/>
        <v>2.8178718937399587</v>
      </c>
      <c r="T350" s="19">
        <f t="shared" ca="1" si="124"/>
        <v>1.4666872084936175E-2</v>
      </c>
      <c r="U350" s="19">
        <f t="shared" ca="1" si="125"/>
        <v>1475.3251747165598</v>
      </c>
      <c r="V350" s="19">
        <f t="shared" ca="1" si="126"/>
        <v>7.6789884129667785</v>
      </c>
      <c r="W350" s="82">
        <f t="shared" ca="1" si="127"/>
        <v>4746.9876707175936</v>
      </c>
      <c r="X350" s="19">
        <f t="shared" ca="1" si="128"/>
        <v>24.707816245960657</v>
      </c>
      <c r="Y350" s="19">
        <f t="shared" si="129"/>
        <v>0</v>
      </c>
      <c r="Z350" s="82">
        <f t="shared" ca="1" si="130"/>
        <v>4746.9876707175936</v>
      </c>
      <c r="AA350" s="19">
        <f t="shared" ca="1" si="131"/>
        <v>24.707816245960657</v>
      </c>
      <c r="AE350" s="19"/>
    </row>
    <row r="351" spans="1:31" ht="12.75" customHeight="1" x14ac:dyDescent="0.2">
      <c r="A351">
        <v>2</v>
      </c>
      <c r="B351">
        <v>2</v>
      </c>
      <c r="C351">
        <f t="shared" ca="1" si="110"/>
        <v>6</v>
      </c>
      <c r="D351">
        <f t="shared" ca="1" si="111"/>
        <v>5</v>
      </c>
      <c r="E351">
        <f t="shared" ca="1" si="112"/>
        <v>2</v>
      </c>
      <c r="F351" s="61">
        <f t="shared" ca="1" si="113"/>
        <v>7.0806744524800009E-3</v>
      </c>
      <c r="G351">
        <v>1</v>
      </c>
      <c r="H351">
        <v>0</v>
      </c>
      <c r="I351">
        <v>4</v>
      </c>
      <c r="J351" s="61">
        <f t="shared" ca="1" si="114"/>
        <v>0.19344523437500014</v>
      </c>
      <c r="K351" s="61">
        <f t="shared" ca="1" si="115"/>
        <v>1.3697227289930696E-3</v>
      </c>
      <c r="L351" s="82">
        <f t="shared" ca="1" si="116"/>
        <v>205</v>
      </c>
      <c r="M351" s="16">
        <f t="shared" ca="1" si="117"/>
        <v>795</v>
      </c>
      <c r="N351" s="3">
        <f t="shared" ca="1" si="118"/>
        <v>5</v>
      </c>
      <c r="O351" s="19">
        <f t="shared" ca="1" si="119"/>
        <v>2.8178718937399587</v>
      </c>
      <c r="P351" s="19">
        <f t="shared" ca="1" si="120"/>
        <v>28.178718937399587</v>
      </c>
      <c r="Q351" s="19">
        <f t="shared" ca="1" si="121"/>
        <v>28.178718937399587</v>
      </c>
      <c r="R351" s="19">
        <f t="shared" ca="1" si="122"/>
        <v>2.8178718937399587</v>
      </c>
      <c r="S351" s="19">
        <f t="shared" ca="1" si="123"/>
        <v>2.8178718937399587</v>
      </c>
      <c r="T351" s="19">
        <f t="shared" ca="1" si="124"/>
        <v>3.8597031802463651E-3</v>
      </c>
      <c r="U351" s="19">
        <f t="shared" ca="1" si="125"/>
        <v>1464.3251747165598</v>
      </c>
      <c r="V351" s="19">
        <f t="shared" ca="1" si="126"/>
        <v>2.0057194744460198</v>
      </c>
      <c r="W351" s="82">
        <f t="shared" ca="1" si="127"/>
        <v>4261.0824406828706</v>
      </c>
      <c r="X351" s="19">
        <f t="shared" ca="1" si="128"/>
        <v>5.8365014691165911</v>
      </c>
      <c r="Y351" s="19">
        <f t="shared" si="129"/>
        <v>0</v>
      </c>
      <c r="Z351" s="82">
        <f t="shared" ca="1" si="130"/>
        <v>4261.0824406828706</v>
      </c>
      <c r="AA351" s="19">
        <f t="shared" ca="1" si="131"/>
        <v>5.8365014691165911</v>
      </c>
      <c r="AE351" s="19"/>
    </row>
    <row r="352" spans="1:31" ht="12.75" customHeight="1" x14ac:dyDescent="0.2">
      <c r="A352">
        <v>2</v>
      </c>
      <c r="B352">
        <v>2</v>
      </c>
      <c r="C352">
        <f t="shared" ca="1" si="110"/>
        <v>6</v>
      </c>
      <c r="D352">
        <f t="shared" ca="1" si="111"/>
        <v>5</v>
      </c>
      <c r="E352">
        <f t="shared" ca="1" si="112"/>
        <v>2</v>
      </c>
      <c r="F352" s="61">
        <f t="shared" ca="1" si="113"/>
        <v>7.0806744524800009E-3</v>
      </c>
      <c r="G352">
        <v>1</v>
      </c>
      <c r="H352">
        <v>0</v>
      </c>
      <c r="I352">
        <v>3</v>
      </c>
      <c r="J352" s="61">
        <f t="shared" ca="1" si="114"/>
        <v>2.0362656250000031E-2</v>
      </c>
      <c r="K352" s="61">
        <f t="shared" ca="1" si="115"/>
        <v>1.4418133989400742E-4</v>
      </c>
      <c r="L352" s="82">
        <f t="shared" ca="1" si="116"/>
        <v>194</v>
      </c>
      <c r="M352" s="16">
        <f t="shared" ca="1" si="117"/>
        <v>806</v>
      </c>
      <c r="N352" s="3">
        <f t="shared" ca="1" si="118"/>
        <v>5</v>
      </c>
      <c r="O352" s="19">
        <f t="shared" ca="1" si="119"/>
        <v>2.8178718937399587</v>
      </c>
      <c r="P352" s="19">
        <f t="shared" ca="1" si="120"/>
        <v>28.178718937399587</v>
      </c>
      <c r="Q352" s="19">
        <f t="shared" ca="1" si="121"/>
        <v>28.178718937399587</v>
      </c>
      <c r="R352" s="19">
        <f t="shared" ca="1" si="122"/>
        <v>2.8178718937399587</v>
      </c>
      <c r="S352" s="19">
        <f t="shared" ca="1" si="123"/>
        <v>2.8178718937399587</v>
      </c>
      <c r="T352" s="19">
        <f t="shared" ca="1" si="124"/>
        <v>4.0628454528909136E-4</v>
      </c>
      <c r="U352" s="19">
        <f t="shared" ca="1" si="125"/>
        <v>1453.3251747165598</v>
      </c>
      <c r="V352" s="19">
        <f t="shared" ca="1" si="126"/>
        <v>0.20954237099232603</v>
      </c>
      <c r="W352" s="82">
        <f t="shared" ca="1" si="127"/>
        <v>3775.1772106481485</v>
      </c>
      <c r="X352" s="19">
        <f t="shared" ca="1" si="128"/>
        <v>0.54431010856857154</v>
      </c>
      <c r="Y352" s="19">
        <f t="shared" si="129"/>
        <v>0</v>
      </c>
      <c r="Z352" s="82">
        <f t="shared" ca="1" si="130"/>
        <v>3775.1772106481485</v>
      </c>
      <c r="AA352" s="19">
        <f t="shared" ca="1" si="131"/>
        <v>0.54431010856857154</v>
      </c>
      <c r="AE352" s="19"/>
    </row>
    <row r="353" spans="1:31" ht="12.75" customHeight="1" x14ac:dyDescent="0.2">
      <c r="A353">
        <v>2</v>
      </c>
      <c r="B353">
        <v>2</v>
      </c>
      <c r="C353">
        <f t="shared" ca="1" si="110"/>
        <v>6</v>
      </c>
      <c r="D353">
        <f t="shared" ca="1" si="111"/>
        <v>5</v>
      </c>
      <c r="E353">
        <f t="shared" ca="1" si="112"/>
        <v>2</v>
      </c>
      <c r="F353" s="61">
        <f t="shared" ca="1" si="113"/>
        <v>7.0806744524800009E-3</v>
      </c>
      <c r="G353">
        <v>1</v>
      </c>
      <c r="H353">
        <v>0</v>
      </c>
      <c r="I353">
        <v>2</v>
      </c>
      <c r="J353" s="61">
        <f t="shared" ca="1" si="114"/>
        <v>1.0717187500000028E-3</v>
      </c>
      <c r="K353" s="61">
        <f t="shared" ca="1" si="115"/>
        <v>7.5884915733688203E-6</v>
      </c>
      <c r="L353" s="82">
        <f t="shared" ca="1" si="116"/>
        <v>183</v>
      </c>
      <c r="M353" s="16">
        <f t="shared" ca="1" si="117"/>
        <v>817</v>
      </c>
      <c r="N353" s="3">
        <f t="shared" ca="1" si="118"/>
        <v>5</v>
      </c>
      <c r="O353" s="19">
        <f t="shared" ca="1" si="119"/>
        <v>2.8178718937399587</v>
      </c>
      <c r="P353" s="19">
        <f t="shared" ca="1" si="120"/>
        <v>28.178718937399587</v>
      </c>
      <c r="Q353" s="19">
        <f t="shared" ca="1" si="121"/>
        <v>28.178718937399587</v>
      </c>
      <c r="R353" s="19">
        <f t="shared" ca="1" si="122"/>
        <v>2.8178718937399587</v>
      </c>
      <c r="S353" s="19">
        <f t="shared" ca="1" si="123"/>
        <v>2.8178718937399587</v>
      </c>
      <c r="T353" s="19">
        <f t="shared" ca="1" si="124"/>
        <v>2.1383397120478515E-5</v>
      </c>
      <c r="U353" s="19">
        <f t="shared" ca="1" si="125"/>
        <v>1442.3251747165598</v>
      </c>
      <c r="V353" s="19">
        <f t="shared" ca="1" si="126"/>
        <v>1.0945072434394326E-2</v>
      </c>
      <c r="W353" s="82">
        <f t="shared" ca="1" si="127"/>
        <v>3289.2719806134264</v>
      </c>
      <c r="X353" s="19">
        <f t="shared" ca="1" si="128"/>
        <v>2.4960612707403157E-2</v>
      </c>
      <c r="Y353" s="19">
        <f t="shared" si="129"/>
        <v>0</v>
      </c>
      <c r="Z353" s="82">
        <f t="shared" ca="1" si="130"/>
        <v>3289.2719806134264</v>
      </c>
      <c r="AA353" s="19">
        <f t="shared" ca="1" si="131"/>
        <v>2.4960612707403157E-2</v>
      </c>
      <c r="AE353" s="19"/>
    </row>
    <row r="354" spans="1:31" ht="12.75" customHeight="1" x14ac:dyDescent="0.2">
      <c r="A354">
        <v>2</v>
      </c>
      <c r="B354">
        <v>2</v>
      </c>
      <c r="C354">
        <f t="shared" ca="1" si="110"/>
        <v>6</v>
      </c>
      <c r="D354">
        <f t="shared" ca="1" si="111"/>
        <v>5</v>
      </c>
      <c r="E354">
        <f t="shared" ca="1" si="112"/>
        <v>2</v>
      </c>
      <c r="F354" s="61">
        <f t="shared" ca="1" si="113"/>
        <v>7.0806744524800009E-3</v>
      </c>
      <c r="G354">
        <v>1</v>
      </c>
      <c r="H354">
        <v>0</v>
      </c>
      <c r="I354">
        <v>1</v>
      </c>
      <c r="J354" s="61">
        <f t="shared" ca="1" si="114"/>
        <v>2.8203125000000098E-5</v>
      </c>
      <c r="K354" s="61">
        <f t="shared" ca="1" si="115"/>
        <v>1.9969714666760071E-7</v>
      </c>
      <c r="L354" s="82">
        <f t="shared" ca="1" si="116"/>
        <v>172</v>
      </c>
      <c r="M354" s="16">
        <f t="shared" ca="1" si="117"/>
        <v>828</v>
      </c>
      <c r="N354" s="3">
        <f t="shared" ca="1" si="118"/>
        <v>5</v>
      </c>
      <c r="O354" s="19">
        <f t="shared" ca="1" si="119"/>
        <v>2.8178718937399587</v>
      </c>
      <c r="P354" s="19">
        <f t="shared" ca="1" si="120"/>
        <v>28.178718937399587</v>
      </c>
      <c r="Q354" s="19">
        <f t="shared" ca="1" si="121"/>
        <v>28.178718937399587</v>
      </c>
      <c r="R354" s="19">
        <f t="shared" ca="1" si="122"/>
        <v>2.8178718937399587</v>
      </c>
      <c r="S354" s="19">
        <f t="shared" ca="1" si="123"/>
        <v>2.8178718937399587</v>
      </c>
      <c r="T354" s="19">
        <f t="shared" ca="1" si="124"/>
        <v>5.6272097685469827E-7</v>
      </c>
      <c r="U354" s="19">
        <f t="shared" ca="1" si="125"/>
        <v>1431.3251747165598</v>
      </c>
      <c r="V354" s="19">
        <f t="shared" ca="1" si="126"/>
        <v>2.8583155334440205E-4</v>
      </c>
      <c r="W354" s="82">
        <f t="shared" ca="1" si="127"/>
        <v>2803.3667505787039</v>
      </c>
      <c r="X354" s="19">
        <f t="shared" ca="1" si="128"/>
        <v>5.5982434115339069E-4</v>
      </c>
      <c r="Y354" s="19">
        <f t="shared" si="129"/>
        <v>0</v>
      </c>
      <c r="Z354" s="82">
        <f t="shared" ca="1" si="130"/>
        <v>2803.3667505787039</v>
      </c>
      <c r="AA354" s="19">
        <f t="shared" ca="1" si="131"/>
        <v>5.5982434115339069E-4</v>
      </c>
      <c r="AE354" s="19"/>
    </row>
    <row r="355" spans="1:31" ht="12.75" customHeight="1" x14ac:dyDescent="0.2">
      <c r="A355">
        <v>2</v>
      </c>
      <c r="B355">
        <v>2</v>
      </c>
      <c r="C355">
        <f t="shared" ca="1" si="110"/>
        <v>6</v>
      </c>
      <c r="D355">
        <f t="shared" ca="1" si="111"/>
        <v>5</v>
      </c>
      <c r="E355">
        <f t="shared" ca="1" si="112"/>
        <v>2</v>
      </c>
      <c r="F355" s="61">
        <f t="shared" ca="1" si="113"/>
        <v>7.0806744524800009E-3</v>
      </c>
      <c r="G355">
        <v>1</v>
      </c>
      <c r="H355">
        <v>0</v>
      </c>
      <c r="I355">
        <v>0</v>
      </c>
      <c r="J355" s="61">
        <f t="shared" ca="1" si="114"/>
        <v>2.9687500000000134E-7</v>
      </c>
      <c r="K355" s="61">
        <f t="shared" ca="1" si="115"/>
        <v>2.1020752280800099E-9</v>
      </c>
      <c r="L355" s="82">
        <f t="shared" ca="1" si="116"/>
        <v>161</v>
      </c>
      <c r="M355" s="16">
        <f t="shared" ca="1" si="117"/>
        <v>839</v>
      </c>
      <c r="N355" s="3">
        <f t="shared" ca="1" si="118"/>
        <v>5</v>
      </c>
      <c r="O355" s="19">
        <f t="shared" ca="1" si="119"/>
        <v>2.8178718937399587</v>
      </c>
      <c r="P355" s="19">
        <f t="shared" ca="1" si="120"/>
        <v>28.178718937399587</v>
      </c>
      <c r="Q355" s="19">
        <f t="shared" ca="1" si="121"/>
        <v>28.178718937399587</v>
      </c>
      <c r="R355" s="19">
        <f t="shared" ca="1" si="122"/>
        <v>2.8178718937399587</v>
      </c>
      <c r="S355" s="19">
        <f t="shared" ca="1" si="123"/>
        <v>2.8178718937399587</v>
      </c>
      <c r="T355" s="19">
        <f t="shared" ca="1" si="124"/>
        <v>5.9233787037336727E-9</v>
      </c>
      <c r="U355" s="19">
        <f t="shared" ca="1" si="125"/>
        <v>1420.3251747165598</v>
      </c>
      <c r="V355" s="19">
        <f t="shared" ca="1" si="126"/>
        <v>2.9856303655900925E-6</v>
      </c>
      <c r="W355" s="82">
        <f t="shared" ca="1" si="127"/>
        <v>2317.4615205439818</v>
      </c>
      <c r="X355" s="19">
        <f t="shared" ca="1" si="128"/>
        <v>4.8714784543641368E-6</v>
      </c>
      <c r="Y355" s="19">
        <f t="shared" si="129"/>
        <v>0</v>
      </c>
      <c r="Z355" s="82">
        <f t="shared" ca="1" si="130"/>
        <v>2317.4615205439818</v>
      </c>
      <c r="AA355" s="19">
        <f t="shared" ca="1" si="131"/>
        <v>4.8714784543641368E-6</v>
      </c>
      <c r="AE355" s="19"/>
    </row>
    <row r="356" spans="1:31" ht="12.75" customHeight="1" x14ac:dyDescent="0.2">
      <c r="A356">
        <v>2</v>
      </c>
      <c r="B356">
        <v>2</v>
      </c>
      <c r="C356">
        <f t="shared" ca="1" si="110"/>
        <v>6</v>
      </c>
      <c r="D356">
        <f t="shared" ca="1" si="111"/>
        <v>5</v>
      </c>
      <c r="E356">
        <f t="shared" ca="1" si="112"/>
        <v>2</v>
      </c>
      <c r="F356" s="61">
        <f t="shared" ca="1" si="113"/>
        <v>7.0806744524800009E-3</v>
      </c>
      <c r="G356">
        <v>0</v>
      </c>
      <c r="H356">
        <v>1</v>
      </c>
      <c r="I356">
        <v>7</v>
      </c>
      <c r="J356" s="61">
        <f t="shared" ca="1" si="114"/>
        <v>0</v>
      </c>
      <c r="K356" s="61">
        <f t="shared" ca="1" si="115"/>
        <v>0</v>
      </c>
      <c r="L356" s="82">
        <f t="shared" ca="1" si="116"/>
        <v>238</v>
      </c>
      <c r="M356" s="16">
        <f t="shared" ca="1" si="117"/>
        <v>762</v>
      </c>
      <c r="N356" s="3">
        <f t="shared" ca="1" si="118"/>
        <v>5</v>
      </c>
      <c r="O356" s="19">
        <f t="shared" ca="1" si="119"/>
        <v>2.8178718937399587</v>
      </c>
      <c r="P356" s="19">
        <f t="shared" ca="1" si="120"/>
        <v>25.815886347750073</v>
      </c>
      <c r="Q356" s="19">
        <f t="shared" ca="1" si="121"/>
        <v>23.453053758100552</v>
      </c>
      <c r="R356" s="19">
        <f t="shared" ca="1" si="122"/>
        <v>2.4634470052925312</v>
      </c>
      <c r="S356" s="19">
        <f t="shared" ca="1" si="123"/>
        <v>2.8178718937399587</v>
      </c>
      <c r="T356" s="19">
        <f t="shared" ca="1" si="124"/>
        <v>0</v>
      </c>
      <c r="U356" s="19">
        <f t="shared" ca="1" si="125"/>
        <v>1497.3251747165598</v>
      </c>
      <c r="V356" s="19">
        <f t="shared" ca="1" si="126"/>
        <v>0</v>
      </c>
      <c r="W356" s="82">
        <f t="shared" ca="1" si="127"/>
        <v>3401.3366102430559</v>
      </c>
      <c r="X356" s="19">
        <f t="shared" ca="1" si="128"/>
        <v>0</v>
      </c>
      <c r="Y356" s="19">
        <f t="shared" si="129"/>
        <v>0</v>
      </c>
      <c r="Z356" s="82">
        <f t="shared" ca="1" si="130"/>
        <v>3401.3366102430559</v>
      </c>
      <c r="AA356" s="19">
        <f t="shared" ca="1" si="131"/>
        <v>0</v>
      </c>
      <c r="AE356" s="19"/>
    </row>
    <row r="357" spans="1:31" ht="12.75" customHeight="1" x14ac:dyDescent="0.2">
      <c r="A357">
        <v>2</v>
      </c>
      <c r="B357">
        <v>2</v>
      </c>
      <c r="C357">
        <f t="shared" ca="1" si="110"/>
        <v>6</v>
      </c>
      <c r="D357">
        <f t="shared" ca="1" si="111"/>
        <v>5</v>
      </c>
      <c r="E357">
        <f t="shared" ca="1" si="112"/>
        <v>2</v>
      </c>
      <c r="F357" s="61">
        <f t="shared" ca="1" si="113"/>
        <v>7.0806744524800009E-3</v>
      </c>
      <c r="G357">
        <v>0</v>
      </c>
      <c r="H357">
        <v>1</v>
      </c>
      <c r="I357">
        <v>6</v>
      </c>
      <c r="J357" s="61">
        <f t="shared" ca="1" si="114"/>
        <v>0</v>
      </c>
      <c r="K357" s="61">
        <f t="shared" ca="1" si="115"/>
        <v>0</v>
      </c>
      <c r="L357" s="82">
        <f t="shared" ca="1" si="116"/>
        <v>227</v>
      </c>
      <c r="M357" s="16">
        <f t="shared" ca="1" si="117"/>
        <v>773</v>
      </c>
      <c r="N357" s="3">
        <f t="shared" ca="1" si="118"/>
        <v>5</v>
      </c>
      <c r="O357" s="19">
        <f t="shared" ca="1" si="119"/>
        <v>2.8178718937399587</v>
      </c>
      <c r="P357" s="19">
        <f t="shared" ca="1" si="120"/>
        <v>28.178718937399587</v>
      </c>
      <c r="Q357" s="19">
        <f t="shared" ca="1" si="121"/>
        <v>26.288452865679979</v>
      </c>
      <c r="R357" s="19">
        <f t="shared" ca="1" si="122"/>
        <v>2.7233585901539783</v>
      </c>
      <c r="S357" s="19">
        <f t="shared" ca="1" si="123"/>
        <v>2.8178718937399587</v>
      </c>
      <c r="T357" s="19">
        <f t="shared" ca="1" si="124"/>
        <v>0</v>
      </c>
      <c r="U357" s="19">
        <f t="shared" ca="1" si="125"/>
        <v>1486.3251747165598</v>
      </c>
      <c r="V357" s="19">
        <f t="shared" ca="1" si="126"/>
        <v>0</v>
      </c>
      <c r="W357" s="82">
        <f t="shared" ca="1" si="127"/>
        <v>2915.4313802083334</v>
      </c>
      <c r="X357" s="19">
        <f t="shared" ca="1" si="128"/>
        <v>0</v>
      </c>
      <c r="Y357" s="19">
        <f t="shared" si="129"/>
        <v>0</v>
      </c>
      <c r="Z357" s="82">
        <f t="shared" ca="1" si="130"/>
        <v>2915.4313802083334</v>
      </c>
      <c r="AA357" s="19">
        <f t="shared" ca="1" si="131"/>
        <v>0</v>
      </c>
      <c r="AE357" s="19"/>
    </row>
    <row r="358" spans="1:31" ht="12.75" customHeight="1" x14ac:dyDescent="0.2">
      <c r="A358">
        <v>2</v>
      </c>
      <c r="B358">
        <v>2</v>
      </c>
      <c r="C358">
        <f t="shared" ca="1" si="110"/>
        <v>6</v>
      </c>
      <c r="D358">
        <f t="shared" ca="1" si="111"/>
        <v>5</v>
      </c>
      <c r="E358">
        <f t="shared" ca="1" si="112"/>
        <v>2</v>
      </c>
      <c r="F358" s="61">
        <f t="shared" ca="1" si="113"/>
        <v>7.0806744524800009E-3</v>
      </c>
      <c r="G358">
        <v>0</v>
      </c>
      <c r="H358">
        <v>1</v>
      </c>
      <c r="I358">
        <v>5</v>
      </c>
      <c r="J358" s="61">
        <f t="shared" ca="1" si="114"/>
        <v>0</v>
      </c>
      <c r="K358" s="61">
        <f t="shared" ca="1" si="115"/>
        <v>0</v>
      </c>
      <c r="L358" s="82">
        <f t="shared" ca="1" si="116"/>
        <v>216</v>
      </c>
      <c r="M358" s="16">
        <f t="shared" ca="1" si="117"/>
        <v>784</v>
      </c>
      <c r="N358" s="3">
        <f t="shared" ca="1" si="118"/>
        <v>5</v>
      </c>
      <c r="O358" s="19">
        <f t="shared" ca="1" si="119"/>
        <v>2.8178718937399587</v>
      </c>
      <c r="P358" s="19">
        <f t="shared" ca="1" si="120"/>
        <v>28.178718937399587</v>
      </c>
      <c r="Q358" s="19">
        <f t="shared" ca="1" si="121"/>
        <v>28.178718937399587</v>
      </c>
      <c r="R358" s="19">
        <f t="shared" ca="1" si="122"/>
        <v>2.8178718937399587</v>
      </c>
      <c r="S358" s="19">
        <f t="shared" ca="1" si="123"/>
        <v>2.8178718937399587</v>
      </c>
      <c r="T358" s="19">
        <f t="shared" ca="1" si="124"/>
        <v>0</v>
      </c>
      <c r="U358" s="19">
        <f t="shared" ca="1" si="125"/>
        <v>1475.3251747165598</v>
      </c>
      <c r="V358" s="19">
        <f t="shared" ca="1" si="126"/>
        <v>0</v>
      </c>
      <c r="W358" s="82">
        <f t="shared" ca="1" si="127"/>
        <v>2429.5261501736113</v>
      </c>
      <c r="X358" s="19">
        <f t="shared" ca="1" si="128"/>
        <v>0</v>
      </c>
      <c r="Y358" s="19">
        <f t="shared" si="129"/>
        <v>0</v>
      </c>
      <c r="Z358" s="82">
        <f t="shared" ca="1" si="130"/>
        <v>2429.5261501736113</v>
      </c>
      <c r="AA358" s="19">
        <f t="shared" ca="1" si="131"/>
        <v>0</v>
      </c>
      <c r="AE358" s="19"/>
    </row>
    <row r="359" spans="1:31" ht="12.75" customHeight="1" x14ac:dyDescent="0.2">
      <c r="A359">
        <v>2</v>
      </c>
      <c r="B359">
        <v>2</v>
      </c>
      <c r="C359">
        <f t="shared" ca="1" si="110"/>
        <v>6</v>
      </c>
      <c r="D359">
        <f t="shared" ca="1" si="111"/>
        <v>5</v>
      </c>
      <c r="E359">
        <f t="shared" ca="1" si="112"/>
        <v>2</v>
      </c>
      <c r="F359" s="61">
        <f t="shared" ca="1" si="113"/>
        <v>7.0806744524800009E-3</v>
      </c>
      <c r="G359">
        <v>0</v>
      </c>
      <c r="H359">
        <v>1</v>
      </c>
      <c r="I359">
        <v>4</v>
      </c>
      <c r="J359" s="61">
        <f t="shared" ca="1" si="114"/>
        <v>0</v>
      </c>
      <c r="K359" s="61">
        <f t="shared" ca="1" si="115"/>
        <v>0</v>
      </c>
      <c r="L359" s="82">
        <f t="shared" ca="1" si="116"/>
        <v>205</v>
      </c>
      <c r="M359" s="16">
        <f t="shared" ca="1" si="117"/>
        <v>795</v>
      </c>
      <c r="N359" s="3">
        <f t="shared" ca="1" si="118"/>
        <v>5</v>
      </c>
      <c r="O359" s="19">
        <f t="shared" ca="1" si="119"/>
        <v>2.8178718937399587</v>
      </c>
      <c r="P359" s="19">
        <f t="shared" ca="1" si="120"/>
        <v>28.178718937399587</v>
      </c>
      <c r="Q359" s="19">
        <f t="shared" ca="1" si="121"/>
        <v>28.178718937399587</v>
      </c>
      <c r="R359" s="19">
        <f t="shared" ca="1" si="122"/>
        <v>2.8178718937399587</v>
      </c>
      <c r="S359" s="19">
        <f t="shared" ca="1" si="123"/>
        <v>2.8178718937399587</v>
      </c>
      <c r="T359" s="19">
        <f t="shared" ca="1" si="124"/>
        <v>0</v>
      </c>
      <c r="U359" s="19">
        <f t="shared" ca="1" si="125"/>
        <v>1464.3251747165598</v>
      </c>
      <c r="V359" s="19">
        <f t="shared" ca="1" si="126"/>
        <v>0</v>
      </c>
      <c r="W359" s="82">
        <f t="shared" ca="1" si="127"/>
        <v>1943.620920138889</v>
      </c>
      <c r="X359" s="19">
        <f t="shared" ca="1" si="128"/>
        <v>0</v>
      </c>
      <c r="Y359" s="19">
        <f t="shared" si="129"/>
        <v>0</v>
      </c>
      <c r="Z359" s="82">
        <f t="shared" ca="1" si="130"/>
        <v>1943.620920138889</v>
      </c>
      <c r="AA359" s="19">
        <f t="shared" ca="1" si="131"/>
        <v>0</v>
      </c>
      <c r="AE359" s="19"/>
    </row>
    <row r="360" spans="1:31" ht="12.75" customHeight="1" x14ac:dyDescent="0.2">
      <c r="A360">
        <v>2</v>
      </c>
      <c r="B360">
        <v>2</v>
      </c>
      <c r="C360">
        <f t="shared" ca="1" si="110"/>
        <v>6</v>
      </c>
      <c r="D360">
        <f t="shared" ca="1" si="111"/>
        <v>5</v>
      </c>
      <c r="E360">
        <f t="shared" ca="1" si="112"/>
        <v>2</v>
      </c>
      <c r="F360" s="61">
        <f t="shared" ca="1" si="113"/>
        <v>7.0806744524800009E-3</v>
      </c>
      <c r="G360">
        <v>0</v>
      </c>
      <c r="H360">
        <v>1</v>
      </c>
      <c r="I360">
        <v>3</v>
      </c>
      <c r="J360" s="61">
        <f t="shared" ca="1" si="114"/>
        <v>0</v>
      </c>
      <c r="K360" s="61">
        <f t="shared" ca="1" si="115"/>
        <v>0</v>
      </c>
      <c r="L360" s="82">
        <f t="shared" ca="1" si="116"/>
        <v>194</v>
      </c>
      <c r="M360" s="16">
        <f t="shared" ca="1" si="117"/>
        <v>806</v>
      </c>
      <c r="N360" s="3">
        <f t="shared" ca="1" si="118"/>
        <v>5</v>
      </c>
      <c r="O360" s="19">
        <f t="shared" ca="1" si="119"/>
        <v>2.8178718937399587</v>
      </c>
      <c r="P360" s="19">
        <f t="shared" ca="1" si="120"/>
        <v>28.178718937399587</v>
      </c>
      <c r="Q360" s="19">
        <f t="shared" ca="1" si="121"/>
        <v>28.178718937399587</v>
      </c>
      <c r="R360" s="19">
        <f t="shared" ca="1" si="122"/>
        <v>2.8178718937399587</v>
      </c>
      <c r="S360" s="19">
        <f t="shared" ca="1" si="123"/>
        <v>2.8178718937399587</v>
      </c>
      <c r="T360" s="19">
        <f t="shared" ca="1" si="124"/>
        <v>0</v>
      </c>
      <c r="U360" s="19">
        <f t="shared" ca="1" si="125"/>
        <v>1453.3251747165598</v>
      </c>
      <c r="V360" s="19">
        <f t="shared" ca="1" si="126"/>
        <v>0</v>
      </c>
      <c r="W360" s="82">
        <f t="shared" ca="1" si="127"/>
        <v>1457.7156901041667</v>
      </c>
      <c r="X360" s="19">
        <f t="shared" ca="1" si="128"/>
        <v>0</v>
      </c>
      <c r="Y360" s="19">
        <f t="shared" si="129"/>
        <v>0</v>
      </c>
      <c r="Z360" s="82">
        <f t="shared" ca="1" si="130"/>
        <v>1457.7156901041667</v>
      </c>
      <c r="AA360" s="19">
        <f t="shared" ca="1" si="131"/>
        <v>0</v>
      </c>
      <c r="AE360" s="19"/>
    </row>
    <row r="361" spans="1:31" ht="12.75" customHeight="1" x14ac:dyDescent="0.2">
      <c r="A361">
        <v>2</v>
      </c>
      <c r="B361">
        <v>2</v>
      </c>
      <c r="C361">
        <f t="shared" ca="1" si="110"/>
        <v>6</v>
      </c>
      <c r="D361">
        <f t="shared" ca="1" si="111"/>
        <v>5</v>
      </c>
      <c r="E361">
        <f t="shared" ca="1" si="112"/>
        <v>2</v>
      </c>
      <c r="F361" s="61">
        <f t="shared" ca="1" si="113"/>
        <v>7.0806744524800009E-3</v>
      </c>
      <c r="G361">
        <v>0</v>
      </c>
      <c r="H361">
        <v>1</v>
      </c>
      <c r="I361">
        <v>2</v>
      </c>
      <c r="J361" s="61">
        <f t="shared" ca="1" si="114"/>
        <v>0</v>
      </c>
      <c r="K361" s="61">
        <f t="shared" ca="1" si="115"/>
        <v>0</v>
      </c>
      <c r="L361" s="82">
        <f t="shared" ca="1" si="116"/>
        <v>183</v>
      </c>
      <c r="M361" s="16">
        <f t="shared" ca="1" si="117"/>
        <v>817</v>
      </c>
      <c r="N361" s="3">
        <f t="shared" ca="1" si="118"/>
        <v>5</v>
      </c>
      <c r="O361" s="19">
        <f t="shared" ca="1" si="119"/>
        <v>2.8178718937399587</v>
      </c>
      <c r="P361" s="19">
        <f t="shared" ca="1" si="120"/>
        <v>28.178718937399587</v>
      </c>
      <c r="Q361" s="19">
        <f t="shared" ca="1" si="121"/>
        <v>28.178718937399587</v>
      </c>
      <c r="R361" s="19">
        <f t="shared" ca="1" si="122"/>
        <v>2.8178718937399587</v>
      </c>
      <c r="S361" s="19">
        <f t="shared" ca="1" si="123"/>
        <v>2.8178718937399587</v>
      </c>
      <c r="T361" s="19">
        <f t="shared" ca="1" si="124"/>
        <v>0</v>
      </c>
      <c r="U361" s="19">
        <f t="shared" ca="1" si="125"/>
        <v>1442.3251747165598</v>
      </c>
      <c r="V361" s="19">
        <f t="shared" ca="1" si="126"/>
        <v>0</v>
      </c>
      <c r="W361" s="82">
        <f t="shared" ca="1" si="127"/>
        <v>971.8104600694445</v>
      </c>
      <c r="X361" s="19">
        <f t="shared" ca="1" si="128"/>
        <v>0</v>
      </c>
      <c r="Y361" s="19">
        <f t="shared" si="129"/>
        <v>0</v>
      </c>
      <c r="Z361" s="82">
        <f t="shared" ca="1" si="130"/>
        <v>971.8104600694445</v>
      </c>
      <c r="AA361" s="19">
        <f t="shared" ca="1" si="131"/>
        <v>0</v>
      </c>
      <c r="AE361" s="19"/>
    </row>
    <row r="362" spans="1:31" ht="12.75" customHeight="1" x14ac:dyDescent="0.2">
      <c r="A362">
        <v>2</v>
      </c>
      <c r="B362">
        <v>2</v>
      </c>
      <c r="C362">
        <f t="shared" ca="1" si="110"/>
        <v>6</v>
      </c>
      <c r="D362">
        <f t="shared" ca="1" si="111"/>
        <v>5</v>
      </c>
      <c r="E362">
        <f t="shared" ca="1" si="112"/>
        <v>2</v>
      </c>
      <c r="F362" s="61">
        <f t="shared" ca="1" si="113"/>
        <v>7.0806744524800009E-3</v>
      </c>
      <c r="G362">
        <v>0</v>
      </c>
      <c r="H362">
        <v>1</v>
      </c>
      <c r="I362">
        <v>1</v>
      </c>
      <c r="J362" s="61">
        <f t="shared" ca="1" si="114"/>
        <v>0</v>
      </c>
      <c r="K362" s="61">
        <f t="shared" ca="1" si="115"/>
        <v>0</v>
      </c>
      <c r="L362" s="82">
        <f t="shared" ca="1" si="116"/>
        <v>172</v>
      </c>
      <c r="M362" s="16">
        <f t="shared" ca="1" si="117"/>
        <v>828</v>
      </c>
      <c r="N362" s="3">
        <f t="shared" ca="1" si="118"/>
        <v>5</v>
      </c>
      <c r="O362" s="19">
        <f t="shared" ca="1" si="119"/>
        <v>2.8178718937399587</v>
      </c>
      <c r="P362" s="19">
        <f t="shared" ca="1" si="120"/>
        <v>28.178718937399587</v>
      </c>
      <c r="Q362" s="19">
        <f t="shared" ca="1" si="121"/>
        <v>28.178718937399587</v>
      </c>
      <c r="R362" s="19">
        <f t="shared" ca="1" si="122"/>
        <v>2.8178718937399587</v>
      </c>
      <c r="S362" s="19">
        <f t="shared" ca="1" si="123"/>
        <v>2.8178718937399587</v>
      </c>
      <c r="T362" s="19">
        <f t="shared" ca="1" si="124"/>
        <v>0</v>
      </c>
      <c r="U362" s="19">
        <f t="shared" ca="1" si="125"/>
        <v>1431.3251747165598</v>
      </c>
      <c r="V362" s="19">
        <f t="shared" ca="1" si="126"/>
        <v>0</v>
      </c>
      <c r="W362" s="82">
        <f t="shared" ca="1" si="127"/>
        <v>485.90523003472225</v>
      </c>
      <c r="X362" s="19">
        <f t="shared" ca="1" si="128"/>
        <v>0</v>
      </c>
      <c r="Y362" s="19">
        <f t="shared" si="129"/>
        <v>0</v>
      </c>
      <c r="Z362" s="82">
        <f t="shared" ca="1" si="130"/>
        <v>485.90523003472225</v>
      </c>
      <c r="AA362" s="19">
        <f t="shared" ca="1" si="131"/>
        <v>0</v>
      </c>
      <c r="AE362" s="19"/>
    </row>
    <row r="363" spans="1:31" ht="12.75" customHeight="1" x14ac:dyDescent="0.2">
      <c r="A363">
        <v>2</v>
      </c>
      <c r="B363">
        <v>2</v>
      </c>
      <c r="C363">
        <f t="shared" ca="1" si="110"/>
        <v>6</v>
      </c>
      <c r="D363">
        <f t="shared" ca="1" si="111"/>
        <v>5</v>
      </c>
      <c r="E363">
        <f t="shared" ca="1" si="112"/>
        <v>2</v>
      </c>
      <c r="F363" s="61">
        <f t="shared" ca="1" si="113"/>
        <v>7.0806744524800009E-3</v>
      </c>
      <c r="G363">
        <v>0</v>
      </c>
      <c r="H363">
        <v>1</v>
      </c>
      <c r="I363">
        <v>0</v>
      </c>
      <c r="J363" s="61">
        <f t="shared" ca="1" si="114"/>
        <v>0</v>
      </c>
      <c r="K363" s="61">
        <f t="shared" ca="1" si="115"/>
        <v>0</v>
      </c>
      <c r="L363" s="82">
        <f t="shared" ca="1" si="116"/>
        <v>161</v>
      </c>
      <c r="M363" s="16">
        <f t="shared" ca="1" si="117"/>
        <v>839</v>
      </c>
      <c r="N363" s="3">
        <f t="shared" ca="1" si="118"/>
        <v>5</v>
      </c>
      <c r="O363" s="19">
        <f t="shared" ca="1" si="119"/>
        <v>2.8178718937399587</v>
      </c>
      <c r="P363" s="19">
        <f t="shared" ca="1" si="120"/>
        <v>28.178718937399587</v>
      </c>
      <c r="Q363" s="19">
        <f t="shared" ca="1" si="121"/>
        <v>28.178718937399587</v>
      </c>
      <c r="R363" s="19">
        <f t="shared" ca="1" si="122"/>
        <v>2.8178718937399587</v>
      </c>
      <c r="S363" s="19">
        <f t="shared" ca="1" si="123"/>
        <v>2.8178718937399587</v>
      </c>
      <c r="T363" s="19">
        <f t="shared" ca="1" si="124"/>
        <v>0</v>
      </c>
      <c r="U363" s="19">
        <f t="shared" ca="1" si="125"/>
        <v>1420.3251747165598</v>
      </c>
      <c r="V363" s="19">
        <f t="shared" ca="1" si="126"/>
        <v>0</v>
      </c>
      <c r="W363" s="82">
        <f t="shared" ca="1" si="127"/>
        <v>0</v>
      </c>
      <c r="X363" s="19">
        <f t="shared" ca="1" si="128"/>
        <v>0</v>
      </c>
      <c r="Y363" s="19">
        <f t="shared" si="129"/>
        <v>0</v>
      </c>
      <c r="Z363" s="82">
        <f t="shared" ca="1" si="130"/>
        <v>0</v>
      </c>
      <c r="AA363" s="19">
        <f t="shared" ca="1" si="131"/>
        <v>0</v>
      </c>
      <c r="AE363" s="19"/>
    </row>
    <row r="364" spans="1:31" ht="12.75" customHeight="1" x14ac:dyDescent="0.2">
      <c r="A364">
        <v>2</v>
      </c>
      <c r="B364">
        <v>2</v>
      </c>
      <c r="C364">
        <f t="shared" ca="1" si="110"/>
        <v>6</v>
      </c>
      <c r="D364">
        <f t="shared" ca="1" si="111"/>
        <v>5</v>
      </c>
      <c r="E364">
        <f t="shared" ca="1" si="112"/>
        <v>2</v>
      </c>
      <c r="F364" s="61">
        <f t="shared" ca="1" si="113"/>
        <v>7.0806744524800009E-3</v>
      </c>
      <c r="G364">
        <v>0</v>
      </c>
      <c r="H364">
        <v>0</v>
      </c>
      <c r="I364">
        <v>7</v>
      </c>
      <c r="J364" s="61">
        <f t="shared" ca="1" si="114"/>
        <v>0</v>
      </c>
      <c r="K364" s="61">
        <f t="shared" ca="1" si="115"/>
        <v>0</v>
      </c>
      <c r="L364" s="82">
        <f t="shared" ca="1" si="116"/>
        <v>77</v>
      </c>
      <c r="M364" s="16">
        <f t="shared" ca="1" si="117"/>
        <v>923</v>
      </c>
      <c r="N364" s="3">
        <f t="shared" ca="1" si="118"/>
        <v>5</v>
      </c>
      <c r="O364" s="19">
        <f t="shared" ca="1" si="119"/>
        <v>2.8178718937399587</v>
      </c>
      <c r="P364" s="19">
        <f t="shared" ca="1" si="120"/>
        <v>28.178718937399587</v>
      </c>
      <c r="Q364" s="19">
        <f t="shared" ca="1" si="121"/>
        <v>28.178718937399587</v>
      </c>
      <c r="R364" s="19">
        <f t="shared" ca="1" si="122"/>
        <v>2.8178718937399587</v>
      </c>
      <c r="S364" s="19">
        <f t="shared" ca="1" si="123"/>
        <v>2.8178718937399587</v>
      </c>
      <c r="T364" s="19">
        <f t="shared" ca="1" si="124"/>
        <v>0</v>
      </c>
      <c r="U364" s="19">
        <f t="shared" ca="1" si="125"/>
        <v>1336.3251747165598</v>
      </c>
      <c r="V364" s="19">
        <f t="shared" ca="1" si="126"/>
        <v>0</v>
      </c>
      <c r="W364" s="82">
        <f t="shared" ca="1" si="127"/>
        <v>3401.3366102430559</v>
      </c>
      <c r="X364" s="19">
        <f t="shared" ca="1" si="128"/>
        <v>0</v>
      </c>
      <c r="Y364" s="19">
        <f t="shared" si="129"/>
        <v>0</v>
      </c>
      <c r="Z364" s="82">
        <f t="shared" ca="1" si="130"/>
        <v>3401.3366102430559</v>
      </c>
      <c r="AA364" s="19">
        <f t="shared" ca="1" si="131"/>
        <v>0</v>
      </c>
      <c r="AE364" s="19"/>
    </row>
    <row r="365" spans="1:31" ht="12.75" customHeight="1" x14ac:dyDescent="0.2">
      <c r="A365">
        <v>2</v>
      </c>
      <c r="B365">
        <v>2</v>
      </c>
      <c r="C365">
        <f t="shared" ca="1" si="110"/>
        <v>6</v>
      </c>
      <c r="D365">
        <f t="shared" ca="1" si="111"/>
        <v>5</v>
      </c>
      <c r="E365">
        <f t="shared" ca="1" si="112"/>
        <v>2</v>
      </c>
      <c r="F365" s="61">
        <f t="shared" ca="1" si="113"/>
        <v>7.0806744524800009E-3</v>
      </c>
      <c r="G365">
        <v>0</v>
      </c>
      <c r="H365">
        <v>0</v>
      </c>
      <c r="I365">
        <v>6</v>
      </c>
      <c r="J365" s="61">
        <f t="shared" ca="1" si="114"/>
        <v>0</v>
      </c>
      <c r="K365" s="61">
        <f t="shared" ca="1" si="115"/>
        <v>0</v>
      </c>
      <c r="L365" s="82">
        <f t="shared" ca="1" si="116"/>
        <v>66</v>
      </c>
      <c r="M365" s="16">
        <f t="shared" ca="1" si="117"/>
        <v>934</v>
      </c>
      <c r="N365" s="3">
        <f t="shared" ca="1" si="118"/>
        <v>5</v>
      </c>
      <c r="O365" s="19">
        <f t="shared" ca="1" si="119"/>
        <v>2.8178718937399587</v>
      </c>
      <c r="P365" s="19">
        <f t="shared" ca="1" si="120"/>
        <v>28.178718937399587</v>
      </c>
      <c r="Q365" s="19">
        <f t="shared" ca="1" si="121"/>
        <v>28.178718937399587</v>
      </c>
      <c r="R365" s="19">
        <f t="shared" ca="1" si="122"/>
        <v>2.8178718937399587</v>
      </c>
      <c r="S365" s="19">
        <f t="shared" ca="1" si="123"/>
        <v>2.8178718937399587</v>
      </c>
      <c r="T365" s="19">
        <f t="shared" ca="1" si="124"/>
        <v>0</v>
      </c>
      <c r="U365" s="19">
        <f t="shared" ca="1" si="125"/>
        <v>1325.3251747165598</v>
      </c>
      <c r="V365" s="19">
        <f t="shared" ca="1" si="126"/>
        <v>0</v>
      </c>
      <c r="W365" s="82">
        <f t="shared" ca="1" si="127"/>
        <v>2915.4313802083334</v>
      </c>
      <c r="X365" s="19">
        <f t="shared" ca="1" si="128"/>
        <v>0</v>
      </c>
      <c r="Y365" s="19">
        <f t="shared" si="129"/>
        <v>0</v>
      </c>
      <c r="Z365" s="82">
        <f t="shared" ca="1" si="130"/>
        <v>2915.4313802083334</v>
      </c>
      <c r="AA365" s="19">
        <f t="shared" ca="1" si="131"/>
        <v>0</v>
      </c>
      <c r="AE365" s="19"/>
    </row>
    <row r="366" spans="1:31" ht="12.75" customHeight="1" x14ac:dyDescent="0.2">
      <c r="A366">
        <v>2</v>
      </c>
      <c r="B366">
        <v>2</v>
      </c>
      <c r="C366">
        <f t="shared" ca="1" si="110"/>
        <v>6</v>
      </c>
      <c r="D366">
        <f t="shared" ca="1" si="111"/>
        <v>5</v>
      </c>
      <c r="E366">
        <f t="shared" ca="1" si="112"/>
        <v>2</v>
      </c>
      <c r="F366" s="61">
        <f t="shared" ca="1" si="113"/>
        <v>7.0806744524800009E-3</v>
      </c>
      <c r="G366">
        <v>0</v>
      </c>
      <c r="H366">
        <v>0</v>
      </c>
      <c r="I366">
        <v>5</v>
      </c>
      <c r="J366" s="61">
        <f t="shared" ca="1" si="114"/>
        <v>3.8689046875000001E-2</v>
      </c>
      <c r="K366" s="61">
        <f t="shared" ca="1" si="115"/>
        <v>2.7394454579861369E-4</v>
      </c>
      <c r="L366" s="82">
        <f t="shared" ca="1" si="116"/>
        <v>55</v>
      </c>
      <c r="M366" s="16">
        <f t="shared" ca="1" si="117"/>
        <v>945</v>
      </c>
      <c r="N366" s="3">
        <f t="shared" ca="1" si="118"/>
        <v>5</v>
      </c>
      <c r="O366" s="19">
        <f t="shared" ca="1" si="119"/>
        <v>2.8178718937399587</v>
      </c>
      <c r="P366" s="19">
        <f t="shared" ca="1" si="120"/>
        <v>28.178718937399587</v>
      </c>
      <c r="Q366" s="19">
        <f t="shared" ca="1" si="121"/>
        <v>28.178718937399587</v>
      </c>
      <c r="R366" s="19">
        <f t="shared" ca="1" si="122"/>
        <v>2.8178718937399587</v>
      </c>
      <c r="S366" s="19">
        <f t="shared" ca="1" si="123"/>
        <v>2.8178718937399587</v>
      </c>
      <c r="T366" s="19">
        <f t="shared" ca="1" si="124"/>
        <v>7.7194063604927243E-4</v>
      </c>
      <c r="U366" s="19">
        <f t="shared" ca="1" si="125"/>
        <v>1314.3251747165598</v>
      </c>
      <c r="V366" s="19">
        <f t="shared" ca="1" si="126"/>
        <v>0.36005221301941154</v>
      </c>
      <c r="W366" s="82">
        <f t="shared" ca="1" si="127"/>
        <v>2429.5261501736113</v>
      </c>
      <c r="X366" s="19">
        <f t="shared" ca="1" si="128"/>
        <v>0.66555543771516446</v>
      </c>
      <c r="Y366" s="19">
        <f t="shared" si="129"/>
        <v>0</v>
      </c>
      <c r="Z366" s="82">
        <f t="shared" ca="1" si="130"/>
        <v>2429.5261501736113</v>
      </c>
      <c r="AA366" s="19">
        <f t="shared" ca="1" si="131"/>
        <v>0.66555543771516446</v>
      </c>
      <c r="AE366" s="19"/>
    </row>
    <row r="367" spans="1:31" ht="12.75" customHeight="1" x14ac:dyDescent="0.2">
      <c r="A367">
        <v>2</v>
      </c>
      <c r="B367">
        <v>2</v>
      </c>
      <c r="C367">
        <f t="shared" ca="1" si="110"/>
        <v>6</v>
      </c>
      <c r="D367">
        <f t="shared" ca="1" si="111"/>
        <v>5</v>
      </c>
      <c r="E367">
        <f t="shared" ca="1" si="112"/>
        <v>2</v>
      </c>
      <c r="F367" s="61">
        <f t="shared" ca="1" si="113"/>
        <v>7.0806744524800009E-3</v>
      </c>
      <c r="G367">
        <v>0</v>
      </c>
      <c r="H367">
        <v>0</v>
      </c>
      <c r="I367">
        <v>4</v>
      </c>
      <c r="J367" s="61">
        <f t="shared" ca="1" si="114"/>
        <v>1.0181328125000009E-2</v>
      </c>
      <c r="K367" s="61">
        <f t="shared" ca="1" si="115"/>
        <v>7.2090669947003671E-5</v>
      </c>
      <c r="L367" s="82">
        <f t="shared" ca="1" si="116"/>
        <v>44</v>
      </c>
      <c r="M367" s="16">
        <f t="shared" ca="1" si="117"/>
        <v>956</v>
      </c>
      <c r="N367" s="3">
        <f t="shared" ca="1" si="118"/>
        <v>6</v>
      </c>
      <c r="O367" s="19">
        <f t="shared" ca="1" si="119"/>
        <v>3.3239268932937667</v>
      </c>
      <c r="P367" s="19">
        <f t="shared" ca="1" si="120"/>
        <v>33.239268932937669</v>
      </c>
      <c r="Q367" s="19">
        <f t="shared" ca="1" si="121"/>
        <v>28.178718937399587</v>
      </c>
      <c r="R367" s="19">
        <f t="shared" ca="1" si="122"/>
        <v>3.0708993935168629</v>
      </c>
      <c r="S367" s="19">
        <f t="shared" ca="1" si="123"/>
        <v>3.3239268932937667</v>
      </c>
      <c r="T367" s="19">
        <f t="shared" ca="1" si="124"/>
        <v>2.3962411659241023E-4</v>
      </c>
      <c r="U367" s="19">
        <f t="shared" ca="1" si="125"/>
        <v>1495.4024523027438</v>
      </c>
      <c r="V367" s="19">
        <f t="shared" ca="1" si="126"/>
        <v>0.107804564626897</v>
      </c>
      <c r="W367" s="82">
        <f t="shared" ca="1" si="127"/>
        <v>1943.620920138889</v>
      </c>
      <c r="X367" s="19">
        <f t="shared" ca="1" si="128"/>
        <v>0.14011693425582422</v>
      </c>
      <c r="Y367" s="19">
        <f t="shared" si="129"/>
        <v>0</v>
      </c>
      <c r="Z367" s="82">
        <f t="shared" ca="1" si="130"/>
        <v>1943.620920138889</v>
      </c>
      <c r="AA367" s="19">
        <f t="shared" ca="1" si="131"/>
        <v>0.14011693425582422</v>
      </c>
      <c r="AE367" s="19"/>
    </row>
    <row r="368" spans="1:31" ht="12.75" customHeight="1" x14ac:dyDescent="0.2">
      <c r="A368">
        <v>2</v>
      </c>
      <c r="B368">
        <v>2</v>
      </c>
      <c r="C368">
        <f t="shared" ca="1" si="110"/>
        <v>6</v>
      </c>
      <c r="D368">
        <f t="shared" ca="1" si="111"/>
        <v>5</v>
      </c>
      <c r="E368">
        <f t="shared" ca="1" si="112"/>
        <v>2</v>
      </c>
      <c r="F368" s="61">
        <f t="shared" ca="1" si="113"/>
        <v>7.0806744524800009E-3</v>
      </c>
      <c r="G368">
        <v>0</v>
      </c>
      <c r="H368">
        <v>0</v>
      </c>
      <c r="I368">
        <v>3</v>
      </c>
      <c r="J368" s="61">
        <f t="shared" ca="1" si="114"/>
        <v>1.0717187500000017E-3</v>
      </c>
      <c r="K368" s="61">
        <f t="shared" ca="1" si="115"/>
        <v>7.5884915733688126E-6</v>
      </c>
      <c r="L368" s="82">
        <f t="shared" ca="1" si="116"/>
        <v>33</v>
      </c>
      <c r="M368" s="16">
        <f t="shared" ca="1" si="117"/>
        <v>967</v>
      </c>
      <c r="N368" s="3">
        <f t="shared" ca="1" si="118"/>
        <v>6</v>
      </c>
      <c r="O368" s="19">
        <f t="shared" ca="1" si="119"/>
        <v>3.3239268932937667</v>
      </c>
      <c r="P368" s="19">
        <f t="shared" ca="1" si="120"/>
        <v>33.239268932937669</v>
      </c>
      <c r="Q368" s="19">
        <f t="shared" ca="1" si="121"/>
        <v>33.239268932937669</v>
      </c>
      <c r="R368" s="19">
        <f t="shared" ca="1" si="122"/>
        <v>3.3239268932937671</v>
      </c>
      <c r="S368" s="19">
        <f t="shared" ca="1" si="123"/>
        <v>3.3239268932937667</v>
      </c>
      <c r="T368" s="19">
        <f t="shared" ca="1" si="124"/>
        <v>2.5223591220253725E-5</v>
      </c>
      <c r="U368" s="19">
        <f t="shared" ca="1" si="125"/>
        <v>1484.4024523027438</v>
      </c>
      <c r="V368" s="19">
        <f t="shared" ca="1" si="126"/>
        <v>1.1264375500787372E-2</v>
      </c>
      <c r="W368" s="82">
        <f t="shared" ca="1" si="127"/>
        <v>1457.7156901041667</v>
      </c>
      <c r="X368" s="19">
        <f t="shared" ca="1" si="128"/>
        <v>1.1061863230722972E-2</v>
      </c>
      <c r="Y368" s="19">
        <f t="shared" si="129"/>
        <v>0</v>
      </c>
      <c r="Z368" s="82">
        <f t="shared" ca="1" si="130"/>
        <v>1457.7156901041667</v>
      </c>
      <c r="AA368" s="19">
        <f t="shared" ca="1" si="131"/>
        <v>1.1061863230722972E-2</v>
      </c>
      <c r="AE368" s="19"/>
    </row>
    <row r="369" spans="1:31" ht="12.75" customHeight="1" x14ac:dyDescent="0.2">
      <c r="A369">
        <v>2</v>
      </c>
      <c r="B369">
        <v>2</v>
      </c>
      <c r="C369">
        <f t="shared" ca="1" si="110"/>
        <v>6</v>
      </c>
      <c r="D369">
        <f t="shared" ca="1" si="111"/>
        <v>5</v>
      </c>
      <c r="E369">
        <f t="shared" ca="1" si="112"/>
        <v>2</v>
      </c>
      <c r="F369" s="61">
        <f t="shared" ca="1" si="113"/>
        <v>7.0806744524800009E-3</v>
      </c>
      <c r="G369">
        <v>0</v>
      </c>
      <c r="H369">
        <v>0</v>
      </c>
      <c r="I369">
        <v>2</v>
      </c>
      <c r="J369" s="61">
        <f t="shared" ca="1" si="114"/>
        <v>5.6406250000000155E-5</v>
      </c>
      <c r="K369" s="61">
        <f t="shared" ca="1" si="115"/>
        <v>3.9939429333520115E-7</v>
      </c>
      <c r="L369" s="82">
        <f t="shared" ca="1" si="116"/>
        <v>22</v>
      </c>
      <c r="M369" s="16">
        <f t="shared" ca="1" si="117"/>
        <v>978</v>
      </c>
      <c r="N369" s="3">
        <f t="shared" ca="1" si="118"/>
        <v>6</v>
      </c>
      <c r="O369" s="19">
        <f t="shared" ca="1" si="119"/>
        <v>3.3239268932937667</v>
      </c>
      <c r="P369" s="19">
        <f t="shared" ca="1" si="120"/>
        <v>33.239268932937669</v>
      </c>
      <c r="Q369" s="19">
        <f t="shared" ca="1" si="121"/>
        <v>33.239268932937669</v>
      </c>
      <c r="R369" s="19">
        <f t="shared" ca="1" si="122"/>
        <v>3.3239268932937671</v>
      </c>
      <c r="S369" s="19">
        <f t="shared" ca="1" si="123"/>
        <v>3.3239268932937667</v>
      </c>
      <c r="T369" s="19">
        <f t="shared" ca="1" si="124"/>
        <v>1.3275574326449344E-6</v>
      </c>
      <c r="U369" s="19">
        <f t="shared" ca="1" si="125"/>
        <v>1473.4024523027438</v>
      </c>
      <c r="V369" s="19">
        <f t="shared" ca="1" si="126"/>
        <v>5.8846853123580673E-4</v>
      </c>
      <c r="W369" s="82">
        <f t="shared" ca="1" si="127"/>
        <v>971.8104600694445</v>
      </c>
      <c r="X369" s="19">
        <f t="shared" ca="1" si="128"/>
        <v>3.881355519551925E-4</v>
      </c>
      <c r="Y369" s="19">
        <f t="shared" si="129"/>
        <v>0</v>
      </c>
      <c r="Z369" s="82">
        <f t="shared" ca="1" si="130"/>
        <v>971.8104600694445</v>
      </c>
      <c r="AA369" s="19">
        <f t="shared" ca="1" si="131"/>
        <v>3.881355519551925E-4</v>
      </c>
      <c r="AE369" s="19"/>
    </row>
    <row r="370" spans="1:31" ht="12.75" customHeight="1" x14ac:dyDescent="0.2">
      <c r="A370">
        <v>2</v>
      </c>
      <c r="B370">
        <v>2</v>
      </c>
      <c r="C370">
        <f t="shared" ca="1" si="110"/>
        <v>6</v>
      </c>
      <c r="D370">
        <f t="shared" ca="1" si="111"/>
        <v>5</v>
      </c>
      <c r="E370">
        <f t="shared" ca="1" si="112"/>
        <v>2</v>
      </c>
      <c r="F370" s="61">
        <f t="shared" ca="1" si="113"/>
        <v>7.0806744524800009E-3</v>
      </c>
      <c r="G370">
        <v>0</v>
      </c>
      <c r="H370">
        <v>0</v>
      </c>
      <c r="I370">
        <v>1</v>
      </c>
      <c r="J370" s="61">
        <f t="shared" ca="1" si="114"/>
        <v>1.4843750000000054E-6</v>
      </c>
      <c r="K370" s="61">
        <f t="shared" ca="1" si="115"/>
        <v>1.0510376140400039E-8</v>
      </c>
      <c r="L370" s="82">
        <f t="shared" ca="1" si="116"/>
        <v>11</v>
      </c>
      <c r="M370" s="16">
        <f t="shared" ca="1" si="117"/>
        <v>989</v>
      </c>
      <c r="N370" s="3">
        <f t="shared" ca="1" si="118"/>
        <v>6</v>
      </c>
      <c r="O370" s="19">
        <f t="shared" ca="1" si="119"/>
        <v>3.3239268932937667</v>
      </c>
      <c r="P370" s="19">
        <f t="shared" ca="1" si="120"/>
        <v>33.239268932937669</v>
      </c>
      <c r="Q370" s="19">
        <f t="shared" ca="1" si="121"/>
        <v>33.239268932937669</v>
      </c>
      <c r="R370" s="19">
        <f t="shared" ca="1" si="122"/>
        <v>3.3239268932937671</v>
      </c>
      <c r="S370" s="19">
        <f t="shared" ca="1" si="123"/>
        <v>3.3239268932937667</v>
      </c>
      <c r="T370" s="19">
        <f t="shared" ca="1" si="124"/>
        <v>3.4935721911708833E-8</v>
      </c>
      <c r="U370" s="19">
        <f t="shared" ca="1" si="125"/>
        <v>1462.4024523027438</v>
      </c>
      <c r="V370" s="19">
        <f t="shared" ca="1" si="126"/>
        <v>1.5370399842345265E-5</v>
      </c>
      <c r="W370" s="82">
        <f t="shared" ca="1" si="127"/>
        <v>485.90523003472225</v>
      </c>
      <c r="X370" s="19">
        <f t="shared" ca="1" si="128"/>
        <v>5.1070467362525375E-6</v>
      </c>
      <c r="Y370" s="19">
        <f t="shared" si="129"/>
        <v>0</v>
      </c>
      <c r="Z370" s="82">
        <f t="shared" ca="1" si="130"/>
        <v>485.90523003472225</v>
      </c>
      <c r="AA370" s="19">
        <f t="shared" ca="1" si="131"/>
        <v>5.1070467362525375E-6</v>
      </c>
      <c r="AE370" s="19"/>
    </row>
    <row r="371" spans="1:31" ht="12.75" customHeight="1" x14ac:dyDescent="0.2">
      <c r="A371">
        <v>2</v>
      </c>
      <c r="B371">
        <v>2</v>
      </c>
      <c r="C371">
        <f t="shared" ca="1" si="110"/>
        <v>6</v>
      </c>
      <c r="D371">
        <f t="shared" ca="1" si="111"/>
        <v>5</v>
      </c>
      <c r="E371">
        <f t="shared" ca="1" si="112"/>
        <v>2</v>
      </c>
      <c r="F371" s="61">
        <f t="shared" ca="1" si="113"/>
        <v>7.0806744524800009E-3</v>
      </c>
      <c r="G371">
        <v>0</v>
      </c>
      <c r="H371">
        <v>0</v>
      </c>
      <c r="I371">
        <v>0</v>
      </c>
      <c r="J371" s="61">
        <f t="shared" ca="1" si="114"/>
        <v>1.5625000000000072E-8</v>
      </c>
      <c r="K371" s="61">
        <f t="shared" ca="1" si="115"/>
        <v>1.1063553832000052E-10</v>
      </c>
      <c r="L371" s="82">
        <f t="shared" ca="1" si="116"/>
        <v>0</v>
      </c>
      <c r="M371" s="16">
        <f t="shared" ca="1" si="117"/>
        <v>1000</v>
      </c>
      <c r="N371" s="3">
        <f t="shared" ca="1" si="118"/>
        <v>6</v>
      </c>
      <c r="O371" s="19">
        <f t="shared" ca="1" si="119"/>
        <v>3.3239268932937667</v>
      </c>
      <c r="P371" s="19">
        <f t="shared" ca="1" si="120"/>
        <v>33.239268932937669</v>
      </c>
      <c r="Q371" s="19">
        <f t="shared" ca="1" si="121"/>
        <v>33.239268932937669</v>
      </c>
      <c r="R371" s="19">
        <f t="shared" ca="1" si="122"/>
        <v>3.3239268932937671</v>
      </c>
      <c r="S371" s="19">
        <f t="shared" ca="1" si="123"/>
        <v>3.3239268932937667</v>
      </c>
      <c r="T371" s="19">
        <f t="shared" ca="1" si="124"/>
        <v>3.6774444117588283E-10</v>
      </c>
      <c r="U371" s="19">
        <f t="shared" ca="1" si="125"/>
        <v>1451.4024523027438</v>
      </c>
      <c r="V371" s="19">
        <f t="shared" ca="1" si="126"/>
        <v>1.6057669162948292E-7</v>
      </c>
      <c r="W371" s="82">
        <f t="shared" ca="1" si="127"/>
        <v>0</v>
      </c>
      <c r="X371" s="19">
        <f t="shared" ca="1" si="128"/>
        <v>0</v>
      </c>
      <c r="Y371" s="19">
        <f t="shared" si="129"/>
        <v>0</v>
      </c>
      <c r="Z371" s="82">
        <f t="shared" ca="1" si="130"/>
        <v>0</v>
      </c>
      <c r="AA371" s="19">
        <f t="shared" ca="1" si="131"/>
        <v>0</v>
      </c>
      <c r="AE371" s="19"/>
    </row>
    <row r="372" spans="1:31" ht="12.75" customHeight="1" x14ac:dyDescent="0.2">
      <c r="A372">
        <v>2</v>
      </c>
      <c r="B372">
        <v>3</v>
      </c>
      <c r="C372">
        <f t="shared" ca="1" si="110"/>
        <v>7</v>
      </c>
      <c r="D372">
        <f t="shared" ca="1" si="111"/>
        <v>6</v>
      </c>
      <c r="E372">
        <f t="shared" ca="1" si="112"/>
        <v>2</v>
      </c>
      <c r="F372" s="61">
        <f t="shared" ca="1" si="113"/>
        <v>5.4747482880000004E-3</v>
      </c>
      <c r="G372">
        <v>1</v>
      </c>
      <c r="H372">
        <v>1</v>
      </c>
      <c r="I372">
        <v>7</v>
      </c>
      <c r="J372" s="61">
        <f t="shared" ca="1" si="114"/>
        <v>0</v>
      </c>
      <c r="K372" s="61">
        <f t="shared" ca="1" si="115"/>
        <v>0</v>
      </c>
      <c r="L372" s="82">
        <f t="shared" ca="1" si="116"/>
        <v>399</v>
      </c>
      <c r="M372" s="16">
        <f t="shared" ca="1" si="117"/>
        <v>601</v>
      </c>
      <c r="N372" s="3">
        <f t="shared" ca="1" si="118"/>
        <v>4</v>
      </c>
      <c r="O372" s="19">
        <f t="shared" ca="1" si="119"/>
        <v>2.3453053758100548</v>
      </c>
      <c r="P372" s="19">
        <f t="shared" ca="1" si="120"/>
        <v>23.453053758100552</v>
      </c>
      <c r="Q372" s="19">
        <f t="shared" ca="1" si="121"/>
        <v>23.453053758100552</v>
      </c>
      <c r="R372" s="19">
        <f t="shared" ca="1" si="122"/>
        <v>2.3453053758100553</v>
      </c>
      <c r="S372" s="19">
        <f t="shared" ca="1" si="123"/>
        <v>2.3453053758100548</v>
      </c>
      <c r="T372" s="19">
        <f t="shared" ca="1" si="124"/>
        <v>0</v>
      </c>
      <c r="U372" s="19">
        <f t="shared" ca="1" si="125"/>
        <v>1478.9587218163997</v>
      </c>
      <c r="V372" s="19">
        <f t="shared" ca="1" si="126"/>
        <v>0</v>
      </c>
      <c r="W372" s="82">
        <f t="shared" ca="1" si="127"/>
        <v>5718.7981307870377</v>
      </c>
      <c r="X372" s="19">
        <f t="shared" ca="1" si="128"/>
        <v>0</v>
      </c>
      <c r="Y372" s="19">
        <f t="shared" si="129"/>
        <v>0</v>
      </c>
      <c r="Z372" s="82">
        <f t="shared" ca="1" si="130"/>
        <v>5718.7981307870377</v>
      </c>
      <c r="AA372" s="19">
        <f t="shared" ca="1" si="131"/>
        <v>0</v>
      </c>
      <c r="AE372" s="19"/>
    </row>
    <row r="373" spans="1:31" ht="12.75" customHeight="1" x14ac:dyDescent="0.2">
      <c r="A373">
        <v>2</v>
      </c>
      <c r="B373">
        <v>3</v>
      </c>
      <c r="C373">
        <f t="shared" ca="1" si="110"/>
        <v>7</v>
      </c>
      <c r="D373">
        <f t="shared" ca="1" si="111"/>
        <v>6</v>
      </c>
      <c r="E373">
        <f t="shared" ca="1" si="112"/>
        <v>2</v>
      </c>
      <c r="F373" s="61">
        <f t="shared" ca="1" si="113"/>
        <v>5.4747482880000004E-3</v>
      </c>
      <c r="G373">
        <v>1</v>
      </c>
      <c r="H373">
        <v>1</v>
      </c>
      <c r="I373">
        <v>6</v>
      </c>
      <c r="J373" s="61">
        <f t="shared" ca="1" si="114"/>
        <v>0</v>
      </c>
      <c r="K373" s="61">
        <f t="shared" ca="1" si="115"/>
        <v>0</v>
      </c>
      <c r="L373" s="82">
        <f t="shared" ca="1" si="116"/>
        <v>388</v>
      </c>
      <c r="M373" s="16">
        <f t="shared" ca="1" si="117"/>
        <v>612</v>
      </c>
      <c r="N373" s="3">
        <f t="shared" ca="1" si="118"/>
        <v>4</v>
      </c>
      <c r="O373" s="19">
        <f t="shared" ca="1" si="119"/>
        <v>2.3453053758100548</v>
      </c>
      <c r="P373" s="19">
        <f t="shared" ca="1" si="120"/>
        <v>23.453053758100552</v>
      </c>
      <c r="Q373" s="19">
        <f t="shared" ca="1" si="121"/>
        <v>23.453053758100552</v>
      </c>
      <c r="R373" s="19">
        <f t="shared" ca="1" si="122"/>
        <v>2.3453053758100553</v>
      </c>
      <c r="S373" s="19">
        <f t="shared" ca="1" si="123"/>
        <v>2.3453053758100548</v>
      </c>
      <c r="T373" s="19">
        <f t="shared" ca="1" si="124"/>
        <v>0</v>
      </c>
      <c r="U373" s="19">
        <f t="shared" ca="1" si="125"/>
        <v>1467.9587218163997</v>
      </c>
      <c r="V373" s="19">
        <f t="shared" ca="1" si="126"/>
        <v>0</v>
      </c>
      <c r="W373" s="82">
        <f t="shared" ca="1" si="127"/>
        <v>5232.8929007523147</v>
      </c>
      <c r="X373" s="19">
        <f t="shared" ca="1" si="128"/>
        <v>0</v>
      </c>
      <c r="Y373" s="19">
        <f t="shared" si="129"/>
        <v>0</v>
      </c>
      <c r="Z373" s="82">
        <f t="shared" ca="1" si="130"/>
        <v>5232.8929007523147</v>
      </c>
      <c r="AA373" s="19">
        <f t="shared" ca="1" si="131"/>
        <v>0</v>
      </c>
      <c r="AE373" s="19"/>
    </row>
    <row r="374" spans="1:31" ht="12.75" customHeight="1" x14ac:dyDescent="0.2">
      <c r="A374">
        <v>2</v>
      </c>
      <c r="B374">
        <v>3</v>
      </c>
      <c r="C374">
        <f t="shared" ca="1" si="110"/>
        <v>7</v>
      </c>
      <c r="D374">
        <f t="shared" ca="1" si="111"/>
        <v>6</v>
      </c>
      <c r="E374">
        <f t="shared" ca="1" si="112"/>
        <v>2</v>
      </c>
      <c r="F374" s="61">
        <f t="shared" ca="1" si="113"/>
        <v>5.4747482880000004E-3</v>
      </c>
      <c r="G374">
        <v>1</v>
      </c>
      <c r="H374">
        <v>1</v>
      </c>
      <c r="I374">
        <v>5</v>
      </c>
      <c r="J374" s="61">
        <f t="shared" ca="1" si="114"/>
        <v>0</v>
      </c>
      <c r="K374" s="61">
        <f t="shared" ca="1" si="115"/>
        <v>0</v>
      </c>
      <c r="L374" s="82">
        <f t="shared" ca="1" si="116"/>
        <v>377</v>
      </c>
      <c r="M374" s="16">
        <f t="shared" ca="1" si="117"/>
        <v>623</v>
      </c>
      <c r="N374" s="3">
        <f t="shared" ca="1" si="118"/>
        <v>4</v>
      </c>
      <c r="O374" s="19">
        <f t="shared" ca="1" si="119"/>
        <v>2.3453053758100548</v>
      </c>
      <c r="P374" s="19">
        <f t="shared" ca="1" si="120"/>
        <v>23.453053758100552</v>
      </c>
      <c r="Q374" s="19">
        <f t="shared" ca="1" si="121"/>
        <v>23.453053758100552</v>
      </c>
      <c r="R374" s="19">
        <f t="shared" ca="1" si="122"/>
        <v>2.3453053758100553</v>
      </c>
      <c r="S374" s="19">
        <f t="shared" ca="1" si="123"/>
        <v>2.3453053758100548</v>
      </c>
      <c r="T374" s="19">
        <f t="shared" ca="1" si="124"/>
        <v>0</v>
      </c>
      <c r="U374" s="19">
        <f t="shared" ca="1" si="125"/>
        <v>1456.9587218163997</v>
      </c>
      <c r="V374" s="19">
        <f t="shared" ca="1" si="126"/>
        <v>0</v>
      </c>
      <c r="W374" s="82">
        <f t="shared" ca="1" si="127"/>
        <v>4746.9876707175936</v>
      </c>
      <c r="X374" s="19">
        <f t="shared" ca="1" si="128"/>
        <v>0</v>
      </c>
      <c r="Y374" s="19">
        <f t="shared" si="129"/>
        <v>0</v>
      </c>
      <c r="Z374" s="82">
        <f t="shared" ca="1" si="130"/>
        <v>4746.9876707175936</v>
      </c>
      <c r="AA374" s="19">
        <f t="shared" ca="1" si="131"/>
        <v>0</v>
      </c>
      <c r="AE374" s="19"/>
    </row>
    <row r="375" spans="1:31" ht="12.75" customHeight="1" x14ac:dyDescent="0.2">
      <c r="A375">
        <v>2</v>
      </c>
      <c r="B375">
        <v>3</v>
      </c>
      <c r="C375">
        <f t="shared" ca="1" si="110"/>
        <v>7</v>
      </c>
      <c r="D375">
        <f t="shared" ca="1" si="111"/>
        <v>6</v>
      </c>
      <c r="E375">
        <f t="shared" ca="1" si="112"/>
        <v>2</v>
      </c>
      <c r="F375" s="61">
        <f t="shared" ca="1" si="113"/>
        <v>5.4747482880000004E-3</v>
      </c>
      <c r="G375">
        <v>1</v>
      </c>
      <c r="H375">
        <v>1</v>
      </c>
      <c r="I375">
        <v>4</v>
      </c>
      <c r="J375" s="61">
        <f t="shared" ca="1" si="114"/>
        <v>0</v>
      </c>
      <c r="K375" s="61">
        <f t="shared" ca="1" si="115"/>
        <v>0</v>
      </c>
      <c r="L375" s="82">
        <f t="shared" ca="1" si="116"/>
        <v>366</v>
      </c>
      <c r="M375" s="16">
        <f t="shared" ca="1" si="117"/>
        <v>634</v>
      </c>
      <c r="N375" s="3">
        <f t="shared" ca="1" si="118"/>
        <v>4</v>
      </c>
      <c r="O375" s="19">
        <f t="shared" ca="1" si="119"/>
        <v>2.3453053758100548</v>
      </c>
      <c r="P375" s="19">
        <f t="shared" ca="1" si="120"/>
        <v>23.453053758100552</v>
      </c>
      <c r="Q375" s="19">
        <f t="shared" ca="1" si="121"/>
        <v>23.453053758100552</v>
      </c>
      <c r="R375" s="19">
        <f t="shared" ca="1" si="122"/>
        <v>2.3453053758100553</v>
      </c>
      <c r="S375" s="19">
        <f t="shared" ca="1" si="123"/>
        <v>2.3453053758100548</v>
      </c>
      <c r="T375" s="19">
        <f t="shared" ca="1" si="124"/>
        <v>0</v>
      </c>
      <c r="U375" s="19">
        <f t="shared" ca="1" si="125"/>
        <v>1445.9587218163997</v>
      </c>
      <c r="V375" s="19">
        <f t="shared" ca="1" si="126"/>
        <v>0</v>
      </c>
      <c r="W375" s="82">
        <f t="shared" ca="1" si="127"/>
        <v>4261.0824406828706</v>
      </c>
      <c r="X375" s="19">
        <f t="shared" ca="1" si="128"/>
        <v>0</v>
      </c>
      <c r="Y375" s="19">
        <f t="shared" si="129"/>
        <v>0</v>
      </c>
      <c r="Z375" s="82">
        <f t="shared" ca="1" si="130"/>
        <v>4261.0824406828706</v>
      </c>
      <c r="AA375" s="19">
        <f t="shared" ca="1" si="131"/>
        <v>0</v>
      </c>
      <c r="AE375" s="19"/>
    </row>
    <row r="376" spans="1:31" ht="12.75" customHeight="1" x14ac:dyDescent="0.2">
      <c r="A376">
        <v>2</v>
      </c>
      <c r="B376">
        <v>3</v>
      </c>
      <c r="C376">
        <f t="shared" ca="1" si="110"/>
        <v>7</v>
      </c>
      <c r="D376">
        <f t="shared" ca="1" si="111"/>
        <v>6</v>
      </c>
      <c r="E376">
        <f t="shared" ca="1" si="112"/>
        <v>2</v>
      </c>
      <c r="F376" s="61">
        <f t="shared" ca="1" si="113"/>
        <v>5.4747482880000004E-3</v>
      </c>
      <c r="G376">
        <v>1</v>
      </c>
      <c r="H376">
        <v>1</v>
      </c>
      <c r="I376">
        <v>3</v>
      </c>
      <c r="J376" s="61">
        <f t="shared" ca="1" si="114"/>
        <v>0</v>
      </c>
      <c r="K376" s="61">
        <f t="shared" ca="1" si="115"/>
        <v>0</v>
      </c>
      <c r="L376" s="82">
        <f t="shared" ca="1" si="116"/>
        <v>355</v>
      </c>
      <c r="M376" s="16">
        <f t="shared" ca="1" si="117"/>
        <v>645</v>
      </c>
      <c r="N376" s="3">
        <f t="shared" ca="1" si="118"/>
        <v>4</v>
      </c>
      <c r="O376" s="19">
        <f t="shared" ca="1" si="119"/>
        <v>2.3453053758100548</v>
      </c>
      <c r="P376" s="19">
        <f t="shared" ca="1" si="120"/>
        <v>23.453053758100552</v>
      </c>
      <c r="Q376" s="19">
        <f t="shared" ca="1" si="121"/>
        <v>23.453053758100552</v>
      </c>
      <c r="R376" s="19">
        <f t="shared" ca="1" si="122"/>
        <v>2.3453053758100553</v>
      </c>
      <c r="S376" s="19">
        <f t="shared" ca="1" si="123"/>
        <v>2.3453053758100548</v>
      </c>
      <c r="T376" s="19">
        <f t="shared" ca="1" si="124"/>
        <v>0</v>
      </c>
      <c r="U376" s="19">
        <f t="shared" ca="1" si="125"/>
        <v>1434.9587218163997</v>
      </c>
      <c r="V376" s="19">
        <f t="shared" ca="1" si="126"/>
        <v>0</v>
      </c>
      <c r="W376" s="82">
        <f t="shared" ca="1" si="127"/>
        <v>3775.1772106481485</v>
      </c>
      <c r="X376" s="19">
        <f t="shared" ca="1" si="128"/>
        <v>0</v>
      </c>
      <c r="Y376" s="19">
        <f t="shared" si="129"/>
        <v>0</v>
      </c>
      <c r="Z376" s="82">
        <f t="shared" ca="1" si="130"/>
        <v>3775.1772106481485</v>
      </c>
      <c r="AA376" s="19">
        <f t="shared" ca="1" si="131"/>
        <v>0</v>
      </c>
      <c r="AE376" s="19"/>
    </row>
    <row r="377" spans="1:31" ht="12.75" customHeight="1" x14ac:dyDescent="0.2">
      <c r="A377">
        <v>2</v>
      </c>
      <c r="B377">
        <v>3</v>
      </c>
      <c r="C377">
        <f t="shared" ca="1" si="110"/>
        <v>7</v>
      </c>
      <c r="D377">
        <f t="shared" ca="1" si="111"/>
        <v>6</v>
      </c>
      <c r="E377">
        <f t="shared" ca="1" si="112"/>
        <v>2</v>
      </c>
      <c r="F377" s="61">
        <f t="shared" ca="1" si="113"/>
        <v>5.4747482880000004E-3</v>
      </c>
      <c r="G377">
        <v>1</v>
      </c>
      <c r="H377">
        <v>1</v>
      </c>
      <c r="I377">
        <v>2</v>
      </c>
      <c r="J377" s="61">
        <f t="shared" ca="1" si="114"/>
        <v>0</v>
      </c>
      <c r="K377" s="61">
        <f t="shared" ca="1" si="115"/>
        <v>0</v>
      </c>
      <c r="L377" s="82">
        <f t="shared" ca="1" si="116"/>
        <v>344</v>
      </c>
      <c r="M377" s="16">
        <f t="shared" ca="1" si="117"/>
        <v>656</v>
      </c>
      <c r="N377" s="3">
        <f t="shared" ca="1" si="118"/>
        <v>4</v>
      </c>
      <c r="O377" s="19">
        <f t="shared" ca="1" si="119"/>
        <v>2.3453053758100548</v>
      </c>
      <c r="P377" s="19">
        <f t="shared" ca="1" si="120"/>
        <v>23.453053758100552</v>
      </c>
      <c r="Q377" s="19">
        <f t="shared" ca="1" si="121"/>
        <v>23.453053758100552</v>
      </c>
      <c r="R377" s="19">
        <f t="shared" ca="1" si="122"/>
        <v>2.3453053758100553</v>
      </c>
      <c r="S377" s="19">
        <f t="shared" ca="1" si="123"/>
        <v>2.3453053758100548</v>
      </c>
      <c r="T377" s="19">
        <f t="shared" ca="1" si="124"/>
        <v>0</v>
      </c>
      <c r="U377" s="19">
        <f t="shared" ca="1" si="125"/>
        <v>1423.9587218163997</v>
      </c>
      <c r="V377" s="19">
        <f t="shared" ca="1" si="126"/>
        <v>0</v>
      </c>
      <c r="W377" s="82">
        <f t="shared" ca="1" si="127"/>
        <v>3289.2719806134264</v>
      </c>
      <c r="X377" s="19">
        <f t="shared" ca="1" si="128"/>
        <v>0</v>
      </c>
      <c r="Y377" s="19">
        <f t="shared" si="129"/>
        <v>0</v>
      </c>
      <c r="Z377" s="82">
        <f t="shared" ca="1" si="130"/>
        <v>3289.2719806134264</v>
      </c>
      <c r="AA377" s="19">
        <f t="shared" ca="1" si="131"/>
        <v>0</v>
      </c>
      <c r="AE377" s="19"/>
    </row>
    <row r="378" spans="1:31" ht="12.75" customHeight="1" x14ac:dyDescent="0.2">
      <c r="A378">
        <v>2</v>
      </c>
      <c r="B378">
        <v>3</v>
      </c>
      <c r="C378">
        <f t="shared" ca="1" si="110"/>
        <v>7</v>
      </c>
      <c r="D378">
        <f t="shared" ca="1" si="111"/>
        <v>6</v>
      </c>
      <c r="E378">
        <f t="shared" ca="1" si="112"/>
        <v>2</v>
      </c>
      <c r="F378" s="61">
        <f t="shared" ca="1" si="113"/>
        <v>5.4747482880000004E-3</v>
      </c>
      <c r="G378">
        <v>1</v>
      </c>
      <c r="H378">
        <v>1</v>
      </c>
      <c r="I378">
        <v>1</v>
      </c>
      <c r="J378" s="61">
        <f t="shared" ca="1" si="114"/>
        <v>0</v>
      </c>
      <c r="K378" s="61">
        <f t="shared" ca="1" si="115"/>
        <v>0</v>
      </c>
      <c r="L378" s="82">
        <f t="shared" ca="1" si="116"/>
        <v>333</v>
      </c>
      <c r="M378" s="16">
        <f t="shared" ca="1" si="117"/>
        <v>667</v>
      </c>
      <c r="N378" s="3">
        <f t="shared" ca="1" si="118"/>
        <v>4</v>
      </c>
      <c r="O378" s="19">
        <f t="shared" ca="1" si="119"/>
        <v>2.3453053758100548</v>
      </c>
      <c r="P378" s="19">
        <f t="shared" ca="1" si="120"/>
        <v>23.453053758100552</v>
      </c>
      <c r="Q378" s="19">
        <f t="shared" ca="1" si="121"/>
        <v>23.453053758100552</v>
      </c>
      <c r="R378" s="19">
        <f t="shared" ca="1" si="122"/>
        <v>2.3453053758100553</v>
      </c>
      <c r="S378" s="19">
        <f t="shared" ca="1" si="123"/>
        <v>2.3453053758100548</v>
      </c>
      <c r="T378" s="19">
        <f t="shared" ca="1" si="124"/>
        <v>0</v>
      </c>
      <c r="U378" s="19">
        <f t="shared" ca="1" si="125"/>
        <v>1412.9587218163997</v>
      </c>
      <c r="V378" s="19">
        <f t="shared" ca="1" si="126"/>
        <v>0</v>
      </c>
      <c r="W378" s="82">
        <f t="shared" ca="1" si="127"/>
        <v>2803.3667505787039</v>
      </c>
      <c r="X378" s="19">
        <f t="shared" ca="1" si="128"/>
        <v>0</v>
      </c>
      <c r="Y378" s="19">
        <f t="shared" si="129"/>
        <v>0</v>
      </c>
      <c r="Z378" s="82">
        <f t="shared" ca="1" si="130"/>
        <v>2803.3667505787039</v>
      </c>
      <c r="AA378" s="19">
        <f t="shared" ca="1" si="131"/>
        <v>0</v>
      </c>
      <c r="AE378" s="19"/>
    </row>
    <row r="379" spans="1:31" ht="12.75" customHeight="1" x14ac:dyDescent="0.2">
      <c r="A379">
        <v>2</v>
      </c>
      <c r="B379">
        <v>3</v>
      </c>
      <c r="C379">
        <f t="shared" ca="1" si="110"/>
        <v>7</v>
      </c>
      <c r="D379">
        <f t="shared" ca="1" si="111"/>
        <v>6</v>
      </c>
      <c r="E379">
        <f t="shared" ca="1" si="112"/>
        <v>2</v>
      </c>
      <c r="F379" s="61">
        <f t="shared" ca="1" si="113"/>
        <v>5.4747482880000004E-3</v>
      </c>
      <c r="G379">
        <v>1</v>
      </c>
      <c r="H379">
        <v>1</v>
      </c>
      <c r="I379">
        <v>0</v>
      </c>
      <c r="J379" s="61">
        <f t="shared" ca="1" si="114"/>
        <v>0</v>
      </c>
      <c r="K379" s="61">
        <f t="shared" ca="1" si="115"/>
        <v>0</v>
      </c>
      <c r="L379" s="82">
        <f t="shared" ca="1" si="116"/>
        <v>322</v>
      </c>
      <c r="M379" s="16">
        <f t="shared" ca="1" si="117"/>
        <v>678</v>
      </c>
      <c r="N379" s="3">
        <f t="shared" ca="1" si="118"/>
        <v>4</v>
      </c>
      <c r="O379" s="19">
        <f t="shared" ca="1" si="119"/>
        <v>2.3453053758100548</v>
      </c>
      <c r="P379" s="19">
        <f t="shared" ca="1" si="120"/>
        <v>23.453053758100552</v>
      </c>
      <c r="Q379" s="19">
        <f t="shared" ca="1" si="121"/>
        <v>23.453053758100552</v>
      </c>
      <c r="R379" s="19">
        <f t="shared" ca="1" si="122"/>
        <v>2.3453053758100553</v>
      </c>
      <c r="S379" s="19">
        <f t="shared" ca="1" si="123"/>
        <v>2.3453053758100548</v>
      </c>
      <c r="T379" s="19">
        <f t="shared" ca="1" si="124"/>
        <v>0</v>
      </c>
      <c r="U379" s="19">
        <f t="shared" ca="1" si="125"/>
        <v>1401.9587218163997</v>
      </c>
      <c r="V379" s="19">
        <f t="shared" ca="1" si="126"/>
        <v>0</v>
      </c>
      <c r="W379" s="82">
        <f t="shared" ca="1" si="127"/>
        <v>2317.4615205439818</v>
      </c>
      <c r="X379" s="19">
        <f t="shared" ca="1" si="128"/>
        <v>0</v>
      </c>
      <c r="Y379" s="19">
        <f t="shared" si="129"/>
        <v>0</v>
      </c>
      <c r="Z379" s="82">
        <f t="shared" ca="1" si="130"/>
        <v>2317.4615205439818</v>
      </c>
      <c r="AA379" s="19">
        <f t="shared" ca="1" si="131"/>
        <v>0</v>
      </c>
      <c r="AE379" s="19"/>
    </row>
    <row r="380" spans="1:31" ht="12.75" customHeight="1" x14ac:dyDescent="0.2">
      <c r="A380">
        <v>2</v>
      </c>
      <c r="B380">
        <v>3</v>
      </c>
      <c r="C380">
        <f t="shared" ca="1" si="110"/>
        <v>7</v>
      </c>
      <c r="D380">
        <f t="shared" ca="1" si="111"/>
        <v>6</v>
      </c>
      <c r="E380">
        <f t="shared" ca="1" si="112"/>
        <v>2</v>
      </c>
      <c r="F380" s="61">
        <f t="shared" ca="1" si="113"/>
        <v>5.4747482880000004E-3</v>
      </c>
      <c r="G380">
        <v>1</v>
      </c>
      <c r="H380">
        <v>0</v>
      </c>
      <c r="I380">
        <v>7</v>
      </c>
      <c r="J380" s="61">
        <f t="shared" ca="1" si="114"/>
        <v>0</v>
      </c>
      <c r="K380" s="61">
        <f t="shared" ca="1" si="115"/>
        <v>0</v>
      </c>
      <c r="L380" s="82">
        <f t="shared" ca="1" si="116"/>
        <v>238</v>
      </c>
      <c r="M380" s="16">
        <f t="shared" ca="1" si="117"/>
        <v>762</v>
      </c>
      <c r="N380" s="3">
        <f t="shared" ca="1" si="118"/>
        <v>5</v>
      </c>
      <c r="O380" s="19">
        <f t="shared" ca="1" si="119"/>
        <v>2.8178718937399587</v>
      </c>
      <c r="P380" s="19">
        <f t="shared" ca="1" si="120"/>
        <v>25.815886347750073</v>
      </c>
      <c r="Q380" s="19">
        <f t="shared" ca="1" si="121"/>
        <v>23.453053758100552</v>
      </c>
      <c r="R380" s="19">
        <f t="shared" ca="1" si="122"/>
        <v>2.4634470052925312</v>
      </c>
      <c r="S380" s="19">
        <f t="shared" ca="1" si="123"/>
        <v>2.8178718937399587</v>
      </c>
      <c r="T380" s="19">
        <f t="shared" ca="1" si="124"/>
        <v>0</v>
      </c>
      <c r="U380" s="19">
        <f t="shared" ca="1" si="125"/>
        <v>1497.3251747165598</v>
      </c>
      <c r="V380" s="19">
        <f t="shared" ca="1" si="126"/>
        <v>0</v>
      </c>
      <c r="W380" s="82">
        <f t="shared" ca="1" si="127"/>
        <v>5718.7981307870377</v>
      </c>
      <c r="X380" s="19">
        <f t="shared" ca="1" si="128"/>
        <v>0</v>
      </c>
      <c r="Y380" s="19">
        <f t="shared" si="129"/>
        <v>0</v>
      </c>
      <c r="Z380" s="82">
        <f t="shared" ca="1" si="130"/>
        <v>5718.7981307870377</v>
      </c>
      <c r="AA380" s="19">
        <f t="shared" ca="1" si="131"/>
        <v>0</v>
      </c>
      <c r="AE380" s="19"/>
    </row>
    <row r="381" spans="1:31" ht="12.75" customHeight="1" x14ac:dyDescent="0.2">
      <c r="A381">
        <v>2</v>
      </c>
      <c r="B381">
        <v>3</v>
      </c>
      <c r="C381">
        <f t="shared" ca="1" si="110"/>
        <v>7</v>
      </c>
      <c r="D381">
        <f t="shared" ca="1" si="111"/>
        <v>6</v>
      </c>
      <c r="E381">
        <f t="shared" ca="1" si="112"/>
        <v>2</v>
      </c>
      <c r="F381" s="61">
        <f t="shared" ca="1" si="113"/>
        <v>5.4747482880000004E-3</v>
      </c>
      <c r="G381">
        <v>1</v>
      </c>
      <c r="H381">
        <v>0</v>
      </c>
      <c r="I381">
        <v>6</v>
      </c>
      <c r="J381" s="61">
        <f t="shared" ca="1" si="114"/>
        <v>0.69833729609374984</v>
      </c>
      <c r="K381" s="61">
        <f t="shared" ca="1" si="115"/>
        <v>3.8232209162358064E-3</v>
      </c>
      <c r="L381" s="82">
        <f t="shared" ca="1" si="116"/>
        <v>227</v>
      </c>
      <c r="M381" s="16">
        <f t="shared" ca="1" si="117"/>
        <v>773</v>
      </c>
      <c r="N381" s="3">
        <f t="shared" ca="1" si="118"/>
        <v>5</v>
      </c>
      <c r="O381" s="19">
        <f t="shared" ca="1" si="119"/>
        <v>2.8178718937399587</v>
      </c>
      <c r="P381" s="19">
        <f t="shared" ca="1" si="120"/>
        <v>28.178718937399587</v>
      </c>
      <c r="Q381" s="19">
        <f t="shared" ca="1" si="121"/>
        <v>26.288452865679979</v>
      </c>
      <c r="R381" s="19">
        <f t="shared" ca="1" si="122"/>
        <v>2.7233585901539783</v>
      </c>
      <c r="S381" s="19">
        <f t="shared" ca="1" si="123"/>
        <v>2.8178718937399587</v>
      </c>
      <c r="T381" s="19">
        <f t="shared" ca="1" si="124"/>
        <v>1.0773346763419612E-2</v>
      </c>
      <c r="U381" s="19">
        <f t="shared" ca="1" si="125"/>
        <v>1486.3251747165598</v>
      </c>
      <c r="V381" s="19">
        <f t="shared" ca="1" si="126"/>
        <v>5.6825494963041905</v>
      </c>
      <c r="W381" s="82">
        <f t="shared" ca="1" si="127"/>
        <v>5232.8929007523147</v>
      </c>
      <c r="X381" s="19">
        <f t="shared" ca="1" si="128"/>
        <v>20.006505590578112</v>
      </c>
      <c r="Y381" s="19">
        <f t="shared" si="129"/>
        <v>0</v>
      </c>
      <c r="Z381" s="82">
        <f t="shared" ca="1" si="130"/>
        <v>5232.8929007523147</v>
      </c>
      <c r="AA381" s="19">
        <f t="shared" ca="1" si="131"/>
        <v>20.006505590578112</v>
      </c>
      <c r="AE381" s="19"/>
    </row>
    <row r="382" spans="1:31" ht="12.75" customHeight="1" x14ac:dyDescent="0.2">
      <c r="A382">
        <v>2</v>
      </c>
      <c r="B382">
        <v>3</v>
      </c>
      <c r="C382">
        <f t="shared" ca="1" si="110"/>
        <v>7</v>
      </c>
      <c r="D382">
        <f t="shared" ca="1" si="111"/>
        <v>6</v>
      </c>
      <c r="E382">
        <f t="shared" ca="1" si="112"/>
        <v>2</v>
      </c>
      <c r="F382" s="61">
        <f t="shared" ca="1" si="113"/>
        <v>5.4747482880000004E-3</v>
      </c>
      <c r="G382">
        <v>1</v>
      </c>
      <c r="H382">
        <v>0</v>
      </c>
      <c r="I382">
        <v>5</v>
      </c>
      <c r="J382" s="61">
        <f t="shared" ca="1" si="114"/>
        <v>0.22052756718750019</v>
      </c>
      <c r="K382" s="61">
        <f t="shared" ca="1" si="115"/>
        <v>1.2073329209165717E-3</v>
      </c>
      <c r="L382" s="82">
        <f t="shared" ca="1" si="116"/>
        <v>216</v>
      </c>
      <c r="M382" s="16">
        <f t="shared" ca="1" si="117"/>
        <v>784</v>
      </c>
      <c r="N382" s="3">
        <f t="shared" ca="1" si="118"/>
        <v>5</v>
      </c>
      <c r="O382" s="19">
        <f t="shared" ca="1" si="119"/>
        <v>2.8178718937399587</v>
      </c>
      <c r="P382" s="19">
        <f t="shared" ca="1" si="120"/>
        <v>28.178718937399587</v>
      </c>
      <c r="Q382" s="19">
        <f t="shared" ca="1" si="121"/>
        <v>28.178718937399587</v>
      </c>
      <c r="R382" s="19">
        <f t="shared" ca="1" si="122"/>
        <v>2.8178718937399587</v>
      </c>
      <c r="S382" s="19">
        <f t="shared" ca="1" si="123"/>
        <v>2.8178718937399587</v>
      </c>
      <c r="T382" s="19">
        <f t="shared" ca="1" si="124"/>
        <v>3.4021095042377756E-3</v>
      </c>
      <c r="U382" s="19">
        <f t="shared" ca="1" si="125"/>
        <v>1475.3251747165598</v>
      </c>
      <c r="V382" s="19">
        <f t="shared" ca="1" si="126"/>
        <v>1.7812086524922957</v>
      </c>
      <c r="W382" s="82">
        <f t="shared" ca="1" si="127"/>
        <v>4746.9876707175936</v>
      </c>
      <c r="X382" s="19">
        <f t="shared" ca="1" si="128"/>
        <v>5.7311944900424256</v>
      </c>
      <c r="Y382" s="19">
        <f t="shared" si="129"/>
        <v>0</v>
      </c>
      <c r="Z382" s="82">
        <f t="shared" ca="1" si="130"/>
        <v>4746.9876707175936</v>
      </c>
      <c r="AA382" s="19">
        <f t="shared" ca="1" si="131"/>
        <v>5.7311944900424256</v>
      </c>
      <c r="AE382" s="19"/>
    </row>
    <row r="383" spans="1:31" ht="12.75" customHeight="1" x14ac:dyDescent="0.2">
      <c r="A383">
        <v>2</v>
      </c>
      <c r="B383">
        <v>3</v>
      </c>
      <c r="C383">
        <f t="shared" ca="1" si="110"/>
        <v>7</v>
      </c>
      <c r="D383">
        <f t="shared" ca="1" si="111"/>
        <v>6</v>
      </c>
      <c r="E383">
        <f t="shared" ca="1" si="112"/>
        <v>2</v>
      </c>
      <c r="F383" s="61">
        <f t="shared" ca="1" si="113"/>
        <v>5.4747482880000004E-3</v>
      </c>
      <c r="G383">
        <v>1</v>
      </c>
      <c r="H383">
        <v>0</v>
      </c>
      <c r="I383">
        <v>4</v>
      </c>
      <c r="J383" s="61">
        <f t="shared" ca="1" si="114"/>
        <v>2.9016785156250047E-2</v>
      </c>
      <c r="K383" s="61">
        <f t="shared" ca="1" si="115"/>
        <v>1.5885959485744376E-4</v>
      </c>
      <c r="L383" s="82">
        <f t="shared" ca="1" si="116"/>
        <v>205</v>
      </c>
      <c r="M383" s="16">
        <f t="shared" ca="1" si="117"/>
        <v>795</v>
      </c>
      <c r="N383" s="3">
        <f t="shared" ca="1" si="118"/>
        <v>5</v>
      </c>
      <c r="O383" s="19">
        <f t="shared" ca="1" si="119"/>
        <v>2.8178718937399587</v>
      </c>
      <c r="P383" s="19">
        <f t="shared" ca="1" si="120"/>
        <v>28.178718937399587</v>
      </c>
      <c r="Q383" s="19">
        <f t="shared" ca="1" si="121"/>
        <v>28.178718937399587</v>
      </c>
      <c r="R383" s="19">
        <f t="shared" ca="1" si="122"/>
        <v>2.8178718937399587</v>
      </c>
      <c r="S383" s="19">
        <f t="shared" ca="1" si="123"/>
        <v>2.8178718937399587</v>
      </c>
      <c r="T383" s="19">
        <f t="shared" ca="1" si="124"/>
        <v>4.4764598739970767E-4</v>
      </c>
      <c r="U383" s="19">
        <f t="shared" ca="1" si="125"/>
        <v>1464.3251747165598</v>
      </c>
      <c r="V383" s="19">
        <f t="shared" ca="1" si="126"/>
        <v>0.23262210399502822</v>
      </c>
      <c r="W383" s="82">
        <f t="shared" ca="1" si="127"/>
        <v>4261.0824406828706</v>
      </c>
      <c r="X383" s="19">
        <f t="shared" ca="1" si="128"/>
        <v>0.67691383018104845</v>
      </c>
      <c r="Y383" s="19">
        <f t="shared" si="129"/>
        <v>0</v>
      </c>
      <c r="Z383" s="82">
        <f t="shared" ca="1" si="130"/>
        <v>4261.0824406828706</v>
      </c>
      <c r="AA383" s="19">
        <f t="shared" ca="1" si="131"/>
        <v>0.67691383018104845</v>
      </c>
      <c r="AE383" s="19"/>
    </row>
    <row r="384" spans="1:31" ht="12.75" customHeight="1" x14ac:dyDescent="0.2">
      <c r="A384">
        <v>2</v>
      </c>
      <c r="B384">
        <v>3</v>
      </c>
      <c r="C384">
        <f t="shared" ca="1" si="110"/>
        <v>7</v>
      </c>
      <c r="D384">
        <f t="shared" ca="1" si="111"/>
        <v>6</v>
      </c>
      <c r="E384">
        <f t="shared" ca="1" si="112"/>
        <v>2</v>
      </c>
      <c r="F384" s="61">
        <f t="shared" ca="1" si="113"/>
        <v>5.4747482880000004E-3</v>
      </c>
      <c r="G384">
        <v>1</v>
      </c>
      <c r="H384">
        <v>0</v>
      </c>
      <c r="I384">
        <v>3</v>
      </c>
      <c r="J384" s="61">
        <f t="shared" ca="1" si="114"/>
        <v>2.0362656250000047E-3</v>
      </c>
      <c r="K384" s="61">
        <f t="shared" ca="1" si="115"/>
        <v>1.1148041744382027E-5</v>
      </c>
      <c r="L384" s="82">
        <f t="shared" ca="1" si="116"/>
        <v>194</v>
      </c>
      <c r="M384" s="16">
        <f t="shared" ca="1" si="117"/>
        <v>806</v>
      </c>
      <c r="N384" s="3">
        <f t="shared" ca="1" si="118"/>
        <v>5</v>
      </c>
      <c r="O384" s="19">
        <f t="shared" ca="1" si="119"/>
        <v>2.8178718937399587</v>
      </c>
      <c r="P384" s="19">
        <f t="shared" ca="1" si="120"/>
        <v>28.178718937399587</v>
      </c>
      <c r="Q384" s="19">
        <f t="shared" ca="1" si="121"/>
        <v>28.178718937399587</v>
      </c>
      <c r="R384" s="19">
        <f t="shared" ca="1" si="122"/>
        <v>2.8178718937399587</v>
      </c>
      <c r="S384" s="19">
        <f t="shared" ca="1" si="123"/>
        <v>2.8178718937399587</v>
      </c>
      <c r="T384" s="19">
        <f t="shared" ca="1" si="124"/>
        <v>3.1413753501733894E-5</v>
      </c>
      <c r="U384" s="19">
        <f t="shared" ca="1" si="125"/>
        <v>1453.3251747165598</v>
      </c>
      <c r="V384" s="19">
        <f t="shared" ca="1" si="126"/>
        <v>1.620172971590151E-2</v>
      </c>
      <c r="W384" s="82">
        <f t="shared" ca="1" si="127"/>
        <v>3775.1772106481485</v>
      </c>
      <c r="X384" s="19">
        <f t="shared" ca="1" si="128"/>
        <v>4.2085833136745257E-2</v>
      </c>
      <c r="Y384" s="19">
        <f t="shared" si="129"/>
        <v>0</v>
      </c>
      <c r="Z384" s="82">
        <f t="shared" ca="1" si="130"/>
        <v>3775.1772106481485</v>
      </c>
      <c r="AA384" s="19">
        <f t="shared" ca="1" si="131"/>
        <v>4.2085833136745257E-2</v>
      </c>
      <c r="AE384" s="19"/>
    </row>
    <row r="385" spans="1:31" ht="12.75" customHeight="1" x14ac:dyDescent="0.2">
      <c r="A385">
        <v>2</v>
      </c>
      <c r="B385">
        <v>3</v>
      </c>
      <c r="C385">
        <f t="shared" ca="1" si="110"/>
        <v>7</v>
      </c>
      <c r="D385">
        <f t="shared" ca="1" si="111"/>
        <v>6</v>
      </c>
      <c r="E385">
        <f t="shared" ca="1" si="112"/>
        <v>2</v>
      </c>
      <c r="F385" s="61">
        <f t="shared" ca="1" si="113"/>
        <v>5.4747482880000004E-3</v>
      </c>
      <c r="G385">
        <v>1</v>
      </c>
      <c r="H385">
        <v>0</v>
      </c>
      <c r="I385">
        <v>2</v>
      </c>
      <c r="J385" s="61">
        <f t="shared" ca="1" si="114"/>
        <v>8.0378906250000291E-5</v>
      </c>
      <c r="K385" s="61">
        <f t="shared" ca="1" si="115"/>
        <v>4.4005427938350162E-7</v>
      </c>
      <c r="L385" s="82">
        <f t="shared" ca="1" si="116"/>
        <v>183</v>
      </c>
      <c r="M385" s="16">
        <f t="shared" ca="1" si="117"/>
        <v>817</v>
      </c>
      <c r="N385" s="3">
        <f t="shared" ca="1" si="118"/>
        <v>5</v>
      </c>
      <c r="O385" s="19">
        <f t="shared" ca="1" si="119"/>
        <v>2.8178718937399587</v>
      </c>
      <c r="P385" s="19">
        <f t="shared" ca="1" si="120"/>
        <v>28.178718937399587</v>
      </c>
      <c r="Q385" s="19">
        <f t="shared" ca="1" si="121"/>
        <v>28.178718937399587</v>
      </c>
      <c r="R385" s="19">
        <f t="shared" ca="1" si="122"/>
        <v>2.8178718937399587</v>
      </c>
      <c r="S385" s="19">
        <f t="shared" ca="1" si="123"/>
        <v>2.8178718937399587</v>
      </c>
      <c r="T385" s="19">
        <f t="shared" ca="1" si="124"/>
        <v>1.2400165855947606E-6</v>
      </c>
      <c r="U385" s="19">
        <f t="shared" ca="1" si="125"/>
        <v>1442.3251747165598</v>
      </c>
      <c r="V385" s="19">
        <f t="shared" ca="1" si="126"/>
        <v>6.3470136539657876E-4</v>
      </c>
      <c r="W385" s="82">
        <f t="shared" ca="1" si="127"/>
        <v>3289.2719806134264</v>
      </c>
      <c r="X385" s="19">
        <f t="shared" ca="1" si="128"/>
        <v>1.4474582111251844E-3</v>
      </c>
      <c r="Y385" s="19">
        <f t="shared" si="129"/>
        <v>0</v>
      </c>
      <c r="Z385" s="82">
        <f t="shared" ca="1" si="130"/>
        <v>3289.2719806134264</v>
      </c>
      <c r="AA385" s="19">
        <f t="shared" ca="1" si="131"/>
        <v>1.4474582111251844E-3</v>
      </c>
      <c r="AE385" s="19"/>
    </row>
    <row r="386" spans="1:31" ht="12.75" customHeight="1" x14ac:dyDescent="0.2">
      <c r="A386">
        <v>2</v>
      </c>
      <c r="B386">
        <v>3</v>
      </c>
      <c r="C386">
        <f t="shared" ca="1" si="110"/>
        <v>7</v>
      </c>
      <c r="D386">
        <f t="shared" ca="1" si="111"/>
        <v>6</v>
      </c>
      <c r="E386">
        <f t="shared" ca="1" si="112"/>
        <v>2</v>
      </c>
      <c r="F386" s="61">
        <f t="shared" ca="1" si="113"/>
        <v>5.4747482880000004E-3</v>
      </c>
      <c r="G386">
        <v>1</v>
      </c>
      <c r="H386">
        <v>0</v>
      </c>
      <c r="I386">
        <v>1</v>
      </c>
      <c r="J386" s="61">
        <f t="shared" ca="1" si="114"/>
        <v>1.6921875000000077E-6</v>
      </c>
      <c r="K386" s="61">
        <f t="shared" ca="1" si="115"/>
        <v>9.2643006186000421E-9</v>
      </c>
      <c r="L386" s="82">
        <f t="shared" ca="1" si="116"/>
        <v>172</v>
      </c>
      <c r="M386" s="16">
        <f t="shared" ca="1" si="117"/>
        <v>828</v>
      </c>
      <c r="N386" s="3">
        <f t="shared" ca="1" si="118"/>
        <v>5</v>
      </c>
      <c r="O386" s="19">
        <f t="shared" ca="1" si="119"/>
        <v>2.8178718937399587</v>
      </c>
      <c r="P386" s="19">
        <f t="shared" ca="1" si="120"/>
        <v>28.178718937399587</v>
      </c>
      <c r="Q386" s="19">
        <f t="shared" ca="1" si="121"/>
        <v>28.178718937399587</v>
      </c>
      <c r="R386" s="19">
        <f t="shared" ca="1" si="122"/>
        <v>2.8178718937399587</v>
      </c>
      <c r="S386" s="19">
        <f t="shared" ca="1" si="123"/>
        <v>2.8178718937399587</v>
      </c>
      <c r="T386" s="19">
        <f t="shared" ca="1" si="124"/>
        <v>2.6105612328310772E-8</v>
      </c>
      <c r="U386" s="19">
        <f t="shared" ca="1" si="125"/>
        <v>1431.3251747165598</v>
      </c>
      <c r="V386" s="19">
        <f t="shared" ca="1" si="126"/>
        <v>1.3260226701544439E-5</v>
      </c>
      <c r="W386" s="82">
        <f t="shared" ca="1" si="127"/>
        <v>2803.3667505787039</v>
      </c>
      <c r="X386" s="19">
        <f t="shared" ca="1" si="128"/>
        <v>2.5971232321549076E-5</v>
      </c>
      <c r="Y386" s="19">
        <f t="shared" si="129"/>
        <v>0</v>
      </c>
      <c r="Z386" s="82">
        <f t="shared" ca="1" si="130"/>
        <v>2803.3667505787039</v>
      </c>
      <c r="AA386" s="19">
        <f t="shared" ca="1" si="131"/>
        <v>2.5971232321549076E-5</v>
      </c>
      <c r="AE386" s="19"/>
    </row>
    <row r="387" spans="1:31" ht="12.75" customHeight="1" x14ac:dyDescent="0.2">
      <c r="A387">
        <v>2</v>
      </c>
      <c r="B387">
        <v>3</v>
      </c>
      <c r="C387">
        <f t="shared" ca="1" si="110"/>
        <v>7</v>
      </c>
      <c r="D387">
        <f t="shared" ca="1" si="111"/>
        <v>6</v>
      </c>
      <c r="E387">
        <f t="shared" ca="1" si="112"/>
        <v>2</v>
      </c>
      <c r="F387" s="61">
        <f t="shared" ca="1" si="113"/>
        <v>5.4747482880000004E-3</v>
      </c>
      <c r="G387">
        <v>1</v>
      </c>
      <c r="H387">
        <v>0</v>
      </c>
      <c r="I387">
        <v>0</v>
      </c>
      <c r="J387" s="61">
        <f t="shared" ca="1" si="114"/>
        <v>1.4843750000000078E-8</v>
      </c>
      <c r="K387" s="61">
        <f t="shared" ca="1" si="115"/>
        <v>8.1265794900000433E-11</v>
      </c>
      <c r="L387" s="82">
        <f t="shared" ca="1" si="116"/>
        <v>161</v>
      </c>
      <c r="M387" s="16">
        <f t="shared" ca="1" si="117"/>
        <v>839</v>
      </c>
      <c r="N387" s="3">
        <f t="shared" ca="1" si="118"/>
        <v>5</v>
      </c>
      <c r="O387" s="19">
        <f t="shared" ca="1" si="119"/>
        <v>2.8178718937399587</v>
      </c>
      <c r="P387" s="19">
        <f t="shared" ca="1" si="120"/>
        <v>28.178718937399587</v>
      </c>
      <c r="Q387" s="19">
        <f t="shared" ca="1" si="121"/>
        <v>28.178718937399587</v>
      </c>
      <c r="R387" s="19">
        <f t="shared" ca="1" si="122"/>
        <v>2.8178718937399587</v>
      </c>
      <c r="S387" s="19">
        <f t="shared" ca="1" si="123"/>
        <v>2.8178718937399587</v>
      </c>
      <c r="T387" s="19">
        <f t="shared" ca="1" si="124"/>
        <v>2.289965993711473E-10</v>
      </c>
      <c r="U387" s="19">
        <f t="shared" ca="1" si="125"/>
        <v>1420.3251747165598</v>
      </c>
      <c r="V387" s="19">
        <f t="shared" ca="1" si="126"/>
        <v>1.1542385433982323E-7</v>
      </c>
      <c r="W387" s="82">
        <f t="shared" ca="1" si="127"/>
        <v>2317.4615205439818</v>
      </c>
      <c r="X387" s="19">
        <f t="shared" ca="1" si="128"/>
        <v>1.8833035261717036E-7</v>
      </c>
      <c r="Y387" s="19">
        <f t="shared" si="129"/>
        <v>0</v>
      </c>
      <c r="Z387" s="82">
        <f t="shared" ca="1" si="130"/>
        <v>2317.4615205439818</v>
      </c>
      <c r="AA387" s="19">
        <f t="shared" ca="1" si="131"/>
        <v>1.8833035261717036E-7</v>
      </c>
      <c r="AE387" s="19"/>
    </row>
    <row r="388" spans="1:31" ht="12.75" customHeight="1" x14ac:dyDescent="0.2">
      <c r="A388">
        <v>2</v>
      </c>
      <c r="B388">
        <v>3</v>
      </c>
      <c r="C388">
        <f t="shared" ca="1" si="110"/>
        <v>7</v>
      </c>
      <c r="D388">
        <f t="shared" ca="1" si="111"/>
        <v>6</v>
      </c>
      <c r="E388">
        <f t="shared" ca="1" si="112"/>
        <v>2</v>
      </c>
      <c r="F388" s="61">
        <f t="shared" ca="1" si="113"/>
        <v>5.4747482880000004E-3</v>
      </c>
      <c r="G388">
        <v>0</v>
      </c>
      <c r="H388">
        <v>1</v>
      </c>
      <c r="I388">
        <v>7</v>
      </c>
      <c r="J388" s="61">
        <f t="shared" ca="1" si="114"/>
        <v>0</v>
      </c>
      <c r="K388" s="61">
        <f t="shared" ca="1" si="115"/>
        <v>0</v>
      </c>
      <c r="L388" s="82">
        <f t="shared" ca="1" si="116"/>
        <v>238</v>
      </c>
      <c r="M388" s="16">
        <f t="shared" ca="1" si="117"/>
        <v>762</v>
      </c>
      <c r="N388" s="3">
        <f t="shared" ca="1" si="118"/>
        <v>5</v>
      </c>
      <c r="O388" s="19">
        <f t="shared" ca="1" si="119"/>
        <v>2.8178718937399587</v>
      </c>
      <c r="P388" s="19">
        <f t="shared" ca="1" si="120"/>
        <v>25.815886347750073</v>
      </c>
      <c r="Q388" s="19">
        <f t="shared" ca="1" si="121"/>
        <v>23.453053758100552</v>
      </c>
      <c r="R388" s="19">
        <f t="shared" ca="1" si="122"/>
        <v>2.4634470052925312</v>
      </c>
      <c r="S388" s="19">
        <f t="shared" ca="1" si="123"/>
        <v>2.8178718937399587</v>
      </c>
      <c r="T388" s="19">
        <f t="shared" ca="1" si="124"/>
        <v>0</v>
      </c>
      <c r="U388" s="19">
        <f t="shared" ca="1" si="125"/>
        <v>1497.3251747165598</v>
      </c>
      <c r="V388" s="19">
        <f t="shared" ca="1" si="126"/>
        <v>0</v>
      </c>
      <c r="W388" s="82">
        <f t="shared" ca="1" si="127"/>
        <v>3401.3366102430559</v>
      </c>
      <c r="X388" s="19">
        <f t="shared" ca="1" si="128"/>
        <v>0</v>
      </c>
      <c r="Y388" s="19">
        <f t="shared" si="129"/>
        <v>0</v>
      </c>
      <c r="Z388" s="82">
        <f t="shared" ca="1" si="130"/>
        <v>3401.3366102430559</v>
      </c>
      <c r="AA388" s="19">
        <f t="shared" ca="1" si="131"/>
        <v>0</v>
      </c>
      <c r="AE388" s="19"/>
    </row>
    <row r="389" spans="1:31" ht="12.75" customHeight="1" x14ac:dyDescent="0.2">
      <c r="A389">
        <v>2</v>
      </c>
      <c r="B389">
        <v>3</v>
      </c>
      <c r="C389">
        <f t="shared" ca="1" si="110"/>
        <v>7</v>
      </c>
      <c r="D389">
        <f t="shared" ca="1" si="111"/>
        <v>6</v>
      </c>
      <c r="E389">
        <f t="shared" ca="1" si="112"/>
        <v>2</v>
      </c>
      <c r="F389" s="61">
        <f t="shared" ca="1" si="113"/>
        <v>5.4747482880000004E-3</v>
      </c>
      <c r="G389">
        <v>0</v>
      </c>
      <c r="H389">
        <v>1</v>
      </c>
      <c r="I389">
        <v>6</v>
      </c>
      <c r="J389" s="61">
        <f t="shared" ca="1" si="114"/>
        <v>0</v>
      </c>
      <c r="K389" s="61">
        <f t="shared" ca="1" si="115"/>
        <v>0</v>
      </c>
      <c r="L389" s="82">
        <f t="shared" ca="1" si="116"/>
        <v>227</v>
      </c>
      <c r="M389" s="16">
        <f t="shared" ca="1" si="117"/>
        <v>773</v>
      </c>
      <c r="N389" s="3">
        <f t="shared" ca="1" si="118"/>
        <v>5</v>
      </c>
      <c r="O389" s="19">
        <f t="shared" ca="1" si="119"/>
        <v>2.8178718937399587</v>
      </c>
      <c r="P389" s="19">
        <f t="shared" ca="1" si="120"/>
        <v>28.178718937399587</v>
      </c>
      <c r="Q389" s="19">
        <f t="shared" ca="1" si="121"/>
        <v>26.288452865679979</v>
      </c>
      <c r="R389" s="19">
        <f t="shared" ca="1" si="122"/>
        <v>2.7233585901539783</v>
      </c>
      <c r="S389" s="19">
        <f t="shared" ca="1" si="123"/>
        <v>2.8178718937399587</v>
      </c>
      <c r="T389" s="19">
        <f t="shared" ca="1" si="124"/>
        <v>0</v>
      </c>
      <c r="U389" s="19">
        <f t="shared" ca="1" si="125"/>
        <v>1486.3251747165598</v>
      </c>
      <c r="V389" s="19">
        <f t="shared" ca="1" si="126"/>
        <v>0</v>
      </c>
      <c r="W389" s="82">
        <f t="shared" ca="1" si="127"/>
        <v>2915.4313802083334</v>
      </c>
      <c r="X389" s="19">
        <f t="shared" ca="1" si="128"/>
        <v>0</v>
      </c>
      <c r="Y389" s="19">
        <f t="shared" si="129"/>
        <v>0</v>
      </c>
      <c r="Z389" s="82">
        <f t="shared" ca="1" si="130"/>
        <v>2915.4313802083334</v>
      </c>
      <c r="AA389" s="19">
        <f t="shared" ca="1" si="131"/>
        <v>0</v>
      </c>
      <c r="AE389" s="19"/>
    </row>
    <row r="390" spans="1:31" ht="12.75" customHeight="1" x14ac:dyDescent="0.2">
      <c r="A390">
        <v>2</v>
      </c>
      <c r="B390">
        <v>3</v>
      </c>
      <c r="C390">
        <f t="shared" ca="1" si="110"/>
        <v>7</v>
      </c>
      <c r="D390">
        <f t="shared" ca="1" si="111"/>
        <v>6</v>
      </c>
      <c r="E390">
        <f t="shared" ca="1" si="112"/>
        <v>2</v>
      </c>
      <c r="F390" s="61">
        <f t="shared" ca="1" si="113"/>
        <v>5.4747482880000004E-3</v>
      </c>
      <c r="G390">
        <v>0</v>
      </c>
      <c r="H390">
        <v>1</v>
      </c>
      <c r="I390">
        <v>5</v>
      </c>
      <c r="J390" s="61">
        <f t="shared" ca="1" si="114"/>
        <v>0</v>
      </c>
      <c r="K390" s="61">
        <f t="shared" ca="1" si="115"/>
        <v>0</v>
      </c>
      <c r="L390" s="82">
        <f t="shared" ca="1" si="116"/>
        <v>216</v>
      </c>
      <c r="M390" s="16">
        <f t="shared" ca="1" si="117"/>
        <v>784</v>
      </c>
      <c r="N390" s="3">
        <f t="shared" ca="1" si="118"/>
        <v>5</v>
      </c>
      <c r="O390" s="19">
        <f t="shared" ca="1" si="119"/>
        <v>2.8178718937399587</v>
      </c>
      <c r="P390" s="19">
        <f t="shared" ca="1" si="120"/>
        <v>28.178718937399587</v>
      </c>
      <c r="Q390" s="19">
        <f t="shared" ca="1" si="121"/>
        <v>28.178718937399587</v>
      </c>
      <c r="R390" s="19">
        <f t="shared" ca="1" si="122"/>
        <v>2.8178718937399587</v>
      </c>
      <c r="S390" s="19">
        <f t="shared" ca="1" si="123"/>
        <v>2.8178718937399587</v>
      </c>
      <c r="T390" s="19">
        <f t="shared" ca="1" si="124"/>
        <v>0</v>
      </c>
      <c r="U390" s="19">
        <f t="shared" ca="1" si="125"/>
        <v>1475.3251747165598</v>
      </c>
      <c r="V390" s="19">
        <f t="shared" ca="1" si="126"/>
        <v>0</v>
      </c>
      <c r="W390" s="82">
        <f t="shared" ca="1" si="127"/>
        <v>2429.5261501736113</v>
      </c>
      <c r="X390" s="19">
        <f t="shared" ca="1" si="128"/>
        <v>0</v>
      </c>
      <c r="Y390" s="19">
        <f t="shared" si="129"/>
        <v>0</v>
      </c>
      <c r="Z390" s="82">
        <f t="shared" ca="1" si="130"/>
        <v>2429.5261501736113</v>
      </c>
      <c r="AA390" s="19">
        <f t="shared" ca="1" si="131"/>
        <v>0</v>
      </c>
      <c r="AE390" s="19"/>
    </row>
    <row r="391" spans="1:31" ht="12.75" customHeight="1" x14ac:dyDescent="0.2">
      <c r="A391">
        <v>2</v>
      </c>
      <c r="B391">
        <v>3</v>
      </c>
      <c r="C391">
        <f t="shared" ca="1" si="110"/>
        <v>7</v>
      </c>
      <c r="D391">
        <f t="shared" ca="1" si="111"/>
        <v>6</v>
      </c>
      <c r="E391">
        <f t="shared" ca="1" si="112"/>
        <v>2</v>
      </c>
      <c r="F391" s="61">
        <f t="shared" ca="1" si="113"/>
        <v>5.4747482880000004E-3</v>
      </c>
      <c r="G391">
        <v>0</v>
      </c>
      <c r="H391">
        <v>1</v>
      </c>
      <c r="I391">
        <v>4</v>
      </c>
      <c r="J391" s="61">
        <f t="shared" ca="1" si="114"/>
        <v>0</v>
      </c>
      <c r="K391" s="61">
        <f t="shared" ca="1" si="115"/>
        <v>0</v>
      </c>
      <c r="L391" s="82">
        <f t="shared" ca="1" si="116"/>
        <v>205</v>
      </c>
      <c r="M391" s="16">
        <f t="shared" ca="1" si="117"/>
        <v>795</v>
      </c>
      <c r="N391" s="3">
        <f t="shared" ca="1" si="118"/>
        <v>5</v>
      </c>
      <c r="O391" s="19">
        <f t="shared" ca="1" si="119"/>
        <v>2.8178718937399587</v>
      </c>
      <c r="P391" s="19">
        <f t="shared" ca="1" si="120"/>
        <v>28.178718937399587</v>
      </c>
      <c r="Q391" s="19">
        <f t="shared" ca="1" si="121"/>
        <v>28.178718937399587</v>
      </c>
      <c r="R391" s="19">
        <f t="shared" ca="1" si="122"/>
        <v>2.8178718937399587</v>
      </c>
      <c r="S391" s="19">
        <f t="shared" ca="1" si="123"/>
        <v>2.8178718937399587</v>
      </c>
      <c r="T391" s="19">
        <f t="shared" ca="1" si="124"/>
        <v>0</v>
      </c>
      <c r="U391" s="19">
        <f t="shared" ca="1" si="125"/>
        <v>1464.3251747165598</v>
      </c>
      <c r="V391" s="19">
        <f t="shared" ca="1" si="126"/>
        <v>0</v>
      </c>
      <c r="W391" s="82">
        <f t="shared" ca="1" si="127"/>
        <v>1943.620920138889</v>
      </c>
      <c r="X391" s="19">
        <f t="shared" ca="1" si="128"/>
        <v>0</v>
      </c>
      <c r="Y391" s="19">
        <f t="shared" si="129"/>
        <v>0</v>
      </c>
      <c r="Z391" s="82">
        <f t="shared" ca="1" si="130"/>
        <v>1943.620920138889</v>
      </c>
      <c r="AA391" s="19">
        <f t="shared" ca="1" si="131"/>
        <v>0</v>
      </c>
      <c r="AE391" s="19"/>
    </row>
    <row r="392" spans="1:31" ht="12.75" customHeight="1" x14ac:dyDescent="0.2">
      <c r="A392">
        <v>2</v>
      </c>
      <c r="B392">
        <v>3</v>
      </c>
      <c r="C392">
        <f t="shared" ca="1" si="110"/>
        <v>7</v>
      </c>
      <c r="D392">
        <f t="shared" ca="1" si="111"/>
        <v>6</v>
      </c>
      <c r="E392">
        <f t="shared" ca="1" si="112"/>
        <v>2</v>
      </c>
      <c r="F392" s="61">
        <f t="shared" ca="1" si="113"/>
        <v>5.4747482880000004E-3</v>
      </c>
      <c r="G392">
        <v>0</v>
      </c>
      <c r="H392">
        <v>1</v>
      </c>
      <c r="I392">
        <v>3</v>
      </c>
      <c r="J392" s="61">
        <f t="shared" ca="1" si="114"/>
        <v>0</v>
      </c>
      <c r="K392" s="61">
        <f t="shared" ca="1" si="115"/>
        <v>0</v>
      </c>
      <c r="L392" s="82">
        <f t="shared" ca="1" si="116"/>
        <v>194</v>
      </c>
      <c r="M392" s="16">
        <f t="shared" ca="1" si="117"/>
        <v>806</v>
      </c>
      <c r="N392" s="3">
        <f t="shared" ca="1" si="118"/>
        <v>5</v>
      </c>
      <c r="O392" s="19">
        <f t="shared" ca="1" si="119"/>
        <v>2.8178718937399587</v>
      </c>
      <c r="P392" s="19">
        <f t="shared" ca="1" si="120"/>
        <v>28.178718937399587</v>
      </c>
      <c r="Q392" s="19">
        <f t="shared" ca="1" si="121"/>
        <v>28.178718937399587</v>
      </c>
      <c r="R392" s="19">
        <f t="shared" ca="1" si="122"/>
        <v>2.8178718937399587</v>
      </c>
      <c r="S392" s="19">
        <f t="shared" ca="1" si="123"/>
        <v>2.8178718937399587</v>
      </c>
      <c r="T392" s="19">
        <f t="shared" ca="1" si="124"/>
        <v>0</v>
      </c>
      <c r="U392" s="19">
        <f t="shared" ca="1" si="125"/>
        <v>1453.3251747165598</v>
      </c>
      <c r="V392" s="19">
        <f t="shared" ca="1" si="126"/>
        <v>0</v>
      </c>
      <c r="W392" s="82">
        <f t="shared" ca="1" si="127"/>
        <v>1457.7156901041667</v>
      </c>
      <c r="X392" s="19">
        <f t="shared" ca="1" si="128"/>
        <v>0</v>
      </c>
      <c r="Y392" s="19">
        <f t="shared" si="129"/>
        <v>0</v>
      </c>
      <c r="Z392" s="82">
        <f t="shared" ca="1" si="130"/>
        <v>1457.7156901041667</v>
      </c>
      <c r="AA392" s="19">
        <f t="shared" ca="1" si="131"/>
        <v>0</v>
      </c>
      <c r="AE392" s="19"/>
    </row>
    <row r="393" spans="1:31" ht="12.75" customHeight="1" x14ac:dyDescent="0.2">
      <c r="A393">
        <v>2</v>
      </c>
      <c r="B393">
        <v>3</v>
      </c>
      <c r="C393">
        <f t="shared" ca="1" si="110"/>
        <v>7</v>
      </c>
      <c r="D393">
        <f t="shared" ca="1" si="111"/>
        <v>6</v>
      </c>
      <c r="E393">
        <f t="shared" ca="1" si="112"/>
        <v>2</v>
      </c>
      <c r="F393" s="61">
        <f t="shared" ca="1" si="113"/>
        <v>5.4747482880000004E-3</v>
      </c>
      <c r="G393">
        <v>0</v>
      </c>
      <c r="H393">
        <v>1</v>
      </c>
      <c r="I393">
        <v>2</v>
      </c>
      <c r="J393" s="61">
        <f t="shared" ca="1" si="114"/>
        <v>0</v>
      </c>
      <c r="K393" s="61">
        <f t="shared" ca="1" si="115"/>
        <v>0</v>
      </c>
      <c r="L393" s="82">
        <f t="shared" ca="1" si="116"/>
        <v>183</v>
      </c>
      <c r="M393" s="16">
        <f t="shared" ca="1" si="117"/>
        <v>817</v>
      </c>
      <c r="N393" s="3">
        <f t="shared" ca="1" si="118"/>
        <v>5</v>
      </c>
      <c r="O393" s="19">
        <f t="shared" ca="1" si="119"/>
        <v>2.8178718937399587</v>
      </c>
      <c r="P393" s="19">
        <f t="shared" ca="1" si="120"/>
        <v>28.178718937399587</v>
      </c>
      <c r="Q393" s="19">
        <f t="shared" ca="1" si="121"/>
        <v>28.178718937399587</v>
      </c>
      <c r="R393" s="19">
        <f t="shared" ca="1" si="122"/>
        <v>2.8178718937399587</v>
      </c>
      <c r="S393" s="19">
        <f t="shared" ca="1" si="123"/>
        <v>2.8178718937399587</v>
      </c>
      <c r="T393" s="19">
        <f t="shared" ca="1" si="124"/>
        <v>0</v>
      </c>
      <c r="U393" s="19">
        <f t="shared" ca="1" si="125"/>
        <v>1442.3251747165598</v>
      </c>
      <c r="V393" s="19">
        <f t="shared" ca="1" si="126"/>
        <v>0</v>
      </c>
      <c r="W393" s="82">
        <f t="shared" ca="1" si="127"/>
        <v>971.8104600694445</v>
      </c>
      <c r="X393" s="19">
        <f t="shared" ca="1" si="128"/>
        <v>0</v>
      </c>
      <c r="Y393" s="19">
        <f t="shared" si="129"/>
        <v>0</v>
      </c>
      <c r="Z393" s="82">
        <f t="shared" ca="1" si="130"/>
        <v>971.8104600694445</v>
      </c>
      <c r="AA393" s="19">
        <f t="shared" ca="1" si="131"/>
        <v>0</v>
      </c>
      <c r="AE393" s="19"/>
    </row>
    <row r="394" spans="1:31" ht="12.75" customHeight="1" x14ac:dyDescent="0.2">
      <c r="A394">
        <v>2</v>
      </c>
      <c r="B394">
        <v>3</v>
      </c>
      <c r="C394">
        <f t="shared" ca="1" si="110"/>
        <v>7</v>
      </c>
      <c r="D394">
        <f t="shared" ca="1" si="111"/>
        <v>6</v>
      </c>
      <c r="E394">
        <f t="shared" ca="1" si="112"/>
        <v>2</v>
      </c>
      <c r="F394" s="61">
        <f t="shared" ca="1" si="113"/>
        <v>5.4747482880000004E-3</v>
      </c>
      <c r="G394">
        <v>0</v>
      </c>
      <c r="H394">
        <v>1</v>
      </c>
      <c r="I394">
        <v>1</v>
      </c>
      <c r="J394" s="61">
        <f t="shared" ca="1" si="114"/>
        <v>0</v>
      </c>
      <c r="K394" s="61">
        <f t="shared" ca="1" si="115"/>
        <v>0</v>
      </c>
      <c r="L394" s="82">
        <f t="shared" ca="1" si="116"/>
        <v>172</v>
      </c>
      <c r="M394" s="16">
        <f t="shared" ca="1" si="117"/>
        <v>828</v>
      </c>
      <c r="N394" s="3">
        <f t="shared" ca="1" si="118"/>
        <v>5</v>
      </c>
      <c r="O394" s="19">
        <f t="shared" ca="1" si="119"/>
        <v>2.8178718937399587</v>
      </c>
      <c r="P394" s="19">
        <f t="shared" ca="1" si="120"/>
        <v>28.178718937399587</v>
      </c>
      <c r="Q394" s="19">
        <f t="shared" ca="1" si="121"/>
        <v>28.178718937399587</v>
      </c>
      <c r="R394" s="19">
        <f t="shared" ca="1" si="122"/>
        <v>2.8178718937399587</v>
      </c>
      <c r="S394" s="19">
        <f t="shared" ca="1" si="123"/>
        <v>2.8178718937399587</v>
      </c>
      <c r="T394" s="19">
        <f t="shared" ca="1" si="124"/>
        <v>0</v>
      </c>
      <c r="U394" s="19">
        <f t="shared" ca="1" si="125"/>
        <v>1431.3251747165598</v>
      </c>
      <c r="V394" s="19">
        <f t="shared" ca="1" si="126"/>
        <v>0</v>
      </c>
      <c r="W394" s="82">
        <f t="shared" ca="1" si="127"/>
        <v>485.90523003472225</v>
      </c>
      <c r="X394" s="19">
        <f t="shared" ca="1" si="128"/>
        <v>0</v>
      </c>
      <c r="Y394" s="19">
        <f t="shared" si="129"/>
        <v>0</v>
      </c>
      <c r="Z394" s="82">
        <f t="shared" ca="1" si="130"/>
        <v>485.90523003472225</v>
      </c>
      <c r="AA394" s="19">
        <f t="shared" ca="1" si="131"/>
        <v>0</v>
      </c>
      <c r="AE394" s="19"/>
    </row>
    <row r="395" spans="1:31" ht="12.75" customHeight="1" x14ac:dyDescent="0.2">
      <c r="A395">
        <v>2</v>
      </c>
      <c r="B395">
        <v>3</v>
      </c>
      <c r="C395">
        <f t="shared" ca="1" si="110"/>
        <v>7</v>
      </c>
      <c r="D395">
        <f t="shared" ca="1" si="111"/>
        <v>6</v>
      </c>
      <c r="E395">
        <f t="shared" ca="1" si="112"/>
        <v>2</v>
      </c>
      <c r="F395" s="61">
        <f t="shared" ca="1" si="113"/>
        <v>5.4747482880000004E-3</v>
      </c>
      <c r="G395">
        <v>0</v>
      </c>
      <c r="H395">
        <v>1</v>
      </c>
      <c r="I395">
        <v>0</v>
      </c>
      <c r="J395" s="61">
        <f t="shared" ca="1" si="114"/>
        <v>0</v>
      </c>
      <c r="K395" s="61">
        <f t="shared" ca="1" si="115"/>
        <v>0</v>
      </c>
      <c r="L395" s="82">
        <f t="shared" ca="1" si="116"/>
        <v>161</v>
      </c>
      <c r="M395" s="16">
        <f t="shared" ca="1" si="117"/>
        <v>839</v>
      </c>
      <c r="N395" s="3">
        <f t="shared" ca="1" si="118"/>
        <v>5</v>
      </c>
      <c r="O395" s="19">
        <f t="shared" ca="1" si="119"/>
        <v>2.8178718937399587</v>
      </c>
      <c r="P395" s="19">
        <f t="shared" ca="1" si="120"/>
        <v>28.178718937399587</v>
      </c>
      <c r="Q395" s="19">
        <f t="shared" ca="1" si="121"/>
        <v>28.178718937399587</v>
      </c>
      <c r="R395" s="19">
        <f t="shared" ca="1" si="122"/>
        <v>2.8178718937399587</v>
      </c>
      <c r="S395" s="19">
        <f t="shared" ca="1" si="123"/>
        <v>2.8178718937399587</v>
      </c>
      <c r="T395" s="19">
        <f t="shared" ca="1" si="124"/>
        <v>0</v>
      </c>
      <c r="U395" s="19">
        <f t="shared" ca="1" si="125"/>
        <v>1420.3251747165598</v>
      </c>
      <c r="V395" s="19">
        <f t="shared" ca="1" si="126"/>
        <v>0</v>
      </c>
      <c r="W395" s="82">
        <f t="shared" ca="1" si="127"/>
        <v>0</v>
      </c>
      <c r="X395" s="19">
        <f t="shared" ca="1" si="128"/>
        <v>0</v>
      </c>
      <c r="Y395" s="19">
        <f t="shared" si="129"/>
        <v>0</v>
      </c>
      <c r="Z395" s="82">
        <f t="shared" ca="1" si="130"/>
        <v>0</v>
      </c>
      <c r="AA395" s="19">
        <f t="shared" ca="1" si="131"/>
        <v>0</v>
      </c>
      <c r="AE395" s="19"/>
    </row>
    <row r="396" spans="1:31" ht="12.75" customHeight="1" x14ac:dyDescent="0.2">
      <c r="A396">
        <v>2</v>
      </c>
      <c r="B396">
        <v>3</v>
      </c>
      <c r="C396">
        <f t="shared" ca="1" si="110"/>
        <v>7</v>
      </c>
      <c r="D396">
        <f t="shared" ca="1" si="111"/>
        <v>6</v>
      </c>
      <c r="E396">
        <f t="shared" ca="1" si="112"/>
        <v>2</v>
      </c>
      <c r="F396" s="61">
        <f t="shared" ca="1" si="113"/>
        <v>5.4747482880000004E-3</v>
      </c>
      <c r="G396">
        <v>0</v>
      </c>
      <c r="H396">
        <v>0</v>
      </c>
      <c r="I396">
        <v>7</v>
      </c>
      <c r="J396" s="61">
        <f t="shared" ca="1" si="114"/>
        <v>0</v>
      </c>
      <c r="K396" s="61">
        <f t="shared" ca="1" si="115"/>
        <v>0</v>
      </c>
      <c r="L396" s="82">
        <f t="shared" ca="1" si="116"/>
        <v>77</v>
      </c>
      <c r="M396" s="16">
        <f t="shared" ca="1" si="117"/>
        <v>923</v>
      </c>
      <c r="N396" s="3">
        <f t="shared" ca="1" si="118"/>
        <v>5</v>
      </c>
      <c r="O396" s="19">
        <f t="shared" ca="1" si="119"/>
        <v>2.8178718937399587</v>
      </c>
      <c r="P396" s="19">
        <f t="shared" ca="1" si="120"/>
        <v>28.178718937399587</v>
      </c>
      <c r="Q396" s="19">
        <f t="shared" ca="1" si="121"/>
        <v>28.178718937399587</v>
      </c>
      <c r="R396" s="19">
        <f t="shared" ca="1" si="122"/>
        <v>2.8178718937399587</v>
      </c>
      <c r="S396" s="19">
        <f t="shared" ca="1" si="123"/>
        <v>2.8178718937399587</v>
      </c>
      <c r="T396" s="19">
        <f t="shared" ca="1" si="124"/>
        <v>0</v>
      </c>
      <c r="U396" s="19">
        <f t="shared" ca="1" si="125"/>
        <v>1336.3251747165598</v>
      </c>
      <c r="V396" s="19">
        <f t="shared" ca="1" si="126"/>
        <v>0</v>
      </c>
      <c r="W396" s="82">
        <f t="shared" ca="1" si="127"/>
        <v>3401.3366102430559</v>
      </c>
      <c r="X396" s="19">
        <f t="shared" ca="1" si="128"/>
        <v>0</v>
      </c>
      <c r="Y396" s="19">
        <f t="shared" si="129"/>
        <v>0</v>
      </c>
      <c r="Z396" s="82">
        <f t="shared" ca="1" si="130"/>
        <v>3401.3366102430559</v>
      </c>
      <c r="AA396" s="19">
        <f t="shared" ca="1" si="131"/>
        <v>0</v>
      </c>
      <c r="AE396" s="19"/>
    </row>
    <row r="397" spans="1:31" ht="12.75" customHeight="1" x14ac:dyDescent="0.2">
      <c r="A397">
        <v>2</v>
      </c>
      <c r="B397">
        <v>3</v>
      </c>
      <c r="C397">
        <f t="shared" ca="1" si="110"/>
        <v>7</v>
      </c>
      <c r="D397">
        <f t="shared" ca="1" si="111"/>
        <v>6</v>
      </c>
      <c r="E397">
        <f t="shared" ca="1" si="112"/>
        <v>2</v>
      </c>
      <c r="F397" s="61">
        <f t="shared" ca="1" si="113"/>
        <v>5.4747482880000004E-3</v>
      </c>
      <c r="G397">
        <v>0</v>
      </c>
      <c r="H397">
        <v>0</v>
      </c>
      <c r="I397">
        <v>6</v>
      </c>
      <c r="J397" s="61">
        <f t="shared" ca="1" si="114"/>
        <v>3.6754594531249997E-2</v>
      </c>
      <c r="K397" s="61">
        <f t="shared" ca="1" si="115"/>
        <v>2.012221534860951E-4</v>
      </c>
      <c r="L397" s="82">
        <f t="shared" ca="1" si="116"/>
        <v>66</v>
      </c>
      <c r="M397" s="16">
        <f t="shared" ca="1" si="117"/>
        <v>934</v>
      </c>
      <c r="N397" s="3">
        <f t="shared" ca="1" si="118"/>
        <v>5</v>
      </c>
      <c r="O397" s="19">
        <f t="shared" ca="1" si="119"/>
        <v>2.8178718937399587</v>
      </c>
      <c r="P397" s="19">
        <f t="shared" ca="1" si="120"/>
        <v>28.178718937399587</v>
      </c>
      <c r="Q397" s="19">
        <f t="shared" ca="1" si="121"/>
        <v>28.178718937399587</v>
      </c>
      <c r="R397" s="19">
        <f t="shared" ca="1" si="122"/>
        <v>2.8178718937399587</v>
      </c>
      <c r="S397" s="19">
        <f t="shared" ca="1" si="123"/>
        <v>2.8178718937399587</v>
      </c>
      <c r="T397" s="19">
        <f t="shared" ca="1" si="124"/>
        <v>5.6701825070629543E-4</v>
      </c>
      <c r="U397" s="19">
        <f t="shared" ca="1" si="125"/>
        <v>1325.3251747165598</v>
      </c>
      <c r="V397" s="19">
        <f t="shared" ca="1" si="126"/>
        <v>0.2666847857258014</v>
      </c>
      <c r="W397" s="82">
        <f t="shared" ca="1" si="127"/>
        <v>2915.4313802083334</v>
      </c>
      <c r="X397" s="19">
        <f t="shared" ca="1" si="128"/>
        <v>0.58664938066645933</v>
      </c>
      <c r="Y397" s="19">
        <f t="shared" si="129"/>
        <v>0</v>
      </c>
      <c r="Z397" s="82">
        <f t="shared" ca="1" si="130"/>
        <v>2915.4313802083334</v>
      </c>
      <c r="AA397" s="19">
        <f t="shared" ca="1" si="131"/>
        <v>0.58664938066645933</v>
      </c>
      <c r="AE397" s="19"/>
    </row>
    <row r="398" spans="1:31" ht="12.75" customHeight="1" x14ac:dyDescent="0.2">
      <c r="A398">
        <v>2</v>
      </c>
      <c r="B398">
        <v>3</v>
      </c>
      <c r="C398">
        <f t="shared" ca="1" si="110"/>
        <v>7</v>
      </c>
      <c r="D398">
        <f t="shared" ca="1" si="111"/>
        <v>6</v>
      </c>
      <c r="E398">
        <f t="shared" ca="1" si="112"/>
        <v>2</v>
      </c>
      <c r="F398" s="61">
        <f t="shared" ca="1" si="113"/>
        <v>5.4747482880000004E-3</v>
      </c>
      <c r="G398">
        <v>0</v>
      </c>
      <c r="H398">
        <v>0</v>
      </c>
      <c r="I398">
        <v>5</v>
      </c>
      <c r="J398" s="61">
        <f t="shared" ca="1" si="114"/>
        <v>1.1606714062500011E-2</v>
      </c>
      <c r="K398" s="61">
        <f t="shared" ca="1" si="115"/>
        <v>6.3543837942977468E-5</v>
      </c>
      <c r="L398" s="82">
        <f t="shared" ca="1" si="116"/>
        <v>55</v>
      </c>
      <c r="M398" s="16">
        <f t="shared" ca="1" si="117"/>
        <v>945</v>
      </c>
      <c r="N398" s="3">
        <f t="shared" ca="1" si="118"/>
        <v>5</v>
      </c>
      <c r="O398" s="19">
        <f t="shared" ca="1" si="119"/>
        <v>2.8178718937399587</v>
      </c>
      <c r="P398" s="19">
        <f t="shared" ca="1" si="120"/>
        <v>28.178718937399587</v>
      </c>
      <c r="Q398" s="19">
        <f t="shared" ca="1" si="121"/>
        <v>28.178718937399587</v>
      </c>
      <c r="R398" s="19">
        <f t="shared" ca="1" si="122"/>
        <v>2.8178718937399587</v>
      </c>
      <c r="S398" s="19">
        <f t="shared" ca="1" si="123"/>
        <v>2.8178718937399587</v>
      </c>
      <c r="T398" s="19">
        <f t="shared" ca="1" si="124"/>
        <v>1.7905839495988295E-4</v>
      </c>
      <c r="U398" s="19">
        <f t="shared" ca="1" si="125"/>
        <v>1314.3251747165598</v>
      </c>
      <c r="V398" s="19">
        <f t="shared" ca="1" si="126"/>
        <v>8.3517265906564622E-2</v>
      </c>
      <c r="W398" s="82">
        <f t="shared" ca="1" si="127"/>
        <v>2429.5261501736113</v>
      </c>
      <c r="X398" s="19">
        <f t="shared" ca="1" si="128"/>
        <v>0.15438141596485791</v>
      </c>
      <c r="Y398" s="19">
        <f t="shared" si="129"/>
        <v>0</v>
      </c>
      <c r="Z398" s="82">
        <f t="shared" ca="1" si="130"/>
        <v>2429.5261501736113</v>
      </c>
      <c r="AA398" s="19">
        <f t="shared" ca="1" si="131"/>
        <v>0.15438141596485791</v>
      </c>
      <c r="AE398" s="19"/>
    </row>
    <row r="399" spans="1:31" ht="12.75" customHeight="1" x14ac:dyDescent="0.2">
      <c r="A399">
        <v>2</v>
      </c>
      <c r="B399">
        <v>3</v>
      </c>
      <c r="C399">
        <f t="shared" ca="1" si="110"/>
        <v>7</v>
      </c>
      <c r="D399">
        <f t="shared" ca="1" si="111"/>
        <v>6</v>
      </c>
      <c r="E399">
        <f t="shared" ca="1" si="112"/>
        <v>2</v>
      </c>
      <c r="F399" s="61">
        <f t="shared" ca="1" si="113"/>
        <v>5.4747482880000004E-3</v>
      </c>
      <c r="G399">
        <v>0</v>
      </c>
      <c r="H399">
        <v>0</v>
      </c>
      <c r="I399">
        <v>4</v>
      </c>
      <c r="J399" s="61">
        <f t="shared" ca="1" si="114"/>
        <v>1.5271992187500026E-3</v>
      </c>
      <c r="K399" s="61">
        <f t="shared" ca="1" si="115"/>
        <v>8.3610313082865145E-6</v>
      </c>
      <c r="L399" s="82">
        <f t="shared" ca="1" si="116"/>
        <v>44</v>
      </c>
      <c r="M399" s="16">
        <f t="shared" ca="1" si="117"/>
        <v>956</v>
      </c>
      <c r="N399" s="3">
        <f t="shared" ca="1" si="118"/>
        <v>6</v>
      </c>
      <c r="O399" s="19">
        <f t="shared" ca="1" si="119"/>
        <v>3.3239268932937667</v>
      </c>
      <c r="P399" s="19">
        <f t="shared" ca="1" si="120"/>
        <v>33.239268932937669</v>
      </c>
      <c r="Q399" s="19">
        <f t="shared" ca="1" si="121"/>
        <v>28.178718937399587</v>
      </c>
      <c r="R399" s="19">
        <f t="shared" ca="1" si="122"/>
        <v>3.0708993935168629</v>
      </c>
      <c r="S399" s="19">
        <f t="shared" ca="1" si="123"/>
        <v>3.3239268932937667</v>
      </c>
      <c r="T399" s="19">
        <f t="shared" ca="1" si="124"/>
        <v>2.779145682128471E-5</v>
      </c>
      <c r="U399" s="19">
        <f t="shared" ca="1" si="125"/>
        <v>1495.4024523027438</v>
      </c>
      <c r="V399" s="19">
        <f t="shared" ca="1" si="126"/>
        <v>1.2503106722191673E-2</v>
      </c>
      <c r="W399" s="82">
        <f t="shared" ca="1" si="127"/>
        <v>1943.620920138889</v>
      </c>
      <c r="X399" s="19">
        <f t="shared" ca="1" si="128"/>
        <v>1.6250675364721894E-2</v>
      </c>
      <c r="Y399" s="19">
        <f t="shared" si="129"/>
        <v>0</v>
      </c>
      <c r="Z399" s="82">
        <f t="shared" ca="1" si="130"/>
        <v>1943.620920138889</v>
      </c>
      <c r="AA399" s="19">
        <f t="shared" ca="1" si="131"/>
        <v>1.6250675364721894E-2</v>
      </c>
      <c r="AE399" s="19"/>
    </row>
    <row r="400" spans="1:31" ht="12.75" customHeight="1" x14ac:dyDescent="0.2">
      <c r="A400">
        <v>2</v>
      </c>
      <c r="B400">
        <v>3</v>
      </c>
      <c r="C400">
        <f t="shared" ca="1" si="110"/>
        <v>7</v>
      </c>
      <c r="D400">
        <f t="shared" ca="1" si="111"/>
        <v>6</v>
      </c>
      <c r="E400">
        <f t="shared" ca="1" si="112"/>
        <v>2</v>
      </c>
      <c r="F400" s="61">
        <f t="shared" ca="1" si="113"/>
        <v>5.4747482880000004E-3</v>
      </c>
      <c r="G400">
        <v>0</v>
      </c>
      <c r="H400">
        <v>0</v>
      </c>
      <c r="I400">
        <v>3</v>
      </c>
      <c r="J400" s="61">
        <f t="shared" ca="1" si="114"/>
        <v>1.0717187500000027E-4</v>
      </c>
      <c r="K400" s="61">
        <f t="shared" ca="1" si="115"/>
        <v>5.8673903917800152E-7</v>
      </c>
      <c r="L400" s="82">
        <f t="shared" ca="1" si="116"/>
        <v>33</v>
      </c>
      <c r="M400" s="16">
        <f t="shared" ca="1" si="117"/>
        <v>967</v>
      </c>
      <c r="N400" s="3">
        <f t="shared" ca="1" si="118"/>
        <v>6</v>
      </c>
      <c r="O400" s="19">
        <f t="shared" ca="1" si="119"/>
        <v>3.3239268932937667</v>
      </c>
      <c r="P400" s="19">
        <f t="shared" ca="1" si="120"/>
        <v>33.239268932937669</v>
      </c>
      <c r="Q400" s="19">
        <f t="shared" ca="1" si="121"/>
        <v>33.239268932937669</v>
      </c>
      <c r="R400" s="19">
        <f t="shared" ca="1" si="122"/>
        <v>3.3239268932937671</v>
      </c>
      <c r="S400" s="19">
        <f t="shared" ca="1" si="123"/>
        <v>3.3239268932937667</v>
      </c>
      <c r="T400" s="19">
        <f t="shared" ca="1" si="124"/>
        <v>1.9502776716691041E-6</v>
      </c>
      <c r="U400" s="19">
        <f t="shared" ca="1" si="125"/>
        <v>1484.4024523027438</v>
      </c>
      <c r="V400" s="19">
        <f t="shared" ca="1" si="126"/>
        <v>8.7095686861758106E-4</v>
      </c>
      <c r="W400" s="82">
        <f t="shared" ca="1" si="127"/>
        <v>1457.7156901041667</v>
      </c>
      <c r="X400" s="19">
        <f t="shared" ca="1" si="128"/>
        <v>8.5529870340641623E-4</v>
      </c>
      <c r="Y400" s="19">
        <f t="shared" si="129"/>
        <v>0</v>
      </c>
      <c r="Z400" s="82">
        <f t="shared" ca="1" si="130"/>
        <v>1457.7156901041667</v>
      </c>
      <c r="AA400" s="19">
        <f t="shared" ca="1" si="131"/>
        <v>8.5529870340641623E-4</v>
      </c>
      <c r="AE400" s="19"/>
    </row>
    <row r="401" spans="1:31" ht="12.75" customHeight="1" x14ac:dyDescent="0.2">
      <c r="A401">
        <v>2</v>
      </c>
      <c r="B401">
        <v>3</v>
      </c>
      <c r="C401">
        <f t="shared" ca="1" si="110"/>
        <v>7</v>
      </c>
      <c r="D401">
        <f t="shared" ca="1" si="111"/>
        <v>6</v>
      </c>
      <c r="E401">
        <f t="shared" ca="1" si="112"/>
        <v>2</v>
      </c>
      <c r="F401" s="61">
        <f t="shared" ca="1" si="113"/>
        <v>5.4747482880000004E-3</v>
      </c>
      <c r="G401">
        <v>0</v>
      </c>
      <c r="H401">
        <v>0</v>
      </c>
      <c r="I401">
        <v>2</v>
      </c>
      <c r="J401" s="61">
        <f t="shared" ca="1" si="114"/>
        <v>4.2304687500000152E-6</v>
      </c>
      <c r="K401" s="61">
        <f t="shared" ca="1" si="115"/>
        <v>2.3160751546500084E-8</v>
      </c>
      <c r="L401" s="82">
        <f t="shared" ca="1" si="116"/>
        <v>22</v>
      </c>
      <c r="M401" s="16">
        <f t="shared" ca="1" si="117"/>
        <v>978</v>
      </c>
      <c r="N401" s="3">
        <f t="shared" ca="1" si="118"/>
        <v>6</v>
      </c>
      <c r="O401" s="19">
        <f t="shared" ca="1" si="119"/>
        <v>3.3239268932937667</v>
      </c>
      <c r="P401" s="19">
        <f t="shared" ca="1" si="120"/>
        <v>33.239268932937669</v>
      </c>
      <c r="Q401" s="19">
        <f t="shared" ca="1" si="121"/>
        <v>33.239268932937669</v>
      </c>
      <c r="R401" s="19">
        <f t="shared" ca="1" si="122"/>
        <v>3.3239268932937671</v>
      </c>
      <c r="S401" s="19">
        <f t="shared" ca="1" si="123"/>
        <v>3.3239268932937667</v>
      </c>
      <c r="T401" s="19">
        <f t="shared" ca="1" si="124"/>
        <v>7.6984644934306831E-8</v>
      </c>
      <c r="U401" s="19">
        <f t="shared" ca="1" si="125"/>
        <v>1473.4024523027438</v>
      </c>
      <c r="V401" s="19">
        <f t="shared" ca="1" si="126"/>
        <v>3.4125108125787786E-5</v>
      </c>
      <c r="W401" s="82">
        <f t="shared" ca="1" si="127"/>
        <v>971.8104600694445</v>
      </c>
      <c r="X401" s="19">
        <f t="shared" ca="1" si="128"/>
        <v>2.2507860615958343E-5</v>
      </c>
      <c r="Y401" s="19">
        <f t="shared" si="129"/>
        <v>0</v>
      </c>
      <c r="Z401" s="82">
        <f t="shared" ca="1" si="130"/>
        <v>971.8104600694445</v>
      </c>
      <c r="AA401" s="19">
        <f t="shared" ca="1" si="131"/>
        <v>2.2507860615958343E-5</v>
      </c>
      <c r="AE401" s="19"/>
    </row>
    <row r="402" spans="1:31" ht="12.75" customHeight="1" x14ac:dyDescent="0.2">
      <c r="A402">
        <v>2</v>
      </c>
      <c r="B402">
        <v>3</v>
      </c>
      <c r="C402">
        <f t="shared" ca="1" si="110"/>
        <v>7</v>
      </c>
      <c r="D402">
        <f t="shared" ca="1" si="111"/>
        <v>6</v>
      </c>
      <c r="E402">
        <f t="shared" ca="1" si="112"/>
        <v>2</v>
      </c>
      <c r="F402" s="61">
        <f t="shared" ca="1" si="113"/>
        <v>5.4747482880000004E-3</v>
      </c>
      <c r="G402">
        <v>0</v>
      </c>
      <c r="H402">
        <v>0</v>
      </c>
      <c r="I402">
        <v>1</v>
      </c>
      <c r="J402" s="61">
        <f t="shared" ca="1" si="114"/>
        <v>8.9062500000000418E-8</v>
      </c>
      <c r="K402" s="61">
        <f t="shared" ca="1" si="115"/>
        <v>4.8759476940000229E-10</v>
      </c>
      <c r="L402" s="82">
        <f t="shared" ca="1" si="116"/>
        <v>11</v>
      </c>
      <c r="M402" s="16">
        <f t="shared" ca="1" si="117"/>
        <v>989</v>
      </c>
      <c r="N402" s="3">
        <f t="shared" ca="1" si="118"/>
        <v>6</v>
      </c>
      <c r="O402" s="19">
        <f t="shared" ca="1" si="119"/>
        <v>3.3239268932937667</v>
      </c>
      <c r="P402" s="19">
        <f t="shared" ca="1" si="120"/>
        <v>33.239268932937669</v>
      </c>
      <c r="Q402" s="19">
        <f t="shared" ca="1" si="121"/>
        <v>33.239268932937669</v>
      </c>
      <c r="R402" s="19">
        <f t="shared" ca="1" si="122"/>
        <v>3.3239268932937671</v>
      </c>
      <c r="S402" s="19">
        <f t="shared" ca="1" si="123"/>
        <v>3.3239268932937667</v>
      </c>
      <c r="T402" s="19">
        <f t="shared" ca="1" si="124"/>
        <v>1.6207293670380401E-9</v>
      </c>
      <c r="U402" s="19">
        <f t="shared" ca="1" si="125"/>
        <v>1462.4024523027438</v>
      </c>
      <c r="V402" s="19">
        <f t="shared" ca="1" si="126"/>
        <v>7.1305978650055415E-7</v>
      </c>
      <c r="W402" s="82">
        <f t="shared" ca="1" si="127"/>
        <v>485.90523003472225</v>
      </c>
      <c r="X402" s="19">
        <f t="shared" ca="1" si="128"/>
        <v>2.3692484858903546E-7</v>
      </c>
      <c r="Y402" s="19">
        <f t="shared" si="129"/>
        <v>0</v>
      </c>
      <c r="Z402" s="82">
        <f t="shared" ca="1" si="130"/>
        <v>485.90523003472225</v>
      </c>
      <c r="AA402" s="19">
        <f t="shared" ca="1" si="131"/>
        <v>2.3692484858903546E-7</v>
      </c>
      <c r="AE402" s="19"/>
    </row>
    <row r="403" spans="1:31" ht="12.75" customHeight="1" x14ac:dyDescent="0.2">
      <c r="A403">
        <v>2</v>
      </c>
      <c r="B403">
        <v>3</v>
      </c>
      <c r="C403">
        <f t="shared" ca="1" si="110"/>
        <v>7</v>
      </c>
      <c r="D403">
        <f t="shared" ca="1" si="111"/>
        <v>6</v>
      </c>
      <c r="E403">
        <f t="shared" ca="1" si="112"/>
        <v>2</v>
      </c>
      <c r="F403" s="61">
        <f t="shared" ca="1" si="113"/>
        <v>5.4747482880000004E-3</v>
      </c>
      <c r="G403">
        <v>0</v>
      </c>
      <c r="H403">
        <v>0</v>
      </c>
      <c r="I403">
        <v>0</v>
      </c>
      <c r="J403" s="61">
        <f t="shared" ca="1" si="114"/>
        <v>7.812500000000041E-10</v>
      </c>
      <c r="K403" s="61">
        <f t="shared" ca="1" si="115"/>
        <v>4.2771471000000224E-12</v>
      </c>
      <c r="L403" s="82">
        <f t="shared" ca="1" si="116"/>
        <v>0</v>
      </c>
      <c r="M403" s="16">
        <f t="shared" ca="1" si="117"/>
        <v>1000</v>
      </c>
      <c r="N403" s="3">
        <f t="shared" ca="1" si="118"/>
        <v>6</v>
      </c>
      <c r="O403" s="19">
        <f t="shared" ca="1" si="119"/>
        <v>3.3239268932937667</v>
      </c>
      <c r="P403" s="19">
        <f t="shared" ca="1" si="120"/>
        <v>33.239268932937669</v>
      </c>
      <c r="Q403" s="19">
        <f t="shared" ca="1" si="121"/>
        <v>33.239268932937669</v>
      </c>
      <c r="R403" s="19">
        <f t="shared" ca="1" si="122"/>
        <v>3.3239268932937671</v>
      </c>
      <c r="S403" s="19">
        <f t="shared" ca="1" si="123"/>
        <v>3.3239268932937667</v>
      </c>
      <c r="T403" s="19">
        <f t="shared" ca="1" si="124"/>
        <v>1.4216924272263518E-11</v>
      </c>
      <c r="U403" s="19">
        <f t="shared" ca="1" si="125"/>
        <v>1451.4024523027438</v>
      </c>
      <c r="V403" s="19">
        <f t="shared" ca="1" si="126"/>
        <v>6.2078617897996015E-9</v>
      </c>
      <c r="W403" s="82">
        <f t="shared" ca="1" si="127"/>
        <v>0</v>
      </c>
      <c r="X403" s="19">
        <f t="shared" ca="1" si="128"/>
        <v>0</v>
      </c>
      <c r="Y403" s="19">
        <f t="shared" si="129"/>
        <v>0</v>
      </c>
      <c r="Z403" s="82">
        <f t="shared" ca="1" si="130"/>
        <v>0</v>
      </c>
      <c r="AA403" s="19">
        <f t="shared" ca="1" si="131"/>
        <v>0</v>
      </c>
      <c r="AE403" s="19"/>
    </row>
    <row r="404" spans="1:31" ht="12.75" customHeight="1" x14ac:dyDescent="0.2">
      <c r="A404">
        <v>3</v>
      </c>
      <c r="B404">
        <v>0</v>
      </c>
      <c r="C404">
        <f t="shared" ref="C404:C467" ca="1" si="132">MIN(8, 1+$B$10+$B$9+A404+B404)</f>
        <v>5</v>
      </c>
      <c r="D404">
        <f t="shared" ref="D404:D467" ca="1" si="133">C404-(1+$B$10)</f>
        <v>4</v>
      </c>
      <c r="E404">
        <f t="shared" ref="E404:E467" ca="1" si="134">MIN(A404, C404-(1+$B$10+$B$9))</f>
        <v>3</v>
      </c>
      <c r="F404" s="61">
        <f t="shared" ref="F404:F467" ca="1" si="135">IF(A404=3, Set1QA, IF(A404=2, (1-Set1QA)*Set1TA + (1-Set1QA)*(1-Set1TA)*(1-Set1DA)*Set1AM3*Set1AM33, IF(A404=1, (1-Set1QA)*(1-Set1TA)*Set1DA + (1-Set1QA)*(1-Set1TA)*(1-Set1DA)*Set1AM3*Set1AM32, (1-Set1QA)*(1-Set1TA)*(1-Set1DA)*(1-Set1AM3)))) * IF($B$9+$B$10&gt;0, IF(B404=3, Set1QA, IF(B404=2, (1-Set1QA)*Set1TA, IF(B404=1, (1-Set1QA)*(1-Set1TA)*Set1DA, (1-Set1QA)*(1-Set1TA)*(1-Set1DA)))), IF(B404=0, 1, 0))</f>
        <v>2.1510720000000001E-2</v>
      </c>
      <c r="G404">
        <v>1</v>
      </c>
      <c r="H404">
        <v>1</v>
      </c>
      <c r="I404">
        <v>7</v>
      </c>
      <c r="J404" s="61">
        <f t="shared" ref="J404:J467" ca="1" si="136">POWER(95%,G404)*POWER(5%, 1-G404) * IF($B$10=0, IF(H404=0, 1, 0), POWER(Set1WSHitRate,H404)*POWER(1-Set1WSHitRate, 1-H404)) * IF(I404&lt;=D404, POWER(Set1WSHitRate, I404)*POWER(1-Set1WSHitRate, D404-I404)*COMBIN(D404,I404), 0)</f>
        <v>0</v>
      </c>
      <c r="K404" s="61">
        <f t="shared" ref="K404:K467" ca="1" si="137">F404*J404</f>
        <v>0</v>
      </c>
      <c r="L404" s="82">
        <f t="shared" ref="L404:L467" ca="1" si="138">MAX((G404+H404)*Set1WSTP + I404*$B$6, Set1SaveTP)</f>
        <v>399</v>
      </c>
      <c r="M404" s="16">
        <f t="shared" ref="M404:M467" ca="1" si="139">MAX(Set1MinTP-(L404+Set1Regain), 0)</f>
        <v>601</v>
      </c>
      <c r="N404" s="3">
        <f t="shared" ref="N404:N467" ca="1" si="140">CEILING(M404/Set1MeleeTP, 1)</f>
        <v>4</v>
      </c>
      <c r="O404" s="19">
        <f t="shared" ref="O404:O467" ca="1" si="141">VLOOKUP(N404,AvgRoundsSet1,2)</f>
        <v>2.3453053758100548</v>
      </c>
      <c r="P404" s="19">
        <f t="shared" ref="P404:P467" ca="1" si="142">VLOOKUP(CEILING(MAX(M404-1, 0)/Set1MeleeTP, 1), AvgRoundsSet1, 2) + VLOOKUP(CEILING(MAX(M404-2, 0)/Set1MeleeTP, 1), AvgRoundsSet1, 2) + VLOOKUP(CEILING(MAX(M404-3, 0)/Set1MeleeTP, 1), AvgRoundsSet1, 2) + VLOOKUP(CEILING(MAX(M404-4, 0)/Set1MeleeTP, 1), AvgRoundsSet1, 2) + VLOOKUP(CEILING(MAX(M404-5, 0)/Set1MeleeTP, 1), AvgRoundsSet1, 2) + VLOOKUP(CEILING(MAX(M404-6, 0)/Set1MeleeTP, 1), AvgRoundsSet1, 2) + VLOOKUP(CEILING(MAX(M404-7, 0)/Set1MeleeTP, 1), AvgRoundsSet1, 2) + VLOOKUP(CEILING(MAX(M404-8, 0)/Set1MeleeTP, 1), AvgRoundsSet1, 2) + VLOOKUP(CEILING(MAX(M404-9, 0)/Set1MeleeTP, 1), AvgRoundsSet1, 2) + VLOOKUP(CEILING(MAX(M404-10, 0)/Set1MeleeTP, 1), AvgRoundsSet1, 2)</f>
        <v>23.453053758100552</v>
      </c>
      <c r="Q404" s="19">
        <f t="shared" ref="Q404:Q467" ca="1" si="143">VLOOKUP(CEILING(MAX(M404-11, 0)/Set1MeleeTP, 1), AvgRoundsSet1, 2) + VLOOKUP(CEILING(MAX(M404-12, 0)/Set1MeleeTP, 1), AvgRoundsSet1, 2) + VLOOKUP(CEILING(MAX(M404-13, 0)/Set1MeleeTP, 1), AvgRoundsSet1, 2) + VLOOKUP(CEILING(MAX(M404-14, 0)/Set1MeleeTP, 1), AvgRoundsSet1, 2) + VLOOKUP(CEILING(MAX(M404-15, 0)/Set1MeleeTP, 1), AvgRoundsSet1, 2) + VLOOKUP(CEILING(MAX(M404-16, 0)/Set1MeleeTP, 1), AvgRoundsSet1, 2) + VLOOKUP(CEILING(MAX(M404-17, 0)/Set1MeleeTP, 1), AvgRoundsSet1, 2) + VLOOKUP(CEILING(MAX(M404-18, 0)/Set1MeleeTP, 1), AvgRoundsSet1, 2) + VLOOKUP(CEILING(MAX(M404-19, 0)/Set1MeleeTP, 1), AvgRoundsSet1, 2) + VLOOKUP(CEILING(MAX(M404-20, 0)/Set1MeleeTP, 1), AvgRoundsSet1, 2)</f>
        <v>23.453053758100552</v>
      </c>
      <c r="R404" s="19">
        <f t="shared" ref="R404:R467" ca="1" si="144">(P404+Q404)/20</f>
        <v>2.3453053758100553</v>
      </c>
      <c r="S404" s="19">
        <f t="shared" ref="S404:S467" ca="1" si="145">R404*Set1ConserveTP + O404*(1-Set1ConserveTP)</f>
        <v>2.3453053758100548</v>
      </c>
      <c r="T404" s="19">
        <f t="shared" ref="T404:T467" ca="1" si="146">K404*S404</f>
        <v>0</v>
      </c>
      <c r="U404" s="19">
        <f t="shared" ref="U404:U467" ca="1" si="147">MIN(L404+(S404+Set1OverTP)*AvgHitsPerRound1*Set1MeleeTP + Set1Regain + 10.5*Set1ConserveTP, 3000)</f>
        <v>1478.9587218163997</v>
      </c>
      <c r="V404" s="19">
        <f t="shared" ref="V404:V467" ca="1" si="148">U404*K404</f>
        <v>0</v>
      </c>
      <c r="W404" s="82">
        <f t="shared" ref="W404:W467" ca="1" si="149">G404*$K$12*((1-$L$12)*$L$16 + $L$12*$M$16*$M$12)+ H404*$K$15*((1-$L$15)*$L$17 + $L$15*$M$17*$M$13) + I404*$K$13*((1-$L$13)*$L$16 + $L$13*$M$16*$M$13) + E404*$K$14*$L$14*$M$12</f>
        <v>5718.7981307870377</v>
      </c>
      <c r="X404" s="19">
        <f t="shared" ref="X404:X467" ca="1" si="150">K404*W404</f>
        <v>0</v>
      </c>
      <c r="Y404" s="19">
        <f t="shared" ref="Y404:Y467" si="151">IF($B$12=1, (VLOOKUP(C404, IF($B$13=10%,Souleater10,Souleater12), 6, 0) * $B$14), 0)</f>
        <v>0</v>
      </c>
      <c r="Z404" s="82">
        <f t="shared" ref="Z404:Z467" ca="1" si="152">Y404+W404</f>
        <v>5718.7981307870377</v>
      </c>
      <c r="AA404" s="19">
        <f t="shared" ref="AA404:AA467" ca="1" si="153">Z404*K404</f>
        <v>0</v>
      </c>
      <c r="AE404" s="19"/>
    </row>
    <row r="405" spans="1:31" ht="12.75" customHeight="1" x14ac:dyDescent="0.2">
      <c r="A405">
        <v>3</v>
      </c>
      <c r="B405">
        <v>0</v>
      </c>
      <c r="C405">
        <f t="shared" ca="1" si="132"/>
        <v>5</v>
      </c>
      <c r="D405">
        <f t="shared" ca="1" si="133"/>
        <v>4</v>
      </c>
      <c r="E405">
        <f t="shared" ca="1" si="134"/>
        <v>3</v>
      </c>
      <c r="F405" s="61">
        <f t="shared" ca="1" si="135"/>
        <v>2.1510720000000001E-2</v>
      </c>
      <c r="G405">
        <v>1</v>
      </c>
      <c r="H405">
        <v>1</v>
      </c>
      <c r="I405">
        <v>6</v>
      </c>
      <c r="J405" s="61">
        <f t="shared" ca="1" si="136"/>
        <v>0</v>
      </c>
      <c r="K405" s="61">
        <f t="shared" ca="1" si="137"/>
        <v>0</v>
      </c>
      <c r="L405" s="82">
        <f t="shared" ca="1" si="138"/>
        <v>388</v>
      </c>
      <c r="M405" s="16">
        <f t="shared" ca="1" si="139"/>
        <v>612</v>
      </c>
      <c r="N405" s="3">
        <f t="shared" ca="1" si="140"/>
        <v>4</v>
      </c>
      <c r="O405" s="19">
        <f t="shared" ca="1" si="141"/>
        <v>2.3453053758100548</v>
      </c>
      <c r="P405" s="19">
        <f t="shared" ca="1" si="142"/>
        <v>23.453053758100552</v>
      </c>
      <c r="Q405" s="19">
        <f t="shared" ca="1" si="143"/>
        <v>23.453053758100552</v>
      </c>
      <c r="R405" s="19">
        <f t="shared" ca="1" si="144"/>
        <v>2.3453053758100553</v>
      </c>
      <c r="S405" s="19">
        <f t="shared" ca="1" si="145"/>
        <v>2.3453053758100548</v>
      </c>
      <c r="T405" s="19">
        <f t="shared" ca="1" si="146"/>
        <v>0</v>
      </c>
      <c r="U405" s="19">
        <f t="shared" ca="1" si="147"/>
        <v>1467.9587218163997</v>
      </c>
      <c r="V405" s="19">
        <f t="shared" ca="1" si="148"/>
        <v>0</v>
      </c>
      <c r="W405" s="82">
        <f t="shared" ca="1" si="149"/>
        <v>5232.8929007523147</v>
      </c>
      <c r="X405" s="19">
        <f t="shared" ca="1" si="150"/>
        <v>0</v>
      </c>
      <c r="Y405" s="19">
        <f t="shared" si="151"/>
        <v>0</v>
      </c>
      <c r="Z405" s="82">
        <f t="shared" ca="1" si="152"/>
        <v>5232.8929007523147</v>
      </c>
      <c r="AA405" s="19">
        <f t="shared" ca="1" si="153"/>
        <v>0</v>
      </c>
      <c r="AE405" s="19"/>
    </row>
    <row r="406" spans="1:31" ht="12.75" customHeight="1" x14ac:dyDescent="0.2">
      <c r="A406">
        <v>3</v>
      </c>
      <c r="B406">
        <v>0</v>
      </c>
      <c r="C406">
        <f t="shared" ca="1" si="132"/>
        <v>5</v>
      </c>
      <c r="D406">
        <f t="shared" ca="1" si="133"/>
        <v>4</v>
      </c>
      <c r="E406">
        <f t="shared" ca="1" si="134"/>
        <v>3</v>
      </c>
      <c r="F406" s="61">
        <f t="shared" ca="1" si="135"/>
        <v>2.1510720000000001E-2</v>
      </c>
      <c r="G406">
        <v>1</v>
      </c>
      <c r="H406">
        <v>1</v>
      </c>
      <c r="I406">
        <v>5</v>
      </c>
      <c r="J406" s="61">
        <f t="shared" ca="1" si="136"/>
        <v>0</v>
      </c>
      <c r="K406" s="61">
        <f t="shared" ca="1" si="137"/>
        <v>0</v>
      </c>
      <c r="L406" s="82">
        <f t="shared" ca="1" si="138"/>
        <v>377</v>
      </c>
      <c r="M406" s="16">
        <f t="shared" ca="1" si="139"/>
        <v>623</v>
      </c>
      <c r="N406" s="3">
        <f t="shared" ca="1" si="140"/>
        <v>4</v>
      </c>
      <c r="O406" s="19">
        <f t="shared" ca="1" si="141"/>
        <v>2.3453053758100548</v>
      </c>
      <c r="P406" s="19">
        <f t="shared" ca="1" si="142"/>
        <v>23.453053758100552</v>
      </c>
      <c r="Q406" s="19">
        <f t="shared" ca="1" si="143"/>
        <v>23.453053758100552</v>
      </c>
      <c r="R406" s="19">
        <f t="shared" ca="1" si="144"/>
        <v>2.3453053758100553</v>
      </c>
      <c r="S406" s="19">
        <f t="shared" ca="1" si="145"/>
        <v>2.3453053758100548</v>
      </c>
      <c r="T406" s="19">
        <f t="shared" ca="1" si="146"/>
        <v>0</v>
      </c>
      <c r="U406" s="19">
        <f t="shared" ca="1" si="147"/>
        <v>1456.9587218163997</v>
      </c>
      <c r="V406" s="19">
        <f t="shared" ca="1" si="148"/>
        <v>0</v>
      </c>
      <c r="W406" s="82">
        <f t="shared" ca="1" si="149"/>
        <v>4746.9876707175936</v>
      </c>
      <c r="X406" s="19">
        <f t="shared" ca="1" si="150"/>
        <v>0</v>
      </c>
      <c r="Y406" s="19">
        <f t="shared" si="151"/>
        <v>0</v>
      </c>
      <c r="Z406" s="82">
        <f t="shared" ca="1" si="152"/>
        <v>4746.9876707175936</v>
      </c>
      <c r="AA406" s="19">
        <f t="shared" ca="1" si="153"/>
        <v>0</v>
      </c>
      <c r="AE406" s="19"/>
    </row>
    <row r="407" spans="1:31" ht="12.75" customHeight="1" x14ac:dyDescent="0.2">
      <c r="A407">
        <v>3</v>
      </c>
      <c r="B407">
        <v>0</v>
      </c>
      <c r="C407">
        <f t="shared" ca="1" si="132"/>
        <v>5</v>
      </c>
      <c r="D407">
        <f t="shared" ca="1" si="133"/>
        <v>4</v>
      </c>
      <c r="E407">
        <f t="shared" ca="1" si="134"/>
        <v>3</v>
      </c>
      <c r="F407" s="61">
        <f t="shared" ca="1" si="135"/>
        <v>2.1510720000000001E-2</v>
      </c>
      <c r="G407">
        <v>1</v>
      </c>
      <c r="H407">
        <v>1</v>
      </c>
      <c r="I407">
        <v>4</v>
      </c>
      <c r="J407" s="61">
        <f t="shared" ca="1" si="136"/>
        <v>0</v>
      </c>
      <c r="K407" s="61">
        <f t="shared" ca="1" si="137"/>
        <v>0</v>
      </c>
      <c r="L407" s="82">
        <f t="shared" ca="1" si="138"/>
        <v>366</v>
      </c>
      <c r="M407" s="16">
        <f t="shared" ca="1" si="139"/>
        <v>634</v>
      </c>
      <c r="N407" s="3">
        <f t="shared" ca="1" si="140"/>
        <v>4</v>
      </c>
      <c r="O407" s="19">
        <f t="shared" ca="1" si="141"/>
        <v>2.3453053758100548</v>
      </c>
      <c r="P407" s="19">
        <f t="shared" ca="1" si="142"/>
        <v>23.453053758100552</v>
      </c>
      <c r="Q407" s="19">
        <f t="shared" ca="1" si="143"/>
        <v>23.453053758100552</v>
      </c>
      <c r="R407" s="19">
        <f t="shared" ca="1" si="144"/>
        <v>2.3453053758100553</v>
      </c>
      <c r="S407" s="19">
        <f t="shared" ca="1" si="145"/>
        <v>2.3453053758100548</v>
      </c>
      <c r="T407" s="19">
        <f t="shared" ca="1" si="146"/>
        <v>0</v>
      </c>
      <c r="U407" s="19">
        <f t="shared" ca="1" si="147"/>
        <v>1445.9587218163997</v>
      </c>
      <c r="V407" s="19">
        <f t="shared" ca="1" si="148"/>
        <v>0</v>
      </c>
      <c r="W407" s="82">
        <f t="shared" ca="1" si="149"/>
        <v>4261.0824406828706</v>
      </c>
      <c r="X407" s="19">
        <f t="shared" ca="1" si="150"/>
        <v>0</v>
      </c>
      <c r="Y407" s="19">
        <f t="shared" si="151"/>
        <v>0</v>
      </c>
      <c r="Z407" s="82">
        <f t="shared" ca="1" si="152"/>
        <v>4261.0824406828706</v>
      </c>
      <c r="AA407" s="19">
        <f t="shared" ca="1" si="153"/>
        <v>0</v>
      </c>
      <c r="AE407" s="19"/>
    </row>
    <row r="408" spans="1:31" ht="12.75" customHeight="1" x14ac:dyDescent="0.2">
      <c r="A408">
        <v>3</v>
      </c>
      <c r="B408">
        <v>0</v>
      </c>
      <c r="C408">
        <f t="shared" ca="1" si="132"/>
        <v>5</v>
      </c>
      <c r="D408">
        <f t="shared" ca="1" si="133"/>
        <v>4</v>
      </c>
      <c r="E408">
        <f t="shared" ca="1" si="134"/>
        <v>3</v>
      </c>
      <c r="F408" s="61">
        <f t="shared" ca="1" si="135"/>
        <v>2.1510720000000001E-2</v>
      </c>
      <c r="G408">
        <v>1</v>
      </c>
      <c r="H408">
        <v>1</v>
      </c>
      <c r="I408">
        <v>3</v>
      </c>
      <c r="J408" s="61">
        <f t="shared" ca="1" si="136"/>
        <v>0</v>
      </c>
      <c r="K408" s="61">
        <f t="shared" ca="1" si="137"/>
        <v>0</v>
      </c>
      <c r="L408" s="82">
        <f t="shared" ca="1" si="138"/>
        <v>355</v>
      </c>
      <c r="M408" s="16">
        <f t="shared" ca="1" si="139"/>
        <v>645</v>
      </c>
      <c r="N408" s="3">
        <f t="shared" ca="1" si="140"/>
        <v>4</v>
      </c>
      <c r="O408" s="19">
        <f t="shared" ca="1" si="141"/>
        <v>2.3453053758100548</v>
      </c>
      <c r="P408" s="19">
        <f t="shared" ca="1" si="142"/>
        <v>23.453053758100552</v>
      </c>
      <c r="Q408" s="19">
        <f t="shared" ca="1" si="143"/>
        <v>23.453053758100552</v>
      </c>
      <c r="R408" s="19">
        <f t="shared" ca="1" si="144"/>
        <v>2.3453053758100553</v>
      </c>
      <c r="S408" s="19">
        <f t="shared" ca="1" si="145"/>
        <v>2.3453053758100548</v>
      </c>
      <c r="T408" s="19">
        <f t="shared" ca="1" si="146"/>
        <v>0</v>
      </c>
      <c r="U408" s="19">
        <f t="shared" ca="1" si="147"/>
        <v>1434.9587218163997</v>
      </c>
      <c r="V408" s="19">
        <f t="shared" ca="1" si="148"/>
        <v>0</v>
      </c>
      <c r="W408" s="82">
        <f t="shared" ca="1" si="149"/>
        <v>3775.1772106481485</v>
      </c>
      <c r="X408" s="19">
        <f t="shared" ca="1" si="150"/>
        <v>0</v>
      </c>
      <c r="Y408" s="19">
        <f t="shared" si="151"/>
        <v>0</v>
      </c>
      <c r="Z408" s="82">
        <f t="shared" ca="1" si="152"/>
        <v>3775.1772106481485</v>
      </c>
      <c r="AA408" s="19">
        <f t="shared" ca="1" si="153"/>
        <v>0</v>
      </c>
      <c r="AE408" s="19"/>
    </row>
    <row r="409" spans="1:31" ht="12.75" customHeight="1" x14ac:dyDescent="0.2">
      <c r="A409">
        <v>3</v>
      </c>
      <c r="B409">
        <v>0</v>
      </c>
      <c r="C409">
        <f t="shared" ca="1" si="132"/>
        <v>5</v>
      </c>
      <c r="D409">
        <f t="shared" ca="1" si="133"/>
        <v>4</v>
      </c>
      <c r="E409">
        <f t="shared" ca="1" si="134"/>
        <v>3</v>
      </c>
      <c r="F409" s="61">
        <f t="shared" ca="1" si="135"/>
        <v>2.1510720000000001E-2</v>
      </c>
      <c r="G409">
        <v>1</v>
      </c>
      <c r="H409">
        <v>1</v>
      </c>
      <c r="I409">
        <v>2</v>
      </c>
      <c r="J409" s="61">
        <f t="shared" ca="1" si="136"/>
        <v>0</v>
      </c>
      <c r="K409" s="61">
        <f t="shared" ca="1" si="137"/>
        <v>0</v>
      </c>
      <c r="L409" s="82">
        <f t="shared" ca="1" si="138"/>
        <v>344</v>
      </c>
      <c r="M409" s="16">
        <f t="shared" ca="1" si="139"/>
        <v>656</v>
      </c>
      <c r="N409" s="3">
        <f t="shared" ca="1" si="140"/>
        <v>4</v>
      </c>
      <c r="O409" s="19">
        <f t="shared" ca="1" si="141"/>
        <v>2.3453053758100548</v>
      </c>
      <c r="P409" s="19">
        <f t="shared" ca="1" si="142"/>
        <v>23.453053758100552</v>
      </c>
      <c r="Q409" s="19">
        <f t="shared" ca="1" si="143"/>
        <v>23.453053758100552</v>
      </c>
      <c r="R409" s="19">
        <f t="shared" ca="1" si="144"/>
        <v>2.3453053758100553</v>
      </c>
      <c r="S409" s="19">
        <f t="shared" ca="1" si="145"/>
        <v>2.3453053758100548</v>
      </c>
      <c r="T409" s="19">
        <f t="shared" ca="1" si="146"/>
        <v>0</v>
      </c>
      <c r="U409" s="19">
        <f t="shared" ca="1" si="147"/>
        <v>1423.9587218163997</v>
      </c>
      <c r="V409" s="19">
        <f t="shared" ca="1" si="148"/>
        <v>0</v>
      </c>
      <c r="W409" s="82">
        <f t="shared" ca="1" si="149"/>
        <v>3289.2719806134264</v>
      </c>
      <c r="X409" s="19">
        <f t="shared" ca="1" si="150"/>
        <v>0</v>
      </c>
      <c r="Y409" s="19">
        <f t="shared" si="151"/>
        <v>0</v>
      </c>
      <c r="Z409" s="82">
        <f t="shared" ca="1" si="152"/>
        <v>3289.2719806134264</v>
      </c>
      <c r="AA409" s="19">
        <f t="shared" ca="1" si="153"/>
        <v>0</v>
      </c>
      <c r="AE409" s="19"/>
    </row>
    <row r="410" spans="1:31" ht="12.75" customHeight="1" x14ac:dyDescent="0.2">
      <c r="A410">
        <v>3</v>
      </c>
      <c r="B410">
        <v>0</v>
      </c>
      <c r="C410">
        <f t="shared" ca="1" si="132"/>
        <v>5</v>
      </c>
      <c r="D410">
        <f t="shared" ca="1" si="133"/>
        <v>4</v>
      </c>
      <c r="E410">
        <f t="shared" ca="1" si="134"/>
        <v>3</v>
      </c>
      <c r="F410" s="61">
        <f t="shared" ca="1" si="135"/>
        <v>2.1510720000000001E-2</v>
      </c>
      <c r="G410">
        <v>1</v>
      </c>
      <c r="H410">
        <v>1</v>
      </c>
      <c r="I410">
        <v>1</v>
      </c>
      <c r="J410" s="61">
        <f t="shared" ca="1" si="136"/>
        <v>0</v>
      </c>
      <c r="K410" s="61">
        <f t="shared" ca="1" si="137"/>
        <v>0</v>
      </c>
      <c r="L410" s="82">
        <f t="shared" ca="1" si="138"/>
        <v>333</v>
      </c>
      <c r="M410" s="16">
        <f t="shared" ca="1" si="139"/>
        <v>667</v>
      </c>
      <c r="N410" s="3">
        <f t="shared" ca="1" si="140"/>
        <v>4</v>
      </c>
      <c r="O410" s="19">
        <f t="shared" ca="1" si="141"/>
        <v>2.3453053758100548</v>
      </c>
      <c r="P410" s="19">
        <f t="shared" ca="1" si="142"/>
        <v>23.453053758100552</v>
      </c>
      <c r="Q410" s="19">
        <f t="shared" ca="1" si="143"/>
        <v>23.453053758100552</v>
      </c>
      <c r="R410" s="19">
        <f t="shared" ca="1" si="144"/>
        <v>2.3453053758100553</v>
      </c>
      <c r="S410" s="19">
        <f t="shared" ca="1" si="145"/>
        <v>2.3453053758100548</v>
      </c>
      <c r="T410" s="19">
        <f t="shared" ca="1" si="146"/>
        <v>0</v>
      </c>
      <c r="U410" s="19">
        <f t="shared" ca="1" si="147"/>
        <v>1412.9587218163997</v>
      </c>
      <c r="V410" s="19">
        <f t="shared" ca="1" si="148"/>
        <v>0</v>
      </c>
      <c r="W410" s="82">
        <f t="shared" ca="1" si="149"/>
        <v>2803.3667505787039</v>
      </c>
      <c r="X410" s="19">
        <f t="shared" ca="1" si="150"/>
        <v>0</v>
      </c>
      <c r="Y410" s="19">
        <f t="shared" si="151"/>
        <v>0</v>
      </c>
      <c r="Z410" s="82">
        <f t="shared" ca="1" si="152"/>
        <v>2803.3667505787039</v>
      </c>
      <c r="AA410" s="19">
        <f t="shared" ca="1" si="153"/>
        <v>0</v>
      </c>
      <c r="AE410" s="19"/>
    </row>
    <row r="411" spans="1:31" ht="12.75" customHeight="1" x14ac:dyDescent="0.2">
      <c r="A411">
        <v>3</v>
      </c>
      <c r="B411">
        <v>0</v>
      </c>
      <c r="C411">
        <f t="shared" ca="1" si="132"/>
        <v>5</v>
      </c>
      <c r="D411">
        <f t="shared" ca="1" si="133"/>
        <v>4</v>
      </c>
      <c r="E411">
        <f t="shared" ca="1" si="134"/>
        <v>3</v>
      </c>
      <c r="F411" s="61">
        <f t="shared" ca="1" si="135"/>
        <v>2.1510720000000001E-2</v>
      </c>
      <c r="G411">
        <v>1</v>
      </c>
      <c r="H411">
        <v>1</v>
      </c>
      <c r="I411">
        <v>0</v>
      </c>
      <c r="J411" s="61">
        <f t="shared" ca="1" si="136"/>
        <v>0</v>
      </c>
      <c r="K411" s="61">
        <f t="shared" ca="1" si="137"/>
        <v>0</v>
      </c>
      <c r="L411" s="82">
        <f t="shared" ca="1" si="138"/>
        <v>322</v>
      </c>
      <c r="M411" s="16">
        <f t="shared" ca="1" si="139"/>
        <v>678</v>
      </c>
      <c r="N411" s="3">
        <f t="shared" ca="1" si="140"/>
        <v>4</v>
      </c>
      <c r="O411" s="19">
        <f t="shared" ca="1" si="141"/>
        <v>2.3453053758100548</v>
      </c>
      <c r="P411" s="19">
        <f t="shared" ca="1" si="142"/>
        <v>23.453053758100552</v>
      </c>
      <c r="Q411" s="19">
        <f t="shared" ca="1" si="143"/>
        <v>23.453053758100552</v>
      </c>
      <c r="R411" s="19">
        <f t="shared" ca="1" si="144"/>
        <v>2.3453053758100553</v>
      </c>
      <c r="S411" s="19">
        <f t="shared" ca="1" si="145"/>
        <v>2.3453053758100548</v>
      </c>
      <c r="T411" s="19">
        <f t="shared" ca="1" si="146"/>
        <v>0</v>
      </c>
      <c r="U411" s="19">
        <f t="shared" ca="1" si="147"/>
        <v>1401.9587218163997</v>
      </c>
      <c r="V411" s="19">
        <f t="shared" ca="1" si="148"/>
        <v>0</v>
      </c>
      <c r="W411" s="82">
        <f t="shared" ca="1" si="149"/>
        <v>2317.4615205439818</v>
      </c>
      <c r="X411" s="19">
        <f t="shared" ca="1" si="150"/>
        <v>0</v>
      </c>
      <c r="Y411" s="19">
        <f t="shared" si="151"/>
        <v>0</v>
      </c>
      <c r="Z411" s="82">
        <f t="shared" ca="1" si="152"/>
        <v>2317.4615205439818</v>
      </c>
      <c r="AA411" s="19">
        <f t="shared" ca="1" si="153"/>
        <v>0</v>
      </c>
      <c r="AE411" s="19"/>
    </row>
    <row r="412" spans="1:31" ht="12.75" customHeight="1" x14ac:dyDescent="0.2">
      <c r="A412">
        <v>3</v>
      </c>
      <c r="B412">
        <v>0</v>
      </c>
      <c r="C412">
        <f t="shared" ca="1" si="132"/>
        <v>5</v>
      </c>
      <c r="D412">
        <f t="shared" ca="1" si="133"/>
        <v>4</v>
      </c>
      <c r="E412">
        <f t="shared" ca="1" si="134"/>
        <v>3</v>
      </c>
      <c r="F412" s="61">
        <f t="shared" ca="1" si="135"/>
        <v>2.1510720000000001E-2</v>
      </c>
      <c r="G412">
        <v>1</v>
      </c>
      <c r="H412">
        <v>0</v>
      </c>
      <c r="I412">
        <v>7</v>
      </c>
      <c r="J412" s="61">
        <f t="shared" ca="1" si="136"/>
        <v>0</v>
      </c>
      <c r="K412" s="61">
        <f t="shared" ca="1" si="137"/>
        <v>0</v>
      </c>
      <c r="L412" s="82">
        <f t="shared" ca="1" si="138"/>
        <v>238</v>
      </c>
      <c r="M412" s="16">
        <f t="shared" ca="1" si="139"/>
        <v>762</v>
      </c>
      <c r="N412" s="3">
        <f t="shared" ca="1" si="140"/>
        <v>5</v>
      </c>
      <c r="O412" s="19">
        <f t="shared" ca="1" si="141"/>
        <v>2.8178718937399587</v>
      </c>
      <c r="P412" s="19">
        <f t="shared" ca="1" si="142"/>
        <v>25.815886347750073</v>
      </c>
      <c r="Q412" s="19">
        <f t="shared" ca="1" si="143"/>
        <v>23.453053758100552</v>
      </c>
      <c r="R412" s="19">
        <f t="shared" ca="1" si="144"/>
        <v>2.4634470052925312</v>
      </c>
      <c r="S412" s="19">
        <f t="shared" ca="1" si="145"/>
        <v>2.8178718937399587</v>
      </c>
      <c r="T412" s="19">
        <f t="shared" ca="1" si="146"/>
        <v>0</v>
      </c>
      <c r="U412" s="19">
        <f t="shared" ca="1" si="147"/>
        <v>1497.3251747165598</v>
      </c>
      <c r="V412" s="19">
        <f t="shared" ca="1" si="148"/>
        <v>0</v>
      </c>
      <c r="W412" s="82">
        <f t="shared" ca="1" si="149"/>
        <v>5718.7981307870377</v>
      </c>
      <c r="X412" s="19">
        <f t="shared" ca="1" si="150"/>
        <v>0</v>
      </c>
      <c r="Y412" s="19">
        <f t="shared" si="151"/>
        <v>0</v>
      </c>
      <c r="Z412" s="82">
        <f t="shared" ca="1" si="152"/>
        <v>5718.7981307870377</v>
      </c>
      <c r="AA412" s="19">
        <f t="shared" ca="1" si="153"/>
        <v>0</v>
      </c>
      <c r="AE412" s="19"/>
    </row>
    <row r="413" spans="1:31" ht="12.75" customHeight="1" x14ac:dyDescent="0.2">
      <c r="A413">
        <v>3</v>
      </c>
      <c r="B413">
        <v>0</v>
      </c>
      <c r="C413">
        <f t="shared" ca="1" si="132"/>
        <v>5</v>
      </c>
      <c r="D413">
        <f t="shared" ca="1" si="133"/>
        <v>4</v>
      </c>
      <c r="E413">
        <f t="shared" ca="1" si="134"/>
        <v>3</v>
      </c>
      <c r="F413" s="61">
        <f t="shared" ca="1" si="135"/>
        <v>2.1510720000000001E-2</v>
      </c>
      <c r="G413">
        <v>1</v>
      </c>
      <c r="H413">
        <v>0</v>
      </c>
      <c r="I413">
        <v>6</v>
      </c>
      <c r="J413" s="61">
        <f t="shared" ca="1" si="136"/>
        <v>0</v>
      </c>
      <c r="K413" s="61">
        <f t="shared" ca="1" si="137"/>
        <v>0</v>
      </c>
      <c r="L413" s="82">
        <f t="shared" ca="1" si="138"/>
        <v>227</v>
      </c>
      <c r="M413" s="16">
        <f t="shared" ca="1" si="139"/>
        <v>773</v>
      </c>
      <c r="N413" s="3">
        <f t="shared" ca="1" si="140"/>
        <v>5</v>
      </c>
      <c r="O413" s="19">
        <f t="shared" ca="1" si="141"/>
        <v>2.8178718937399587</v>
      </c>
      <c r="P413" s="19">
        <f t="shared" ca="1" si="142"/>
        <v>28.178718937399587</v>
      </c>
      <c r="Q413" s="19">
        <f t="shared" ca="1" si="143"/>
        <v>26.288452865679979</v>
      </c>
      <c r="R413" s="19">
        <f t="shared" ca="1" si="144"/>
        <v>2.7233585901539783</v>
      </c>
      <c r="S413" s="19">
        <f t="shared" ca="1" si="145"/>
        <v>2.8178718937399587</v>
      </c>
      <c r="T413" s="19">
        <f t="shared" ca="1" si="146"/>
        <v>0</v>
      </c>
      <c r="U413" s="19">
        <f t="shared" ca="1" si="147"/>
        <v>1486.3251747165598</v>
      </c>
      <c r="V413" s="19">
        <f t="shared" ca="1" si="148"/>
        <v>0</v>
      </c>
      <c r="W413" s="82">
        <f t="shared" ca="1" si="149"/>
        <v>5232.8929007523147</v>
      </c>
      <c r="X413" s="19">
        <f t="shared" ca="1" si="150"/>
        <v>0</v>
      </c>
      <c r="Y413" s="19">
        <f t="shared" si="151"/>
        <v>0</v>
      </c>
      <c r="Z413" s="82">
        <f t="shared" ca="1" si="152"/>
        <v>5232.8929007523147</v>
      </c>
      <c r="AA413" s="19">
        <f t="shared" ca="1" si="153"/>
        <v>0</v>
      </c>
      <c r="AE413" s="19"/>
    </row>
    <row r="414" spans="1:31" ht="12.75" customHeight="1" x14ac:dyDescent="0.2">
      <c r="A414">
        <v>3</v>
      </c>
      <c r="B414">
        <v>0</v>
      </c>
      <c r="C414">
        <f t="shared" ca="1" si="132"/>
        <v>5</v>
      </c>
      <c r="D414">
        <f t="shared" ca="1" si="133"/>
        <v>4</v>
      </c>
      <c r="E414">
        <f t="shared" ca="1" si="134"/>
        <v>3</v>
      </c>
      <c r="F414" s="61">
        <f t="shared" ca="1" si="135"/>
        <v>2.1510720000000001E-2</v>
      </c>
      <c r="G414">
        <v>1</v>
      </c>
      <c r="H414">
        <v>0</v>
      </c>
      <c r="I414">
        <v>5</v>
      </c>
      <c r="J414" s="61">
        <f t="shared" ca="1" si="136"/>
        <v>0</v>
      </c>
      <c r="K414" s="61">
        <f t="shared" ca="1" si="137"/>
        <v>0</v>
      </c>
      <c r="L414" s="82">
        <f t="shared" ca="1" si="138"/>
        <v>216</v>
      </c>
      <c r="M414" s="16">
        <f t="shared" ca="1" si="139"/>
        <v>784</v>
      </c>
      <c r="N414" s="3">
        <f t="shared" ca="1" si="140"/>
        <v>5</v>
      </c>
      <c r="O414" s="19">
        <f t="shared" ca="1" si="141"/>
        <v>2.8178718937399587</v>
      </c>
      <c r="P414" s="19">
        <f t="shared" ca="1" si="142"/>
        <v>28.178718937399587</v>
      </c>
      <c r="Q414" s="19">
        <f t="shared" ca="1" si="143"/>
        <v>28.178718937399587</v>
      </c>
      <c r="R414" s="19">
        <f t="shared" ca="1" si="144"/>
        <v>2.8178718937399587</v>
      </c>
      <c r="S414" s="19">
        <f t="shared" ca="1" si="145"/>
        <v>2.8178718937399587</v>
      </c>
      <c r="T414" s="19">
        <f t="shared" ca="1" si="146"/>
        <v>0</v>
      </c>
      <c r="U414" s="19">
        <f t="shared" ca="1" si="147"/>
        <v>1475.3251747165598</v>
      </c>
      <c r="V414" s="19">
        <f t="shared" ca="1" si="148"/>
        <v>0</v>
      </c>
      <c r="W414" s="82">
        <f t="shared" ca="1" si="149"/>
        <v>4746.9876707175936</v>
      </c>
      <c r="X414" s="19">
        <f t="shared" ca="1" si="150"/>
        <v>0</v>
      </c>
      <c r="Y414" s="19">
        <f t="shared" si="151"/>
        <v>0</v>
      </c>
      <c r="Z414" s="82">
        <f t="shared" ca="1" si="152"/>
        <v>4746.9876707175936</v>
      </c>
      <c r="AA414" s="19">
        <f t="shared" ca="1" si="153"/>
        <v>0</v>
      </c>
      <c r="AE414" s="19"/>
    </row>
    <row r="415" spans="1:31" ht="12.75" customHeight="1" x14ac:dyDescent="0.2">
      <c r="A415">
        <v>3</v>
      </c>
      <c r="B415">
        <v>0</v>
      </c>
      <c r="C415">
        <f t="shared" ca="1" si="132"/>
        <v>5</v>
      </c>
      <c r="D415">
        <f t="shared" ca="1" si="133"/>
        <v>4</v>
      </c>
      <c r="E415">
        <f t="shared" ca="1" si="134"/>
        <v>3</v>
      </c>
      <c r="F415" s="61">
        <f t="shared" ca="1" si="135"/>
        <v>2.1510720000000001E-2</v>
      </c>
      <c r="G415">
        <v>1</v>
      </c>
      <c r="H415">
        <v>0</v>
      </c>
      <c r="I415">
        <v>4</v>
      </c>
      <c r="J415" s="61">
        <f t="shared" ca="1" si="136"/>
        <v>0.77378093749999999</v>
      </c>
      <c r="K415" s="61">
        <f t="shared" ca="1" si="137"/>
        <v>1.66445850879E-2</v>
      </c>
      <c r="L415" s="82">
        <f t="shared" ca="1" si="138"/>
        <v>205</v>
      </c>
      <c r="M415" s="16">
        <f t="shared" ca="1" si="139"/>
        <v>795</v>
      </c>
      <c r="N415" s="3">
        <f t="shared" ca="1" si="140"/>
        <v>5</v>
      </c>
      <c r="O415" s="19">
        <f t="shared" ca="1" si="141"/>
        <v>2.8178718937399587</v>
      </c>
      <c r="P415" s="19">
        <f t="shared" ca="1" si="142"/>
        <v>28.178718937399587</v>
      </c>
      <c r="Q415" s="19">
        <f t="shared" ca="1" si="143"/>
        <v>28.178718937399587</v>
      </c>
      <c r="R415" s="19">
        <f t="shared" ca="1" si="144"/>
        <v>2.8178718937399587</v>
      </c>
      <c r="S415" s="19">
        <f t="shared" ca="1" si="145"/>
        <v>2.8178718937399587</v>
      </c>
      <c r="T415" s="19">
        <f t="shared" ca="1" si="146"/>
        <v>4.6902308502156646E-2</v>
      </c>
      <c r="U415" s="19">
        <f t="shared" ca="1" si="147"/>
        <v>1464.3251747165598</v>
      </c>
      <c r="V415" s="19">
        <f t="shared" ca="1" si="148"/>
        <v>24.373084966923813</v>
      </c>
      <c r="W415" s="82">
        <f t="shared" ca="1" si="149"/>
        <v>4261.0824406828706</v>
      </c>
      <c r="X415" s="19">
        <f t="shared" ca="1" si="150"/>
        <v>70.923949250502645</v>
      </c>
      <c r="Y415" s="19">
        <f t="shared" si="151"/>
        <v>0</v>
      </c>
      <c r="Z415" s="82">
        <f t="shared" ca="1" si="152"/>
        <v>4261.0824406828706</v>
      </c>
      <c r="AA415" s="19">
        <f t="shared" ca="1" si="153"/>
        <v>70.923949250502645</v>
      </c>
      <c r="AE415" s="19"/>
    </row>
    <row r="416" spans="1:31" ht="12.75" customHeight="1" x14ac:dyDescent="0.2">
      <c r="A416">
        <v>3</v>
      </c>
      <c r="B416">
        <v>0</v>
      </c>
      <c r="C416">
        <f t="shared" ca="1" si="132"/>
        <v>5</v>
      </c>
      <c r="D416">
        <f t="shared" ca="1" si="133"/>
        <v>4</v>
      </c>
      <c r="E416">
        <f t="shared" ca="1" si="134"/>
        <v>3</v>
      </c>
      <c r="F416" s="61">
        <f t="shared" ca="1" si="135"/>
        <v>2.1510720000000001E-2</v>
      </c>
      <c r="G416">
        <v>1</v>
      </c>
      <c r="H416">
        <v>0</v>
      </c>
      <c r="I416">
        <v>3</v>
      </c>
      <c r="J416" s="61">
        <f t="shared" ca="1" si="136"/>
        <v>0.16290125000000011</v>
      </c>
      <c r="K416" s="61">
        <f t="shared" ca="1" si="137"/>
        <v>3.5041231764000023E-3</v>
      </c>
      <c r="L416" s="82">
        <f t="shared" ca="1" si="138"/>
        <v>194</v>
      </c>
      <c r="M416" s="16">
        <f t="shared" ca="1" si="139"/>
        <v>806</v>
      </c>
      <c r="N416" s="3">
        <f t="shared" ca="1" si="140"/>
        <v>5</v>
      </c>
      <c r="O416" s="19">
        <f t="shared" ca="1" si="141"/>
        <v>2.8178718937399587</v>
      </c>
      <c r="P416" s="19">
        <f t="shared" ca="1" si="142"/>
        <v>28.178718937399587</v>
      </c>
      <c r="Q416" s="19">
        <f t="shared" ca="1" si="143"/>
        <v>28.178718937399587</v>
      </c>
      <c r="R416" s="19">
        <f t="shared" ca="1" si="144"/>
        <v>2.8178718937399587</v>
      </c>
      <c r="S416" s="19">
        <f t="shared" ca="1" si="145"/>
        <v>2.8178718937399587</v>
      </c>
      <c r="T416" s="19">
        <f t="shared" ca="1" si="146"/>
        <v>9.8741702109803545E-3</v>
      </c>
      <c r="U416" s="19">
        <f t="shared" ca="1" si="147"/>
        <v>1453.3251747165598</v>
      </c>
      <c r="V416" s="19">
        <f t="shared" ca="1" si="148"/>
        <v>5.0926304275698797</v>
      </c>
      <c r="W416" s="82">
        <f t="shared" ca="1" si="149"/>
        <v>3775.1772106481485</v>
      </c>
      <c r="X416" s="19">
        <f t="shared" ca="1" si="150"/>
        <v>13.22868595884929</v>
      </c>
      <c r="Y416" s="19">
        <f t="shared" si="151"/>
        <v>0</v>
      </c>
      <c r="Z416" s="82">
        <f t="shared" ca="1" si="152"/>
        <v>3775.1772106481485</v>
      </c>
      <c r="AA416" s="19">
        <f t="shared" ca="1" si="153"/>
        <v>13.22868595884929</v>
      </c>
      <c r="AE416" s="19"/>
    </row>
    <row r="417" spans="1:31" ht="12.75" customHeight="1" x14ac:dyDescent="0.2">
      <c r="A417">
        <v>3</v>
      </c>
      <c r="B417">
        <v>0</v>
      </c>
      <c r="C417">
        <f t="shared" ca="1" si="132"/>
        <v>5</v>
      </c>
      <c r="D417">
        <f t="shared" ca="1" si="133"/>
        <v>4</v>
      </c>
      <c r="E417">
        <f t="shared" ca="1" si="134"/>
        <v>3</v>
      </c>
      <c r="F417" s="61">
        <f t="shared" ca="1" si="135"/>
        <v>2.1510720000000001E-2</v>
      </c>
      <c r="G417">
        <v>1</v>
      </c>
      <c r="H417">
        <v>0</v>
      </c>
      <c r="I417">
        <v>2</v>
      </c>
      <c r="J417" s="61">
        <f t="shared" ca="1" si="136"/>
        <v>1.2860625000000021E-2</v>
      </c>
      <c r="K417" s="61">
        <f t="shared" ca="1" si="137"/>
        <v>2.7664130340000049E-4</v>
      </c>
      <c r="L417" s="82">
        <f t="shared" ca="1" si="138"/>
        <v>183</v>
      </c>
      <c r="M417" s="16">
        <f t="shared" ca="1" si="139"/>
        <v>817</v>
      </c>
      <c r="N417" s="3">
        <f t="shared" ca="1" si="140"/>
        <v>5</v>
      </c>
      <c r="O417" s="19">
        <f t="shared" ca="1" si="141"/>
        <v>2.8178718937399587</v>
      </c>
      <c r="P417" s="19">
        <f t="shared" ca="1" si="142"/>
        <v>28.178718937399587</v>
      </c>
      <c r="Q417" s="19">
        <f t="shared" ca="1" si="143"/>
        <v>28.178718937399587</v>
      </c>
      <c r="R417" s="19">
        <f t="shared" ca="1" si="144"/>
        <v>2.8178718937399587</v>
      </c>
      <c r="S417" s="19">
        <f t="shared" ca="1" si="145"/>
        <v>2.8178718937399587</v>
      </c>
      <c r="T417" s="19">
        <f t="shared" ca="1" si="146"/>
        <v>7.7953975349844982E-4</v>
      </c>
      <c r="U417" s="19">
        <f t="shared" ca="1" si="147"/>
        <v>1442.3251747165598</v>
      </c>
      <c r="V417" s="19">
        <f t="shared" ca="1" si="148"/>
        <v>0.39900671626022255</v>
      </c>
      <c r="W417" s="82">
        <f t="shared" ca="1" si="149"/>
        <v>3289.2719806134264</v>
      </c>
      <c r="X417" s="19">
        <f t="shared" ca="1" si="150"/>
        <v>0.90994848795399941</v>
      </c>
      <c r="Y417" s="19">
        <f t="shared" si="151"/>
        <v>0</v>
      </c>
      <c r="Z417" s="82">
        <f t="shared" ca="1" si="152"/>
        <v>3289.2719806134264</v>
      </c>
      <c r="AA417" s="19">
        <f t="shared" ca="1" si="153"/>
        <v>0.90994848795399941</v>
      </c>
      <c r="AE417" s="19"/>
    </row>
    <row r="418" spans="1:31" ht="12.75" customHeight="1" x14ac:dyDescent="0.2">
      <c r="A418">
        <v>3</v>
      </c>
      <c r="B418">
        <v>0</v>
      </c>
      <c r="C418">
        <f t="shared" ca="1" si="132"/>
        <v>5</v>
      </c>
      <c r="D418">
        <f t="shared" ca="1" si="133"/>
        <v>4</v>
      </c>
      <c r="E418">
        <f t="shared" ca="1" si="134"/>
        <v>3</v>
      </c>
      <c r="F418" s="61">
        <f t="shared" ca="1" si="135"/>
        <v>2.1510720000000001E-2</v>
      </c>
      <c r="G418">
        <v>1</v>
      </c>
      <c r="H418">
        <v>0</v>
      </c>
      <c r="I418">
        <v>1</v>
      </c>
      <c r="J418" s="61">
        <f t="shared" ca="1" si="136"/>
        <v>4.5125000000000118E-4</v>
      </c>
      <c r="K418" s="61">
        <f t="shared" ca="1" si="137"/>
        <v>9.7067124000000261E-6</v>
      </c>
      <c r="L418" s="82">
        <f t="shared" ca="1" si="138"/>
        <v>172</v>
      </c>
      <c r="M418" s="16">
        <f t="shared" ca="1" si="139"/>
        <v>828</v>
      </c>
      <c r="N418" s="3">
        <f t="shared" ca="1" si="140"/>
        <v>5</v>
      </c>
      <c r="O418" s="19">
        <f t="shared" ca="1" si="141"/>
        <v>2.8178718937399587</v>
      </c>
      <c r="P418" s="19">
        <f t="shared" ca="1" si="142"/>
        <v>28.178718937399587</v>
      </c>
      <c r="Q418" s="19">
        <f t="shared" ca="1" si="143"/>
        <v>28.178718937399587</v>
      </c>
      <c r="R418" s="19">
        <f t="shared" ca="1" si="144"/>
        <v>2.8178718937399587</v>
      </c>
      <c r="S418" s="19">
        <f t="shared" ca="1" si="145"/>
        <v>2.8178718937399587</v>
      </c>
      <c r="T418" s="19">
        <f t="shared" ca="1" si="146"/>
        <v>2.7352272052577215E-5</v>
      </c>
      <c r="U418" s="19">
        <f t="shared" ca="1" si="147"/>
        <v>1431.3251747165598</v>
      </c>
      <c r="V418" s="19">
        <f t="shared" ca="1" si="148"/>
        <v>1.3893461821853435E-2</v>
      </c>
      <c r="W418" s="82">
        <f t="shared" ca="1" si="149"/>
        <v>2803.3667505787039</v>
      </c>
      <c r="X418" s="19">
        <f t="shared" ca="1" si="150"/>
        <v>2.7211474799590085E-2</v>
      </c>
      <c r="Y418" s="19">
        <f t="shared" si="151"/>
        <v>0</v>
      </c>
      <c r="Z418" s="82">
        <f t="shared" ca="1" si="152"/>
        <v>2803.3667505787039</v>
      </c>
      <c r="AA418" s="19">
        <f t="shared" ca="1" si="153"/>
        <v>2.7211474799590085E-2</v>
      </c>
      <c r="AE418" s="19"/>
    </row>
    <row r="419" spans="1:31" ht="12.75" customHeight="1" x14ac:dyDescent="0.2">
      <c r="A419">
        <v>3</v>
      </c>
      <c r="B419">
        <v>0</v>
      </c>
      <c r="C419">
        <f t="shared" ca="1" si="132"/>
        <v>5</v>
      </c>
      <c r="D419">
        <f t="shared" ca="1" si="133"/>
        <v>4</v>
      </c>
      <c r="E419">
        <f t="shared" ca="1" si="134"/>
        <v>3</v>
      </c>
      <c r="F419" s="61">
        <f t="shared" ca="1" si="135"/>
        <v>2.1510720000000001E-2</v>
      </c>
      <c r="G419">
        <v>1</v>
      </c>
      <c r="H419">
        <v>0</v>
      </c>
      <c r="I419">
        <v>0</v>
      </c>
      <c r="J419" s="61">
        <f t="shared" ca="1" si="136"/>
        <v>5.9375000000000207E-6</v>
      </c>
      <c r="K419" s="61">
        <f t="shared" ca="1" si="137"/>
        <v>1.2771990000000044E-7</v>
      </c>
      <c r="L419" s="82">
        <f t="shared" ca="1" si="138"/>
        <v>161</v>
      </c>
      <c r="M419" s="16">
        <f t="shared" ca="1" si="139"/>
        <v>839</v>
      </c>
      <c r="N419" s="3">
        <f t="shared" ca="1" si="140"/>
        <v>5</v>
      </c>
      <c r="O419" s="19">
        <f t="shared" ca="1" si="141"/>
        <v>2.8178718937399587</v>
      </c>
      <c r="P419" s="19">
        <f t="shared" ca="1" si="142"/>
        <v>28.178718937399587</v>
      </c>
      <c r="Q419" s="19">
        <f t="shared" ca="1" si="143"/>
        <v>28.178718937399587</v>
      </c>
      <c r="R419" s="19">
        <f t="shared" ca="1" si="144"/>
        <v>2.8178718937399587</v>
      </c>
      <c r="S419" s="19">
        <f t="shared" ca="1" si="145"/>
        <v>2.8178718937399587</v>
      </c>
      <c r="T419" s="19">
        <f t="shared" ca="1" si="146"/>
        <v>3.5989831648127938E-7</v>
      </c>
      <c r="U419" s="19">
        <f t="shared" ca="1" si="147"/>
        <v>1420.3251747165598</v>
      </c>
      <c r="V419" s="19">
        <f t="shared" ca="1" si="148"/>
        <v>1.8140378928228218E-4</v>
      </c>
      <c r="W419" s="82">
        <f t="shared" ca="1" si="149"/>
        <v>2317.4615205439818</v>
      </c>
      <c r="X419" s="19">
        <f t="shared" ca="1" si="150"/>
        <v>2.9598595365772632E-4</v>
      </c>
      <c r="Y419" s="19">
        <f t="shared" si="151"/>
        <v>0</v>
      </c>
      <c r="Z419" s="82">
        <f t="shared" ca="1" si="152"/>
        <v>2317.4615205439818</v>
      </c>
      <c r="AA419" s="19">
        <f t="shared" ca="1" si="153"/>
        <v>2.9598595365772632E-4</v>
      </c>
      <c r="AE419" s="19"/>
    </row>
    <row r="420" spans="1:31" ht="12.75" customHeight="1" x14ac:dyDescent="0.2">
      <c r="A420">
        <v>3</v>
      </c>
      <c r="B420">
        <v>0</v>
      </c>
      <c r="C420">
        <f t="shared" ca="1" si="132"/>
        <v>5</v>
      </c>
      <c r="D420">
        <f t="shared" ca="1" si="133"/>
        <v>4</v>
      </c>
      <c r="E420">
        <f t="shared" ca="1" si="134"/>
        <v>3</v>
      </c>
      <c r="F420" s="61">
        <f t="shared" ca="1" si="135"/>
        <v>2.1510720000000001E-2</v>
      </c>
      <c r="G420">
        <v>0</v>
      </c>
      <c r="H420">
        <v>1</v>
      </c>
      <c r="I420">
        <v>7</v>
      </c>
      <c r="J420" s="61">
        <f t="shared" ca="1" si="136"/>
        <v>0</v>
      </c>
      <c r="K420" s="61">
        <f t="shared" ca="1" si="137"/>
        <v>0</v>
      </c>
      <c r="L420" s="82">
        <f t="shared" ca="1" si="138"/>
        <v>238</v>
      </c>
      <c r="M420" s="16">
        <f t="shared" ca="1" si="139"/>
        <v>762</v>
      </c>
      <c r="N420" s="3">
        <f t="shared" ca="1" si="140"/>
        <v>5</v>
      </c>
      <c r="O420" s="19">
        <f t="shared" ca="1" si="141"/>
        <v>2.8178718937399587</v>
      </c>
      <c r="P420" s="19">
        <f t="shared" ca="1" si="142"/>
        <v>25.815886347750073</v>
      </c>
      <c r="Q420" s="19">
        <f t="shared" ca="1" si="143"/>
        <v>23.453053758100552</v>
      </c>
      <c r="R420" s="19">
        <f t="shared" ca="1" si="144"/>
        <v>2.4634470052925312</v>
      </c>
      <c r="S420" s="19">
        <f t="shared" ca="1" si="145"/>
        <v>2.8178718937399587</v>
      </c>
      <c r="T420" s="19">
        <f t="shared" ca="1" si="146"/>
        <v>0</v>
      </c>
      <c r="U420" s="19">
        <f t="shared" ca="1" si="147"/>
        <v>1497.3251747165598</v>
      </c>
      <c r="V420" s="19">
        <f t="shared" ca="1" si="148"/>
        <v>0</v>
      </c>
      <c r="W420" s="82">
        <f t="shared" ca="1" si="149"/>
        <v>3401.3366102430559</v>
      </c>
      <c r="X420" s="19">
        <f t="shared" ca="1" si="150"/>
        <v>0</v>
      </c>
      <c r="Y420" s="19">
        <f t="shared" si="151"/>
        <v>0</v>
      </c>
      <c r="Z420" s="82">
        <f t="shared" ca="1" si="152"/>
        <v>3401.3366102430559</v>
      </c>
      <c r="AA420" s="19">
        <f t="shared" ca="1" si="153"/>
        <v>0</v>
      </c>
      <c r="AE420" s="19"/>
    </row>
    <row r="421" spans="1:31" ht="12.75" customHeight="1" x14ac:dyDescent="0.2">
      <c r="A421">
        <v>3</v>
      </c>
      <c r="B421">
        <v>0</v>
      </c>
      <c r="C421">
        <f t="shared" ca="1" si="132"/>
        <v>5</v>
      </c>
      <c r="D421">
        <f t="shared" ca="1" si="133"/>
        <v>4</v>
      </c>
      <c r="E421">
        <f t="shared" ca="1" si="134"/>
        <v>3</v>
      </c>
      <c r="F421" s="61">
        <f t="shared" ca="1" si="135"/>
        <v>2.1510720000000001E-2</v>
      </c>
      <c r="G421">
        <v>0</v>
      </c>
      <c r="H421">
        <v>1</v>
      </c>
      <c r="I421">
        <v>6</v>
      </c>
      <c r="J421" s="61">
        <f t="shared" ca="1" si="136"/>
        <v>0</v>
      </c>
      <c r="K421" s="61">
        <f t="shared" ca="1" si="137"/>
        <v>0</v>
      </c>
      <c r="L421" s="82">
        <f t="shared" ca="1" si="138"/>
        <v>227</v>
      </c>
      <c r="M421" s="16">
        <f t="shared" ca="1" si="139"/>
        <v>773</v>
      </c>
      <c r="N421" s="3">
        <f t="shared" ca="1" si="140"/>
        <v>5</v>
      </c>
      <c r="O421" s="19">
        <f t="shared" ca="1" si="141"/>
        <v>2.8178718937399587</v>
      </c>
      <c r="P421" s="19">
        <f t="shared" ca="1" si="142"/>
        <v>28.178718937399587</v>
      </c>
      <c r="Q421" s="19">
        <f t="shared" ca="1" si="143"/>
        <v>26.288452865679979</v>
      </c>
      <c r="R421" s="19">
        <f t="shared" ca="1" si="144"/>
        <v>2.7233585901539783</v>
      </c>
      <c r="S421" s="19">
        <f t="shared" ca="1" si="145"/>
        <v>2.8178718937399587</v>
      </c>
      <c r="T421" s="19">
        <f t="shared" ca="1" si="146"/>
        <v>0</v>
      </c>
      <c r="U421" s="19">
        <f t="shared" ca="1" si="147"/>
        <v>1486.3251747165598</v>
      </c>
      <c r="V421" s="19">
        <f t="shared" ca="1" si="148"/>
        <v>0</v>
      </c>
      <c r="W421" s="82">
        <f t="shared" ca="1" si="149"/>
        <v>2915.4313802083334</v>
      </c>
      <c r="X421" s="19">
        <f t="shared" ca="1" si="150"/>
        <v>0</v>
      </c>
      <c r="Y421" s="19">
        <f t="shared" si="151"/>
        <v>0</v>
      </c>
      <c r="Z421" s="82">
        <f t="shared" ca="1" si="152"/>
        <v>2915.4313802083334</v>
      </c>
      <c r="AA421" s="19">
        <f t="shared" ca="1" si="153"/>
        <v>0</v>
      </c>
      <c r="AE421" s="19"/>
    </row>
    <row r="422" spans="1:31" ht="12.75" customHeight="1" x14ac:dyDescent="0.2">
      <c r="A422">
        <v>3</v>
      </c>
      <c r="B422">
        <v>0</v>
      </c>
      <c r="C422">
        <f t="shared" ca="1" si="132"/>
        <v>5</v>
      </c>
      <c r="D422">
        <f t="shared" ca="1" si="133"/>
        <v>4</v>
      </c>
      <c r="E422">
        <f t="shared" ca="1" si="134"/>
        <v>3</v>
      </c>
      <c r="F422" s="61">
        <f t="shared" ca="1" si="135"/>
        <v>2.1510720000000001E-2</v>
      </c>
      <c r="G422">
        <v>0</v>
      </c>
      <c r="H422">
        <v>1</v>
      </c>
      <c r="I422">
        <v>5</v>
      </c>
      <c r="J422" s="61">
        <f t="shared" ca="1" si="136"/>
        <v>0</v>
      </c>
      <c r="K422" s="61">
        <f t="shared" ca="1" si="137"/>
        <v>0</v>
      </c>
      <c r="L422" s="82">
        <f t="shared" ca="1" si="138"/>
        <v>216</v>
      </c>
      <c r="M422" s="16">
        <f t="shared" ca="1" si="139"/>
        <v>784</v>
      </c>
      <c r="N422" s="3">
        <f t="shared" ca="1" si="140"/>
        <v>5</v>
      </c>
      <c r="O422" s="19">
        <f t="shared" ca="1" si="141"/>
        <v>2.8178718937399587</v>
      </c>
      <c r="P422" s="19">
        <f t="shared" ca="1" si="142"/>
        <v>28.178718937399587</v>
      </c>
      <c r="Q422" s="19">
        <f t="shared" ca="1" si="143"/>
        <v>28.178718937399587</v>
      </c>
      <c r="R422" s="19">
        <f t="shared" ca="1" si="144"/>
        <v>2.8178718937399587</v>
      </c>
      <c r="S422" s="19">
        <f t="shared" ca="1" si="145"/>
        <v>2.8178718937399587</v>
      </c>
      <c r="T422" s="19">
        <f t="shared" ca="1" si="146"/>
        <v>0</v>
      </c>
      <c r="U422" s="19">
        <f t="shared" ca="1" si="147"/>
        <v>1475.3251747165598</v>
      </c>
      <c r="V422" s="19">
        <f t="shared" ca="1" si="148"/>
        <v>0</v>
      </c>
      <c r="W422" s="82">
        <f t="shared" ca="1" si="149"/>
        <v>2429.5261501736113</v>
      </c>
      <c r="X422" s="19">
        <f t="shared" ca="1" si="150"/>
        <v>0</v>
      </c>
      <c r="Y422" s="19">
        <f t="shared" si="151"/>
        <v>0</v>
      </c>
      <c r="Z422" s="82">
        <f t="shared" ca="1" si="152"/>
        <v>2429.5261501736113</v>
      </c>
      <c r="AA422" s="19">
        <f t="shared" ca="1" si="153"/>
        <v>0</v>
      </c>
      <c r="AE422" s="19"/>
    </row>
    <row r="423" spans="1:31" ht="12.75" customHeight="1" x14ac:dyDescent="0.2">
      <c r="A423">
        <v>3</v>
      </c>
      <c r="B423">
        <v>0</v>
      </c>
      <c r="C423">
        <f t="shared" ca="1" si="132"/>
        <v>5</v>
      </c>
      <c r="D423">
        <f t="shared" ca="1" si="133"/>
        <v>4</v>
      </c>
      <c r="E423">
        <f t="shared" ca="1" si="134"/>
        <v>3</v>
      </c>
      <c r="F423" s="61">
        <f t="shared" ca="1" si="135"/>
        <v>2.1510720000000001E-2</v>
      </c>
      <c r="G423">
        <v>0</v>
      </c>
      <c r="H423">
        <v>1</v>
      </c>
      <c r="I423">
        <v>4</v>
      </c>
      <c r="J423" s="61">
        <f t="shared" ca="1" si="136"/>
        <v>0</v>
      </c>
      <c r="K423" s="61">
        <f t="shared" ca="1" si="137"/>
        <v>0</v>
      </c>
      <c r="L423" s="82">
        <f t="shared" ca="1" si="138"/>
        <v>205</v>
      </c>
      <c r="M423" s="16">
        <f t="shared" ca="1" si="139"/>
        <v>795</v>
      </c>
      <c r="N423" s="3">
        <f t="shared" ca="1" si="140"/>
        <v>5</v>
      </c>
      <c r="O423" s="19">
        <f t="shared" ca="1" si="141"/>
        <v>2.8178718937399587</v>
      </c>
      <c r="P423" s="19">
        <f t="shared" ca="1" si="142"/>
        <v>28.178718937399587</v>
      </c>
      <c r="Q423" s="19">
        <f t="shared" ca="1" si="143"/>
        <v>28.178718937399587</v>
      </c>
      <c r="R423" s="19">
        <f t="shared" ca="1" si="144"/>
        <v>2.8178718937399587</v>
      </c>
      <c r="S423" s="19">
        <f t="shared" ca="1" si="145"/>
        <v>2.8178718937399587</v>
      </c>
      <c r="T423" s="19">
        <f t="shared" ca="1" si="146"/>
        <v>0</v>
      </c>
      <c r="U423" s="19">
        <f t="shared" ca="1" si="147"/>
        <v>1464.3251747165598</v>
      </c>
      <c r="V423" s="19">
        <f t="shared" ca="1" si="148"/>
        <v>0</v>
      </c>
      <c r="W423" s="82">
        <f t="shared" ca="1" si="149"/>
        <v>1943.620920138889</v>
      </c>
      <c r="X423" s="19">
        <f t="shared" ca="1" si="150"/>
        <v>0</v>
      </c>
      <c r="Y423" s="19">
        <f t="shared" si="151"/>
        <v>0</v>
      </c>
      <c r="Z423" s="82">
        <f t="shared" ca="1" si="152"/>
        <v>1943.620920138889</v>
      </c>
      <c r="AA423" s="19">
        <f t="shared" ca="1" si="153"/>
        <v>0</v>
      </c>
      <c r="AE423" s="19"/>
    </row>
    <row r="424" spans="1:31" ht="12.75" customHeight="1" x14ac:dyDescent="0.2">
      <c r="A424">
        <v>3</v>
      </c>
      <c r="B424">
        <v>0</v>
      </c>
      <c r="C424">
        <f t="shared" ca="1" si="132"/>
        <v>5</v>
      </c>
      <c r="D424">
        <f t="shared" ca="1" si="133"/>
        <v>4</v>
      </c>
      <c r="E424">
        <f t="shared" ca="1" si="134"/>
        <v>3</v>
      </c>
      <c r="F424" s="61">
        <f t="shared" ca="1" si="135"/>
        <v>2.1510720000000001E-2</v>
      </c>
      <c r="G424">
        <v>0</v>
      </c>
      <c r="H424">
        <v>1</v>
      </c>
      <c r="I424">
        <v>3</v>
      </c>
      <c r="J424" s="61">
        <f t="shared" ca="1" si="136"/>
        <v>0</v>
      </c>
      <c r="K424" s="61">
        <f t="shared" ca="1" si="137"/>
        <v>0</v>
      </c>
      <c r="L424" s="82">
        <f t="shared" ca="1" si="138"/>
        <v>194</v>
      </c>
      <c r="M424" s="16">
        <f t="shared" ca="1" si="139"/>
        <v>806</v>
      </c>
      <c r="N424" s="3">
        <f t="shared" ca="1" si="140"/>
        <v>5</v>
      </c>
      <c r="O424" s="19">
        <f t="shared" ca="1" si="141"/>
        <v>2.8178718937399587</v>
      </c>
      <c r="P424" s="19">
        <f t="shared" ca="1" si="142"/>
        <v>28.178718937399587</v>
      </c>
      <c r="Q424" s="19">
        <f t="shared" ca="1" si="143"/>
        <v>28.178718937399587</v>
      </c>
      <c r="R424" s="19">
        <f t="shared" ca="1" si="144"/>
        <v>2.8178718937399587</v>
      </c>
      <c r="S424" s="19">
        <f t="shared" ca="1" si="145"/>
        <v>2.8178718937399587</v>
      </c>
      <c r="T424" s="19">
        <f t="shared" ca="1" si="146"/>
        <v>0</v>
      </c>
      <c r="U424" s="19">
        <f t="shared" ca="1" si="147"/>
        <v>1453.3251747165598</v>
      </c>
      <c r="V424" s="19">
        <f t="shared" ca="1" si="148"/>
        <v>0</v>
      </c>
      <c r="W424" s="82">
        <f t="shared" ca="1" si="149"/>
        <v>1457.7156901041667</v>
      </c>
      <c r="X424" s="19">
        <f t="shared" ca="1" si="150"/>
        <v>0</v>
      </c>
      <c r="Y424" s="19">
        <f t="shared" si="151"/>
        <v>0</v>
      </c>
      <c r="Z424" s="82">
        <f t="shared" ca="1" si="152"/>
        <v>1457.7156901041667</v>
      </c>
      <c r="AA424" s="19">
        <f t="shared" ca="1" si="153"/>
        <v>0</v>
      </c>
      <c r="AE424" s="19"/>
    </row>
    <row r="425" spans="1:31" ht="12.75" customHeight="1" x14ac:dyDescent="0.2">
      <c r="A425">
        <v>3</v>
      </c>
      <c r="B425">
        <v>0</v>
      </c>
      <c r="C425">
        <f t="shared" ca="1" si="132"/>
        <v>5</v>
      </c>
      <c r="D425">
        <f t="shared" ca="1" si="133"/>
        <v>4</v>
      </c>
      <c r="E425">
        <f t="shared" ca="1" si="134"/>
        <v>3</v>
      </c>
      <c r="F425" s="61">
        <f t="shared" ca="1" si="135"/>
        <v>2.1510720000000001E-2</v>
      </c>
      <c r="G425">
        <v>0</v>
      </c>
      <c r="H425">
        <v>1</v>
      </c>
      <c r="I425">
        <v>2</v>
      </c>
      <c r="J425" s="61">
        <f t="shared" ca="1" si="136"/>
        <v>0</v>
      </c>
      <c r="K425" s="61">
        <f t="shared" ca="1" si="137"/>
        <v>0</v>
      </c>
      <c r="L425" s="82">
        <f t="shared" ca="1" si="138"/>
        <v>183</v>
      </c>
      <c r="M425" s="16">
        <f t="shared" ca="1" si="139"/>
        <v>817</v>
      </c>
      <c r="N425" s="3">
        <f t="shared" ca="1" si="140"/>
        <v>5</v>
      </c>
      <c r="O425" s="19">
        <f t="shared" ca="1" si="141"/>
        <v>2.8178718937399587</v>
      </c>
      <c r="P425" s="19">
        <f t="shared" ca="1" si="142"/>
        <v>28.178718937399587</v>
      </c>
      <c r="Q425" s="19">
        <f t="shared" ca="1" si="143"/>
        <v>28.178718937399587</v>
      </c>
      <c r="R425" s="19">
        <f t="shared" ca="1" si="144"/>
        <v>2.8178718937399587</v>
      </c>
      <c r="S425" s="19">
        <f t="shared" ca="1" si="145"/>
        <v>2.8178718937399587</v>
      </c>
      <c r="T425" s="19">
        <f t="shared" ca="1" si="146"/>
        <v>0</v>
      </c>
      <c r="U425" s="19">
        <f t="shared" ca="1" si="147"/>
        <v>1442.3251747165598</v>
      </c>
      <c r="V425" s="19">
        <f t="shared" ca="1" si="148"/>
        <v>0</v>
      </c>
      <c r="W425" s="82">
        <f t="shared" ca="1" si="149"/>
        <v>971.8104600694445</v>
      </c>
      <c r="X425" s="19">
        <f t="shared" ca="1" si="150"/>
        <v>0</v>
      </c>
      <c r="Y425" s="19">
        <f t="shared" si="151"/>
        <v>0</v>
      </c>
      <c r="Z425" s="82">
        <f t="shared" ca="1" si="152"/>
        <v>971.8104600694445</v>
      </c>
      <c r="AA425" s="19">
        <f t="shared" ca="1" si="153"/>
        <v>0</v>
      </c>
      <c r="AE425" s="19"/>
    </row>
    <row r="426" spans="1:31" ht="12.75" customHeight="1" x14ac:dyDescent="0.2">
      <c r="A426">
        <v>3</v>
      </c>
      <c r="B426">
        <v>0</v>
      </c>
      <c r="C426">
        <f t="shared" ca="1" si="132"/>
        <v>5</v>
      </c>
      <c r="D426">
        <f t="shared" ca="1" si="133"/>
        <v>4</v>
      </c>
      <c r="E426">
        <f t="shared" ca="1" si="134"/>
        <v>3</v>
      </c>
      <c r="F426" s="61">
        <f t="shared" ca="1" si="135"/>
        <v>2.1510720000000001E-2</v>
      </c>
      <c r="G426">
        <v>0</v>
      </c>
      <c r="H426">
        <v>1</v>
      </c>
      <c r="I426">
        <v>1</v>
      </c>
      <c r="J426" s="61">
        <f t="shared" ca="1" si="136"/>
        <v>0</v>
      </c>
      <c r="K426" s="61">
        <f t="shared" ca="1" si="137"/>
        <v>0</v>
      </c>
      <c r="L426" s="82">
        <f t="shared" ca="1" si="138"/>
        <v>172</v>
      </c>
      <c r="M426" s="16">
        <f t="shared" ca="1" si="139"/>
        <v>828</v>
      </c>
      <c r="N426" s="3">
        <f t="shared" ca="1" si="140"/>
        <v>5</v>
      </c>
      <c r="O426" s="19">
        <f t="shared" ca="1" si="141"/>
        <v>2.8178718937399587</v>
      </c>
      <c r="P426" s="19">
        <f t="shared" ca="1" si="142"/>
        <v>28.178718937399587</v>
      </c>
      <c r="Q426" s="19">
        <f t="shared" ca="1" si="143"/>
        <v>28.178718937399587</v>
      </c>
      <c r="R426" s="19">
        <f t="shared" ca="1" si="144"/>
        <v>2.8178718937399587</v>
      </c>
      <c r="S426" s="19">
        <f t="shared" ca="1" si="145"/>
        <v>2.8178718937399587</v>
      </c>
      <c r="T426" s="19">
        <f t="shared" ca="1" si="146"/>
        <v>0</v>
      </c>
      <c r="U426" s="19">
        <f t="shared" ca="1" si="147"/>
        <v>1431.3251747165598</v>
      </c>
      <c r="V426" s="19">
        <f t="shared" ca="1" si="148"/>
        <v>0</v>
      </c>
      <c r="W426" s="82">
        <f t="shared" ca="1" si="149"/>
        <v>485.90523003472225</v>
      </c>
      <c r="X426" s="19">
        <f t="shared" ca="1" si="150"/>
        <v>0</v>
      </c>
      <c r="Y426" s="19">
        <f t="shared" si="151"/>
        <v>0</v>
      </c>
      <c r="Z426" s="82">
        <f t="shared" ca="1" si="152"/>
        <v>485.90523003472225</v>
      </c>
      <c r="AA426" s="19">
        <f t="shared" ca="1" si="153"/>
        <v>0</v>
      </c>
      <c r="AE426" s="19"/>
    </row>
    <row r="427" spans="1:31" ht="12.75" customHeight="1" x14ac:dyDescent="0.2">
      <c r="A427">
        <v>3</v>
      </c>
      <c r="B427">
        <v>0</v>
      </c>
      <c r="C427">
        <f t="shared" ca="1" si="132"/>
        <v>5</v>
      </c>
      <c r="D427">
        <f t="shared" ca="1" si="133"/>
        <v>4</v>
      </c>
      <c r="E427">
        <f t="shared" ca="1" si="134"/>
        <v>3</v>
      </c>
      <c r="F427" s="61">
        <f t="shared" ca="1" si="135"/>
        <v>2.1510720000000001E-2</v>
      </c>
      <c r="G427">
        <v>0</v>
      </c>
      <c r="H427">
        <v>1</v>
      </c>
      <c r="I427">
        <v>0</v>
      </c>
      <c r="J427" s="61">
        <f t="shared" ca="1" si="136"/>
        <v>0</v>
      </c>
      <c r="K427" s="61">
        <f t="shared" ca="1" si="137"/>
        <v>0</v>
      </c>
      <c r="L427" s="82">
        <f t="shared" ca="1" si="138"/>
        <v>161</v>
      </c>
      <c r="M427" s="16">
        <f t="shared" ca="1" si="139"/>
        <v>839</v>
      </c>
      <c r="N427" s="3">
        <f t="shared" ca="1" si="140"/>
        <v>5</v>
      </c>
      <c r="O427" s="19">
        <f t="shared" ca="1" si="141"/>
        <v>2.8178718937399587</v>
      </c>
      <c r="P427" s="19">
        <f t="shared" ca="1" si="142"/>
        <v>28.178718937399587</v>
      </c>
      <c r="Q427" s="19">
        <f t="shared" ca="1" si="143"/>
        <v>28.178718937399587</v>
      </c>
      <c r="R427" s="19">
        <f t="shared" ca="1" si="144"/>
        <v>2.8178718937399587</v>
      </c>
      <c r="S427" s="19">
        <f t="shared" ca="1" si="145"/>
        <v>2.8178718937399587</v>
      </c>
      <c r="T427" s="19">
        <f t="shared" ca="1" si="146"/>
        <v>0</v>
      </c>
      <c r="U427" s="19">
        <f t="shared" ca="1" si="147"/>
        <v>1420.3251747165598</v>
      </c>
      <c r="V427" s="19">
        <f t="shared" ca="1" si="148"/>
        <v>0</v>
      </c>
      <c r="W427" s="82">
        <f t="shared" ca="1" si="149"/>
        <v>0</v>
      </c>
      <c r="X427" s="19">
        <f t="shared" ca="1" si="150"/>
        <v>0</v>
      </c>
      <c r="Y427" s="19">
        <f t="shared" si="151"/>
        <v>0</v>
      </c>
      <c r="Z427" s="82">
        <f t="shared" ca="1" si="152"/>
        <v>0</v>
      </c>
      <c r="AA427" s="19">
        <f t="shared" ca="1" si="153"/>
        <v>0</v>
      </c>
      <c r="AE427" s="19"/>
    </row>
    <row r="428" spans="1:31" ht="12.75" customHeight="1" x14ac:dyDescent="0.2">
      <c r="A428">
        <v>3</v>
      </c>
      <c r="B428">
        <v>0</v>
      </c>
      <c r="C428">
        <f t="shared" ca="1" si="132"/>
        <v>5</v>
      </c>
      <c r="D428">
        <f t="shared" ca="1" si="133"/>
        <v>4</v>
      </c>
      <c r="E428">
        <f t="shared" ca="1" si="134"/>
        <v>3</v>
      </c>
      <c r="F428" s="61">
        <f t="shared" ca="1" si="135"/>
        <v>2.1510720000000001E-2</v>
      </c>
      <c r="G428">
        <v>0</v>
      </c>
      <c r="H428">
        <v>0</v>
      </c>
      <c r="I428">
        <v>7</v>
      </c>
      <c r="J428" s="61">
        <f t="shared" ca="1" si="136"/>
        <v>0</v>
      </c>
      <c r="K428" s="61">
        <f t="shared" ca="1" si="137"/>
        <v>0</v>
      </c>
      <c r="L428" s="82">
        <f t="shared" ca="1" si="138"/>
        <v>77</v>
      </c>
      <c r="M428" s="16">
        <f t="shared" ca="1" si="139"/>
        <v>923</v>
      </c>
      <c r="N428" s="3">
        <f t="shared" ca="1" si="140"/>
        <v>5</v>
      </c>
      <c r="O428" s="19">
        <f t="shared" ca="1" si="141"/>
        <v>2.8178718937399587</v>
      </c>
      <c r="P428" s="19">
        <f t="shared" ca="1" si="142"/>
        <v>28.178718937399587</v>
      </c>
      <c r="Q428" s="19">
        <f t="shared" ca="1" si="143"/>
        <v>28.178718937399587</v>
      </c>
      <c r="R428" s="19">
        <f t="shared" ca="1" si="144"/>
        <v>2.8178718937399587</v>
      </c>
      <c r="S428" s="19">
        <f t="shared" ca="1" si="145"/>
        <v>2.8178718937399587</v>
      </c>
      <c r="T428" s="19">
        <f t="shared" ca="1" si="146"/>
        <v>0</v>
      </c>
      <c r="U428" s="19">
        <f t="shared" ca="1" si="147"/>
        <v>1336.3251747165598</v>
      </c>
      <c r="V428" s="19">
        <f t="shared" ca="1" si="148"/>
        <v>0</v>
      </c>
      <c r="W428" s="82">
        <f t="shared" ca="1" si="149"/>
        <v>3401.3366102430559</v>
      </c>
      <c r="X428" s="19">
        <f t="shared" ca="1" si="150"/>
        <v>0</v>
      </c>
      <c r="Y428" s="19">
        <f t="shared" si="151"/>
        <v>0</v>
      </c>
      <c r="Z428" s="82">
        <f t="shared" ca="1" si="152"/>
        <v>3401.3366102430559</v>
      </c>
      <c r="AA428" s="19">
        <f t="shared" ca="1" si="153"/>
        <v>0</v>
      </c>
      <c r="AE428" s="19"/>
    </row>
    <row r="429" spans="1:31" ht="12.75" customHeight="1" x14ac:dyDescent="0.2">
      <c r="A429">
        <v>3</v>
      </c>
      <c r="B429">
        <v>0</v>
      </c>
      <c r="C429">
        <f t="shared" ca="1" si="132"/>
        <v>5</v>
      </c>
      <c r="D429">
        <f t="shared" ca="1" si="133"/>
        <v>4</v>
      </c>
      <c r="E429">
        <f t="shared" ca="1" si="134"/>
        <v>3</v>
      </c>
      <c r="F429" s="61">
        <f t="shared" ca="1" si="135"/>
        <v>2.1510720000000001E-2</v>
      </c>
      <c r="G429">
        <v>0</v>
      </c>
      <c r="H429">
        <v>0</v>
      </c>
      <c r="I429">
        <v>6</v>
      </c>
      <c r="J429" s="61">
        <f t="shared" ca="1" si="136"/>
        <v>0</v>
      </c>
      <c r="K429" s="61">
        <f t="shared" ca="1" si="137"/>
        <v>0</v>
      </c>
      <c r="L429" s="82">
        <f t="shared" ca="1" si="138"/>
        <v>66</v>
      </c>
      <c r="M429" s="16">
        <f t="shared" ca="1" si="139"/>
        <v>934</v>
      </c>
      <c r="N429" s="3">
        <f t="shared" ca="1" si="140"/>
        <v>5</v>
      </c>
      <c r="O429" s="19">
        <f t="shared" ca="1" si="141"/>
        <v>2.8178718937399587</v>
      </c>
      <c r="P429" s="19">
        <f t="shared" ca="1" si="142"/>
        <v>28.178718937399587</v>
      </c>
      <c r="Q429" s="19">
        <f t="shared" ca="1" si="143"/>
        <v>28.178718937399587</v>
      </c>
      <c r="R429" s="19">
        <f t="shared" ca="1" si="144"/>
        <v>2.8178718937399587</v>
      </c>
      <c r="S429" s="19">
        <f t="shared" ca="1" si="145"/>
        <v>2.8178718937399587</v>
      </c>
      <c r="T429" s="19">
        <f t="shared" ca="1" si="146"/>
        <v>0</v>
      </c>
      <c r="U429" s="19">
        <f t="shared" ca="1" si="147"/>
        <v>1325.3251747165598</v>
      </c>
      <c r="V429" s="19">
        <f t="shared" ca="1" si="148"/>
        <v>0</v>
      </c>
      <c r="W429" s="82">
        <f t="shared" ca="1" si="149"/>
        <v>2915.4313802083334</v>
      </c>
      <c r="X429" s="19">
        <f t="shared" ca="1" si="150"/>
        <v>0</v>
      </c>
      <c r="Y429" s="19">
        <f t="shared" si="151"/>
        <v>0</v>
      </c>
      <c r="Z429" s="82">
        <f t="shared" ca="1" si="152"/>
        <v>2915.4313802083334</v>
      </c>
      <c r="AA429" s="19">
        <f t="shared" ca="1" si="153"/>
        <v>0</v>
      </c>
      <c r="AE429" s="19"/>
    </row>
    <row r="430" spans="1:31" ht="12.75" customHeight="1" x14ac:dyDescent="0.2">
      <c r="A430">
        <v>3</v>
      </c>
      <c r="B430">
        <v>0</v>
      </c>
      <c r="C430">
        <f t="shared" ca="1" si="132"/>
        <v>5</v>
      </c>
      <c r="D430">
        <f t="shared" ca="1" si="133"/>
        <v>4</v>
      </c>
      <c r="E430">
        <f t="shared" ca="1" si="134"/>
        <v>3</v>
      </c>
      <c r="F430" s="61">
        <f t="shared" ca="1" si="135"/>
        <v>2.1510720000000001E-2</v>
      </c>
      <c r="G430">
        <v>0</v>
      </c>
      <c r="H430">
        <v>0</v>
      </c>
      <c r="I430">
        <v>5</v>
      </c>
      <c r="J430" s="61">
        <f t="shared" ca="1" si="136"/>
        <v>0</v>
      </c>
      <c r="K430" s="61">
        <f t="shared" ca="1" si="137"/>
        <v>0</v>
      </c>
      <c r="L430" s="82">
        <f t="shared" ca="1" si="138"/>
        <v>55</v>
      </c>
      <c r="M430" s="16">
        <f t="shared" ca="1" si="139"/>
        <v>945</v>
      </c>
      <c r="N430" s="3">
        <f t="shared" ca="1" si="140"/>
        <v>5</v>
      </c>
      <c r="O430" s="19">
        <f t="shared" ca="1" si="141"/>
        <v>2.8178718937399587</v>
      </c>
      <c r="P430" s="19">
        <f t="shared" ca="1" si="142"/>
        <v>28.178718937399587</v>
      </c>
      <c r="Q430" s="19">
        <f t="shared" ca="1" si="143"/>
        <v>28.178718937399587</v>
      </c>
      <c r="R430" s="19">
        <f t="shared" ca="1" si="144"/>
        <v>2.8178718937399587</v>
      </c>
      <c r="S430" s="19">
        <f t="shared" ca="1" si="145"/>
        <v>2.8178718937399587</v>
      </c>
      <c r="T430" s="19">
        <f t="shared" ca="1" si="146"/>
        <v>0</v>
      </c>
      <c r="U430" s="19">
        <f t="shared" ca="1" si="147"/>
        <v>1314.3251747165598</v>
      </c>
      <c r="V430" s="19">
        <f t="shared" ca="1" si="148"/>
        <v>0</v>
      </c>
      <c r="W430" s="82">
        <f t="shared" ca="1" si="149"/>
        <v>2429.5261501736113</v>
      </c>
      <c r="X430" s="19">
        <f t="shared" ca="1" si="150"/>
        <v>0</v>
      </c>
      <c r="Y430" s="19">
        <f t="shared" si="151"/>
        <v>0</v>
      </c>
      <c r="Z430" s="82">
        <f t="shared" ca="1" si="152"/>
        <v>2429.5261501736113</v>
      </c>
      <c r="AA430" s="19">
        <f t="shared" ca="1" si="153"/>
        <v>0</v>
      </c>
      <c r="AE430" s="19"/>
    </row>
    <row r="431" spans="1:31" ht="12.75" customHeight="1" x14ac:dyDescent="0.2">
      <c r="A431">
        <v>3</v>
      </c>
      <c r="B431">
        <v>0</v>
      </c>
      <c r="C431">
        <f t="shared" ca="1" si="132"/>
        <v>5</v>
      </c>
      <c r="D431">
        <f t="shared" ca="1" si="133"/>
        <v>4</v>
      </c>
      <c r="E431">
        <f t="shared" ca="1" si="134"/>
        <v>3</v>
      </c>
      <c r="F431" s="61">
        <f t="shared" ca="1" si="135"/>
        <v>2.1510720000000001E-2</v>
      </c>
      <c r="G431">
        <v>0</v>
      </c>
      <c r="H431">
        <v>0</v>
      </c>
      <c r="I431">
        <v>4</v>
      </c>
      <c r="J431" s="61">
        <f t="shared" ca="1" si="136"/>
        <v>4.0725312499999999E-2</v>
      </c>
      <c r="K431" s="61">
        <f t="shared" ca="1" si="137"/>
        <v>8.7603079410000003E-4</v>
      </c>
      <c r="L431" s="82">
        <f t="shared" ca="1" si="138"/>
        <v>44</v>
      </c>
      <c r="M431" s="16">
        <f t="shared" ca="1" si="139"/>
        <v>956</v>
      </c>
      <c r="N431" s="3">
        <f t="shared" ca="1" si="140"/>
        <v>6</v>
      </c>
      <c r="O431" s="19">
        <f t="shared" ca="1" si="141"/>
        <v>3.3239268932937667</v>
      </c>
      <c r="P431" s="19">
        <f t="shared" ca="1" si="142"/>
        <v>33.239268932937669</v>
      </c>
      <c r="Q431" s="19">
        <f t="shared" ca="1" si="143"/>
        <v>28.178718937399587</v>
      </c>
      <c r="R431" s="19">
        <f t="shared" ca="1" si="144"/>
        <v>3.0708993935168629</v>
      </c>
      <c r="S431" s="19">
        <f t="shared" ca="1" si="145"/>
        <v>3.3239268932937667</v>
      </c>
      <c r="T431" s="19">
        <f t="shared" ca="1" si="146"/>
        <v>2.9118623158624845E-3</v>
      </c>
      <c r="U431" s="19">
        <f t="shared" ca="1" si="147"/>
        <v>1495.4024523027438</v>
      </c>
      <c r="V431" s="19">
        <f t="shared" ca="1" si="148"/>
        <v>1.31001859778986</v>
      </c>
      <c r="W431" s="82">
        <f t="shared" ca="1" si="149"/>
        <v>1943.620920138889</v>
      </c>
      <c r="X431" s="19">
        <f t="shared" ca="1" si="150"/>
        <v>1.7026717780986438</v>
      </c>
      <c r="Y431" s="19">
        <f t="shared" si="151"/>
        <v>0</v>
      </c>
      <c r="Z431" s="82">
        <f t="shared" ca="1" si="152"/>
        <v>1943.620920138889</v>
      </c>
      <c r="AA431" s="19">
        <f t="shared" ca="1" si="153"/>
        <v>1.7026717780986438</v>
      </c>
      <c r="AE431" s="19"/>
    </row>
    <row r="432" spans="1:31" ht="12.75" customHeight="1" x14ac:dyDescent="0.2">
      <c r="A432">
        <v>3</v>
      </c>
      <c r="B432">
        <v>0</v>
      </c>
      <c r="C432">
        <f t="shared" ca="1" si="132"/>
        <v>5</v>
      </c>
      <c r="D432">
        <f t="shared" ca="1" si="133"/>
        <v>4</v>
      </c>
      <c r="E432">
        <f t="shared" ca="1" si="134"/>
        <v>3</v>
      </c>
      <c r="F432" s="61">
        <f t="shared" ca="1" si="135"/>
        <v>2.1510720000000001E-2</v>
      </c>
      <c r="G432">
        <v>0</v>
      </c>
      <c r="H432">
        <v>0</v>
      </c>
      <c r="I432">
        <v>3</v>
      </c>
      <c r="J432" s="61">
        <f t="shared" ca="1" si="136"/>
        <v>8.5737500000000067E-3</v>
      </c>
      <c r="K432" s="61">
        <f t="shared" ca="1" si="137"/>
        <v>1.8442753560000014E-4</v>
      </c>
      <c r="L432" s="82">
        <f t="shared" ca="1" si="138"/>
        <v>33</v>
      </c>
      <c r="M432" s="16">
        <f t="shared" ca="1" si="139"/>
        <v>967</v>
      </c>
      <c r="N432" s="3">
        <f t="shared" ca="1" si="140"/>
        <v>6</v>
      </c>
      <c r="O432" s="19">
        <f t="shared" ca="1" si="141"/>
        <v>3.3239268932937667</v>
      </c>
      <c r="P432" s="19">
        <f t="shared" ca="1" si="142"/>
        <v>33.239268932937669</v>
      </c>
      <c r="Q432" s="19">
        <f t="shared" ca="1" si="143"/>
        <v>33.239268932937669</v>
      </c>
      <c r="R432" s="19">
        <f t="shared" ca="1" si="144"/>
        <v>3.3239268932937671</v>
      </c>
      <c r="S432" s="19">
        <f t="shared" ca="1" si="145"/>
        <v>3.3239268932937667</v>
      </c>
      <c r="T432" s="19">
        <f t="shared" ca="1" si="146"/>
        <v>6.1302364544473398E-4</v>
      </c>
      <c r="U432" s="19">
        <f t="shared" ca="1" si="147"/>
        <v>1484.4024523027438</v>
      </c>
      <c r="V432" s="19">
        <f t="shared" ca="1" si="148"/>
        <v>0.27376468611679178</v>
      </c>
      <c r="W432" s="82">
        <f t="shared" ca="1" si="149"/>
        <v>1457.7156901041667</v>
      </c>
      <c r="X432" s="19">
        <f t="shared" ca="1" si="150"/>
        <v>0.26884291233136498</v>
      </c>
      <c r="Y432" s="19">
        <f t="shared" si="151"/>
        <v>0</v>
      </c>
      <c r="Z432" s="82">
        <f t="shared" ca="1" si="152"/>
        <v>1457.7156901041667</v>
      </c>
      <c r="AA432" s="19">
        <f t="shared" ca="1" si="153"/>
        <v>0.26884291233136498</v>
      </c>
      <c r="AE432" s="19"/>
    </row>
    <row r="433" spans="1:31" ht="12.75" customHeight="1" x14ac:dyDescent="0.2">
      <c r="A433">
        <v>3</v>
      </c>
      <c r="B433">
        <v>0</v>
      </c>
      <c r="C433">
        <f t="shared" ca="1" si="132"/>
        <v>5</v>
      </c>
      <c r="D433">
        <f t="shared" ca="1" si="133"/>
        <v>4</v>
      </c>
      <c r="E433">
        <f t="shared" ca="1" si="134"/>
        <v>3</v>
      </c>
      <c r="F433" s="61">
        <f t="shared" ca="1" si="135"/>
        <v>2.1510720000000001E-2</v>
      </c>
      <c r="G433">
        <v>0</v>
      </c>
      <c r="H433">
        <v>0</v>
      </c>
      <c r="I433">
        <v>2</v>
      </c>
      <c r="J433" s="61">
        <f t="shared" ca="1" si="136"/>
        <v>6.7687500000000126E-4</v>
      </c>
      <c r="K433" s="61">
        <f t="shared" ca="1" si="137"/>
        <v>1.4560068600000027E-5</v>
      </c>
      <c r="L433" s="82">
        <f t="shared" ca="1" si="138"/>
        <v>22</v>
      </c>
      <c r="M433" s="16">
        <f t="shared" ca="1" si="139"/>
        <v>978</v>
      </c>
      <c r="N433" s="3">
        <f t="shared" ca="1" si="140"/>
        <v>6</v>
      </c>
      <c r="O433" s="19">
        <f t="shared" ca="1" si="141"/>
        <v>3.3239268932937667</v>
      </c>
      <c r="P433" s="19">
        <f t="shared" ca="1" si="142"/>
        <v>33.239268932937669</v>
      </c>
      <c r="Q433" s="19">
        <f t="shared" ca="1" si="143"/>
        <v>33.239268932937669</v>
      </c>
      <c r="R433" s="19">
        <f t="shared" ca="1" si="144"/>
        <v>3.3239268932937671</v>
      </c>
      <c r="S433" s="19">
        <f t="shared" ca="1" si="145"/>
        <v>3.3239268932937667</v>
      </c>
      <c r="T433" s="19">
        <f t="shared" ca="1" si="146"/>
        <v>4.8396603587742215E-5</v>
      </c>
      <c r="U433" s="19">
        <f t="shared" ca="1" si="147"/>
        <v>1473.4024523027438</v>
      </c>
      <c r="V433" s="19">
        <f t="shared" ca="1" si="148"/>
        <v>2.1452840780936216E-2</v>
      </c>
      <c r="W433" s="82">
        <f t="shared" ca="1" si="149"/>
        <v>971.8104600694445</v>
      </c>
      <c r="X433" s="19">
        <f t="shared" ca="1" si="150"/>
        <v>1.4149626964808698E-2</v>
      </c>
      <c r="Y433" s="19">
        <f t="shared" si="151"/>
        <v>0</v>
      </c>
      <c r="Z433" s="82">
        <f t="shared" ca="1" si="152"/>
        <v>971.8104600694445</v>
      </c>
      <c r="AA433" s="19">
        <f t="shared" ca="1" si="153"/>
        <v>1.4149626964808698E-2</v>
      </c>
      <c r="AE433" s="19"/>
    </row>
    <row r="434" spans="1:31" ht="12.75" customHeight="1" x14ac:dyDescent="0.2">
      <c r="A434">
        <v>3</v>
      </c>
      <c r="B434">
        <v>0</v>
      </c>
      <c r="C434">
        <f t="shared" ca="1" si="132"/>
        <v>5</v>
      </c>
      <c r="D434">
        <f t="shared" ca="1" si="133"/>
        <v>4</v>
      </c>
      <c r="E434">
        <f t="shared" ca="1" si="134"/>
        <v>3</v>
      </c>
      <c r="F434" s="61">
        <f t="shared" ca="1" si="135"/>
        <v>2.1510720000000001E-2</v>
      </c>
      <c r="G434">
        <v>0</v>
      </c>
      <c r="H434">
        <v>0</v>
      </c>
      <c r="I434">
        <v>1</v>
      </c>
      <c r="J434" s="61">
        <f t="shared" ca="1" si="136"/>
        <v>2.3750000000000062E-5</v>
      </c>
      <c r="K434" s="61">
        <f t="shared" ca="1" si="137"/>
        <v>5.1087960000000133E-7</v>
      </c>
      <c r="L434" s="82">
        <f t="shared" ca="1" si="138"/>
        <v>11</v>
      </c>
      <c r="M434" s="16">
        <f t="shared" ca="1" si="139"/>
        <v>989</v>
      </c>
      <c r="N434" s="3">
        <f t="shared" ca="1" si="140"/>
        <v>6</v>
      </c>
      <c r="O434" s="19">
        <f t="shared" ca="1" si="141"/>
        <v>3.3239268932937667</v>
      </c>
      <c r="P434" s="19">
        <f t="shared" ca="1" si="142"/>
        <v>33.239268932937669</v>
      </c>
      <c r="Q434" s="19">
        <f t="shared" ca="1" si="143"/>
        <v>33.239268932937669</v>
      </c>
      <c r="R434" s="19">
        <f t="shared" ca="1" si="144"/>
        <v>3.3239268932937671</v>
      </c>
      <c r="S434" s="19">
        <f t="shared" ca="1" si="145"/>
        <v>3.3239268932937667</v>
      </c>
      <c r="T434" s="19">
        <f t="shared" ca="1" si="146"/>
        <v>1.6981264416751666E-6</v>
      </c>
      <c r="U434" s="19">
        <f t="shared" ca="1" si="147"/>
        <v>1462.4024523027438</v>
      </c>
      <c r="V434" s="19">
        <f t="shared" ca="1" si="148"/>
        <v>7.4711157987144671E-4</v>
      </c>
      <c r="W434" s="82">
        <f t="shared" ca="1" si="149"/>
        <v>485.90523003472225</v>
      </c>
      <c r="X434" s="19">
        <f t="shared" ca="1" si="150"/>
        <v>2.4823906955804756E-4</v>
      </c>
      <c r="Y434" s="19">
        <f t="shared" si="151"/>
        <v>0</v>
      </c>
      <c r="Z434" s="82">
        <f t="shared" ca="1" si="152"/>
        <v>485.90523003472225</v>
      </c>
      <c r="AA434" s="19">
        <f t="shared" ca="1" si="153"/>
        <v>2.4823906955804756E-4</v>
      </c>
      <c r="AE434" s="19"/>
    </row>
    <row r="435" spans="1:31" ht="12.75" customHeight="1" x14ac:dyDescent="0.2">
      <c r="A435">
        <v>3</v>
      </c>
      <c r="B435">
        <v>0</v>
      </c>
      <c r="C435">
        <f t="shared" ca="1" si="132"/>
        <v>5</v>
      </c>
      <c r="D435">
        <f t="shared" ca="1" si="133"/>
        <v>4</v>
      </c>
      <c r="E435">
        <f t="shared" ca="1" si="134"/>
        <v>3</v>
      </c>
      <c r="F435" s="61">
        <f t="shared" ca="1" si="135"/>
        <v>2.1510720000000001E-2</v>
      </c>
      <c r="G435">
        <v>0</v>
      </c>
      <c r="H435">
        <v>0</v>
      </c>
      <c r="I435">
        <v>0</v>
      </c>
      <c r="J435" s="61">
        <f t="shared" ca="1" si="136"/>
        <v>3.1250000000000114E-7</v>
      </c>
      <c r="K435" s="61">
        <f t="shared" ca="1" si="137"/>
        <v>6.722100000000025E-9</v>
      </c>
      <c r="L435" s="82">
        <f t="shared" ca="1" si="138"/>
        <v>0</v>
      </c>
      <c r="M435" s="16">
        <f t="shared" ca="1" si="139"/>
        <v>1000</v>
      </c>
      <c r="N435" s="3">
        <f t="shared" ca="1" si="140"/>
        <v>6</v>
      </c>
      <c r="O435" s="19">
        <f t="shared" ca="1" si="141"/>
        <v>3.3239268932937667</v>
      </c>
      <c r="P435" s="19">
        <f t="shared" ca="1" si="142"/>
        <v>33.239268932937669</v>
      </c>
      <c r="Q435" s="19">
        <f t="shared" ca="1" si="143"/>
        <v>33.239268932937669</v>
      </c>
      <c r="R435" s="19">
        <f t="shared" ca="1" si="144"/>
        <v>3.3239268932937671</v>
      </c>
      <c r="S435" s="19">
        <f t="shared" ca="1" si="145"/>
        <v>3.3239268932937667</v>
      </c>
      <c r="T435" s="19">
        <f t="shared" ca="1" si="146"/>
        <v>2.234376896941011E-8</v>
      </c>
      <c r="U435" s="19">
        <f t="shared" ca="1" si="147"/>
        <v>1451.4024523027438</v>
      </c>
      <c r="V435" s="19">
        <f t="shared" ca="1" si="148"/>
        <v>9.7564724246243103E-6</v>
      </c>
      <c r="W435" s="82">
        <f t="shared" ca="1" si="149"/>
        <v>0</v>
      </c>
      <c r="X435" s="19">
        <f t="shared" ca="1" si="150"/>
        <v>0</v>
      </c>
      <c r="Y435" s="19">
        <f t="shared" si="151"/>
        <v>0</v>
      </c>
      <c r="Z435" s="82">
        <f t="shared" ca="1" si="152"/>
        <v>0</v>
      </c>
      <c r="AA435" s="19">
        <f t="shared" ca="1" si="153"/>
        <v>0</v>
      </c>
      <c r="AE435" s="19"/>
    </row>
    <row r="436" spans="1:31" ht="12.75" customHeight="1" x14ac:dyDescent="0.2">
      <c r="A436">
        <v>3</v>
      </c>
      <c r="B436">
        <v>1</v>
      </c>
      <c r="C436">
        <f t="shared" ca="1" si="132"/>
        <v>6</v>
      </c>
      <c r="D436">
        <f t="shared" ca="1" si="133"/>
        <v>5</v>
      </c>
      <c r="E436">
        <f t="shared" ca="1" si="134"/>
        <v>3</v>
      </c>
      <c r="F436" s="61">
        <f t="shared" ca="1" si="135"/>
        <v>6.4252799999999994E-3</v>
      </c>
      <c r="G436">
        <v>1</v>
      </c>
      <c r="H436">
        <v>1</v>
      </c>
      <c r="I436">
        <v>7</v>
      </c>
      <c r="J436" s="61">
        <f t="shared" ca="1" si="136"/>
        <v>0</v>
      </c>
      <c r="K436" s="61">
        <f t="shared" ca="1" si="137"/>
        <v>0</v>
      </c>
      <c r="L436" s="82">
        <f t="shared" ca="1" si="138"/>
        <v>399</v>
      </c>
      <c r="M436" s="16">
        <f t="shared" ca="1" si="139"/>
        <v>601</v>
      </c>
      <c r="N436" s="3">
        <f t="shared" ca="1" si="140"/>
        <v>4</v>
      </c>
      <c r="O436" s="19">
        <f t="shared" ca="1" si="141"/>
        <v>2.3453053758100548</v>
      </c>
      <c r="P436" s="19">
        <f t="shared" ca="1" si="142"/>
        <v>23.453053758100552</v>
      </c>
      <c r="Q436" s="19">
        <f t="shared" ca="1" si="143"/>
        <v>23.453053758100552</v>
      </c>
      <c r="R436" s="19">
        <f t="shared" ca="1" si="144"/>
        <v>2.3453053758100553</v>
      </c>
      <c r="S436" s="19">
        <f t="shared" ca="1" si="145"/>
        <v>2.3453053758100548</v>
      </c>
      <c r="T436" s="19">
        <f t="shared" ca="1" si="146"/>
        <v>0</v>
      </c>
      <c r="U436" s="19">
        <f t="shared" ca="1" si="147"/>
        <v>1478.9587218163997</v>
      </c>
      <c r="V436" s="19">
        <f t="shared" ca="1" si="148"/>
        <v>0</v>
      </c>
      <c r="W436" s="82">
        <f t="shared" ca="1" si="149"/>
        <v>5718.7981307870377</v>
      </c>
      <c r="X436" s="19">
        <f t="shared" ca="1" si="150"/>
        <v>0</v>
      </c>
      <c r="Y436" s="19">
        <f t="shared" si="151"/>
        <v>0</v>
      </c>
      <c r="Z436" s="82">
        <f t="shared" ca="1" si="152"/>
        <v>5718.7981307870377</v>
      </c>
      <c r="AA436" s="19">
        <f t="shared" ca="1" si="153"/>
        <v>0</v>
      </c>
      <c r="AE436" s="19"/>
    </row>
    <row r="437" spans="1:31" ht="12.75" customHeight="1" x14ac:dyDescent="0.2">
      <c r="A437">
        <v>3</v>
      </c>
      <c r="B437">
        <v>1</v>
      </c>
      <c r="C437">
        <f t="shared" ca="1" si="132"/>
        <v>6</v>
      </c>
      <c r="D437">
        <f t="shared" ca="1" si="133"/>
        <v>5</v>
      </c>
      <c r="E437">
        <f t="shared" ca="1" si="134"/>
        <v>3</v>
      </c>
      <c r="F437" s="61">
        <f t="shared" ca="1" si="135"/>
        <v>6.4252799999999994E-3</v>
      </c>
      <c r="G437">
        <v>1</v>
      </c>
      <c r="H437">
        <v>1</v>
      </c>
      <c r="I437">
        <v>6</v>
      </c>
      <c r="J437" s="61">
        <f t="shared" ca="1" si="136"/>
        <v>0</v>
      </c>
      <c r="K437" s="61">
        <f t="shared" ca="1" si="137"/>
        <v>0</v>
      </c>
      <c r="L437" s="82">
        <f t="shared" ca="1" si="138"/>
        <v>388</v>
      </c>
      <c r="M437" s="16">
        <f t="shared" ca="1" si="139"/>
        <v>612</v>
      </c>
      <c r="N437" s="3">
        <f t="shared" ca="1" si="140"/>
        <v>4</v>
      </c>
      <c r="O437" s="19">
        <f t="shared" ca="1" si="141"/>
        <v>2.3453053758100548</v>
      </c>
      <c r="P437" s="19">
        <f t="shared" ca="1" si="142"/>
        <v>23.453053758100552</v>
      </c>
      <c r="Q437" s="19">
        <f t="shared" ca="1" si="143"/>
        <v>23.453053758100552</v>
      </c>
      <c r="R437" s="19">
        <f t="shared" ca="1" si="144"/>
        <v>2.3453053758100553</v>
      </c>
      <c r="S437" s="19">
        <f t="shared" ca="1" si="145"/>
        <v>2.3453053758100548</v>
      </c>
      <c r="T437" s="19">
        <f t="shared" ca="1" si="146"/>
        <v>0</v>
      </c>
      <c r="U437" s="19">
        <f t="shared" ca="1" si="147"/>
        <v>1467.9587218163997</v>
      </c>
      <c r="V437" s="19">
        <f t="shared" ca="1" si="148"/>
        <v>0</v>
      </c>
      <c r="W437" s="82">
        <f t="shared" ca="1" si="149"/>
        <v>5232.8929007523147</v>
      </c>
      <c r="X437" s="19">
        <f t="shared" ca="1" si="150"/>
        <v>0</v>
      </c>
      <c r="Y437" s="19">
        <f t="shared" si="151"/>
        <v>0</v>
      </c>
      <c r="Z437" s="82">
        <f t="shared" ca="1" si="152"/>
        <v>5232.8929007523147</v>
      </c>
      <c r="AA437" s="19">
        <f t="shared" ca="1" si="153"/>
        <v>0</v>
      </c>
      <c r="AE437" s="19"/>
    </row>
    <row r="438" spans="1:31" ht="12.75" customHeight="1" x14ac:dyDescent="0.2">
      <c r="A438">
        <v>3</v>
      </c>
      <c r="B438">
        <v>1</v>
      </c>
      <c r="C438">
        <f t="shared" ca="1" si="132"/>
        <v>6</v>
      </c>
      <c r="D438">
        <f t="shared" ca="1" si="133"/>
        <v>5</v>
      </c>
      <c r="E438">
        <f t="shared" ca="1" si="134"/>
        <v>3</v>
      </c>
      <c r="F438" s="61">
        <f t="shared" ca="1" si="135"/>
        <v>6.4252799999999994E-3</v>
      </c>
      <c r="G438">
        <v>1</v>
      </c>
      <c r="H438">
        <v>1</v>
      </c>
      <c r="I438">
        <v>5</v>
      </c>
      <c r="J438" s="61">
        <f t="shared" ca="1" si="136"/>
        <v>0</v>
      </c>
      <c r="K438" s="61">
        <f t="shared" ca="1" si="137"/>
        <v>0</v>
      </c>
      <c r="L438" s="82">
        <f t="shared" ca="1" si="138"/>
        <v>377</v>
      </c>
      <c r="M438" s="16">
        <f t="shared" ca="1" si="139"/>
        <v>623</v>
      </c>
      <c r="N438" s="3">
        <f t="shared" ca="1" si="140"/>
        <v>4</v>
      </c>
      <c r="O438" s="19">
        <f t="shared" ca="1" si="141"/>
        <v>2.3453053758100548</v>
      </c>
      <c r="P438" s="19">
        <f t="shared" ca="1" si="142"/>
        <v>23.453053758100552</v>
      </c>
      <c r="Q438" s="19">
        <f t="shared" ca="1" si="143"/>
        <v>23.453053758100552</v>
      </c>
      <c r="R438" s="19">
        <f t="shared" ca="1" si="144"/>
        <v>2.3453053758100553</v>
      </c>
      <c r="S438" s="19">
        <f t="shared" ca="1" si="145"/>
        <v>2.3453053758100548</v>
      </c>
      <c r="T438" s="19">
        <f t="shared" ca="1" si="146"/>
        <v>0</v>
      </c>
      <c r="U438" s="19">
        <f t="shared" ca="1" si="147"/>
        <v>1456.9587218163997</v>
      </c>
      <c r="V438" s="19">
        <f t="shared" ca="1" si="148"/>
        <v>0</v>
      </c>
      <c r="W438" s="82">
        <f t="shared" ca="1" si="149"/>
        <v>4746.9876707175936</v>
      </c>
      <c r="X438" s="19">
        <f t="shared" ca="1" si="150"/>
        <v>0</v>
      </c>
      <c r="Y438" s="19">
        <f t="shared" si="151"/>
        <v>0</v>
      </c>
      <c r="Z438" s="82">
        <f t="shared" ca="1" si="152"/>
        <v>4746.9876707175936</v>
      </c>
      <c r="AA438" s="19">
        <f t="shared" ca="1" si="153"/>
        <v>0</v>
      </c>
      <c r="AE438" s="19"/>
    </row>
    <row r="439" spans="1:31" ht="12.75" customHeight="1" x14ac:dyDescent="0.2">
      <c r="A439">
        <v>3</v>
      </c>
      <c r="B439">
        <v>1</v>
      </c>
      <c r="C439">
        <f t="shared" ca="1" si="132"/>
        <v>6</v>
      </c>
      <c r="D439">
        <f t="shared" ca="1" si="133"/>
        <v>5</v>
      </c>
      <c r="E439">
        <f t="shared" ca="1" si="134"/>
        <v>3</v>
      </c>
      <c r="F439" s="61">
        <f t="shared" ca="1" si="135"/>
        <v>6.4252799999999994E-3</v>
      </c>
      <c r="G439">
        <v>1</v>
      </c>
      <c r="H439">
        <v>1</v>
      </c>
      <c r="I439">
        <v>4</v>
      </c>
      <c r="J439" s="61">
        <f t="shared" ca="1" si="136"/>
        <v>0</v>
      </c>
      <c r="K439" s="61">
        <f t="shared" ca="1" si="137"/>
        <v>0</v>
      </c>
      <c r="L439" s="82">
        <f t="shared" ca="1" si="138"/>
        <v>366</v>
      </c>
      <c r="M439" s="16">
        <f t="shared" ca="1" si="139"/>
        <v>634</v>
      </c>
      <c r="N439" s="3">
        <f t="shared" ca="1" si="140"/>
        <v>4</v>
      </c>
      <c r="O439" s="19">
        <f t="shared" ca="1" si="141"/>
        <v>2.3453053758100548</v>
      </c>
      <c r="P439" s="19">
        <f t="shared" ca="1" si="142"/>
        <v>23.453053758100552</v>
      </c>
      <c r="Q439" s="19">
        <f t="shared" ca="1" si="143"/>
        <v>23.453053758100552</v>
      </c>
      <c r="R439" s="19">
        <f t="shared" ca="1" si="144"/>
        <v>2.3453053758100553</v>
      </c>
      <c r="S439" s="19">
        <f t="shared" ca="1" si="145"/>
        <v>2.3453053758100548</v>
      </c>
      <c r="T439" s="19">
        <f t="shared" ca="1" si="146"/>
        <v>0</v>
      </c>
      <c r="U439" s="19">
        <f t="shared" ca="1" si="147"/>
        <v>1445.9587218163997</v>
      </c>
      <c r="V439" s="19">
        <f t="shared" ca="1" si="148"/>
        <v>0</v>
      </c>
      <c r="W439" s="82">
        <f t="shared" ca="1" si="149"/>
        <v>4261.0824406828706</v>
      </c>
      <c r="X439" s="19">
        <f t="shared" ca="1" si="150"/>
        <v>0</v>
      </c>
      <c r="Y439" s="19">
        <f t="shared" si="151"/>
        <v>0</v>
      </c>
      <c r="Z439" s="82">
        <f t="shared" ca="1" si="152"/>
        <v>4261.0824406828706</v>
      </c>
      <c r="AA439" s="19">
        <f t="shared" ca="1" si="153"/>
        <v>0</v>
      </c>
      <c r="AE439" s="19"/>
    </row>
    <row r="440" spans="1:31" ht="12.75" customHeight="1" x14ac:dyDescent="0.2">
      <c r="A440">
        <v>3</v>
      </c>
      <c r="B440">
        <v>1</v>
      </c>
      <c r="C440">
        <f t="shared" ca="1" si="132"/>
        <v>6</v>
      </c>
      <c r="D440">
        <f t="shared" ca="1" si="133"/>
        <v>5</v>
      </c>
      <c r="E440">
        <f t="shared" ca="1" si="134"/>
        <v>3</v>
      </c>
      <c r="F440" s="61">
        <f t="shared" ca="1" si="135"/>
        <v>6.4252799999999994E-3</v>
      </c>
      <c r="G440">
        <v>1</v>
      </c>
      <c r="H440">
        <v>1</v>
      </c>
      <c r="I440">
        <v>3</v>
      </c>
      <c r="J440" s="61">
        <f t="shared" ca="1" si="136"/>
        <v>0</v>
      </c>
      <c r="K440" s="61">
        <f t="shared" ca="1" si="137"/>
        <v>0</v>
      </c>
      <c r="L440" s="82">
        <f t="shared" ca="1" si="138"/>
        <v>355</v>
      </c>
      <c r="M440" s="16">
        <f t="shared" ca="1" si="139"/>
        <v>645</v>
      </c>
      <c r="N440" s="3">
        <f t="shared" ca="1" si="140"/>
        <v>4</v>
      </c>
      <c r="O440" s="19">
        <f t="shared" ca="1" si="141"/>
        <v>2.3453053758100548</v>
      </c>
      <c r="P440" s="19">
        <f t="shared" ca="1" si="142"/>
        <v>23.453053758100552</v>
      </c>
      <c r="Q440" s="19">
        <f t="shared" ca="1" si="143"/>
        <v>23.453053758100552</v>
      </c>
      <c r="R440" s="19">
        <f t="shared" ca="1" si="144"/>
        <v>2.3453053758100553</v>
      </c>
      <c r="S440" s="19">
        <f t="shared" ca="1" si="145"/>
        <v>2.3453053758100548</v>
      </c>
      <c r="T440" s="19">
        <f t="shared" ca="1" si="146"/>
        <v>0</v>
      </c>
      <c r="U440" s="19">
        <f t="shared" ca="1" si="147"/>
        <v>1434.9587218163997</v>
      </c>
      <c r="V440" s="19">
        <f t="shared" ca="1" si="148"/>
        <v>0</v>
      </c>
      <c r="W440" s="82">
        <f t="shared" ca="1" si="149"/>
        <v>3775.1772106481485</v>
      </c>
      <c r="X440" s="19">
        <f t="shared" ca="1" si="150"/>
        <v>0</v>
      </c>
      <c r="Y440" s="19">
        <f t="shared" si="151"/>
        <v>0</v>
      </c>
      <c r="Z440" s="82">
        <f t="shared" ca="1" si="152"/>
        <v>3775.1772106481485</v>
      </c>
      <c r="AA440" s="19">
        <f t="shared" ca="1" si="153"/>
        <v>0</v>
      </c>
      <c r="AE440" s="19"/>
    </row>
    <row r="441" spans="1:31" ht="12.75" customHeight="1" x14ac:dyDescent="0.2">
      <c r="A441">
        <v>3</v>
      </c>
      <c r="B441">
        <v>1</v>
      </c>
      <c r="C441">
        <f t="shared" ca="1" si="132"/>
        <v>6</v>
      </c>
      <c r="D441">
        <f t="shared" ca="1" si="133"/>
        <v>5</v>
      </c>
      <c r="E441">
        <f t="shared" ca="1" si="134"/>
        <v>3</v>
      </c>
      <c r="F441" s="61">
        <f t="shared" ca="1" si="135"/>
        <v>6.4252799999999994E-3</v>
      </c>
      <c r="G441">
        <v>1</v>
      </c>
      <c r="H441">
        <v>1</v>
      </c>
      <c r="I441">
        <v>2</v>
      </c>
      <c r="J441" s="61">
        <f t="shared" ca="1" si="136"/>
        <v>0</v>
      </c>
      <c r="K441" s="61">
        <f t="shared" ca="1" si="137"/>
        <v>0</v>
      </c>
      <c r="L441" s="82">
        <f t="shared" ca="1" si="138"/>
        <v>344</v>
      </c>
      <c r="M441" s="16">
        <f t="shared" ca="1" si="139"/>
        <v>656</v>
      </c>
      <c r="N441" s="3">
        <f t="shared" ca="1" si="140"/>
        <v>4</v>
      </c>
      <c r="O441" s="19">
        <f t="shared" ca="1" si="141"/>
        <v>2.3453053758100548</v>
      </c>
      <c r="P441" s="19">
        <f t="shared" ca="1" si="142"/>
        <v>23.453053758100552</v>
      </c>
      <c r="Q441" s="19">
        <f t="shared" ca="1" si="143"/>
        <v>23.453053758100552</v>
      </c>
      <c r="R441" s="19">
        <f t="shared" ca="1" si="144"/>
        <v>2.3453053758100553</v>
      </c>
      <c r="S441" s="19">
        <f t="shared" ca="1" si="145"/>
        <v>2.3453053758100548</v>
      </c>
      <c r="T441" s="19">
        <f t="shared" ca="1" si="146"/>
        <v>0</v>
      </c>
      <c r="U441" s="19">
        <f t="shared" ca="1" si="147"/>
        <v>1423.9587218163997</v>
      </c>
      <c r="V441" s="19">
        <f t="shared" ca="1" si="148"/>
        <v>0</v>
      </c>
      <c r="W441" s="82">
        <f t="shared" ca="1" si="149"/>
        <v>3289.2719806134264</v>
      </c>
      <c r="X441" s="19">
        <f t="shared" ca="1" si="150"/>
        <v>0</v>
      </c>
      <c r="Y441" s="19">
        <f t="shared" si="151"/>
        <v>0</v>
      </c>
      <c r="Z441" s="82">
        <f t="shared" ca="1" si="152"/>
        <v>3289.2719806134264</v>
      </c>
      <c r="AA441" s="19">
        <f t="shared" ca="1" si="153"/>
        <v>0</v>
      </c>
      <c r="AE441" s="19"/>
    </row>
    <row r="442" spans="1:31" ht="12.75" customHeight="1" x14ac:dyDescent="0.2">
      <c r="A442">
        <v>3</v>
      </c>
      <c r="B442">
        <v>1</v>
      </c>
      <c r="C442">
        <f t="shared" ca="1" si="132"/>
        <v>6</v>
      </c>
      <c r="D442">
        <f t="shared" ca="1" si="133"/>
        <v>5</v>
      </c>
      <c r="E442">
        <f t="shared" ca="1" si="134"/>
        <v>3</v>
      </c>
      <c r="F442" s="61">
        <f t="shared" ca="1" si="135"/>
        <v>6.4252799999999994E-3</v>
      </c>
      <c r="G442">
        <v>1</v>
      </c>
      <c r="H442">
        <v>1</v>
      </c>
      <c r="I442">
        <v>1</v>
      </c>
      <c r="J442" s="61">
        <f t="shared" ca="1" si="136"/>
        <v>0</v>
      </c>
      <c r="K442" s="61">
        <f t="shared" ca="1" si="137"/>
        <v>0</v>
      </c>
      <c r="L442" s="82">
        <f t="shared" ca="1" si="138"/>
        <v>333</v>
      </c>
      <c r="M442" s="16">
        <f t="shared" ca="1" si="139"/>
        <v>667</v>
      </c>
      <c r="N442" s="3">
        <f t="shared" ca="1" si="140"/>
        <v>4</v>
      </c>
      <c r="O442" s="19">
        <f t="shared" ca="1" si="141"/>
        <v>2.3453053758100548</v>
      </c>
      <c r="P442" s="19">
        <f t="shared" ca="1" si="142"/>
        <v>23.453053758100552</v>
      </c>
      <c r="Q442" s="19">
        <f t="shared" ca="1" si="143"/>
        <v>23.453053758100552</v>
      </c>
      <c r="R442" s="19">
        <f t="shared" ca="1" si="144"/>
        <v>2.3453053758100553</v>
      </c>
      <c r="S442" s="19">
        <f t="shared" ca="1" si="145"/>
        <v>2.3453053758100548</v>
      </c>
      <c r="T442" s="19">
        <f t="shared" ca="1" si="146"/>
        <v>0</v>
      </c>
      <c r="U442" s="19">
        <f t="shared" ca="1" si="147"/>
        <v>1412.9587218163997</v>
      </c>
      <c r="V442" s="19">
        <f t="shared" ca="1" si="148"/>
        <v>0</v>
      </c>
      <c r="W442" s="82">
        <f t="shared" ca="1" si="149"/>
        <v>2803.3667505787039</v>
      </c>
      <c r="X442" s="19">
        <f t="shared" ca="1" si="150"/>
        <v>0</v>
      </c>
      <c r="Y442" s="19">
        <f t="shared" si="151"/>
        <v>0</v>
      </c>
      <c r="Z442" s="82">
        <f t="shared" ca="1" si="152"/>
        <v>2803.3667505787039</v>
      </c>
      <c r="AA442" s="19">
        <f t="shared" ca="1" si="153"/>
        <v>0</v>
      </c>
      <c r="AE442" s="19"/>
    </row>
    <row r="443" spans="1:31" ht="12.75" customHeight="1" x14ac:dyDescent="0.2">
      <c r="A443">
        <v>3</v>
      </c>
      <c r="B443">
        <v>1</v>
      </c>
      <c r="C443">
        <f t="shared" ca="1" si="132"/>
        <v>6</v>
      </c>
      <c r="D443">
        <f t="shared" ca="1" si="133"/>
        <v>5</v>
      </c>
      <c r="E443">
        <f t="shared" ca="1" si="134"/>
        <v>3</v>
      </c>
      <c r="F443" s="61">
        <f t="shared" ca="1" si="135"/>
        <v>6.4252799999999994E-3</v>
      </c>
      <c r="G443">
        <v>1</v>
      </c>
      <c r="H443">
        <v>1</v>
      </c>
      <c r="I443">
        <v>0</v>
      </c>
      <c r="J443" s="61">
        <f t="shared" ca="1" si="136"/>
        <v>0</v>
      </c>
      <c r="K443" s="61">
        <f t="shared" ca="1" si="137"/>
        <v>0</v>
      </c>
      <c r="L443" s="82">
        <f t="shared" ca="1" si="138"/>
        <v>322</v>
      </c>
      <c r="M443" s="16">
        <f t="shared" ca="1" si="139"/>
        <v>678</v>
      </c>
      <c r="N443" s="3">
        <f t="shared" ca="1" si="140"/>
        <v>4</v>
      </c>
      <c r="O443" s="19">
        <f t="shared" ca="1" si="141"/>
        <v>2.3453053758100548</v>
      </c>
      <c r="P443" s="19">
        <f t="shared" ca="1" si="142"/>
        <v>23.453053758100552</v>
      </c>
      <c r="Q443" s="19">
        <f t="shared" ca="1" si="143"/>
        <v>23.453053758100552</v>
      </c>
      <c r="R443" s="19">
        <f t="shared" ca="1" si="144"/>
        <v>2.3453053758100553</v>
      </c>
      <c r="S443" s="19">
        <f t="shared" ca="1" si="145"/>
        <v>2.3453053758100548</v>
      </c>
      <c r="T443" s="19">
        <f t="shared" ca="1" si="146"/>
        <v>0</v>
      </c>
      <c r="U443" s="19">
        <f t="shared" ca="1" si="147"/>
        <v>1401.9587218163997</v>
      </c>
      <c r="V443" s="19">
        <f t="shared" ca="1" si="148"/>
        <v>0</v>
      </c>
      <c r="W443" s="82">
        <f t="shared" ca="1" si="149"/>
        <v>2317.4615205439818</v>
      </c>
      <c r="X443" s="19">
        <f t="shared" ca="1" si="150"/>
        <v>0</v>
      </c>
      <c r="Y443" s="19">
        <f t="shared" si="151"/>
        <v>0</v>
      </c>
      <c r="Z443" s="82">
        <f t="shared" ca="1" si="152"/>
        <v>2317.4615205439818</v>
      </c>
      <c r="AA443" s="19">
        <f t="shared" ca="1" si="153"/>
        <v>0</v>
      </c>
      <c r="AE443" s="19"/>
    </row>
    <row r="444" spans="1:31" ht="12.75" customHeight="1" x14ac:dyDescent="0.2">
      <c r="A444">
        <v>3</v>
      </c>
      <c r="B444">
        <v>1</v>
      </c>
      <c r="C444">
        <f t="shared" ca="1" si="132"/>
        <v>6</v>
      </c>
      <c r="D444">
        <f t="shared" ca="1" si="133"/>
        <v>5</v>
      </c>
      <c r="E444">
        <f t="shared" ca="1" si="134"/>
        <v>3</v>
      </c>
      <c r="F444" s="61">
        <f t="shared" ca="1" si="135"/>
        <v>6.4252799999999994E-3</v>
      </c>
      <c r="G444">
        <v>1</v>
      </c>
      <c r="H444">
        <v>0</v>
      </c>
      <c r="I444">
        <v>7</v>
      </c>
      <c r="J444" s="61">
        <f t="shared" ca="1" si="136"/>
        <v>0</v>
      </c>
      <c r="K444" s="61">
        <f t="shared" ca="1" si="137"/>
        <v>0</v>
      </c>
      <c r="L444" s="82">
        <f t="shared" ca="1" si="138"/>
        <v>238</v>
      </c>
      <c r="M444" s="16">
        <f t="shared" ca="1" si="139"/>
        <v>762</v>
      </c>
      <c r="N444" s="3">
        <f t="shared" ca="1" si="140"/>
        <v>5</v>
      </c>
      <c r="O444" s="19">
        <f t="shared" ca="1" si="141"/>
        <v>2.8178718937399587</v>
      </c>
      <c r="P444" s="19">
        <f t="shared" ca="1" si="142"/>
        <v>25.815886347750073</v>
      </c>
      <c r="Q444" s="19">
        <f t="shared" ca="1" si="143"/>
        <v>23.453053758100552</v>
      </c>
      <c r="R444" s="19">
        <f t="shared" ca="1" si="144"/>
        <v>2.4634470052925312</v>
      </c>
      <c r="S444" s="19">
        <f t="shared" ca="1" si="145"/>
        <v>2.8178718937399587</v>
      </c>
      <c r="T444" s="19">
        <f t="shared" ca="1" si="146"/>
        <v>0</v>
      </c>
      <c r="U444" s="19">
        <f t="shared" ca="1" si="147"/>
        <v>1497.3251747165598</v>
      </c>
      <c r="V444" s="19">
        <f t="shared" ca="1" si="148"/>
        <v>0</v>
      </c>
      <c r="W444" s="82">
        <f t="shared" ca="1" si="149"/>
        <v>5718.7981307870377</v>
      </c>
      <c r="X444" s="19">
        <f t="shared" ca="1" si="150"/>
        <v>0</v>
      </c>
      <c r="Y444" s="19">
        <f t="shared" si="151"/>
        <v>0</v>
      </c>
      <c r="Z444" s="82">
        <f t="shared" ca="1" si="152"/>
        <v>5718.7981307870377</v>
      </c>
      <c r="AA444" s="19">
        <f t="shared" ca="1" si="153"/>
        <v>0</v>
      </c>
      <c r="AE444" s="19"/>
    </row>
    <row r="445" spans="1:31" ht="12.75" customHeight="1" x14ac:dyDescent="0.2">
      <c r="A445">
        <v>3</v>
      </c>
      <c r="B445">
        <v>1</v>
      </c>
      <c r="C445">
        <f t="shared" ca="1" si="132"/>
        <v>6</v>
      </c>
      <c r="D445">
        <f t="shared" ca="1" si="133"/>
        <v>5</v>
      </c>
      <c r="E445">
        <f t="shared" ca="1" si="134"/>
        <v>3</v>
      </c>
      <c r="F445" s="61">
        <f t="shared" ca="1" si="135"/>
        <v>6.4252799999999994E-3</v>
      </c>
      <c r="G445">
        <v>1</v>
      </c>
      <c r="H445">
        <v>0</v>
      </c>
      <c r="I445">
        <v>6</v>
      </c>
      <c r="J445" s="61">
        <f t="shared" ca="1" si="136"/>
        <v>0</v>
      </c>
      <c r="K445" s="61">
        <f t="shared" ca="1" si="137"/>
        <v>0</v>
      </c>
      <c r="L445" s="82">
        <f t="shared" ca="1" si="138"/>
        <v>227</v>
      </c>
      <c r="M445" s="16">
        <f t="shared" ca="1" si="139"/>
        <v>773</v>
      </c>
      <c r="N445" s="3">
        <f t="shared" ca="1" si="140"/>
        <v>5</v>
      </c>
      <c r="O445" s="19">
        <f t="shared" ca="1" si="141"/>
        <v>2.8178718937399587</v>
      </c>
      <c r="P445" s="19">
        <f t="shared" ca="1" si="142"/>
        <v>28.178718937399587</v>
      </c>
      <c r="Q445" s="19">
        <f t="shared" ca="1" si="143"/>
        <v>26.288452865679979</v>
      </c>
      <c r="R445" s="19">
        <f t="shared" ca="1" si="144"/>
        <v>2.7233585901539783</v>
      </c>
      <c r="S445" s="19">
        <f t="shared" ca="1" si="145"/>
        <v>2.8178718937399587</v>
      </c>
      <c r="T445" s="19">
        <f t="shared" ca="1" si="146"/>
        <v>0</v>
      </c>
      <c r="U445" s="19">
        <f t="shared" ca="1" si="147"/>
        <v>1486.3251747165598</v>
      </c>
      <c r="V445" s="19">
        <f t="shared" ca="1" si="148"/>
        <v>0</v>
      </c>
      <c r="W445" s="82">
        <f t="shared" ca="1" si="149"/>
        <v>5232.8929007523147</v>
      </c>
      <c r="X445" s="19">
        <f t="shared" ca="1" si="150"/>
        <v>0</v>
      </c>
      <c r="Y445" s="19">
        <f t="shared" si="151"/>
        <v>0</v>
      </c>
      <c r="Z445" s="82">
        <f t="shared" ca="1" si="152"/>
        <v>5232.8929007523147</v>
      </c>
      <c r="AA445" s="19">
        <f t="shared" ca="1" si="153"/>
        <v>0</v>
      </c>
      <c r="AE445" s="19"/>
    </row>
    <row r="446" spans="1:31" ht="12.75" customHeight="1" x14ac:dyDescent="0.2">
      <c r="A446">
        <v>3</v>
      </c>
      <c r="B446">
        <v>1</v>
      </c>
      <c r="C446">
        <f t="shared" ca="1" si="132"/>
        <v>6</v>
      </c>
      <c r="D446">
        <f t="shared" ca="1" si="133"/>
        <v>5</v>
      </c>
      <c r="E446">
        <f t="shared" ca="1" si="134"/>
        <v>3</v>
      </c>
      <c r="F446" s="61">
        <f t="shared" ca="1" si="135"/>
        <v>6.4252799999999994E-3</v>
      </c>
      <c r="G446">
        <v>1</v>
      </c>
      <c r="H446">
        <v>0</v>
      </c>
      <c r="I446">
        <v>5</v>
      </c>
      <c r="J446" s="61">
        <f t="shared" ca="1" si="136"/>
        <v>0.73509189062499991</v>
      </c>
      <c r="K446" s="61">
        <f t="shared" ca="1" si="137"/>
        <v>4.7231712229949992E-3</v>
      </c>
      <c r="L446" s="82">
        <f t="shared" ca="1" si="138"/>
        <v>216</v>
      </c>
      <c r="M446" s="16">
        <f t="shared" ca="1" si="139"/>
        <v>784</v>
      </c>
      <c r="N446" s="3">
        <f t="shared" ca="1" si="140"/>
        <v>5</v>
      </c>
      <c r="O446" s="19">
        <f t="shared" ca="1" si="141"/>
        <v>2.8178718937399587</v>
      </c>
      <c r="P446" s="19">
        <f t="shared" ca="1" si="142"/>
        <v>28.178718937399587</v>
      </c>
      <c r="Q446" s="19">
        <f t="shared" ca="1" si="143"/>
        <v>28.178718937399587</v>
      </c>
      <c r="R446" s="19">
        <f t="shared" ca="1" si="144"/>
        <v>2.8178718937399587</v>
      </c>
      <c r="S446" s="19">
        <f t="shared" ca="1" si="145"/>
        <v>2.8178718937399587</v>
      </c>
      <c r="T446" s="19">
        <f t="shared" ca="1" si="146"/>
        <v>1.3309291438598995E-2</v>
      </c>
      <c r="U446" s="19">
        <f t="shared" ca="1" si="147"/>
        <v>1475.3251747165598</v>
      </c>
      <c r="V446" s="19">
        <f t="shared" ca="1" si="148"/>
        <v>6.9682134097813249</v>
      </c>
      <c r="W446" s="82">
        <f t="shared" ca="1" si="149"/>
        <v>4746.9876707175936</v>
      </c>
      <c r="X446" s="19">
        <f t="shared" ca="1" si="150"/>
        <v>22.420835562245397</v>
      </c>
      <c r="Y446" s="19">
        <f t="shared" si="151"/>
        <v>0</v>
      </c>
      <c r="Z446" s="82">
        <f t="shared" ca="1" si="152"/>
        <v>4746.9876707175936</v>
      </c>
      <c r="AA446" s="19">
        <f t="shared" ca="1" si="153"/>
        <v>22.420835562245397</v>
      </c>
      <c r="AE446" s="19"/>
    </row>
    <row r="447" spans="1:31" ht="12.75" customHeight="1" x14ac:dyDescent="0.2">
      <c r="A447">
        <v>3</v>
      </c>
      <c r="B447">
        <v>1</v>
      </c>
      <c r="C447">
        <f t="shared" ca="1" si="132"/>
        <v>6</v>
      </c>
      <c r="D447">
        <f t="shared" ca="1" si="133"/>
        <v>5</v>
      </c>
      <c r="E447">
        <f t="shared" ca="1" si="134"/>
        <v>3</v>
      </c>
      <c r="F447" s="61">
        <f t="shared" ca="1" si="135"/>
        <v>6.4252799999999994E-3</v>
      </c>
      <c r="G447">
        <v>1</v>
      </c>
      <c r="H447">
        <v>0</v>
      </c>
      <c r="I447">
        <v>4</v>
      </c>
      <c r="J447" s="61">
        <f t="shared" ca="1" si="136"/>
        <v>0.19344523437500014</v>
      </c>
      <c r="K447" s="61">
        <f t="shared" ca="1" si="137"/>
        <v>1.2429397955250007E-3</v>
      </c>
      <c r="L447" s="82">
        <f t="shared" ca="1" si="138"/>
        <v>205</v>
      </c>
      <c r="M447" s="16">
        <f t="shared" ca="1" si="139"/>
        <v>795</v>
      </c>
      <c r="N447" s="3">
        <f t="shared" ca="1" si="140"/>
        <v>5</v>
      </c>
      <c r="O447" s="19">
        <f t="shared" ca="1" si="141"/>
        <v>2.8178718937399587</v>
      </c>
      <c r="P447" s="19">
        <f t="shared" ca="1" si="142"/>
        <v>28.178718937399587</v>
      </c>
      <c r="Q447" s="19">
        <f t="shared" ca="1" si="143"/>
        <v>28.178718937399587</v>
      </c>
      <c r="R447" s="19">
        <f t="shared" ca="1" si="144"/>
        <v>2.8178718937399587</v>
      </c>
      <c r="S447" s="19">
        <f t="shared" ca="1" si="145"/>
        <v>2.8178718937399587</v>
      </c>
      <c r="T447" s="19">
        <f t="shared" ca="1" si="146"/>
        <v>3.5024451154207908E-3</v>
      </c>
      <c r="U447" s="19">
        <f t="shared" ca="1" si="147"/>
        <v>1464.3251747165598</v>
      </c>
      <c r="V447" s="19">
        <f t="shared" ca="1" si="148"/>
        <v>1.8200680332443118</v>
      </c>
      <c r="W447" s="82">
        <f t="shared" ca="1" si="149"/>
        <v>4261.0824406828706</v>
      </c>
      <c r="X447" s="19">
        <f t="shared" ca="1" si="150"/>
        <v>5.2962689375375378</v>
      </c>
      <c r="Y447" s="19">
        <f t="shared" si="151"/>
        <v>0</v>
      </c>
      <c r="Z447" s="82">
        <f t="shared" ca="1" si="152"/>
        <v>4261.0824406828706</v>
      </c>
      <c r="AA447" s="19">
        <f t="shared" ca="1" si="153"/>
        <v>5.2962689375375378</v>
      </c>
      <c r="AE447" s="19"/>
    </row>
    <row r="448" spans="1:31" ht="12.75" customHeight="1" x14ac:dyDescent="0.2">
      <c r="A448">
        <v>3</v>
      </c>
      <c r="B448">
        <v>1</v>
      </c>
      <c r="C448">
        <f t="shared" ca="1" si="132"/>
        <v>6</v>
      </c>
      <c r="D448">
        <f t="shared" ca="1" si="133"/>
        <v>5</v>
      </c>
      <c r="E448">
        <f t="shared" ca="1" si="134"/>
        <v>3</v>
      </c>
      <c r="F448" s="61">
        <f t="shared" ca="1" si="135"/>
        <v>6.4252799999999994E-3</v>
      </c>
      <c r="G448">
        <v>1</v>
      </c>
      <c r="H448">
        <v>0</v>
      </c>
      <c r="I448">
        <v>3</v>
      </c>
      <c r="J448" s="61">
        <f t="shared" ca="1" si="136"/>
        <v>2.0362656250000031E-2</v>
      </c>
      <c r="K448" s="61">
        <f t="shared" ca="1" si="137"/>
        <v>1.3083576795000018E-4</v>
      </c>
      <c r="L448" s="82">
        <f t="shared" ca="1" si="138"/>
        <v>194</v>
      </c>
      <c r="M448" s="16">
        <f t="shared" ca="1" si="139"/>
        <v>806</v>
      </c>
      <c r="N448" s="3">
        <f t="shared" ca="1" si="140"/>
        <v>5</v>
      </c>
      <c r="O448" s="19">
        <f t="shared" ca="1" si="141"/>
        <v>2.8178718937399587</v>
      </c>
      <c r="P448" s="19">
        <f t="shared" ca="1" si="142"/>
        <v>28.178718937399587</v>
      </c>
      <c r="Q448" s="19">
        <f t="shared" ca="1" si="143"/>
        <v>28.178718937399587</v>
      </c>
      <c r="R448" s="19">
        <f t="shared" ca="1" si="144"/>
        <v>2.8178718937399587</v>
      </c>
      <c r="S448" s="19">
        <f t="shared" ca="1" si="145"/>
        <v>2.8178718937399587</v>
      </c>
      <c r="T448" s="19">
        <f t="shared" ca="1" si="146"/>
        <v>3.686784332021888E-4</v>
      </c>
      <c r="U448" s="19">
        <f t="shared" ca="1" si="147"/>
        <v>1453.3251747165598</v>
      </c>
      <c r="V448" s="19">
        <f t="shared" ca="1" si="148"/>
        <v>0.1901469153151093</v>
      </c>
      <c r="W448" s="82">
        <f t="shared" ca="1" si="149"/>
        <v>3775.1772106481485</v>
      </c>
      <c r="X448" s="19">
        <f t="shared" ca="1" si="150"/>
        <v>0.49392820950249011</v>
      </c>
      <c r="Y448" s="19">
        <f t="shared" si="151"/>
        <v>0</v>
      </c>
      <c r="Z448" s="82">
        <f t="shared" ca="1" si="152"/>
        <v>3775.1772106481485</v>
      </c>
      <c r="AA448" s="19">
        <f t="shared" ca="1" si="153"/>
        <v>0.49392820950249011</v>
      </c>
      <c r="AE448" s="19"/>
    </row>
    <row r="449" spans="1:31" ht="12.75" customHeight="1" x14ac:dyDescent="0.2">
      <c r="A449">
        <v>3</v>
      </c>
      <c r="B449">
        <v>1</v>
      </c>
      <c r="C449">
        <f t="shared" ca="1" si="132"/>
        <v>6</v>
      </c>
      <c r="D449">
        <f t="shared" ca="1" si="133"/>
        <v>5</v>
      </c>
      <c r="E449">
        <f t="shared" ca="1" si="134"/>
        <v>3</v>
      </c>
      <c r="F449" s="61">
        <f t="shared" ca="1" si="135"/>
        <v>6.4252799999999994E-3</v>
      </c>
      <c r="G449">
        <v>1</v>
      </c>
      <c r="H449">
        <v>0</v>
      </c>
      <c r="I449">
        <v>2</v>
      </c>
      <c r="J449" s="61">
        <f t="shared" ca="1" si="136"/>
        <v>1.0717187500000028E-3</v>
      </c>
      <c r="K449" s="61">
        <f t="shared" ca="1" si="137"/>
        <v>6.8860930500000169E-6</v>
      </c>
      <c r="L449" s="82">
        <f t="shared" ca="1" si="138"/>
        <v>183</v>
      </c>
      <c r="M449" s="16">
        <f t="shared" ca="1" si="139"/>
        <v>817</v>
      </c>
      <c r="N449" s="3">
        <f t="shared" ca="1" si="140"/>
        <v>5</v>
      </c>
      <c r="O449" s="19">
        <f t="shared" ca="1" si="141"/>
        <v>2.8178718937399587</v>
      </c>
      <c r="P449" s="19">
        <f t="shared" ca="1" si="142"/>
        <v>28.178718937399587</v>
      </c>
      <c r="Q449" s="19">
        <f t="shared" ca="1" si="143"/>
        <v>28.178718937399587</v>
      </c>
      <c r="R449" s="19">
        <f t="shared" ca="1" si="144"/>
        <v>2.8178718937399587</v>
      </c>
      <c r="S449" s="19">
        <f t="shared" ca="1" si="145"/>
        <v>2.8178718937399587</v>
      </c>
      <c r="T449" s="19">
        <f t="shared" ca="1" si="146"/>
        <v>1.9404128063273117E-5</v>
      </c>
      <c r="U449" s="19">
        <f t="shared" ca="1" si="147"/>
        <v>1442.3251747165598</v>
      </c>
      <c r="V449" s="19">
        <f t="shared" ca="1" si="148"/>
        <v>9.931985361455762E-3</v>
      </c>
      <c r="W449" s="82">
        <f t="shared" ca="1" si="149"/>
        <v>3289.2719806134264</v>
      </c>
      <c r="X449" s="19">
        <f t="shared" ca="1" si="150"/>
        <v>2.2650232925261905E-2</v>
      </c>
      <c r="Y449" s="19">
        <f t="shared" si="151"/>
        <v>0</v>
      </c>
      <c r="Z449" s="82">
        <f t="shared" ca="1" si="152"/>
        <v>3289.2719806134264</v>
      </c>
      <c r="AA449" s="19">
        <f t="shared" ca="1" si="153"/>
        <v>2.2650232925261905E-2</v>
      </c>
      <c r="AE449" s="19"/>
    </row>
    <row r="450" spans="1:31" ht="12.75" customHeight="1" x14ac:dyDescent="0.2">
      <c r="A450">
        <v>3</v>
      </c>
      <c r="B450">
        <v>1</v>
      </c>
      <c r="C450">
        <f t="shared" ca="1" si="132"/>
        <v>6</v>
      </c>
      <c r="D450">
        <f t="shared" ca="1" si="133"/>
        <v>5</v>
      </c>
      <c r="E450">
        <f t="shared" ca="1" si="134"/>
        <v>3</v>
      </c>
      <c r="F450" s="61">
        <f t="shared" ca="1" si="135"/>
        <v>6.4252799999999994E-3</v>
      </c>
      <c r="G450">
        <v>1</v>
      </c>
      <c r="H450">
        <v>0</v>
      </c>
      <c r="I450">
        <v>1</v>
      </c>
      <c r="J450" s="61">
        <f t="shared" ca="1" si="136"/>
        <v>2.8203125000000098E-5</v>
      </c>
      <c r="K450" s="61">
        <f t="shared" ca="1" si="137"/>
        <v>1.8121297500000062E-7</v>
      </c>
      <c r="L450" s="82">
        <f t="shared" ca="1" si="138"/>
        <v>172</v>
      </c>
      <c r="M450" s="16">
        <f t="shared" ca="1" si="139"/>
        <v>828</v>
      </c>
      <c r="N450" s="3">
        <f t="shared" ca="1" si="140"/>
        <v>5</v>
      </c>
      <c r="O450" s="19">
        <f t="shared" ca="1" si="141"/>
        <v>2.8178718937399587</v>
      </c>
      <c r="P450" s="19">
        <f t="shared" ca="1" si="142"/>
        <v>28.178718937399587</v>
      </c>
      <c r="Q450" s="19">
        <f t="shared" ca="1" si="143"/>
        <v>28.178718937399587</v>
      </c>
      <c r="R450" s="19">
        <f t="shared" ca="1" si="144"/>
        <v>2.8178718937399587</v>
      </c>
      <c r="S450" s="19">
        <f t="shared" ca="1" si="145"/>
        <v>2.8178718937399587</v>
      </c>
      <c r="T450" s="19">
        <f t="shared" ca="1" si="146"/>
        <v>5.1063494903350351E-7</v>
      </c>
      <c r="U450" s="19">
        <f t="shared" ca="1" si="147"/>
        <v>1431.3251747165598</v>
      </c>
      <c r="V450" s="19">
        <f t="shared" ca="1" si="148"/>
        <v>2.5937469310278349E-4</v>
      </c>
      <c r="W450" s="82">
        <f t="shared" ca="1" si="149"/>
        <v>2803.3667505787039</v>
      </c>
      <c r="X450" s="19">
        <f t="shared" ca="1" si="150"/>
        <v>5.0800642888845164E-4</v>
      </c>
      <c r="Y450" s="19">
        <f t="shared" si="151"/>
        <v>0</v>
      </c>
      <c r="Z450" s="82">
        <f t="shared" ca="1" si="152"/>
        <v>2803.3667505787039</v>
      </c>
      <c r="AA450" s="19">
        <f t="shared" ca="1" si="153"/>
        <v>5.0800642888845164E-4</v>
      </c>
      <c r="AE450" s="19"/>
    </row>
    <row r="451" spans="1:31" ht="12.75" customHeight="1" x14ac:dyDescent="0.2">
      <c r="A451">
        <v>3</v>
      </c>
      <c r="B451">
        <v>1</v>
      </c>
      <c r="C451">
        <f t="shared" ca="1" si="132"/>
        <v>6</v>
      </c>
      <c r="D451">
        <f t="shared" ca="1" si="133"/>
        <v>5</v>
      </c>
      <c r="E451">
        <f t="shared" ca="1" si="134"/>
        <v>3</v>
      </c>
      <c r="F451" s="61">
        <f t="shared" ca="1" si="135"/>
        <v>6.4252799999999994E-3</v>
      </c>
      <c r="G451">
        <v>1</v>
      </c>
      <c r="H451">
        <v>0</v>
      </c>
      <c r="I451">
        <v>0</v>
      </c>
      <c r="J451" s="61">
        <f t="shared" ca="1" si="136"/>
        <v>2.9687500000000134E-7</v>
      </c>
      <c r="K451" s="61">
        <f t="shared" ca="1" si="137"/>
        <v>1.9075050000000085E-9</v>
      </c>
      <c r="L451" s="82">
        <f t="shared" ca="1" si="138"/>
        <v>161</v>
      </c>
      <c r="M451" s="16">
        <f t="shared" ca="1" si="139"/>
        <v>839</v>
      </c>
      <c r="N451" s="3">
        <f t="shared" ca="1" si="140"/>
        <v>5</v>
      </c>
      <c r="O451" s="19">
        <f t="shared" ca="1" si="141"/>
        <v>2.8178718937399587</v>
      </c>
      <c r="P451" s="19">
        <f t="shared" ca="1" si="142"/>
        <v>28.178718937399587</v>
      </c>
      <c r="Q451" s="19">
        <f t="shared" ca="1" si="143"/>
        <v>28.178718937399587</v>
      </c>
      <c r="R451" s="19">
        <f t="shared" ca="1" si="144"/>
        <v>2.8178718937399587</v>
      </c>
      <c r="S451" s="19">
        <f t="shared" ca="1" si="145"/>
        <v>2.8178718937399587</v>
      </c>
      <c r="T451" s="19">
        <f t="shared" ca="1" si="146"/>
        <v>5.3751047266684639E-9</v>
      </c>
      <c r="U451" s="19">
        <f t="shared" ca="1" si="147"/>
        <v>1420.3251747165598</v>
      </c>
      <c r="V451" s="19">
        <f t="shared" ca="1" si="148"/>
        <v>2.7092773723977236E-6</v>
      </c>
      <c r="W451" s="82">
        <f t="shared" ca="1" si="149"/>
        <v>2317.4615205439818</v>
      </c>
      <c r="X451" s="19">
        <f t="shared" ca="1" si="150"/>
        <v>4.4205694377452675E-6</v>
      </c>
      <c r="Y451" s="19">
        <f t="shared" si="151"/>
        <v>0</v>
      </c>
      <c r="Z451" s="82">
        <f t="shared" ca="1" si="152"/>
        <v>2317.4615205439818</v>
      </c>
      <c r="AA451" s="19">
        <f t="shared" ca="1" si="153"/>
        <v>4.4205694377452675E-6</v>
      </c>
      <c r="AE451" s="19"/>
    </row>
    <row r="452" spans="1:31" ht="12.75" customHeight="1" x14ac:dyDescent="0.2">
      <c r="A452">
        <v>3</v>
      </c>
      <c r="B452">
        <v>1</v>
      </c>
      <c r="C452">
        <f t="shared" ca="1" si="132"/>
        <v>6</v>
      </c>
      <c r="D452">
        <f t="shared" ca="1" si="133"/>
        <v>5</v>
      </c>
      <c r="E452">
        <f t="shared" ca="1" si="134"/>
        <v>3</v>
      </c>
      <c r="F452" s="61">
        <f t="shared" ca="1" si="135"/>
        <v>6.4252799999999994E-3</v>
      </c>
      <c r="G452">
        <v>0</v>
      </c>
      <c r="H452">
        <v>1</v>
      </c>
      <c r="I452">
        <v>7</v>
      </c>
      <c r="J452" s="61">
        <f t="shared" ca="1" si="136"/>
        <v>0</v>
      </c>
      <c r="K452" s="61">
        <f t="shared" ca="1" si="137"/>
        <v>0</v>
      </c>
      <c r="L452" s="82">
        <f t="shared" ca="1" si="138"/>
        <v>238</v>
      </c>
      <c r="M452" s="16">
        <f t="shared" ca="1" si="139"/>
        <v>762</v>
      </c>
      <c r="N452" s="3">
        <f t="shared" ca="1" si="140"/>
        <v>5</v>
      </c>
      <c r="O452" s="19">
        <f t="shared" ca="1" si="141"/>
        <v>2.8178718937399587</v>
      </c>
      <c r="P452" s="19">
        <f t="shared" ca="1" si="142"/>
        <v>25.815886347750073</v>
      </c>
      <c r="Q452" s="19">
        <f t="shared" ca="1" si="143"/>
        <v>23.453053758100552</v>
      </c>
      <c r="R452" s="19">
        <f t="shared" ca="1" si="144"/>
        <v>2.4634470052925312</v>
      </c>
      <c r="S452" s="19">
        <f t="shared" ca="1" si="145"/>
        <v>2.8178718937399587</v>
      </c>
      <c r="T452" s="19">
        <f t="shared" ca="1" si="146"/>
        <v>0</v>
      </c>
      <c r="U452" s="19">
        <f t="shared" ca="1" si="147"/>
        <v>1497.3251747165598</v>
      </c>
      <c r="V452" s="19">
        <f t="shared" ca="1" si="148"/>
        <v>0</v>
      </c>
      <c r="W452" s="82">
        <f t="shared" ca="1" si="149"/>
        <v>3401.3366102430559</v>
      </c>
      <c r="X452" s="19">
        <f t="shared" ca="1" si="150"/>
        <v>0</v>
      </c>
      <c r="Y452" s="19">
        <f t="shared" si="151"/>
        <v>0</v>
      </c>
      <c r="Z452" s="82">
        <f t="shared" ca="1" si="152"/>
        <v>3401.3366102430559</v>
      </c>
      <c r="AA452" s="19">
        <f t="shared" ca="1" si="153"/>
        <v>0</v>
      </c>
      <c r="AE452" s="19"/>
    </row>
    <row r="453" spans="1:31" ht="12.75" customHeight="1" x14ac:dyDescent="0.2">
      <c r="A453">
        <v>3</v>
      </c>
      <c r="B453">
        <v>1</v>
      </c>
      <c r="C453">
        <f t="shared" ca="1" si="132"/>
        <v>6</v>
      </c>
      <c r="D453">
        <f t="shared" ca="1" si="133"/>
        <v>5</v>
      </c>
      <c r="E453">
        <f t="shared" ca="1" si="134"/>
        <v>3</v>
      </c>
      <c r="F453" s="61">
        <f t="shared" ca="1" si="135"/>
        <v>6.4252799999999994E-3</v>
      </c>
      <c r="G453">
        <v>0</v>
      </c>
      <c r="H453">
        <v>1</v>
      </c>
      <c r="I453">
        <v>6</v>
      </c>
      <c r="J453" s="61">
        <f t="shared" ca="1" si="136"/>
        <v>0</v>
      </c>
      <c r="K453" s="61">
        <f t="shared" ca="1" si="137"/>
        <v>0</v>
      </c>
      <c r="L453" s="82">
        <f t="shared" ca="1" si="138"/>
        <v>227</v>
      </c>
      <c r="M453" s="16">
        <f t="shared" ca="1" si="139"/>
        <v>773</v>
      </c>
      <c r="N453" s="3">
        <f t="shared" ca="1" si="140"/>
        <v>5</v>
      </c>
      <c r="O453" s="19">
        <f t="shared" ca="1" si="141"/>
        <v>2.8178718937399587</v>
      </c>
      <c r="P453" s="19">
        <f t="shared" ca="1" si="142"/>
        <v>28.178718937399587</v>
      </c>
      <c r="Q453" s="19">
        <f t="shared" ca="1" si="143"/>
        <v>26.288452865679979</v>
      </c>
      <c r="R453" s="19">
        <f t="shared" ca="1" si="144"/>
        <v>2.7233585901539783</v>
      </c>
      <c r="S453" s="19">
        <f t="shared" ca="1" si="145"/>
        <v>2.8178718937399587</v>
      </c>
      <c r="T453" s="19">
        <f t="shared" ca="1" si="146"/>
        <v>0</v>
      </c>
      <c r="U453" s="19">
        <f t="shared" ca="1" si="147"/>
        <v>1486.3251747165598</v>
      </c>
      <c r="V453" s="19">
        <f t="shared" ca="1" si="148"/>
        <v>0</v>
      </c>
      <c r="W453" s="82">
        <f t="shared" ca="1" si="149"/>
        <v>2915.4313802083334</v>
      </c>
      <c r="X453" s="19">
        <f t="shared" ca="1" si="150"/>
        <v>0</v>
      </c>
      <c r="Y453" s="19">
        <f t="shared" si="151"/>
        <v>0</v>
      </c>
      <c r="Z453" s="82">
        <f t="shared" ca="1" si="152"/>
        <v>2915.4313802083334</v>
      </c>
      <c r="AA453" s="19">
        <f t="shared" ca="1" si="153"/>
        <v>0</v>
      </c>
      <c r="AE453" s="19"/>
    </row>
    <row r="454" spans="1:31" ht="12.75" customHeight="1" x14ac:dyDescent="0.2">
      <c r="A454">
        <v>3</v>
      </c>
      <c r="B454">
        <v>1</v>
      </c>
      <c r="C454">
        <f t="shared" ca="1" si="132"/>
        <v>6</v>
      </c>
      <c r="D454">
        <f t="shared" ca="1" si="133"/>
        <v>5</v>
      </c>
      <c r="E454">
        <f t="shared" ca="1" si="134"/>
        <v>3</v>
      </c>
      <c r="F454" s="61">
        <f t="shared" ca="1" si="135"/>
        <v>6.4252799999999994E-3</v>
      </c>
      <c r="G454">
        <v>0</v>
      </c>
      <c r="H454">
        <v>1</v>
      </c>
      <c r="I454">
        <v>5</v>
      </c>
      <c r="J454" s="61">
        <f t="shared" ca="1" si="136"/>
        <v>0</v>
      </c>
      <c r="K454" s="61">
        <f t="shared" ca="1" si="137"/>
        <v>0</v>
      </c>
      <c r="L454" s="82">
        <f t="shared" ca="1" si="138"/>
        <v>216</v>
      </c>
      <c r="M454" s="16">
        <f t="shared" ca="1" si="139"/>
        <v>784</v>
      </c>
      <c r="N454" s="3">
        <f t="shared" ca="1" si="140"/>
        <v>5</v>
      </c>
      <c r="O454" s="19">
        <f t="shared" ca="1" si="141"/>
        <v>2.8178718937399587</v>
      </c>
      <c r="P454" s="19">
        <f t="shared" ca="1" si="142"/>
        <v>28.178718937399587</v>
      </c>
      <c r="Q454" s="19">
        <f t="shared" ca="1" si="143"/>
        <v>28.178718937399587</v>
      </c>
      <c r="R454" s="19">
        <f t="shared" ca="1" si="144"/>
        <v>2.8178718937399587</v>
      </c>
      <c r="S454" s="19">
        <f t="shared" ca="1" si="145"/>
        <v>2.8178718937399587</v>
      </c>
      <c r="T454" s="19">
        <f t="shared" ca="1" si="146"/>
        <v>0</v>
      </c>
      <c r="U454" s="19">
        <f t="shared" ca="1" si="147"/>
        <v>1475.3251747165598</v>
      </c>
      <c r="V454" s="19">
        <f t="shared" ca="1" si="148"/>
        <v>0</v>
      </c>
      <c r="W454" s="82">
        <f t="shared" ca="1" si="149"/>
        <v>2429.5261501736113</v>
      </c>
      <c r="X454" s="19">
        <f t="shared" ca="1" si="150"/>
        <v>0</v>
      </c>
      <c r="Y454" s="19">
        <f t="shared" si="151"/>
        <v>0</v>
      </c>
      <c r="Z454" s="82">
        <f t="shared" ca="1" si="152"/>
        <v>2429.5261501736113</v>
      </c>
      <c r="AA454" s="19">
        <f t="shared" ca="1" si="153"/>
        <v>0</v>
      </c>
      <c r="AE454" s="19"/>
    </row>
    <row r="455" spans="1:31" ht="12.75" customHeight="1" x14ac:dyDescent="0.2">
      <c r="A455">
        <v>3</v>
      </c>
      <c r="B455">
        <v>1</v>
      </c>
      <c r="C455">
        <f t="shared" ca="1" si="132"/>
        <v>6</v>
      </c>
      <c r="D455">
        <f t="shared" ca="1" si="133"/>
        <v>5</v>
      </c>
      <c r="E455">
        <f t="shared" ca="1" si="134"/>
        <v>3</v>
      </c>
      <c r="F455" s="61">
        <f t="shared" ca="1" si="135"/>
        <v>6.4252799999999994E-3</v>
      </c>
      <c r="G455">
        <v>0</v>
      </c>
      <c r="H455">
        <v>1</v>
      </c>
      <c r="I455">
        <v>4</v>
      </c>
      <c r="J455" s="61">
        <f t="shared" ca="1" si="136"/>
        <v>0</v>
      </c>
      <c r="K455" s="61">
        <f t="shared" ca="1" si="137"/>
        <v>0</v>
      </c>
      <c r="L455" s="82">
        <f t="shared" ca="1" si="138"/>
        <v>205</v>
      </c>
      <c r="M455" s="16">
        <f t="shared" ca="1" si="139"/>
        <v>795</v>
      </c>
      <c r="N455" s="3">
        <f t="shared" ca="1" si="140"/>
        <v>5</v>
      </c>
      <c r="O455" s="19">
        <f t="shared" ca="1" si="141"/>
        <v>2.8178718937399587</v>
      </c>
      <c r="P455" s="19">
        <f t="shared" ca="1" si="142"/>
        <v>28.178718937399587</v>
      </c>
      <c r="Q455" s="19">
        <f t="shared" ca="1" si="143"/>
        <v>28.178718937399587</v>
      </c>
      <c r="R455" s="19">
        <f t="shared" ca="1" si="144"/>
        <v>2.8178718937399587</v>
      </c>
      <c r="S455" s="19">
        <f t="shared" ca="1" si="145"/>
        <v>2.8178718937399587</v>
      </c>
      <c r="T455" s="19">
        <f t="shared" ca="1" si="146"/>
        <v>0</v>
      </c>
      <c r="U455" s="19">
        <f t="shared" ca="1" si="147"/>
        <v>1464.3251747165598</v>
      </c>
      <c r="V455" s="19">
        <f t="shared" ca="1" si="148"/>
        <v>0</v>
      </c>
      <c r="W455" s="82">
        <f t="shared" ca="1" si="149"/>
        <v>1943.620920138889</v>
      </c>
      <c r="X455" s="19">
        <f t="shared" ca="1" si="150"/>
        <v>0</v>
      </c>
      <c r="Y455" s="19">
        <f t="shared" si="151"/>
        <v>0</v>
      </c>
      <c r="Z455" s="82">
        <f t="shared" ca="1" si="152"/>
        <v>1943.620920138889</v>
      </c>
      <c r="AA455" s="19">
        <f t="shared" ca="1" si="153"/>
        <v>0</v>
      </c>
      <c r="AE455" s="19"/>
    </row>
    <row r="456" spans="1:31" ht="12.75" customHeight="1" x14ac:dyDescent="0.2">
      <c r="A456">
        <v>3</v>
      </c>
      <c r="B456">
        <v>1</v>
      </c>
      <c r="C456">
        <f t="shared" ca="1" si="132"/>
        <v>6</v>
      </c>
      <c r="D456">
        <f t="shared" ca="1" si="133"/>
        <v>5</v>
      </c>
      <c r="E456">
        <f t="shared" ca="1" si="134"/>
        <v>3</v>
      </c>
      <c r="F456" s="61">
        <f t="shared" ca="1" si="135"/>
        <v>6.4252799999999994E-3</v>
      </c>
      <c r="G456">
        <v>0</v>
      </c>
      <c r="H456">
        <v>1</v>
      </c>
      <c r="I456">
        <v>3</v>
      </c>
      <c r="J456" s="61">
        <f t="shared" ca="1" si="136"/>
        <v>0</v>
      </c>
      <c r="K456" s="61">
        <f t="shared" ca="1" si="137"/>
        <v>0</v>
      </c>
      <c r="L456" s="82">
        <f t="shared" ca="1" si="138"/>
        <v>194</v>
      </c>
      <c r="M456" s="16">
        <f t="shared" ca="1" si="139"/>
        <v>806</v>
      </c>
      <c r="N456" s="3">
        <f t="shared" ca="1" si="140"/>
        <v>5</v>
      </c>
      <c r="O456" s="19">
        <f t="shared" ca="1" si="141"/>
        <v>2.8178718937399587</v>
      </c>
      <c r="P456" s="19">
        <f t="shared" ca="1" si="142"/>
        <v>28.178718937399587</v>
      </c>
      <c r="Q456" s="19">
        <f t="shared" ca="1" si="143"/>
        <v>28.178718937399587</v>
      </c>
      <c r="R456" s="19">
        <f t="shared" ca="1" si="144"/>
        <v>2.8178718937399587</v>
      </c>
      <c r="S456" s="19">
        <f t="shared" ca="1" si="145"/>
        <v>2.8178718937399587</v>
      </c>
      <c r="T456" s="19">
        <f t="shared" ca="1" si="146"/>
        <v>0</v>
      </c>
      <c r="U456" s="19">
        <f t="shared" ca="1" si="147"/>
        <v>1453.3251747165598</v>
      </c>
      <c r="V456" s="19">
        <f t="shared" ca="1" si="148"/>
        <v>0</v>
      </c>
      <c r="W456" s="82">
        <f t="shared" ca="1" si="149"/>
        <v>1457.7156901041667</v>
      </c>
      <c r="X456" s="19">
        <f t="shared" ca="1" si="150"/>
        <v>0</v>
      </c>
      <c r="Y456" s="19">
        <f t="shared" si="151"/>
        <v>0</v>
      </c>
      <c r="Z456" s="82">
        <f t="shared" ca="1" si="152"/>
        <v>1457.7156901041667</v>
      </c>
      <c r="AA456" s="19">
        <f t="shared" ca="1" si="153"/>
        <v>0</v>
      </c>
      <c r="AE456" s="19"/>
    </row>
    <row r="457" spans="1:31" ht="12.75" customHeight="1" x14ac:dyDescent="0.2">
      <c r="A457">
        <v>3</v>
      </c>
      <c r="B457">
        <v>1</v>
      </c>
      <c r="C457">
        <f t="shared" ca="1" si="132"/>
        <v>6</v>
      </c>
      <c r="D457">
        <f t="shared" ca="1" si="133"/>
        <v>5</v>
      </c>
      <c r="E457">
        <f t="shared" ca="1" si="134"/>
        <v>3</v>
      </c>
      <c r="F457" s="61">
        <f t="shared" ca="1" si="135"/>
        <v>6.4252799999999994E-3</v>
      </c>
      <c r="G457">
        <v>0</v>
      </c>
      <c r="H457">
        <v>1</v>
      </c>
      <c r="I457">
        <v>2</v>
      </c>
      <c r="J457" s="61">
        <f t="shared" ca="1" si="136"/>
        <v>0</v>
      </c>
      <c r="K457" s="61">
        <f t="shared" ca="1" si="137"/>
        <v>0</v>
      </c>
      <c r="L457" s="82">
        <f t="shared" ca="1" si="138"/>
        <v>183</v>
      </c>
      <c r="M457" s="16">
        <f t="shared" ca="1" si="139"/>
        <v>817</v>
      </c>
      <c r="N457" s="3">
        <f t="shared" ca="1" si="140"/>
        <v>5</v>
      </c>
      <c r="O457" s="19">
        <f t="shared" ca="1" si="141"/>
        <v>2.8178718937399587</v>
      </c>
      <c r="P457" s="19">
        <f t="shared" ca="1" si="142"/>
        <v>28.178718937399587</v>
      </c>
      <c r="Q457" s="19">
        <f t="shared" ca="1" si="143"/>
        <v>28.178718937399587</v>
      </c>
      <c r="R457" s="19">
        <f t="shared" ca="1" si="144"/>
        <v>2.8178718937399587</v>
      </c>
      <c r="S457" s="19">
        <f t="shared" ca="1" si="145"/>
        <v>2.8178718937399587</v>
      </c>
      <c r="T457" s="19">
        <f t="shared" ca="1" si="146"/>
        <v>0</v>
      </c>
      <c r="U457" s="19">
        <f t="shared" ca="1" si="147"/>
        <v>1442.3251747165598</v>
      </c>
      <c r="V457" s="19">
        <f t="shared" ca="1" si="148"/>
        <v>0</v>
      </c>
      <c r="W457" s="82">
        <f t="shared" ca="1" si="149"/>
        <v>971.8104600694445</v>
      </c>
      <c r="X457" s="19">
        <f t="shared" ca="1" si="150"/>
        <v>0</v>
      </c>
      <c r="Y457" s="19">
        <f t="shared" si="151"/>
        <v>0</v>
      </c>
      <c r="Z457" s="82">
        <f t="shared" ca="1" si="152"/>
        <v>971.8104600694445</v>
      </c>
      <c r="AA457" s="19">
        <f t="shared" ca="1" si="153"/>
        <v>0</v>
      </c>
      <c r="AE457" s="19"/>
    </row>
    <row r="458" spans="1:31" ht="12.75" customHeight="1" x14ac:dyDescent="0.2">
      <c r="A458">
        <v>3</v>
      </c>
      <c r="B458">
        <v>1</v>
      </c>
      <c r="C458">
        <f t="shared" ca="1" si="132"/>
        <v>6</v>
      </c>
      <c r="D458">
        <f t="shared" ca="1" si="133"/>
        <v>5</v>
      </c>
      <c r="E458">
        <f t="shared" ca="1" si="134"/>
        <v>3</v>
      </c>
      <c r="F458" s="61">
        <f t="shared" ca="1" si="135"/>
        <v>6.4252799999999994E-3</v>
      </c>
      <c r="G458">
        <v>0</v>
      </c>
      <c r="H458">
        <v>1</v>
      </c>
      <c r="I458">
        <v>1</v>
      </c>
      <c r="J458" s="61">
        <f t="shared" ca="1" si="136"/>
        <v>0</v>
      </c>
      <c r="K458" s="61">
        <f t="shared" ca="1" si="137"/>
        <v>0</v>
      </c>
      <c r="L458" s="82">
        <f t="shared" ca="1" si="138"/>
        <v>172</v>
      </c>
      <c r="M458" s="16">
        <f t="shared" ca="1" si="139"/>
        <v>828</v>
      </c>
      <c r="N458" s="3">
        <f t="shared" ca="1" si="140"/>
        <v>5</v>
      </c>
      <c r="O458" s="19">
        <f t="shared" ca="1" si="141"/>
        <v>2.8178718937399587</v>
      </c>
      <c r="P458" s="19">
        <f t="shared" ca="1" si="142"/>
        <v>28.178718937399587</v>
      </c>
      <c r="Q458" s="19">
        <f t="shared" ca="1" si="143"/>
        <v>28.178718937399587</v>
      </c>
      <c r="R458" s="19">
        <f t="shared" ca="1" si="144"/>
        <v>2.8178718937399587</v>
      </c>
      <c r="S458" s="19">
        <f t="shared" ca="1" si="145"/>
        <v>2.8178718937399587</v>
      </c>
      <c r="T458" s="19">
        <f t="shared" ca="1" si="146"/>
        <v>0</v>
      </c>
      <c r="U458" s="19">
        <f t="shared" ca="1" si="147"/>
        <v>1431.3251747165598</v>
      </c>
      <c r="V458" s="19">
        <f t="shared" ca="1" si="148"/>
        <v>0</v>
      </c>
      <c r="W458" s="82">
        <f t="shared" ca="1" si="149"/>
        <v>485.90523003472225</v>
      </c>
      <c r="X458" s="19">
        <f t="shared" ca="1" si="150"/>
        <v>0</v>
      </c>
      <c r="Y458" s="19">
        <f t="shared" si="151"/>
        <v>0</v>
      </c>
      <c r="Z458" s="82">
        <f t="shared" ca="1" si="152"/>
        <v>485.90523003472225</v>
      </c>
      <c r="AA458" s="19">
        <f t="shared" ca="1" si="153"/>
        <v>0</v>
      </c>
      <c r="AE458" s="19"/>
    </row>
    <row r="459" spans="1:31" ht="12.75" customHeight="1" x14ac:dyDescent="0.2">
      <c r="A459">
        <v>3</v>
      </c>
      <c r="B459">
        <v>1</v>
      </c>
      <c r="C459">
        <f t="shared" ca="1" si="132"/>
        <v>6</v>
      </c>
      <c r="D459">
        <f t="shared" ca="1" si="133"/>
        <v>5</v>
      </c>
      <c r="E459">
        <f t="shared" ca="1" si="134"/>
        <v>3</v>
      </c>
      <c r="F459" s="61">
        <f t="shared" ca="1" si="135"/>
        <v>6.4252799999999994E-3</v>
      </c>
      <c r="G459">
        <v>0</v>
      </c>
      <c r="H459">
        <v>1</v>
      </c>
      <c r="I459">
        <v>0</v>
      </c>
      <c r="J459" s="61">
        <f t="shared" ca="1" si="136"/>
        <v>0</v>
      </c>
      <c r="K459" s="61">
        <f t="shared" ca="1" si="137"/>
        <v>0</v>
      </c>
      <c r="L459" s="82">
        <f t="shared" ca="1" si="138"/>
        <v>161</v>
      </c>
      <c r="M459" s="16">
        <f t="shared" ca="1" si="139"/>
        <v>839</v>
      </c>
      <c r="N459" s="3">
        <f t="shared" ca="1" si="140"/>
        <v>5</v>
      </c>
      <c r="O459" s="19">
        <f t="shared" ca="1" si="141"/>
        <v>2.8178718937399587</v>
      </c>
      <c r="P459" s="19">
        <f t="shared" ca="1" si="142"/>
        <v>28.178718937399587</v>
      </c>
      <c r="Q459" s="19">
        <f t="shared" ca="1" si="143"/>
        <v>28.178718937399587</v>
      </c>
      <c r="R459" s="19">
        <f t="shared" ca="1" si="144"/>
        <v>2.8178718937399587</v>
      </c>
      <c r="S459" s="19">
        <f t="shared" ca="1" si="145"/>
        <v>2.8178718937399587</v>
      </c>
      <c r="T459" s="19">
        <f t="shared" ca="1" si="146"/>
        <v>0</v>
      </c>
      <c r="U459" s="19">
        <f t="shared" ca="1" si="147"/>
        <v>1420.3251747165598</v>
      </c>
      <c r="V459" s="19">
        <f t="shared" ca="1" si="148"/>
        <v>0</v>
      </c>
      <c r="W459" s="82">
        <f t="shared" ca="1" si="149"/>
        <v>0</v>
      </c>
      <c r="X459" s="19">
        <f t="shared" ca="1" si="150"/>
        <v>0</v>
      </c>
      <c r="Y459" s="19">
        <f t="shared" si="151"/>
        <v>0</v>
      </c>
      <c r="Z459" s="82">
        <f t="shared" ca="1" si="152"/>
        <v>0</v>
      </c>
      <c r="AA459" s="19">
        <f t="shared" ca="1" si="153"/>
        <v>0</v>
      </c>
      <c r="AE459" s="19"/>
    </row>
    <row r="460" spans="1:31" ht="12.75" customHeight="1" x14ac:dyDescent="0.2">
      <c r="A460">
        <v>3</v>
      </c>
      <c r="B460">
        <v>1</v>
      </c>
      <c r="C460">
        <f t="shared" ca="1" si="132"/>
        <v>6</v>
      </c>
      <c r="D460">
        <f t="shared" ca="1" si="133"/>
        <v>5</v>
      </c>
      <c r="E460">
        <f t="shared" ca="1" si="134"/>
        <v>3</v>
      </c>
      <c r="F460" s="61">
        <f t="shared" ca="1" si="135"/>
        <v>6.4252799999999994E-3</v>
      </c>
      <c r="G460">
        <v>0</v>
      </c>
      <c r="H460">
        <v>0</v>
      </c>
      <c r="I460">
        <v>7</v>
      </c>
      <c r="J460" s="61">
        <f t="shared" ca="1" si="136"/>
        <v>0</v>
      </c>
      <c r="K460" s="61">
        <f t="shared" ca="1" si="137"/>
        <v>0</v>
      </c>
      <c r="L460" s="82">
        <f t="shared" ca="1" si="138"/>
        <v>77</v>
      </c>
      <c r="M460" s="16">
        <f t="shared" ca="1" si="139"/>
        <v>923</v>
      </c>
      <c r="N460" s="3">
        <f t="shared" ca="1" si="140"/>
        <v>5</v>
      </c>
      <c r="O460" s="19">
        <f t="shared" ca="1" si="141"/>
        <v>2.8178718937399587</v>
      </c>
      <c r="P460" s="19">
        <f t="shared" ca="1" si="142"/>
        <v>28.178718937399587</v>
      </c>
      <c r="Q460" s="19">
        <f t="shared" ca="1" si="143"/>
        <v>28.178718937399587</v>
      </c>
      <c r="R460" s="19">
        <f t="shared" ca="1" si="144"/>
        <v>2.8178718937399587</v>
      </c>
      <c r="S460" s="19">
        <f t="shared" ca="1" si="145"/>
        <v>2.8178718937399587</v>
      </c>
      <c r="T460" s="19">
        <f t="shared" ca="1" si="146"/>
        <v>0</v>
      </c>
      <c r="U460" s="19">
        <f t="shared" ca="1" si="147"/>
        <v>1336.3251747165598</v>
      </c>
      <c r="V460" s="19">
        <f t="shared" ca="1" si="148"/>
        <v>0</v>
      </c>
      <c r="W460" s="82">
        <f t="shared" ca="1" si="149"/>
        <v>3401.3366102430559</v>
      </c>
      <c r="X460" s="19">
        <f t="shared" ca="1" si="150"/>
        <v>0</v>
      </c>
      <c r="Y460" s="19">
        <f t="shared" si="151"/>
        <v>0</v>
      </c>
      <c r="Z460" s="82">
        <f t="shared" ca="1" si="152"/>
        <v>3401.3366102430559</v>
      </c>
      <c r="AA460" s="19">
        <f t="shared" ca="1" si="153"/>
        <v>0</v>
      </c>
      <c r="AE460" s="19"/>
    </row>
    <row r="461" spans="1:31" ht="12.75" customHeight="1" x14ac:dyDescent="0.2">
      <c r="A461">
        <v>3</v>
      </c>
      <c r="B461">
        <v>1</v>
      </c>
      <c r="C461">
        <f t="shared" ca="1" si="132"/>
        <v>6</v>
      </c>
      <c r="D461">
        <f t="shared" ca="1" si="133"/>
        <v>5</v>
      </c>
      <c r="E461">
        <f t="shared" ca="1" si="134"/>
        <v>3</v>
      </c>
      <c r="F461" s="61">
        <f t="shared" ca="1" si="135"/>
        <v>6.4252799999999994E-3</v>
      </c>
      <c r="G461">
        <v>0</v>
      </c>
      <c r="H461">
        <v>0</v>
      </c>
      <c r="I461">
        <v>6</v>
      </c>
      <c r="J461" s="61">
        <f t="shared" ca="1" si="136"/>
        <v>0</v>
      </c>
      <c r="K461" s="61">
        <f t="shared" ca="1" si="137"/>
        <v>0</v>
      </c>
      <c r="L461" s="82">
        <f t="shared" ca="1" si="138"/>
        <v>66</v>
      </c>
      <c r="M461" s="16">
        <f t="shared" ca="1" si="139"/>
        <v>934</v>
      </c>
      <c r="N461" s="3">
        <f t="shared" ca="1" si="140"/>
        <v>5</v>
      </c>
      <c r="O461" s="19">
        <f t="shared" ca="1" si="141"/>
        <v>2.8178718937399587</v>
      </c>
      <c r="P461" s="19">
        <f t="shared" ca="1" si="142"/>
        <v>28.178718937399587</v>
      </c>
      <c r="Q461" s="19">
        <f t="shared" ca="1" si="143"/>
        <v>28.178718937399587</v>
      </c>
      <c r="R461" s="19">
        <f t="shared" ca="1" si="144"/>
        <v>2.8178718937399587</v>
      </c>
      <c r="S461" s="19">
        <f t="shared" ca="1" si="145"/>
        <v>2.8178718937399587</v>
      </c>
      <c r="T461" s="19">
        <f t="shared" ca="1" si="146"/>
        <v>0</v>
      </c>
      <c r="U461" s="19">
        <f t="shared" ca="1" si="147"/>
        <v>1325.3251747165598</v>
      </c>
      <c r="V461" s="19">
        <f t="shared" ca="1" si="148"/>
        <v>0</v>
      </c>
      <c r="W461" s="82">
        <f t="shared" ca="1" si="149"/>
        <v>2915.4313802083334</v>
      </c>
      <c r="X461" s="19">
        <f t="shared" ca="1" si="150"/>
        <v>0</v>
      </c>
      <c r="Y461" s="19">
        <f t="shared" si="151"/>
        <v>0</v>
      </c>
      <c r="Z461" s="82">
        <f t="shared" ca="1" si="152"/>
        <v>2915.4313802083334</v>
      </c>
      <c r="AA461" s="19">
        <f t="shared" ca="1" si="153"/>
        <v>0</v>
      </c>
      <c r="AE461" s="19"/>
    </row>
    <row r="462" spans="1:31" ht="12.75" customHeight="1" x14ac:dyDescent="0.2">
      <c r="A462">
        <v>3</v>
      </c>
      <c r="B462">
        <v>1</v>
      </c>
      <c r="C462">
        <f t="shared" ca="1" si="132"/>
        <v>6</v>
      </c>
      <c r="D462">
        <f t="shared" ca="1" si="133"/>
        <v>5</v>
      </c>
      <c r="E462">
        <f t="shared" ca="1" si="134"/>
        <v>3</v>
      </c>
      <c r="F462" s="61">
        <f t="shared" ca="1" si="135"/>
        <v>6.4252799999999994E-3</v>
      </c>
      <c r="G462">
        <v>0</v>
      </c>
      <c r="H462">
        <v>0</v>
      </c>
      <c r="I462">
        <v>5</v>
      </c>
      <c r="J462" s="61">
        <f t="shared" ca="1" si="136"/>
        <v>3.8689046875000001E-2</v>
      </c>
      <c r="K462" s="61">
        <f t="shared" ca="1" si="137"/>
        <v>2.4858795910499999E-4</v>
      </c>
      <c r="L462" s="82">
        <f t="shared" ca="1" si="138"/>
        <v>55</v>
      </c>
      <c r="M462" s="16">
        <f t="shared" ca="1" si="139"/>
        <v>945</v>
      </c>
      <c r="N462" s="3">
        <f t="shared" ca="1" si="140"/>
        <v>5</v>
      </c>
      <c r="O462" s="19">
        <f t="shared" ca="1" si="141"/>
        <v>2.8178718937399587</v>
      </c>
      <c r="P462" s="19">
        <f t="shared" ca="1" si="142"/>
        <v>28.178718937399587</v>
      </c>
      <c r="Q462" s="19">
        <f t="shared" ca="1" si="143"/>
        <v>28.178718937399587</v>
      </c>
      <c r="R462" s="19">
        <f t="shared" ca="1" si="144"/>
        <v>2.8178718937399587</v>
      </c>
      <c r="S462" s="19">
        <f t="shared" ca="1" si="145"/>
        <v>2.8178718937399587</v>
      </c>
      <c r="T462" s="19">
        <f t="shared" ca="1" si="146"/>
        <v>7.0048902308415774E-4</v>
      </c>
      <c r="U462" s="19">
        <f t="shared" ca="1" si="147"/>
        <v>1314.3251747165598</v>
      </c>
      <c r="V462" s="19">
        <f t="shared" ca="1" si="148"/>
        <v>0.32672541278311212</v>
      </c>
      <c r="W462" s="82">
        <f t="shared" ca="1" si="149"/>
        <v>2429.5261501736113</v>
      </c>
      <c r="X462" s="19">
        <f t="shared" ca="1" si="150"/>
        <v>0.60395094726388576</v>
      </c>
      <c r="Y462" s="19">
        <f t="shared" si="151"/>
        <v>0</v>
      </c>
      <c r="Z462" s="82">
        <f t="shared" ca="1" si="152"/>
        <v>2429.5261501736113</v>
      </c>
      <c r="AA462" s="19">
        <f t="shared" ca="1" si="153"/>
        <v>0.60395094726388576</v>
      </c>
      <c r="AE462" s="19"/>
    </row>
    <row r="463" spans="1:31" ht="12.75" customHeight="1" x14ac:dyDescent="0.2">
      <c r="A463">
        <v>3</v>
      </c>
      <c r="B463">
        <v>1</v>
      </c>
      <c r="C463">
        <f t="shared" ca="1" si="132"/>
        <v>6</v>
      </c>
      <c r="D463">
        <f t="shared" ca="1" si="133"/>
        <v>5</v>
      </c>
      <c r="E463">
        <f t="shared" ca="1" si="134"/>
        <v>3</v>
      </c>
      <c r="F463" s="61">
        <f t="shared" ca="1" si="135"/>
        <v>6.4252799999999994E-3</v>
      </c>
      <c r="G463">
        <v>0</v>
      </c>
      <c r="H463">
        <v>0</v>
      </c>
      <c r="I463">
        <v>4</v>
      </c>
      <c r="J463" s="61">
        <f t="shared" ca="1" si="136"/>
        <v>1.0181328125000009E-2</v>
      </c>
      <c r="K463" s="61">
        <f t="shared" ca="1" si="137"/>
        <v>6.5417883975000052E-5</v>
      </c>
      <c r="L463" s="82">
        <f t="shared" ca="1" si="138"/>
        <v>44</v>
      </c>
      <c r="M463" s="16">
        <f t="shared" ca="1" si="139"/>
        <v>956</v>
      </c>
      <c r="N463" s="3">
        <f t="shared" ca="1" si="140"/>
        <v>6</v>
      </c>
      <c r="O463" s="19">
        <f t="shared" ca="1" si="141"/>
        <v>3.3239268932937667</v>
      </c>
      <c r="P463" s="19">
        <f t="shared" ca="1" si="142"/>
        <v>33.239268932937669</v>
      </c>
      <c r="Q463" s="19">
        <f t="shared" ca="1" si="143"/>
        <v>28.178718937399587</v>
      </c>
      <c r="R463" s="19">
        <f t="shared" ca="1" si="144"/>
        <v>3.0708993935168629</v>
      </c>
      <c r="S463" s="19">
        <f t="shared" ca="1" si="145"/>
        <v>3.3239268932937667</v>
      </c>
      <c r="T463" s="19">
        <f t="shared" ca="1" si="146"/>
        <v>2.17444263846874E-4</v>
      </c>
      <c r="U463" s="19">
        <f t="shared" ca="1" si="147"/>
        <v>1495.4024523027438</v>
      </c>
      <c r="V463" s="19">
        <f t="shared" ca="1" si="148"/>
        <v>9.7826064120671435E-2</v>
      </c>
      <c r="W463" s="82">
        <f t="shared" ca="1" si="149"/>
        <v>1943.620920138889</v>
      </c>
      <c r="X463" s="19">
        <f t="shared" ca="1" si="150"/>
        <v>0.12714756784502868</v>
      </c>
      <c r="Y463" s="19">
        <f t="shared" si="151"/>
        <v>0</v>
      </c>
      <c r="Z463" s="82">
        <f t="shared" ca="1" si="152"/>
        <v>1943.620920138889</v>
      </c>
      <c r="AA463" s="19">
        <f t="shared" ca="1" si="153"/>
        <v>0.12714756784502868</v>
      </c>
      <c r="AE463" s="19"/>
    </row>
    <row r="464" spans="1:31" ht="12.75" customHeight="1" x14ac:dyDescent="0.2">
      <c r="A464">
        <v>3</v>
      </c>
      <c r="B464">
        <v>1</v>
      </c>
      <c r="C464">
        <f t="shared" ca="1" si="132"/>
        <v>6</v>
      </c>
      <c r="D464">
        <f t="shared" ca="1" si="133"/>
        <v>5</v>
      </c>
      <c r="E464">
        <f t="shared" ca="1" si="134"/>
        <v>3</v>
      </c>
      <c r="F464" s="61">
        <f t="shared" ca="1" si="135"/>
        <v>6.4252799999999994E-3</v>
      </c>
      <c r="G464">
        <v>0</v>
      </c>
      <c r="H464">
        <v>0</v>
      </c>
      <c r="I464">
        <v>3</v>
      </c>
      <c r="J464" s="61">
        <f t="shared" ca="1" si="136"/>
        <v>1.0717187500000017E-3</v>
      </c>
      <c r="K464" s="61">
        <f t="shared" ca="1" si="137"/>
        <v>6.8860930500000102E-6</v>
      </c>
      <c r="L464" s="82">
        <f t="shared" ca="1" si="138"/>
        <v>33</v>
      </c>
      <c r="M464" s="16">
        <f t="shared" ca="1" si="139"/>
        <v>967</v>
      </c>
      <c r="N464" s="3">
        <f t="shared" ca="1" si="140"/>
        <v>6</v>
      </c>
      <c r="O464" s="19">
        <f t="shared" ca="1" si="141"/>
        <v>3.3239268932937667</v>
      </c>
      <c r="P464" s="19">
        <f t="shared" ca="1" si="142"/>
        <v>33.239268932937669</v>
      </c>
      <c r="Q464" s="19">
        <f t="shared" ca="1" si="143"/>
        <v>33.239268932937669</v>
      </c>
      <c r="R464" s="19">
        <f t="shared" ca="1" si="144"/>
        <v>3.3239268932937671</v>
      </c>
      <c r="S464" s="19">
        <f t="shared" ca="1" si="145"/>
        <v>3.3239268932937667</v>
      </c>
      <c r="T464" s="19">
        <f t="shared" ca="1" si="146"/>
        <v>2.2888869878618334E-5</v>
      </c>
      <c r="U464" s="19">
        <f t="shared" ca="1" si="147"/>
        <v>1484.4024523027438</v>
      </c>
      <c r="V464" s="19">
        <f t="shared" ca="1" si="148"/>
        <v>1.0221733410204896E-2</v>
      </c>
      <c r="W464" s="82">
        <f t="shared" ca="1" si="149"/>
        <v>1457.7156901041667</v>
      </c>
      <c r="X464" s="19">
        <f t="shared" ca="1" si="150"/>
        <v>1.003796588250227E-2</v>
      </c>
      <c r="Y464" s="19">
        <f t="shared" si="151"/>
        <v>0</v>
      </c>
      <c r="Z464" s="82">
        <f t="shared" ca="1" si="152"/>
        <v>1457.7156901041667</v>
      </c>
      <c r="AA464" s="19">
        <f t="shared" ca="1" si="153"/>
        <v>1.003796588250227E-2</v>
      </c>
      <c r="AE464" s="19"/>
    </row>
    <row r="465" spans="1:31" ht="12.75" customHeight="1" x14ac:dyDescent="0.2">
      <c r="A465">
        <v>3</v>
      </c>
      <c r="B465">
        <v>1</v>
      </c>
      <c r="C465">
        <f t="shared" ca="1" si="132"/>
        <v>6</v>
      </c>
      <c r="D465">
        <f t="shared" ca="1" si="133"/>
        <v>5</v>
      </c>
      <c r="E465">
        <f t="shared" ca="1" si="134"/>
        <v>3</v>
      </c>
      <c r="F465" s="61">
        <f t="shared" ca="1" si="135"/>
        <v>6.4252799999999994E-3</v>
      </c>
      <c r="G465">
        <v>0</v>
      </c>
      <c r="H465">
        <v>0</v>
      </c>
      <c r="I465">
        <v>2</v>
      </c>
      <c r="J465" s="61">
        <f t="shared" ca="1" si="136"/>
        <v>5.6406250000000155E-5</v>
      </c>
      <c r="K465" s="61">
        <f t="shared" ca="1" si="137"/>
        <v>3.6242595000000098E-7</v>
      </c>
      <c r="L465" s="82">
        <f t="shared" ca="1" si="138"/>
        <v>22</v>
      </c>
      <c r="M465" s="16">
        <f t="shared" ca="1" si="139"/>
        <v>978</v>
      </c>
      <c r="N465" s="3">
        <f t="shared" ca="1" si="140"/>
        <v>6</v>
      </c>
      <c r="O465" s="19">
        <f t="shared" ca="1" si="141"/>
        <v>3.3239268932937667</v>
      </c>
      <c r="P465" s="19">
        <f t="shared" ca="1" si="142"/>
        <v>33.239268932937669</v>
      </c>
      <c r="Q465" s="19">
        <f t="shared" ca="1" si="143"/>
        <v>33.239268932937669</v>
      </c>
      <c r="R465" s="19">
        <f t="shared" ca="1" si="144"/>
        <v>3.3239268932937671</v>
      </c>
      <c r="S465" s="19">
        <f t="shared" ca="1" si="145"/>
        <v>3.3239268932937667</v>
      </c>
      <c r="T465" s="19">
        <f t="shared" ca="1" si="146"/>
        <v>1.2046773620325453E-6</v>
      </c>
      <c r="U465" s="19">
        <f t="shared" ca="1" si="147"/>
        <v>1473.4024523027438</v>
      </c>
      <c r="V465" s="19">
        <f t="shared" ca="1" si="148"/>
        <v>5.33999283508153E-4</v>
      </c>
      <c r="W465" s="82">
        <f t="shared" ca="1" si="149"/>
        <v>971.8104600694445</v>
      </c>
      <c r="X465" s="19">
        <f t="shared" ca="1" si="150"/>
        <v>3.5220932921060645E-4</v>
      </c>
      <c r="Y465" s="19">
        <f t="shared" si="151"/>
        <v>0</v>
      </c>
      <c r="Z465" s="82">
        <f t="shared" ca="1" si="152"/>
        <v>971.8104600694445</v>
      </c>
      <c r="AA465" s="19">
        <f t="shared" ca="1" si="153"/>
        <v>3.5220932921060645E-4</v>
      </c>
      <c r="AE465" s="19"/>
    </row>
    <row r="466" spans="1:31" ht="12.75" customHeight="1" x14ac:dyDescent="0.2">
      <c r="A466">
        <v>3</v>
      </c>
      <c r="B466">
        <v>1</v>
      </c>
      <c r="C466">
        <f t="shared" ca="1" si="132"/>
        <v>6</v>
      </c>
      <c r="D466">
        <f t="shared" ca="1" si="133"/>
        <v>5</v>
      </c>
      <c r="E466">
        <f t="shared" ca="1" si="134"/>
        <v>3</v>
      </c>
      <c r="F466" s="61">
        <f t="shared" ca="1" si="135"/>
        <v>6.4252799999999994E-3</v>
      </c>
      <c r="G466">
        <v>0</v>
      </c>
      <c r="H466">
        <v>0</v>
      </c>
      <c r="I466">
        <v>1</v>
      </c>
      <c r="J466" s="61">
        <f t="shared" ca="1" si="136"/>
        <v>1.4843750000000054E-6</v>
      </c>
      <c r="K466" s="61">
        <f t="shared" ca="1" si="137"/>
        <v>9.537525000000033E-9</v>
      </c>
      <c r="L466" s="82">
        <f t="shared" ca="1" si="138"/>
        <v>11</v>
      </c>
      <c r="M466" s="16">
        <f t="shared" ca="1" si="139"/>
        <v>989</v>
      </c>
      <c r="N466" s="3">
        <f t="shared" ca="1" si="140"/>
        <v>6</v>
      </c>
      <c r="O466" s="19">
        <f t="shared" ca="1" si="141"/>
        <v>3.3239268932937667</v>
      </c>
      <c r="P466" s="19">
        <f t="shared" ca="1" si="142"/>
        <v>33.239268932937669</v>
      </c>
      <c r="Q466" s="19">
        <f t="shared" ca="1" si="143"/>
        <v>33.239268932937669</v>
      </c>
      <c r="R466" s="19">
        <f t="shared" ca="1" si="144"/>
        <v>3.3239268932937671</v>
      </c>
      <c r="S466" s="19">
        <f t="shared" ca="1" si="145"/>
        <v>3.3239268932937667</v>
      </c>
      <c r="T466" s="19">
        <f t="shared" ca="1" si="146"/>
        <v>3.1702035842961739E-8</v>
      </c>
      <c r="U466" s="19">
        <f t="shared" ca="1" si="147"/>
        <v>1462.4024523027438</v>
      </c>
      <c r="V466" s="19">
        <f t="shared" ca="1" si="148"/>
        <v>1.3947699948898775E-5</v>
      </c>
      <c r="W466" s="82">
        <f t="shared" ca="1" si="149"/>
        <v>485.90523003472225</v>
      </c>
      <c r="X466" s="19">
        <f t="shared" ca="1" si="150"/>
        <v>4.6343332790869301E-6</v>
      </c>
      <c r="Y466" s="19">
        <f t="shared" si="151"/>
        <v>0</v>
      </c>
      <c r="Z466" s="82">
        <f t="shared" ca="1" si="152"/>
        <v>485.90523003472225</v>
      </c>
      <c r="AA466" s="19">
        <f t="shared" ca="1" si="153"/>
        <v>4.6343332790869301E-6</v>
      </c>
      <c r="AE466" s="19"/>
    </row>
    <row r="467" spans="1:31" ht="12.75" customHeight="1" x14ac:dyDescent="0.2">
      <c r="A467">
        <v>3</v>
      </c>
      <c r="B467">
        <v>1</v>
      </c>
      <c r="C467">
        <f t="shared" ca="1" si="132"/>
        <v>6</v>
      </c>
      <c r="D467">
        <f t="shared" ca="1" si="133"/>
        <v>5</v>
      </c>
      <c r="E467">
        <f t="shared" ca="1" si="134"/>
        <v>3</v>
      </c>
      <c r="F467" s="61">
        <f t="shared" ca="1" si="135"/>
        <v>6.4252799999999994E-3</v>
      </c>
      <c r="G467">
        <v>0</v>
      </c>
      <c r="H467">
        <v>0</v>
      </c>
      <c r="I467">
        <v>0</v>
      </c>
      <c r="J467" s="61">
        <f t="shared" ca="1" si="136"/>
        <v>1.5625000000000072E-8</v>
      </c>
      <c r="K467" s="61">
        <f t="shared" ca="1" si="137"/>
        <v>1.0039500000000046E-10</v>
      </c>
      <c r="L467" s="82">
        <f t="shared" ca="1" si="138"/>
        <v>0</v>
      </c>
      <c r="M467" s="16">
        <f t="shared" ca="1" si="139"/>
        <v>1000</v>
      </c>
      <c r="N467" s="3">
        <f t="shared" ca="1" si="140"/>
        <v>6</v>
      </c>
      <c r="O467" s="19">
        <f t="shared" ca="1" si="141"/>
        <v>3.3239268932937667</v>
      </c>
      <c r="P467" s="19">
        <f t="shared" ca="1" si="142"/>
        <v>33.239268932937669</v>
      </c>
      <c r="Q467" s="19">
        <f t="shared" ca="1" si="143"/>
        <v>33.239268932937669</v>
      </c>
      <c r="R467" s="19">
        <f t="shared" ca="1" si="144"/>
        <v>3.3239268932937671</v>
      </c>
      <c r="S467" s="19">
        <f t="shared" ca="1" si="145"/>
        <v>3.3239268932937667</v>
      </c>
      <c r="T467" s="19">
        <f t="shared" ca="1" si="146"/>
        <v>3.3370564045222925E-10</v>
      </c>
      <c r="U467" s="19">
        <f t="shared" ca="1" si="147"/>
        <v>1451.4024523027438</v>
      </c>
      <c r="V467" s="19">
        <f t="shared" ca="1" si="148"/>
        <v>1.4571354919893462E-7</v>
      </c>
      <c r="W467" s="82">
        <f t="shared" ca="1" si="149"/>
        <v>0</v>
      </c>
      <c r="X467" s="19">
        <f t="shared" ca="1" si="150"/>
        <v>0</v>
      </c>
      <c r="Y467" s="19">
        <f t="shared" si="151"/>
        <v>0</v>
      </c>
      <c r="Z467" s="82">
        <f t="shared" ca="1" si="152"/>
        <v>0</v>
      </c>
      <c r="AA467" s="19">
        <f t="shared" ca="1" si="153"/>
        <v>0</v>
      </c>
      <c r="AE467" s="19"/>
    </row>
    <row r="468" spans="1:31" ht="12.75" customHeight="1" x14ac:dyDescent="0.2">
      <c r="A468">
        <v>3</v>
      </c>
      <c r="B468">
        <v>2</v>
      </c>
      <c r="C468">
        <f t="shared" ref="C468:C531" ca="1" si="154">MIN(8, 1+$B$10+$B$9+A468+B468)</f>
        <v>7</v>
      </c>
      <c r="D468">
        <f t="shared" ref="D468:D531" ca="1" si="155">C468-(1+$B$10)</f>
        <v>6</v>
      </c>
      <c r="E468">
        <f t="shared" ref="E468:E531" ca="1" si="156">MIN(A468, C468-(1+$B$10+$B$9))</f>
        <v>3</v>
      </c>
      <c r="F468" s="61">
        <f t="shared" ref="F468:F531" ca="1" si="157">IF(A468=3, Set1QA, IF(A468=2, (1-Set1QA)*Set1TA + (1-Set1QA)*(1-Set1TA)*(1-Set1DA)*Set1AM3*Set1AM33, IF(A468=1, (1-Set1QA)*(1-Set1TA)*Set1DA + (1-Set1QA)*(1-Set1TA)*(1-Set1DA)*Set1AM3*Set1AM32, (1-Set1QA)*(1-Set1TA)*(1-Set1DA)*(1-Set1AM3)))) * IF($B$9+$B$10&gt;0, IF(B468=3, Set1QA, IF(B468=2, (1-Set1QA)*Set1TA, IF(B468=1, (1-Set1QA)*(1-Set1TA)*Set1DA, (1-Set1QA)*(1-Set1TA)*(1-Set1DA)))), IF(B468=0, 1, 0))</f>
        <v>1.1639999999999999E-3</v>
      </c>
      <c r="G468">
        <v>1</v>
      </c>
      <c r="H468">
        <v>1</v>
      </c>
      <c r="I468">
        <v>7</v>
      </c>
      <c r="J468" s="61">
        <f t="shared" ref="J468:J531" ca="1" si="158">POWER(95%,G468)*POWER(5%, 1-G468) * IF($B$10=0, IF(H468=0, 1, 0), POWER(Set1WSHitRate,H468)*POWER(1-Set1WSHitRate, 1-H468)) * IF(I468&lt;=D468, POWER(Set1WSHitRate, I468)*POWER(1-Set1WSHitRate, D468-I468)*COMBIN(D468,I468), 0)</f>
        <v>0</v>
      </c>
      <c r="K468" s="61">
        <f t="shared" ref="K468:K531" ca="1" si="159">F468*J468</f>
        <v>0</v>
      </c>
      <c r="L468" s="82">
        <f t="shared" ref="L468:L531" ca="1" si="160">MAX((G468+H468)*Set1WSTP + I468*$B$6, Set1SaveTP)</f>
        <v>399</v>
      </c>
      <c r="M468" s="16">
        <f t="shared" ref="M468:M531" ca="1" si="161">MAX(Set1MinTP-(L468+Set1Regain), 0)</f>
        <v>601</v>
      </c>
      <c r="N468" s="3">
        <f t="shared" ref="N468:N531" ca="1" si="162">CEILING(M468/Set1MeleeTP, 1)</f>
        <v>4</v>
      </c>
      <c r="O468" s="19">
        <f t="shared" ref="O468:O531" ca="1" si="163">VLOOKUP(N468,AvgRoundsSet1,2)</f>
        <v>2.3453053758100548</v>
      </c>
      <c r="P468" s="19">
        <f t="shared" ref="P468:P531" ca="1" si="164">VLOOKUP(CEILING(MAX(M468-1, 0)/Set1MeleeTP, 1), AvgRoundsSet1, 2) + VLOOKUP(CEILING(MAX(M468-2, 0)/Set1MeleeTP, 1), AvgRoundsSet1, 2) + VLOOKUP(CEILING(MAX(M468-3, 0)/Set1MeleeTP, 1), AvgRoundsSet1, 2) + VLOOKUP(CEILING(MAX(M468-4, 0)/Set1MeleeTP, 1), AvgRoundsSet1, 2) + VLOOKUP(CEILING(MAX(M468-5, 0)/Set1MeleeTP, 1), AvgRoundsSet1, 2) + VLOOKUP(CEILING(MAX(M468-6, 0)/Set1MeleeTP, 1), AvgRoundsSet1, 2) + VLOOKUP(CEILING(MAX(M468-7, 0)/Set1MeleeTP, 1), AvgRoundsSet1, 2) + VLOOKUP(CEILING(MAX(M468-8, 0)/Set1MeleeTP, 1), AvgRoundsSet1, 2) + VLOOKUP(CEILING(MAX(M468-9, 0)/Set1MeleeTP, 1), AvgRoundsSet1, 2) + VLOOKUP(CEILING(MAX(M468-10, 0)/Set1MeleeTP, 1), AvgRoundsSet1, 2)</f>
        <v>23.453053758100552</v>
      </c>
      <c r="Q468" s="19">
        <f t="shared" ref="Q468:Q531" ca="1" si="165">VLOOKUP(CEILING(MAX(M468-11, 0)/Set1MeleeTP, 1), AvgRoundsSet1, 2) + VLOOKUP(CEILING(MAX(M468-12, 0)/Set1MeleeTP, 1), AvgRoundsSet1, 2) + VLOOKUP(CEILING(MAX(M468-13, 0)/Set1MeleeTP, 1), AvgRoundsSet1, 2) + VLOOKUP(CEILING(MAX(M468-14, 0)/Set1MeleeTP, 1), AvgRoundsSet1, 2) + VLOOKUP(CEILING(MAX(M468-15, 0)/Set1MeleeTP, 1), AvgRoundsSet1, 2) + VLOOKUP(CEILING(MAX(M468-16, 0)/Set1MeleeTP, 1), AvgRoundsSet1, 2) + VLOOKUP(CEILING(MAX(M468-17, 0)/Set1MeleeTP, 1), AvgRoundsSet1, 2) + VLOOKUP(CEILING(MAX(M468-18, 0)/Set1MeleeTP, 1), AvgRoundsSet1, 2) + VLOOKUP(CEILING(MAX(M468-19, 0)/Set1MeleeTP, 1), AvgRoundsSet1, 2) + VLOOKUP(CEILING(MAX(M468-20, 0)/Set1MeleeTP, 1), AvgRoundsSet1, 2)</f>
        <v>23.453053758100552</v>
      </c>
      <c r="R468" s="19">
        <f t="shared" ref="R468:R531" ca="1" si="166">(P468+Q468)/20</f>
        <v>2.3453053758100553</v>
      </c>
      <c r="S468" s="19">
        <f t="shared" ref="S468:S531" ca="1" si="167">R468*Set1ConserveTP + O468*(1-Set1ConserveTP)</f>
        <v>2.3453053758100548</v>
      </c>
      <c r="T468" s="19">
        <f t="shared" ref="T468:T531" ca="1" si="168">K468*S468</f>
        <v>0</v>
      </c>
      <c r="U468" s="19">
        <f t="shared" ref="U468:U531" ca="1" si="169">MIN(L468+(S468+Set1OverTP)*AvgHitsPerRound1*Set1MeleeTP + Set1Regain + 10.5*Set1ConserveTP, 3000)</f>
        <v>1478.9587218163997</v>
      </c>
      <c r="V468" s="19">
        <f t="shared" ref="V468:V531" ca="1" si="170">U468*K468</f>
        <v>0</v>
      </c>
      <c r="W468" s="82">
        <f t="shared" ref="W468:W531" ca="1" si="171">G468*$K$12*((1-$L$12)*$L$16 + $L$12*$M$16*$M$12)+ H468*$K$15*((1-$L$15)*$L$17 + $L$15*$M$17*$M$13) + I468*$K$13*((1-$L$13)*$L$16 + $L$13*$M$16*$M$13) + E468*$K$14*$L$14*$M$12</f>
        <v>5718.7981307870377</v>
      </c>
      <c r="X468" s="19">
        <f t="shared" ref="X468:X531" ca="1" si="172">K468*W468</f>
        <v>0</v>
      </c>
      <c r="Y468" s="19">
        <f t="shared" ref="Y468:Y531" si="173">IF($B$12=1, (VLOOKUP(C468, IF($B$13=10%,Souleater10,Souleater12), 6, 0) * $B$14), 0)</f>
        <v>0</v>
      </c>
      <c r="Z468" s="82">
        <f t="shared" ref="Z468:Z531" ca="1" si="174">Y468+W468</f>
        <v>5718.7981307870377</v>
      </c>
      <c r="AA468" s="19">
        <f t="shared" ref="AA468:AA531" ca="1" si="175">Z468*K468</f>
        <v>0</v>
      </c>
      <c r="AE468" s="19"/>
    </row>
    <row r="469" spans="1:31" ht="12.75" customHeight="1" x14ac:dyDescent="0.2">
      <c r="A469">
        <v>3</v>
      </c>
      <c r="B469">
        <v>2</v>
      </c>
      <c r="C469">
        <f t="shared" ca="1" si="154"/>
        <v>7</v>
      </c>
      <c r="D469">
        <f t="shared" ca="1" si="155"/>
        <v>6</v>
      </c>
      <c r="E469">
        <f t="shared" ca="1" si="156"/>
        <v>3</v>
      </c>
      <c r="F469" s="61">
        <f t="shared" ca="1" si="157"/>
        <v>1.1639999999999999E-3</v>
      </c>
      <c r="G469">
        <v>1</v>
      </c>
      <c r="H469">
        <v>1</v>
      </c>
      <c r="I469">
        <v>6</v>
      </c>
      <c r="J469" s="61">
        <f t="shared" ca="1" si="158"/>
        <v>0</v>
      </c>
      <c r="K469" s="61">
        <f t="shared" ca="1" si="159"/>
        <v>0</v>
      </c>
      <c r="L469" s="82">
        <f t="shared" ca="1" si="160"/>
        <v>388</v>
      </c>
      <c r="M469" s="16">
        <f t="shared" ca="1" si="161"/>
        <v>612</v>
      </c>
      <c r="N469" s="3">
        <f t="shared" ca="1" si="162"/>
        <v>4</v>
      </c>
      <c r="O469" s="19">
        <f t="shared" ca="1" si="163"/>
        <v>2.3453053758100548</v>
      </c>
      <c r="P469" s="19">
        <f t="shared" ca="1" si="164"/>
        <v>23.453053758100552</v>
      </c>
      <c r="Q469" s="19">
        <f t="shared" ca="1" si="165"/>
        <v>23.453053758100552</v>
      </c>
      <c r="R469" s="19">
        <f t="shared" ca="1" si="166"/>
        <v>2.3453053758100553</v>
      </c>
      <c r="S469" s="19">
        <f t="shared" ca="1" si="167"/>
        <v>2.3453053758100548</v>
      </c>
      <c r="T469" s="19">
        <f t="shared" ca="1" si="168"/>
        <v>0</v>
      </c>
      <c r="U469" s="19">
        <f t="shared" ca="1" si="169"/>
        <v>1467.9587218163997</v>
      </c>
      <c r="V469" s="19">
        <f t="shared" ca="1" si="170"/>
        <v>0</v>
      </c>
      <c r="W469" s="82">
        <f t="shared" ca="1" si="171"/>
        <v>5232.8929007523147</v>
      </c>
      <c r="X469" s="19">
        <f t="shared" ca="1" si="172"/>
        <v>0</v>
      </c>
      <c r="Y469" s="19">
        <f t="shared" si="173"/>
        <v>0</v>
      </c>
      <c r="Z469" s="82">
        <f t="shared" ca="1" si="174"/>
        <v>5232.8929007523147</v>
      </c>
      <c r="AA469" s="19">
        <f t="shared" ca="1" si="175"/>
        <v>0</v>
      </c>
      <c r="AE469" s="19"/>
    </row>
    <row r="470" spans="1:31" ht="12.75" customHeight="1" x14ac:dyDescent="0.2">
      <c r="A470">
        <v>3</v>
      </c>
      <c r="B470">
        <v>2</v>
      </c>
      <c r="C470">
        <f t="shared" ca="1" si="154"/>
        <v>7</v>
      </c>
      <c r="D470">
        <f t="shared" ca="1" si="155"/>
        <v>6</v>
      </c>
      <c r="E470">
        <f t="shared" ca="1" si="156"/>
        <v>3</v>
      </c>
      <c r="F470" s="61">
        <f t="shared" ca="1" si="157"/>
        <v>1.1639999999999999E-3</v>
      </c>
      <c r="G470">
        <v>1</v>
      </c>
      <c r="H470">
        <v>1</v>
      </c>
      <c r="I470">
        <v>5</v>
      </c>
      <c r="J470" s="61">
        <f t="shared" ca="1" si="158"/>
        <v>0</v>
      </c>
      <c r="K470" s="61">
        <f t="shared" ca="1" si="159"/>
        <v>0</v>
      </c>
      <c r="L470" s="82">
        <f t="shared" ca="1" si="160"/>
        <v>377</v>
      </c>
      <c r="M470" s="16">
        <f t="shared" ca="1" si="161"/>
        <v>623</v>
      </c>
      <c r="N470" s="3">
        <f t="shared" ca="1" si="162"/>
        <v>4</v>
      </c>
      <c r="O470" s="19">
        <f t="shared" ca="1" si="163"/>
        <v>2.3453053758100548</v>
      </c>
      <c r="P470" s="19">
        <f t="shared" ca="1" si="164"/>
        <v>23.453053758100552</v>
      </c>
      <c r="Q470" s="19">
        <f t="shared" ca="1" si="165"/>
        <v>23.453053758100552</v>
      </c>
      <c r="R470" s="19">
        <f t="shared" ca="1" si="166"/>
        <v>2.3453053758100553</v>
      </c>
      <c r="S470" s="19">
        <f t="shared" ca="1" si="167"/>
        <v>2.3453053758100548</v>
      </c>
      <c r="T470" s="19">
        <f t="shared" ca="1" si="168"/>
        <v>0</v>
      </c>
      <c r="U470" s="19">
        <f t="shared" ca="1" si="169"/>
        <v>1456.9587218163997</v>
      </c>
      <c r="V470" s="19">
        <f t="shared" ca="1" si="170"/>
        <v>0</v>
      </c>
      <c r="W470" s="82">
        <f t="shared" ca="1" si="171"/>
        <v>4746.9876707175936</v>
      </c>
      <c r="X470" s="19">
        <f t="shared" ca="1" si="172"/>
        <v>0</v>
      </c>
      <c r="Y470" s="19">
        <f t="shared" si="173"/>
        <v>0</v>
      </c>
      <c r="Z470" s="82">
        <f t="shared" ca="1" si="174"/>
        <v>4746.9876707175936</v>
      </c>
      <c r="AA470" s="19">
        <f t="shared" ca="1" si="175"/>
        <v>0</v>
      </c>
      <c r="AE470" s="19"/>
    </row>
    <row r="471" spans="1:31" ht="12.75" customHeight="1" x14ac:dyDescent="0.2">
      <c r="A471">
        <v>3</v>
      </c>
      <c r="B471">
        <v>2</v>
      </c>
      <c r="C471">
        <f t="shared" ca="1" si="154"/>
        <v>7</v>
      </c>
      <c r="D471">
        <f t="shared" ca="1" si="155"/>
        <v>6</v>
      </c>
      <c r="E471">
        <f t="shared" ca="1" si="156"/>
        <v>3</v>
      </c>
      <c r="F471" s="61">
        <f t="shared" ca="1" si="157"/>
        <v>1.1639999999999999E-3</v>
      </c>
      <c r="G471">
        <v>1</v>
      </c>
      <c r="H471">
        <v>1</v>
      </c>
      <c r="I471">
        <v>4</v>
      </c>
      <c r="J471" s="61">
        <f t="shared" ca="1" si="158"/>
        <v>0</v>
      </c>
      <c r="K471" s="61">
        <f t="shared" ca="1" si="159"/>
        <v>0</v>
      </c>
      <c r="L471" s="82">
        <f t="shared" ca="1" si="160"/>
        <v>366</v>
      </c>
      <c r="M471" s="16">
        <f t="shared" ca="1" si="161"/>
        <v>634</v>
      </c>
      <c r="N471" s="3">
        <f t="shared" ca="1" si="162"/>
        <v>4</v>
      </c>
      <c r="O471" s="19">
        <f t="shared" ca="1" si="163"/>
        <v>2.3453053758100548</v>
      </c>
      <c r="P471" s="19">
        <f t="shared" ca="1" si="164"/>
        <v>23.453053758100552</v>
      </c>
      <c r="Q471" s="19">
        <f t="shared" ca="1" si="165"/>
        <v>23.453053758100552</v>
      </c>
      <c r="R471" s="19">
        <f t="shared" ca="1" si="166"/>
        <v>2.3453053758100553</v>
      </c>
      <c r="S471" s="19">
        <f t="shared" ca="1" si="167"/>
        <v>2.3453053758100548</v>
      </c>
      <c r="T471" s="19">
        <f t="shared" ca="1" si="168"/>
        <v>0</v>
      </c>
      <c r="U471" s="19">
        <f t="shared" ca="1" si="169"/>
        <v>1445.9587218163997</v>
      </c>
      <c r="V471" s="19">
        <f t="shared" ca="1" si="170"/>
        <v>0</v>
      </c>
      <c r="W471" s="82">
        <f t="shared" ca="1" si="171"/>
        <v>4261.0824406828706</v>
      </c>
      <c r="X471" s="19">
        <f t="shared" ca="1" si="172"/>
        <v>0</v>
      </c>
      <c r="Y471" s="19">
        <f t="shared" si="173"/>
        <v>0</v>
      </c>
      <c r="Z471" s="82">
        <f t="shared" ca="1" si="174"/>
        <v>4261.0824406828706</v>
      </c>
      <c r="AA471" s="19">
        <f t="shared" ca="1" si="175"/>
        <v>0</v>
      </c>
      <c r="AE471" s="19"/>
    </row>
    <row r="472" spans="1:31" ht="12.75" customHeight="1" x14ac:dyDescent="0.2">
      <c r="A472">
        <v>3</v>
      </c>
      <c r="B472">
        <v>2</v>
      </c>
      <c r="C472">
        <f t="shared" ca="1" si="154"/>
        <v>7</v>
      </c>
      <c r="D472">
        <f t="shared" ca="1" si="155"/>
        <v>6</v>
      </c>
      <c r="E472">
        <f t="shared" ca="1" si="156"/>
        <v>3</v>
      </c>
      <c r="F472" s="61">
        <f t="shared" ca="1" si="157"/>
        <v>1.1639999999999999E-3</v>
      </c>
      <c r="G472">
        <v>1</v>
      </c>
      <c r="H472">
        <v>1</v>
      </c>
      <c r="I472">
        <v>3</v>
      </c>
      <c r="J472" s="61">
        <f t="shared" ca="1" si="158"/>
        <v>0</v>
      </c>
      <c r="K472" s="61">
        <f t="shared" ca="1" si="159"/>
        <v>0</v>
      </c>
      <c r="L472" s="82">
        <f t="shared" ca="1" si="160"/>
        <v>355</v>
      </c>
      <c r="M472" s="16">
        <f t="shared" ca="1" si="161"/>
        <v>645</v>
      </c>
      <c r="N472" s="3">
        <f t="shared" ca="1" si="162"/>
        <v>4</v>
      </c>
      <c r="O472" s="19">
        <f t="shared" ca="1" si="163"/>
        <v>2.3453053758100548</v>
      </c>
      <c r="P472" s="19">
        <f t="shared" ca="1" si="164"/>
        <v>23.453053758100552</v>
      </c>
      <c r="Q472" s="19">
        <f t="shared" ca="1" si="165"/>
        <v>23.453053758100552</v>
      </c>
      <c r="R472" s="19">
        <f t="shared" ca="1" si="166"/>
        <v>2.3453053758100553</v>
      </c>
      <c r="S472" s="19">
        <f t="shared" ca="1" si="167"/>
        <v>2.3453053758100548</v>
      </c>
      <c r="T472" s="19">
        <f t="shared" ca="1" si="168"/>
        <v>0</v>
      </c>
      <c r="U472" s="19">
        <f t="shared" ca="1" si="169"/>
        <v>1434.9587218163997</v>
      </c>
      <c r="V472" s="19">
        <f t="shared" ca="1" si="170"/>
        <v>0</v>
      </c>
      <c r="W472" s="82">
        <f t="shared" ca="1" si="171"/>
        <v>3775.1772106481485</v>
      </c>
      <c r="X472" s="19">
        <f t="shared" ca="1" si="172"/>
        <v>0</v>
      </c>
      <c r="Y472" s="19">
        <f t="shared" si="173"/>
        <v>0</v>
      </c>
      <c r="Z472" s="82">
        <f t="shared" ca="1" si="174"/>
        <v>3775.1772106481485</v>
      </c>
      <c r="AA472" s="19">
        <f t="shared" ca="1" si="175"/>
        <v>0</v>
      </c>
      <c r="AE472" s="19"/>
    </row>
    <row r="473" spans="1:31" ht="12.75" customHeight="1" x14ac:dyDescent="0.2">
      <c r="A473">
        <v>3</v>
      </c>
      <c r="B473">
        <v>2</v>
      </c>
      <c r="C473">
        <f t="shared" ca="1" si="154"/>
        <v>7</v>
      </c>
      <c r="D473">
        <f t="shared" ca="1" si="155"/>
        <v>6</v>
      </c>
      <c r="E473">
        <f t="shared" ca="1" si="156"/>
        <v>3</v>
      </c>
      <c r="F473" s="61">
        <f t="shared" ca="1" si="157"/>
        <v>1.1639999999999999E-3</v>
      </c>
      <c r="G473">
        <v>1</v>
      </c>
      <c r="H473">
        <v>1</v>
      </c>
      <c r="I473">
        <v>2</v>
      </c>
      <c r="J473" s="61">
        <f t="shared" ca="1" si="158"/>
        <v>0</v>
      </c>
      <c r="K473" s="61">
        <f t="shared" ca="1" si="159"/>
        <v>0</v>
      </c>
      <c r="L473" s="82">
        <f t="shared" ca="1" si="160"/>
        <v>344</v>
      </c>
      <c r="M473" s="16">
        <f t="shared" ca="1" si="161"/>
        <v>656</v>
      </c>
      <c r="N473" s="3">
        <f t="shared" ca="1" si="162"/>
        <v>4</v>
      </c>
      <c r="O473" s="19">
        <f t="shared" ca="1" si="163"/>
        <v>2.3453053758100548</v>
      </c>
      <c r="P473" s="19">
        <f t="shared" ca="1" si="164"/>
        <v>23.453053758100552</v>
      </c>
      <c r="Q473" s="19">
        <f t="shared" ca="1" si="165"/>
        <v>23.453053758100552</v>
      </c>
      <c r="R473" s="19">
        <f t="shared" ca="1" si="166"/>
        <v>2.3453053758100553</v>
      </c>
      <c r="S473" s="19">
        <f t="shared" ca="1" si="167"/>
        <v>2.3453053758100548</v>
      </c>
      <c r="T473" s="19">
        <f t="shared" ca="1" si="168"/>
        <v>0</v>
      </c>
      <c r="U473" s="19">
        <f t="shared" ca="1" si="169"/>
        <v>1423.9587218163997</v>
      </c>
      <c r="V473" s="19">
        <f t="shared" ca="1" si="170"/>
        <v>0</v>
      </c>
      <c r="W473" s="82">
        <f t="shared" ca="1" si="171"/>
        <v>3289.2719806134264</v>
      </c>
      <c r="X473" s="19">
        <f t="shared" ca="1" si="172"/>
        <v>0</v>
      </c>
      <c r="Y473" s="19">
        <f t="shared" si="173"/>
        <v>0</v>
      </c>
      <c r="Z473" s="82">
        <f t="shared" ca="1" si="174"/>
        <v>3289.2719806134264</v>
      </c>
      <c r="AA473" s="19">
        <f t="shared" ca="1" si="175"/>
        <v>0</v>
      </c>
      <c r="AE473" s="19"/>
    </row>
    <row r="474" spans="1:31" ht="12.75" customHeight="1" x14ac:dyDescent="0.2">
      <c r="A474">
        <v>3</v>
      </c>
      <c r="B474">
        <v>2</v>
      </c>
      <c r="C474">
        <f t="shared" ca="1" si="154"/>
        <v>7</v>
      </c>
      <c r="D474">
        <f t="shared" ca="1" si="155"/>
        <v>6</v>
      </c>
      <c r="E474">
        <f t="shared" ca="1" si="156"/>
        <v>3</v>
      </c>
      <c r="F474" s="61">
        <f t="shared" ca="1" si="157"/>
        <v>1.1639999999999999E-3</v>
      </c>
      <c r="G474">
        <v>1</v>
      </c>
      <c r="H474">
        <v>1</v>
      </c>
      <c r="I474">
        <v>1</v>
      </c>
      <c r="J474" s="61">
        <f t="shared" ca="1" si="158"/>
        <v>0</v>
      </c>
      <c r="K474" s="61">
        <f t="shared" ca="1" si="159"/>
        <v>0</v>
      </c>
      <c r="L474" s="82">
        <f t="shared" ca="1" si="160"/>
        <v>333</v>
      </c>
      <c r="M474" s="16">
        <f t="shared" ca="1" si="161"/>
        <v>667</v>
      </c>
      <c r="N474" s="3">
        <f t="shared" ca="1" si="162"/>
        <v>4</v>
      </c>
      <c r="O474" s="19">
        <f t="shared" ca="1" si="163"/>
        <v>2.3453053758100548</v>
      </c>
      <c r="P474" s="19">
        <f t="shared" ca="1" si="164"/>
        <v>23.453053758100552</v>
      </c>
      <c r="Q474" s="19">
        <f t="shared" ca="1" si="165"/>
        <v>23.453053758100552</v>
      </c>
      <c r="R474" s="19">
        <f t="shared" ca="1" si="166"/>
        <v>2.3453053758100553</v>
      </c>
      <c r="S474" s="19">
        <f t="shared" ca="1" si="167"/>
        <v>2.3453053758100548</v>
      </c>
      <c r="T474" s="19">
        <f t="shared" ca="1" si="168"/>
        <v>0</v>
      </c>
      <c r="U474" s="19">
        <f t="shared" ca="1" si="169"/>
        <v>1412.9587218163997</v>
      </c>
      <c r="V474" s="19">
        <f t="shared" ca="1" si="170"/>
        <v>0</v>
      </c>
      <c r="W474" s="82">
        <f t="shared" ca="1" si="171"/>
        <v>2803.3667505787039</v>
      </c>
      <c r="X474" s="19">
        <f t="shared" ca="1" si="172"/>
        <v>0</v>
      </c>
      <c r="Y474" s="19">
        <f t="shared" si="173"/>
        <v>0</v>
      </c>
      <c r="Z474" s="82">
        <f t="shared" ca="1" si="174"/>
        <v>2803.3667505787039</v>
      </c>
      <c r="AA474" s="19">
        <f t="shared" ca="1" si="175"/>
        <v>0</v>
      </c>
      <c r="AE474" s="19"/>
    </row>
    <row r="475" spans="1:31" ht="12.75" customHeight="1" x14ac:dyDescent="0.2">
      <c r="A475">
        <v>3</v>
      </c>
      <c r="B475">
        <v>2</v>
      </c>
      <c r="C475">
        <f t="shared" ca="1" si="154"/>
        <v>7</v>
      </c>
      <c r="D475">
        <f t="shared" ca="1" si="155"/>
        <v>6</v>
      </c>
      <c r="E475">
        <f t="shared" ca="1" si="156"/>
        <v>3</v>
      </c>
      <c r="F475" s="61">
        <f t="shared" ca="1" si="157"/>
        <v>1.1639999999999999E-3</v>
      </c>
      <c r="G475">
        <v>1</v>
      </c>
      <c r="H475">
        <v>1</v>
      </c>
      <c r="I475">
        <v>0</v>
      </c>
      <c r="J475" s="61">
        <f t="shared" ca="1" si="158"/>
        <v>0</v>
      </c>
      <c r="K475" s="61">
        <f t="shared" ca="1" si="159"/>
        <v>0</v>
      </c>
      <c r="L475" s="82">
        <f t="shared" ca="1" si="160"/>
        <v>322</v>
      </c>
      <c r="M475" s="16">
        <f t="shared" ca="1" si="161"/>
        <v>678</v>
      </c>
      <c r="N475" s="3">
        <f t="shared" ca="1" si="162"/>
        <v>4</v>
      </c>
      <c r="O475" s="19">
        <f t="shared" ca="1" si="163"/>
        <v>2.3453053758100548</v>
      </c>
      <c r="P475" s="19">
        <f t="shared" ca="1" si="164"/>
        <v>23.453053758100552</v>
      </c>
      <c r="Q475" s="19">
        <f t="shared" ca="1" si="165"/>
        <v>23.453053758100552</v>
      </c>
      <c r="R475" s="19">
        <f t="shared" ca="1" si="166"/>
        <v>2.3453053758100553</v>
      </c>
      <c r="S475" s="19">
        <f t="shared" ca="1" si="167"/>
        <v>2.3453053758100548</v>
      </c>
      <c r="T475" s="19">
        <f t="shared" ca="1" si="168"/>
        <v>0</v>
      </c>
      <c r="U475" s="19">
        <f t="shared" ca="1" si="169"/>
        <v>1401.9587218163997</v>
      </c>
      <c r="V475" s="19">
        <f t="shared" ca="1" si="170"/>
        <v>0</v>
      </c>
      <c r="W475" s="82">
        <f t="shared" ca="1" si="171"/>
        <v>2317.4615205439818</v>
      </c>
      <c r="X475" s="19">
        <f t="shared" ca="1" si="172"/>
        <v>0</v>
      </c>
      <c r="Y475" s="19">
        <f t="shared" si="173"/>
        <v>0</v>
      </c>
      <c r="Z475" s="82">
        <f t="shared" ca="1" si="174"/>
        <v>2317.4615205439818</v>
      </c>
      <c r="AA475" s="19">
        <f t="shared" ca="1" si="175"/>
        <v>0</v>
      </c>
      <c r="AE475" s="19"/>
    </row>
    <row r="476" spans="1:31" ht="12.75" customHeight="1" x14ac:dyDescent="0.2">
      <c r="A476">
        <v>3</v>
      </c>
      <c r="B476">
        <v>2</v>
      </c>
      <c r="C476">
        <f t="shared" ca="1" si="154"/>
        <v>7</v>
      </c>
      <c r="D476">
        <f t="shared" ca="1" si="155"/>
        <v>6</v>
      </c>
      <c r="E476">
        <f t="shared" ca="1" si="156"/>
        <v>3</v>
      </c>
      <c r="F476" s="61">
        <f t="shared" ca="1" si="157"/>
        <v>1.1639999999999999E-3</v>
      </c>
      <c r="G476">
        <v>1</v>
      </c>
      <c r="H476">
        <v>0</v>
      </c>
      <c r="I476">
        <v>7</v>
      </c>
      <c r="J476" s="61">
        <f t="shared" ca="1" si="158"/>
        <v>0</v>
      </c>
      <c r="K476" s="61">
        <f t="shared" ca="1" si="159"/>
        <v>0</v>
      </c>
      <c r="L476" s="82">
        <f t="shared" ca="1" si="160"/>
        <v>238</v>
      </c>
      <c r="M476" s="16">
        <f t="shared" ca="1" si="161"/>
        <v>762</v>
      </c>
      <c r="N476" s="3">
        <f t="shared" ca="1" si="162"/>
        <v>5</v>
      </c>
      <c r="O476" s="19">
        <f t="shared" ca="1" si="163"/>
        <v>2.8178718937399587</v>
      </c>
      <c r="P476" s="19">
        <f t="shared" ca="1" si="164"/>
        <v>25.815886347750073</v>
      </c>
      <c r="Q476" s="19">
        <f t="shared" ca="1" si="165"/>
        <v>23.453053758100552</v>
      </c>
      <c r="R476" s="19">
        <f t="shared" ca="1" si="166"/>
        <v>2.4634470052925312</v>
      </c>
      <c r="S476" s="19">
        <f t="shared" ca="1" si="167"/>
        <v>2.8178718937399587</v>
      </c>
      <c r="T476" s="19">
        <f t="shared" ca="1" si="168"/>
        <v>0</v>
      </c>
      <c r="U476" s="19">
        <f t="shared" ca="1" si="169"/>
        <v>1497.3251747165598</v>
      </c>
      <c r="V476" s="19">
        <f t="shared" ca="1" si="170"/>
        <v>0</v>
      </c>
      <c r="W476" s="82">
        <f t="shared" ca="1" si="171"/>
        <v>5718.7981307870377</v>
      </c>
      <c r="X476" s="19">
        <f t="shared" ca="1" si="172"/>
        <v>0</v>
      </c>
      <c r="Y476" s="19">
        <f t="shared" si="173"/>
        <v>0</v>
      </c>
      <c r="Z476" s="82">
        <f t="shared" ca="1" si="174"/>
        <v>5718.7981307870377</v>
      </c>
      <c r="AA476" s="19">
        <f t="shared" ca="1" si="175"/>
        <v>0</v>
      </c>
      <c r="AE476" s="19"/>
    </row>
    <row r="477" spans="1:31" ht="12.75" customHeight="1" x14ac:dyDescent="0.2">
      <c r="A477">
        <v>3</v>
      </c>
      <c r="B477">
        <v>2</v>
      </c>
      <c r="C477">
        <f t="shared" ca="1" si="154"/>
        <v>7</v>
      </c>
      <c r="D477">
        <f t="shared" ca="1" si="155"/>
        <v>6</v>
      </c>
      <c r="E477">
        <f t="shared" ca="1" si="156"/>
        <v>3</v>
      </c>
      <c r="F477" s="61">
        <f t="shared" ca="1" si="157"/>
        <v>1.1639999999999999E-3</v>
      </c>
      <c r="G477">
        <v>1</v>
      </c>
      <c r="H477">
        <v>0</v>
      </c>
      <c r="I477">
        <v>6</v>
      </c>
      <c r="J477" s="61">
        <f t="shared" ca="1" si="158"/>
        <v>0.69833729609374984</v>
      </c>
      <c r="K477" s="61">
        <f t="shared" ca="1" si="159"/>
        <v>8.1286461265312469E-4</v>
      </c>
      <c r="L477" s="82">
        <f t="shared" ca="1" si="160"/>
        <v>227</v>
      </c>
      <c r="M477" s="16">
        <f t="shared" ca="1" si="161"/>
        <v>773</v>
      </c>
      <c r="N477" s="3">
        <f t="shared" ca="1" si="162"/>
        <v>5</v>
      </c>
      <c r="O477" s="19">
        <f t="shared" ca="1" si="163"/>
        <v>2.8178718937399587</v>
      </c>
      <c r="P477" s="19">
        <f t="shared" ca="1" si="164"/>
        <v>28.178718937399587</v>
      </c>
      <c r="Q477" s="19">
        <f t="shared" ca="1" si="165"/>
        <v>26.288452865679979</v>
      </c>
      <c r="R477" s="19">
        <f t="shared" ca="1" si="166"/>
        <v>2.7233585901539783</v>
      </c>
      <c r="S477" s="19">
        <f t="shared" ca="1" si="167"/>
        <v>2.8178718937399587</v>
      </c>
      <c r="T477" s="19">
        <f t="shared" ca="1" si="168"/>
        <v>2.2905483454110586E-3</v>
      </c>
      <c r="U477" s="19">
        <f t="shared" ca="1" si="169"/>
        <v>1486.3251747165598</v>
      </c>
      <c r="V477" s="19">
        <f t="shared" ca="1" si="170"/>
        <v>1.2081811374225642</v>
      </c>
      <c r="W477" s="82">
        <f t="shared" ca="1" si="171"/>
        <v>5232.8929007523147</v>
      </c>
      <c r="X477" s="19">
        <f t="shared" ca="1" si="172"/>
        <v>4.2536334608253163</v>
      </c>
      <c r="Y477" s="19">
        <f t="shared" si="173"/>
        <v>0</v>
      </c>
      <c r="Z477" s="82">
        <f t="shared" ca="1" si="174"/>
        <v>5232.8929007523147</v>
      </c>
      <c r="AA477" s="19">
        <f t="shared" ca="1" si="175"/>
        <v>4.2536334608253163</v>
      </c>
      <c r="AE477" s="19"/>
    </row>
    <row r="478" spans="1:31" ht="12.75" customHeight="1" x14ac:dyDescent="0.2">
      <c r="A478">
        <v>3</v>
      </c>
      <c r="B478">
        <v>2</v>
      </c>
      <c r="C478">
        <f t="shared" ca="1" si="154"/>
        <v>7</v>
      </c>
      <c r="D478">
        <f t="shared" ca="1" si="155"/>
        <v>6</v>
      </c>
      <c r="E478">
        <f t="shared" ca="1" si="156"/>
        <v>3</v>
      </c>
      <c r="F478" s="61">
        <f t="shared" ca="1" si="157"/>
        <v>1.1639999999999999E-3</v>
      </c>
      <c r="G478">
        <v>1</v>
      </c>
      <c r="H478">
        <v>0</v>
      </c>
      <c r="I478">
        <v>5</v>
      </c>
      <c r="J478" s="61">
        <f t="shared" ca="1" si="158"/>
        <v>0.22052756718750019</v>
      </c>
      <c r="K478" s="61">
        <f t="shared" ca="1" si="159"/>
        <v>2.5669408820625021E-4</v>
      </c>
      <c r="L478" s="82">
        <f t="shared" ca="1" si="160"/>
        <v>216</v>
      </c>
      <c r="M478" s="16">
        <f t="shared" ca="1" si="161"/>
        <v>784</v>
      </c>
      <c r="N478" s="3">
        <f t="shared" ca="1" si="162"/>
        <v>5</v>
      </c>
      <c r="O478" s="19">
        <f t="shared" ca="1" si="163"/>
        <v>2.8178718937399587</v>
      </c>
      <c r="P478" s="19">
        <f t="shared" ca="1" si="164"/>
        <v>28.178718937399587</v>
      </c>
      <c r="Q478" s="19">
        <f t="shared" ca="1" si="165"/>
        <v>28.178718937399587</v>
      </c>
      <c r="R478" s="19">
        <f t="shared" ca="1" si="166"/>
        <v>2.8178718937399587</v>
      </c>
      <c r="S478" s="19">
        <f t="shared" ca="1" si="167"/>
        <v>2.8178718937399587</v>
      </c>
      <c r="T478" s="19">
        <f t="shared" ca="1" si="168"/>
        <v>7.2333105644559832E-4</v>
      </c>
      <c r="U478" s="19">
        <f t="shared" ca="1" si="169"/>
        <v>1475.3251747165598</v>
      </c>
      <c r="V478" s="19">
        <f t="shared" ca="1" si="170"/>
        <v>0.3787072505315941</v>
      </c>
      <c r="W478" s="82">
        <f t="shared" ca="1" si="171"/>
        <v>4746.9876707175936</v>
      </c>
      <c r="X478" s="19">
        <f t="shared" ca="1" si="172"/>
        <v>1.2185236718611643</v>
      </c>
      <c r="Y478" s="19">
        <f t="shared" si="173"/>
        <v>0</v>
      </c>
      <c r="Z478" s="82">
        <f t="shared" ca="1" si="174"/>
        <v>4746.9876707175936</v>
      </c>
      <c r="AA478" s="19">
        <f t="shared" ca="1" si="175"/>
        <v>1.2185236718611643</v>
      </c>
      <c r="AE478" s="19"/>
    </row>
    <row r="479" spans="1:31" ht="12.75" customHeight="1" x14ac:dyDescent="0.2">
      <c r="A479">
        <v>3</v>
      </c>
      <c r="B479">
        <v>2</v>
      </c>
      <c r="C479">
        <f t="shared" ca="1" si="154"/>
        <v>7</v>
      </c>
      <c r="D479">
        <f t="shared" ca="1" si="155"/>
        <v>6</v>
      </c>
      <c r="E479">
        <f t="shared" ca="1" si="156"/>
        <v>3</v>
      </c>
      <c r="F479" s="61">
        <f t="shared" ca="1" si="157"/>
        <v>1.1639999999999999E-3</v>
      </c>
      <c r="G479">
        <v>1</v>
      </c>
      <c r="H479">
        <v>0</v>
      </c>
      <c r="I479">
        <v>4</v>
      </c>
      <c r="J479" s="61">
        <f t="shared" ca="1" si="158"/>
        <v>2.9016785156250047E-2</v>
      </c>
      <c r="K479" s="61">
        <f t="shared" ca="1" si="159"/>
        <v>3.3775537921875054E-5</v>
      </c>
      <c r="L479" s="82">
        <f t="shared" ca="1" si="160"/>
        <v>205</v>
      </c>
      <c r="M479" s="16">
        <f t="shared" ca="1" si="161"/>
        <v>795</v>
      </c>
      <c r="N479" s="3">
        <f t="shared" ca="1" si="162"/>
        <v>5</v>
      </c>
      <c r="O479" s="19">
        <f t="shared" ca="1" si="163"/>
        <v>2.8178718937399587</v>
      </c>
      <c r="P479" s="19">
        <f t="shared" ca="1" si="164"/>
        <v>28.178718937399587</v>
      </c>
      <c r="Q479" s="19">
        <f t="shared" ca="1" si="165"/>
        <v>28.178718937399587</v>
      </c>
      <c r="R479" s="19">
        <f t="shared" ca="1" si="166"/>
        <v>2.8178718937399587</v>
      </c>
      <c r="S479" s="19">
        <f t="shared" ca="1" si="167"/>
        <v>2.8178718937399587</v>
      </c>
      <c r="T479" s="19">
        <f t="shared" ca="1" si="168"/>
        <v>9.5175139005999849E-5</v>
      </c>
      <c r="U479" s="19">
        <f t="shared" ca="1" si="169"/>
        <v>1464.3251747165598</v>
      </c>
      <c r="V479" s="19">
        <f t="shared" ca="1" si="170"/>
        <v>4.9458370468595476E-2</v>
      </c>
      <c r="W479" s="82">
        <f t="shared" ca="1" si="171"/>
        <v>4261.0824406828706</v>
      </c>
      <c r="X479" s="19">
        <f t="shared" ca="1" si="172"/>
        <v>0.1439203515635202</v>
      </c>
      <c r="Y479" s="19">
        <f t="shared" si="173"/>
        <v>0</v>
      </c>
      <c r="Z479" s="82">
        <f t="shared" ca="1" si="174"/>
        <v>4261.0824406828706</v>
      </c>
      <c r="AA479" s="19">
        <f t="shared" ca="1" si="175"/>
        <v>0.1439203515635202</v>
      </c>
      <c r="AE479" s="19"/>
    </row>
    <row r="480" spans="1:31" ht="12.75" customHeight="1" x14ac:dyDescent="0.2">
      <c r="A480">
        <v>3</v>
      </c>
      <c r="B480">
        <v>2</v>
      </c>
      <c r="C480">
        <f t="shared" ca="1" si="154"/>
        <v>7</v>
      </c>
      <c r="D480">
        <f t="shared" ca="1" si="155"/>
        <v>6</v>
      </c>
      <c r="E480">
        <f t="shared" ca="1" si="156"/>
        <v>3</v>
      </c>
      <c r="F480" s="61">
        <f t="shared" ca="1" si="157"/>
        <v>1.1639999999999999E-3</v>
      </c>
      <c r="G480">
        <v>1</v>
      </c>
      <c r="H480">
        <v>0</v>
      </c>
      <c r="I480">
        <v>3</v>
      </c>
      <c r="J480" s="61">
        <f t="shared" ca="1" si="158"/>
        <v>2.0362656250000047E-3</v>
      </c>
      <c r="K480" s="61">
        <f t="shared" ca="1" si="159"/>
        <v>2.3702131875000051E-6</v>
      </c>
      <c r="L480" s="82">
        <f t="shared" ca="1" si="160"/>
        <v>194</v>
      </c>
      <c r="M480" s="16">
        <f t="shared" ca="1" si="161"/>
        <v>806</v>
      </c>
      <c r="N480" s="3">
        <f t="shared" ca="1" si="162"/>
        <v>5</v>
      </c>
      <c r="O480" s="19">
        <f t="shared" ca="1" si="163"/>
        <v>2.8178718937399587</v>
      </c>
      <c r="P480" s="19">
        <f t="shared" ca="1" si="164"/>
        <v>28.178718937399587</v>
      </c>
      <c r="Q480" s="19">
        <f t="shared" ca="1" si="165"/>
        <v>28.178718937399587</v>
      </c>
      <c r="R480" s="19">
        <f t="shared" ca="1" si="166"/>
        <v>2.8178718937399587</v>
      </c>
      <c r="S480" s="19">
        <f t="shared" ca="1" si="167"/>
        <v>2.8178718937399587</v>
      </c>
      <c r="T480" s="19">
        <f t="shared" ca="1" si="168"/>
        <v>6.6789571232280631E-6</v>
      </c>
      <c r="U480" s="19">
        <f t="shared" ca="1" si="169"/>
        <v>1453.3251747165598</v>
      </c>
      <c r="V480" s="19">
        <f t="shared" ca="1" si="170"/>
        <v>3.4446904948389392E-3</v>
      </c>
      <c r="W480" s="82">
        <f t="shared" ca="1" si="171"/>
        <v>3775.1772106481485</v>
      </c>
      <c r="X480" s="19">
        <f t="shared" ca="1" si="172"/>
        <v>8.9479748098277266E-3</v>
      </c>
      <c r="Y480" s="19">
        <f t="shared" si="173"/>
        <v>0</v>
      </c>
      <c r="Z480" s="82">
        <f t="shared" ca="1" si="174"/>
        <v>3775.1772106481485</v>
      </c>
      <c r="AA480" s="19">
        <f t="shared" ca="1" si="175"/>
        <v>8.9479748098277266E-3</v>
      </c>
      <c r="AE480" s="19"/>
    </row>
    <row r="481" spans="1:31" ht="12.75" customHeight="1" x14ac:dyDescent="0.2">
      <c r="A481">
        <v>3</v>
      </c>
      <c r="B481">
        <v>2</v>
      </c>
      <c r="C481">
        <f t="shared" ca="1" si="154"/>
        <v>7</v>
      </c>
      <c r="D481">
        <f t="shared" ca="1" si="155"/>
        <v>6</v>
      </c>
      <c r="E481">
        <f t="shared" ca="1" si="156"/>
        <v>3</v>
      </c>
      <c r="F481" s="61">
        <f t="shared" ca="1" si="157"/>
        <v>1.1639999999999999E-3</v>
      </c>
      <c r="G481">
        <v>1</v>
      </c>
      <c r="H481">
        <v>0</v>
      </c>
      <c r="I481">
        <v>2</v>
      </c>
      <c r="J481" s="61">
        <f t="shared" ca="1" si="158"/>
        <v>8.0378906250000291E-5</v>
      </c>
      <c r="K481" s="61">
        <f t="shared" ca="1" si="159"/>
        <v>9.3561046875000329E-8</v>
      </c>
      <c r="L481" s="82">
        <f t="shared" ca="1" si="160"/>
        <v>183</v>
      </c>
      <c r="M481" s="16">
        <f t="shared" ca="1" si="161"/>
        <v>817</v>
      </c>
      <c r="N481" s="3">
        <f t="shared" ca="1" si="162"/>
        <v>5</v>
      </c>
      <c r="O481" s="19">
        <f t="shared" ca="1" si="163"/>
        <v>2.8178718937399587</v>
      </c>
      <c r="P481" s="19">
        <f t="shared" ca="1" si="164"/>
        <v>28.178718937399587</v>
      </c>
      <c r="Q481" s="19">
        <f t="shared" ca="1" si="165"/>
        <v>28.178718937399587</v>
      </c>
      <c r="R481" s="19">
        <f t="shared" ca="1" si="166"/>
        <v>2.8178718937399587</v>
      </c>
      <c r="S481" s="19">
        <f t="shared" ca="1" si="167"/>
        <v>2.8178718937399587</v>
      </c>
      <c r="T481" s="19">
        <f t="shared" ca="1" si="168"/>
        <v>2.6364304433795024E-7</v>
      </c>
      <c r="U481" s="19">
        <f t="shared" ca="1" si="169"/>
        <v>1442.3251747165598</v>
      </c>
      <c r="V481" s="19">
        <f t="shared" ca="1" si="170"/>
        <v>1.349454532806491E-4</v>
      </c>
      <c r="W481" s="82">
        <f t="shared" ca="1" si="171"/>
        <v>3289.2719806134264</v>
      </c>
      <c r="X481" s="19">
        <f t="shared" ca="1" si="172"/>
        <v>3.0774772996279798E-4</v>
      </c>
      <c r="Y481" s="19">
        <f t="shared" si="173"/>
        <v>0</v>
      </c>
      <c r="Z481" s="82">
        <f t="shared" ca="1" si="174"/>
        <v>3289.2719806134264</v>
      </c>
      <c r="AA481" s="19">
        <f t="shared" ca="1" si="175"/>
        <v>3.0774772996279798E-4</v>
      </c>
      <c r="AE481" s="19"/>
    </row>
    <row r="482" spans="1:31" ht="12.75" customHeight="1" x14ac:dyDescent="0.2">
      <c r="A482">
        <v>3</v>
      </c>
      <c r="B482">
        <v>2</v>
      </c>
      <c r="C482">
        <f t="shared" ca="1" si="154"/>
        <v>7</v>
      </c>
      <c r="D482">
        <f t="shared" ca="1" si="155"/>
        <v>6</v>
      </c>
      <c r="E482">
        <f t="shared" ca="1" si="156"/>
        <v>3</v>
      </c>
      <c r="F482" s="61">
        <f t="shared" ca="1" si="157"/>
        <v>1.1639999999999999E-3</v>
      </c>
      <c r="G482">
        <v>1</v>
      </c>
      <c r="H482">
        <v>0</v>
      </c>
      <c r="I482">
        <v>1</v>
      </c>
      <c r="J482" s="61">
        <f t="shared" ca="1" si="158"/>
        <v>1.6921875000000077E-6</v>
      </c>
      <c r="K482" s="61">
        <f t="shared" ca="1" si="159"/>
        <v>1.9697062500000085E-9</v>
      </c>
      <c r="L482" s="82">
        <f t="shared" ca="1" si="160"/>
        <v>172</v>
      </c>
      <c r="M482" s="16">
        <f t="shared" ca="1" si="161"/>
        <v>828</v>
      </c>
      <c r="N482" s="3">
        <f t="shared" ca="1" si="162"/>
        <v>5</v>
      </c>
      <c r="O482" s="19">
        <f t="shared" ca="1" si="163"/>
        <v>2.8178718937399587</v>
      </c>
      <c r="P482" s="19">
        <f t="shared" ca="1" si="164"/>
        <v>28.178718937399587</v>
      </c>
      <c r="Q482" s="19">
        <f t="shared" ca="1" si="165"/>
        <v>28.178718937399587</v>
      </c>
      <c r="R482" s="19">
        <f t="shared" ca="1" si="166"/>
        <v>2.8178718937399587</v>
      </c>
      <c r="S482" s="19">
        <f t="shared" ca="1" si="167"/>
        <v>2.8178718937399587</v>
      </c>
      <c r="T482" s="19">
        <f t="shared" ca="1" si="168"/>
        <v>5.5503798807989563E-9</v>
      </c>
      <c r="U482" s="19">
        <f t="shared" ca="1" si="169"/>
        <v>1431.3251747165598</v>
      </c>
      <c r="V482" s="19">
        <f t="shared" ca="1" si="170"/>
        <v>2.8192901424215618E-6</v>
      </c>
      <c r="W482" s="82">
        <f t="shared" ca="1" si="171"/>
        <v>2803.3667505787039</v>
      </c>
      <c r="X482" s="19">
        <f t="shared" ca="1" si="172"/>
        <v>5.5218090096570877E-6</v>
      </c>
      <c r="Y482" s="19">
        <f t="shared" si="173"/>
        <v>0</v>
      </c>
      <c r="Z482" s="82">
        <f t="shared" ca="1" si="174"/>
        <v>2803.3667505787039</v>
      </c>
      <c r="AA482" s="19">
        <f t="shared" ca="1" si="175"/>
        <v>5.5218090096570877E-6</v>
      </c>
      <c r="AE482" s="19"/>
    </row>
    <row r="483" spans="1:31" ht="12.75" customHeight="1" x14ac:dyDescent="0.2">
      <c r="A483">
        <v>3</v>
      </c>
      <c r="B483">
        <v>2</v>
      </c>
      <c r="C483">
        <f t="shared" ca="1" si="154"/>
        <v>7</v>
      </c>
      <c r="D483">
        <f t="shared" ca="1" si="155"/>
        <v>6</v>
      </c>
      <c r="E483">
        <f t="shared" ca="1" si="156"/>
        <v>3</v>
      </c>
      <c r="F483" s="61">
        <f t="shared" ca="1" si="157"/>
        <v>1.1639999999999999E-3</v>
      </c>
      <c r="G483">
        <v>1</v>
      </c>
      <c r="H483">
        <v>0</v>
      </c>
      <c r="I483">
        <v>0</v>
      </c>
      <c r="J483" s="61">
        <f t="shared" ca="1" si="158"/>
        <v>1.4843750000000078E-8</v>
      </c>
      <c r="K483" s="61">
        <f t="shared" ca="1" si="159"/>
        <v>1.7278125000000088E-11</v>
      </c>
      <c r="L483" s="82">
        <f t="shared" ca="1" si="160"/>
        <v>161</v>
      </c>
      <c r="M483" s="16">
        <f t="shared" ca="1" si="161"/>
        <v>839</v>
      </c>
      <c r="N483" s="3">
        <f t="shared" ca="1" si="162"/>
        <v>5</v>
      </c>
      <c r="O483" s="19">
        <f t="shared" ca="1" si="163"/>
        <v>2.8178718937399587</v>
      </c>
      <c r="P483" s="19">
        <f t="shared" ca="1" si="164"/>
        <v>28.178718937399587</v>
      </c>
      <c r="Q483" s="19">
        <f t="shared" ca="1" si="165"/>
        <v>28.178718937399587</v>
      </c>
      <c r="R483" s="19">
        <f t="shared" ca="1" si="166"/>
        <v>2.8178718937399587</v>
      </c>
      <c r="S483" s="19">
        <f t="shared" ca="1" si="167"/>
        <v>2.8178718937399587</v>
      </c>
      <c r="T483" s="19">
        <f t="shared" ca="1" si="168"/>
        <v>4.868754281402597E-11</v>
      </c>
      <c r="U483" s="19">
        <f t="shared" ca="1" si="169"/>
        <v>1420.3251747165598</v>
      </c>
      <c r="V483" s="19">
        <f t="shared" ca="1" si="170"/>
        <v>2.4540555909399684E-8</v>
      </c>
      <c r="W483" s="82">
        <f t="shared" ca="1" si="171"/>
        <v>2317.4615205439818</v>
      </c>
      <c r="X483" s="19">
        <f t="shared" ca="1" si="172"/>
        <v>4.0041389834649189E-8</v>
      </c>
      <c r="Y483" s="19">
        <f t="shared" si="173"/>
        <v>0</v>
      </c>
      <c r="Z483" s="82">
        <f t="shared" ca="1" si="174"/>
        <v>2317.4615205439818</v>
      </c>
      <c r="AA483" s="19">
        <f t="shared" ca="1" si="175"/>
        <v>4.0041389834649189E-8</v>
      </c>
      <c r="AE483" s="19"/>
    </row>
    <row r="484" spans="1:31" ht="12.75" customHeight="1" x14ac:dyDescent="0.2">
      <c r="A484">
        <v>3</v>
      </c>
      <c r="B484">
        <v>2</v>
      </c>
      <c r="C484">
        <f t="shared" ca="1" si="154"/>
        <v>7</v>
      </c>
      <c r="D484">
        <f t="shared" ca="1" si="155"/>
        <v>6</v>
      </c>
      <c r="E484">
        <f t="shared" ca="1" si="156"/>
        <v>3</v>
      </c>
      <c r="F484" s="61">
        <f t="shared" ca="1" si="157"/>
        <v>1.1639999999999999E-3</v>
      </c>
      <c r="G484">
        <v>0</v>
      </c>
      <c r="H484">
        <v>1</v>
      </c>
      <c r="I484">
        <v>7</v>
      </c>
      <c r="J484" s="61">
        <f t="shared" ca="1" si="158"/>
        <v>0</v>
      </c>
      <c r="K484" s="61">
        <f t="shared" ca="1" si="159"/>
        <v>0</v>
      </c>
      <c r="L484" s="82">
        <f t="shared" ca="1" si="160"/>
        <v>238</v>
      </c>
      <c r="M484" s="16">
        <f t="shared" ca="1" si="161"/>
        <v>762</v>
      </c>
      <c r="N484" s="3">
        <f t="shared" ca="1" si="162"/>
        <v>5</v>
      </c>
      <c r="O484" s="19">
        <f t="shared" ca="1" si="163"/>
        <v>2.8178718937399587</v>
      </c>
      <c r="P484" s="19">
        <f t="shared" ca="1" si="164"/>
        <v>25.815886347750073</v>
      </c>
      <c r="Q484" s="19">
        <f t="shared" ca="1" si="165"/>
        <v>23.453053758100552</v>
      </c>
      <c r="R484" s="19">
        <f t="shared" ca="1" si="166"/>
        <v>2.4634470052925312</v>
      </c>
      <c r="S484" s="19">
        <f t="shared" ca="1" si="167"/>
        <v>2.8178718937399587</v>
      </c>
      <c r="T484" s="19">
        <f t="shared" ca="1" si="168"/>
        <v>0</v>
      </c>
      <c r="U484" s="19">
        <f t="shared" ca="1" si="169"/>
        <v>1497.3251747165598</v>
      </c>
      <c r="V484" s="19">
        <f t="shared" ca="1" si="170"/>
        <v>0</v>
      </c>
      <c r="W484" s="82">
        <f t="shared" ca="1" si="171"/>
        <v>3401.3366102430559</v>
      </c>
      <c r="X484" s="19">
        <f t="shared" ca="1" si="172"/>
        <v>0</v>
      </c>
      <c r="Y484" s="19">
        <f t="shared" si="173"/>
        <v>0</v>
      </c>
      <c r="Z484" s="82">
        <f t="shared" ca="1" si="174"/>
        <v>3401.3366102430559</v>
      </c>
      <c r="AA484" s="19">
        <f t="shared" ca="1" si="175"/>
        <v>0</v>
      </c>
      <c r="AE484" s="19"/>
    </row>
    <row r="485" spans="1:31" ht="12.75" customHeight="1" x14ac:dyDescent="0.2">
      <c r="A485">
        <v>3</v>
      </c>
      <c r="B485">
        <v>2</v>
      </c>
      <c r="C485">
        <f t="shared" ca="1" si="154"/>
        <v>7</v>
      </c>
      <c r="D485">
        <f t="shared" ca="1" si="155"/>
        <v>6</v>
      </c>
      <c r="E485">
        <f t="shared" ca="1" si="156"/>
        <v>3</v>
      </c>
      <c r="F485" s="61">
        <f t="shared" ca="1" si="157"/>
        <v>1.1639999999999999E-3</v>
      </c>
      <c r="G485">
        <v>0</v>
      </c>
      <c r="H485">
        <v>1</v>
      </c>
      <c r="I485">
        <v>6</v>
      </c>
      <c r="J485" s="61">
        <f t="shared" ca="1" si="158"/>
        <v>0</v>
      </c>
      <c r="K485" s="61">
        <f t="shared" ca="1" si="159"/>
        <v>0</v>
      </c>
      <c r="L485" s="82">
        <f t="shared" ca="1" si="160"/>
        <v>227</v>
      </c>
      <c r="M485" s="16">
        <f t="shared" ca="1" si="161"/>
        <v>773</v>
      </c>
      <c r="N485" s="3">
        <f t="shared" ca="1" si="162"/>
        <v>5</v>
      </c>
      <c r="O485" s="19">
        <f t="shared" ca="1" si="163"/>
        <v>2.8178718937399587</v>
      </c>
      <c r="P485" s="19">
        <f t="shared" ca="1" si="164"/>
        <v>28.178718937399587</v>
      </c>
      <c r="Q485" s="19">
        <f t="shared" ca="1" si="165"/>
        <v>26.288452865679979</v>
      </c>
      <c r="R485" s="19">
        <f t="shared" ca="1" si="166"/>
        <v>2.7233585901539783</v>
      </c>
      <c r="S485" s="19">
        <f t="shared" ca="1" si="167"/>
        <v>2.8178718937399587</v>
      </c>
      <c r="T485" s="19">
        <f t="shared" ca="1" si="168"/>
        <v>0</v>
      </c>
      <c r="U485" s="19">
        <f t="shared" ca="1" si="169"/>
        <v>1486.3251747165598</v>
      </c>
      <c r="V485" s="19">
        <f t="shared" ca="1" si="170"/>
        <v>0</v>
      </c>
      <c r="W485" s="82">
        <f t="shared" ca="1" si="171"/>
        <v>2915.4313802083334</v>
      </c>
      <c r="X485" s="19">
        <f t="shared" ca="1" si="172"/>
        <v>0</v>
      </c>
      <c r="Y485" s="19">
        <f t="shared" si="173"/>
        <v>0</v>
      </c>
      <c r="Z485" s="82">
        <f t="shared" ca="1" si="174"/>
        <v>2915.4313802083334</v>
      </c>
      <c r="AA485" s="19">
        <f t="shared" ca="1" si="175"/>
        <v>0</v>
      </c>
      <c r="AE485" s="19"/>
    </row>
    <row r="486" spans="1:31" ht="12.75" customHeight="1" x14ac:dyDescent="0.2">
      <c r="A486">
        <v>3</v>
      </c>
      <c r="B486">
        <v>2</v>
      </c>
      <c r="C486">
        <f t="shared" ca="1" si="154"/>
        <v>7</v>
      </c>
      <c r="D486">
        <f t="shared" ca="1" si="155"/>
        <v>6</v>
      </c>
      <c r="E486">
        <f t="shared" ca="1" si="156"/>
        <v>3</v>
      </c>
      <c r="F486" s="61">
        <f t="shared" ca="1" si="157"/>
        <v>1.1639999999999999E-3</v>
      </c>
      <c r="G486">
        <v>0</v>
      </c>
      <c r="H486">
        <v>1</v>
      </c>
      <c r="I486">
        <v>5</v>
      </c>
      <c r="J486" s="61">
        <f t="shared" ca="1" si="158"/>
        <v>0</v>
      </c>
      <c r="K486" s="61">
        <f t="shared" ca="1" si="159"/>
        <v>0</v>
      </c>
      <c r="L486" s="82">
        <f t="shared" ca="1" si="160"/>
        <v>216</v>
      </c>
      <c r="M486" s="16">
        <f t="shared" ca="1" si="161"/>
        <v>784</v>
      </c>
      <c r="N486" s="3">
        <f t="shared" ca="1" si="162"/>
        <v>5</v>
      </c>
      <c r="O486" s="19">
        <f t="shared" ca="1" si="163"/>
        <v>2.8178718937399587</v>
      </c>
      <c r="P486" s="19">
        <f t="shared" ca="1" si="164"/>
        <v>28.178718937399587</v>
      </c>
      <c r="Q486" s="19">
        <f t="shared" ca="1" si="165"/>
        <v>28.178718937399587</v>
      </c>
      <c r="R486" s="19">
        <f t="shared" ca="1" si="166"/>
        <v>2.8178718937399587</v>
      </c>
      <c r="S486" s="19">
        <f t="shared" ca="1" si="167"/>
        <v>2.8178718937399587</v>
      </c>
      <c r="T486" s="19">
        <f t="shared" ca="1" si="168"/>
        <v>0</v>
      </c>
      <c r="U486" s="19">
        <f t="shared" ca="1" si="169"/>
        <v>1475.3251747165598</v>
      </c>
      <c r="V486" s="19">
        <f t="shared" ca="1" si="170"/>
        <v>0</v>
      </c>
      <c r="W486" s="82">
        <f t="shared" ca="1" si="171"/>
        <v>2429.5261501736113</v>
      </c>
      <c r="X486" s="19">
        <f t="shared" ca="1" si="172"/>
        <v>0</v>
      </c>
      <c r="Y486" s="19">
        <f t="shared" si="173"/>
        <v>0</v>
      </c>
      <c r="Z486" s="82">
        <f t="shared" ca="1" si="174"/>
        <v>2429.5261501736113</v>
      </c>
      <c r="AA486" s="19">
        <f t="shared" ca="1" si="175"/>
        <v>0</v>
      </c>
      <c r="AE486" s="19"/>
    </row>
    <row r="487" spans="1:31" ht="12.75" customHeight="1" x14ac:dyDescent="0.2">
      <c r="A487">
        <v>3</v>
      </c>
      <c r="B487">
        <v>2</v>
      </c>
      <c r="C487">
        <f t="shared" ca="1" si="154"/>
        <v>7</v>
      </c>
      <c r="D487">
        <f t="shared" ca="1" si="155"/>
        <v>6</v>
      </c>
      <c r="E487">
        <f t="shared" ca="1" si="156"/>
        <v>3</v>
      </c>
      <c r="F487" s="61">
        <f t="shared" ca="1" si="157"/>
        <v>1.1639999999999999E-3</v>
      </c>
      <c r="G487">
        <v>0</v>
      </c>
      <c r="H487">
        <v>1</v>
      </c>
      <c r="I487">
        <v>4</v>
      </c>
      <c r="J487" s="61">
        <f t="shared" ca="1" si="158"/>
        <v>0</v>
      </c>
      <c r="K487" s="61">
        <f t="shared" ca="1" si="159"/>
        <v>0</v>
      </c>
      <c r="L487" s="82">
        <f t="shared" ca="1" si="160"/>
        <v>205</v>
      </c>
      <c r="M487" s="16">
        <f t="shared" ca="1" si="161"/>
        <v>795</v>
      </c>
      <c r="N487" s="3">
        <f t="shared" ca="1" si="162"/>
        <v>5</v>
      </c>
      <c r="O487" s="19">
        <f t="shared" ca="1" si="163"/>
        <v>2.8178718937399587</v>
      </c>
      <c r="P487" s="19">
        <f t="shared" ca="1" si="164"/>
        <v>28.178718937399587</v>
      </c>
      <c r="Q487" s="19">
        <f t="shared" ca="1" si="165"/>
        <v>28.178718937399587</v>
      </c>
      <c r="R487" s="19">
        <f t="shared" ca="1" si="166"/>
        <v>2.8178718937399587</v>
      </c>
      <c r="S487" s="19">
        <f t="shared" ca="1" si="167"/>
        <v>2.8178718937399587</v>
      </c>
      <c r="T487" s="19">
        <f t="shared" ca="1" si="168"/>
        <v>0</v>
      </c>
      <c r="U487" s="19">
        <f t="shared" ca="1" si="169"/>
        <v>1464.3251747165598</v>
      </c>
      <c r="V487" s="19">
        <f t="shared" ca="1" si="170"/>
        <v>0</v>
      </c>
      <c r="W487" s="82">
        <f t="shared" ca="1" si="171"/>
        <v>1943.620920138889</v>
      </c>
      <c r="X487" s="19">
        <f t="shared" ca="1" si="172"/>
        <v>0</v>
      </c>
      <c r="Y487" s="19">
        <f t="shared" si="173"/>
        <v>0</v>
      </c>
      <c r="Z487" s="82">
        <f t="shared" ca="1" si="174"/>
        <v>1943.620920138889</v>
      </c>
      <c r="AA487" s="19">
        <f t="shared" ca="1" si="175"/>
        <v>0</v>
      </c>
      <c r="AE487" s="19"/>
    </row>
    <row r="488" spans="1:31" ht="12.75" customHeight="1" x14ac:dyDescent="0.2">
      <c r="A488">
        <v>3</v>
      </c>
      <c r="B488">
        <v>2</v>
      </c>
      <c r="C488">
        <f t="shared" ca="1" si="154"/>
        <v>7</v>
      </c>
      <c r="D488">
        <f t="shared" ca="1" si="155"/>
        <v>6</v>
      </c>
      <c r="E488">
        <f t="shared" ca="1" si="156"/>
        <v>3</v>
      </c>
      <c r="F488" s="61">
        <f t="shared" ca="1" si="157"/>
        <v>1.1639999999999999E-3</v>
      </c>
      <c r="G488">
        <v>0</v>
      </c>
      <c r="H488">
        <v>1</v>
      </c>
      <c r="I488">
        <v>3</v>
      </c>
      <c r="J488" s="61">
        <f t="shared" ca="1" si="158"/>
        <v>0</v>
      </c>
      <c r="K488" s="61">
        <f t="shared" ca="1" si="159"/>
        <v>0</v>
      </c>
      <c r="L488" s="82">
        <f t="shared" ca="1" si="160"/>
        <v>194</v>
      </c>
      <c r="M488" s="16">
        <f t="shared" ca="1" si="161"/>
        <v>806</v>
      </c>
      <c r="N488" s="3">
        <f t="shared" ca="1" si="162"/>
        <v>5</v>
      </c>
      <c r="O488" s="19">
        <f t="shared" ca="1" si="163"/>
        <v>2.8178718937399587</v>
      </c>
      <c r="P488" s="19">
        <f t="shared" ca="1" si="164"/>
        <v>28.178718937399587</v>
      </c>
      <c r="Q488" s="19">
        <f t="shared" ca="1" si="165"/>
        <v>28.178718937399587</v>
      </c>
      <c r="R488" s="19">
        <f t="shared" ca="1" si="166"/>
        <v>2.8178718937399587</v>
      </c>
      <c r="S488" s="19">
        <f t="shared" ca="1" si="167"/>
        <v>2.8178718937399587</v>
      </c>
      <c r="T488" s="19">
        <f t="shared" ca="1" si="168"/>
        <v>0</v>
      </c>
      <c r="U488" s="19">
        <f t="shared" ca="1" si="169"/>
        <v>1453.3251747165598</v>
      </c>
      <c r="V488" s="19">
        <f t="shared" ca="1" si="170"/>
        <v>0</v>
      </c>
      <c r="W488" s="82">
        <f t="shared" ca="1" si="171"/>
        <v>1457.7156901041667</v>
      </c>
      <c r="X488" s="19">
        <f t="shared" ca="1" si="172"/>
        <v>0</v>
      </c>
      <c r="Y488" s="19">
        <f t="shared" si="173"/>
        <v>0</v>
      </c>
      <c r="Z488" s="82">
        <f t="shared" ca="1" si="174"/>
        <v>1457.7156901041667</v>
      </c>
      <c r="AA488" s="19">
        <f t="shared" ca="1" si="175"/>
        <v>0</v>
      </c>
      <c r="AE488" s="19"/>
    </row>
    <row r="489" spans="1:31" ht="12.75" customHeight="1" x14ac:dyDescent="0.2">
      <c r="A489">
        <v>3</v>
      </c>
      <c r="B489">
        <v>2</v>
      </c>
      <c r="C489">
        <f t="shared" ca="1" si="154"/>
        <v>7</v>
      </c>
      <c r="D489">
        <f t="shared" ca="1" si="155"/>
        <v>6</v>
      </c>
      <c r="E489">
        <f t="shared" ca="1" si="156"/>
        <v>3</v>
      </c>
      <c r="F489" s="61">
        <f t="shared" ca="1" si="157"/>
        <v>1.1639999999999999E-3</v>
      </c>
      <c r="G489">
        <v>0</v>
      </c>
      <c r="H489">
        <v>1</v>
      </c>
      <c r="I489">
        <v>2</v>
      </c>
      <c r="J489" s="61">
        <f t="shared" ca="1" si="158"/>
        <v>0</v>
      </c>
      <c r="K489" s="61">
        <f t="shared" ca="1" si="159"/>
        <v>0</v>
      </c>
      <c r="L489" s="82">
        <f t="shared" ca="1" si="160"/>
        <v>183</v>
      </c>
      <c r="M489" s="16">
        <f t="shared" ca="1" si="161"/>
        <v>817</v>
      </c>
      <c r="N489" s="3">
        <f t="shared" ca="1" si="162"/>
        <v>5</v>
      </c>
      <c r="O489" s="19">
        <f t="shared" ca="1" si="163"/>
        <v>2.8178718937399587</v>
      </c>
      <c r="P489" s="19">
        <f t="shared" ca="1" si="164"/>
        <v>28.178718937399587</v>
      </c>
      <c r="Q489" s="19">
        <f t="shared" ca="1" si="165"/>
        <v>28.178718937399587</v>
      </c>
      <c r="R489" s="19">
        <f t="shared" ca="1" si="166"/>
        <v>2.8178718937399587</v>
      </c>
      <c r="S489" s="19">
        <f t="shared" ca="1" si="167"/>
        <v>2.8178718937399587</v>
      </c>
      <c r="T489" s="19">
        <f t="shared" ca="1" si="168"/>
        <v>0</v>
      </c>
      <c r="U489" s="19">
        <f t="shared" ca="1" si="169"/>
        <v>1442.3251747165598</v>
      </c>
      <c r="V489" s="19">
        <f t="shared" ca="1" si="170"/>
        <v>0</v>
      </c>
      <c r="W489" s="82">
        <f t="shared" ca="1" si="171"/>
        <v>971.8104600694445</v>
      </c>
      <c r="X489" s="19">
        <f t="shared" ca="1" si="172"/>
        <v>0</v>
      </c>
      <c r="Y489" s="19">
        <f t="shared" si="173"/>
        <v>0</v>
      </c>
      <c r="Z489" s="82">
        <f t="shared" ca="1" si="174"/>
        <v>971.8104600694445</v>
      </c>
      <c r="AA489" s="19">
        <f t="shared" ca="1" si="175"/>
        <v>0</v>
      </c>
      <c r="AE489" s="19"/>
    </row>
    <row r="490" spans="1:31" ht="12.75" customHeight="1" x14ac:dyDescent="0.2">
      <c r="A490">
        <v>3</v>
      </c>
      <c r="B490">
        <v>2</v>
      </c>
      <c r="C490">
        <f t="shared" ca="1" si="154"/>
        <v>7</v>
      </c>
      <c r="D490">
        <f t="shared" ca="1" si="155"/>
        <v>6</v>
      </c>
      <c r="E490">
        <f t="shared" ca="1" si="156"/>
        <v>3</v>
      </c>
      <c r="F490" s="61">
        <f t="shared" ca="1" si="157"/>
        <v>1.1639999999999999E-3</v>
      </c>
      <c r="G490">
        <v>0</v>
      </c>
      <c r="H490">
        <v>1</v>
      </c>
      <c r="I490">
        <v>1</v>
      </c>
      <c r="J490" s="61">
        <f t="shared" ca="1" si="158"/>
        <v>0</v>
      </c>
      <c r="K490" s="61">
        <f t="shared" ca="1" si="159"/>
        <v>0</v>
      </c>
      <c r="L490" s="82">
        <f t="shared" ca="1" si="160"/>
        <v>172</v>
      </c>
      <c r="M490" s="16">
        <f t="shared" ca="1" si="161"/>
        <v>828</v>
      </c>
      <c r="N490" s="3">
        <f t="shared" ca="1" si="162"/>
        <v>5</v>
      </c>
      <c r="O490" s="19">
        <f t="shared" ca="1" si="163"/>
        <v>2.8178718937399587</v>
      </c>
      <c r="P490" s="19">
        <f t="shared" ca="1" si="164"/>
        <v>28.178718937399587</v>
      </c>
      <c r="Q490" s="19">
        <f t="shared" ca="1" si="165"/>
        <v>28.178718937399587</v>
      </c>
      <c r="R490" s="19">
        <f t="shared" ca="1" si="166"/>
        <v>2.8178718937399587</v>
      </c>
      <c r="S490" s="19">
        <f t="shared" ca="1" si="167"/>
        <v>2.8178718937399587</v>
      </c>
      <c r="T490" s="19">
        <f t="shared" ca="1" si="168"/>
        <v>0</v>
      </c>
      <c r="U490" s="19">
        <f t="shared" ca="1" si="169"/>
        <v>1431.3251747165598</v>
      </c>
      <c r="V490" s="19">
        <f t="shared" ca="1" si="170"/>
        <v>0</v>
      </c>
      <c r="W490" s="82">
        <f t="shared" ca="1" si="171"/>
        <v>485.90523003472225</v>
      </c>
      <c r="X490" s="19">
        <f t="shared" ca="1" si="172"/>
        <v>0</v>
      </c>
      <c r="Y490" s="19">
        <f t="shared" si="173"/>
        <v>0</v>
      </c>
      <c r="Z490" s="82">
        <f t="shared" ca="1" si="174"/>
        <v>485.90523003472225</v>
      </c>
      <c r="AA490" s="19">
        <f t="shared" ca="1" si="175"/>
        <v>0</v>
      </c>
      <c r="AE490" s="19"/>
    </row>
    <row r="491" spans="1:31" ht="12.75" customHeight="1" x14ac:dyDescent="0.2">
      <c r="A491">
        <v>3</v>
      </c>
      <c r="B491">
        <v>2</v>
      </c>
      <c r="C491">
        <f t="shared" ca="1" si="154"/>
        <v>7</v>
      </c>
      <c r="D491">
        <f t="shared" ca="1" si="155"/>
        <v>6</v>
      </c>
      <c r="E491">
        <f t="shared" ca="1" si="156"/>
        <v>3</v>
      </c>
      <c r="F491" s="61">
        <f t="shared" ca="1" si="157"/>
        <v>1.1639999999999999E-3</v>
      </c>
      <c r="G491">
        <v>0</v>
      </c>
      <c r="H491">
        <v>1</v>
      </c>
      <c r="I491">
        <v>0</v>
      </c>
      <c r="J491" s="61">
        <f t="shared" ca="1" si="158"/>
        <v>0</v>
      </c>
      <c r="K491" s="61">
        <f t="shared" ca="1" si="159"/>
        <v>0</v>
      </c>
      <c r="L491" s="82">
        <f t="shared" ca="1" si="160"/>
        <v>161</v>
      </c>
      <c r="M491" s="16">
        <f t="shared" ca="1" si="161"/>
        <v>839</v>
      </c>
      <c r="N491" s="3">
        <f t="shared" ca="1" si="162"/>
        <v>5</v>
      </c>
      <c r="O491" s="19">
        <f t="shared" ca="1" si="163"/>
        <v>2.8178718937399587</v>
      </c>
      <c r="P491" s="19">
        <f t="shared" ca="1" si="164"/>
        <v>28.178718937399587</v>
      </c>
      <c r="Q491" s="19">
        <f t="shared" ca="1" si="165"/>
        <v>28.178718937399587</v>
      </c>
      <c r="R491" s="19">
        <f t="shared" ca="1" si="166"/>
        <v>2.8178718937399587</v>
      </c>
      <c r="S491" s="19">
        <f t="shared" ca="1" si="167"/>
        <v>2.8178718937399587</v>
      </c>
      <c r="T491" s="19">
        <f t="shared" ca="1" si="168"/>
        <v>0</v>
      </c>
      <c r="U491" s="19">
        <f t="shared" ca="1" si="169"/>
        <v>1420.3251747165598</v>
      </c>
      <c r="V491" s="19">
        <f t="shared" ca="1" si="170"/>
        <v>0</v>
      </c>
      <c r="W491" s="82">
        <f t="shared" ca="1" si="171"/>
        <v>0</v>
      </c>
      <c r="X491" s="19">
        <f t="shared" ca="1" si="172"/>
        <v>0</v>
      </c>
      <c r="Y491" s="19">
        <f t="shared" si="173"/>
        <v>0</v>
      </c>
      <c r="Z491" s="82">
        <f t="shared" ca="1" si="174"/>
        <v>0</v>
      </c>
      <c r="AA491" s="19">
        <f t="shared" ca="1" si="175"/>
        <v>0</v>
      </c>
      <c r="AE491" s="19"/>
    </row>
    <row r="492" spans="1:31" ht="12.75" customHeight="1" x14ac:dyDescent="0.2">
      <c r="A492">
        <v>3</v>
      </c>
      <c r="B492">
        <v>2</v>
      </c>
      <c r="C492">
        <f t="shared" ca="1" si="154"/>
        <v>7</v>
      </c>
      <c r="D492">
        <f t="shared" ca="1" si="155"/>
        <v>6</v>
      </c>
      <c r="E492">
        <f t="shared" ca="1" si="156"/>
        <v>3</v>
      </c>
      <c r="F492" s="61">
        <f t="shared" ca="1" si="157"/>
        <v>1.1639999999999999E-3</v>
      </c>
      <c r="G492">
        <v>0</v>
      </c>
      <c r="H492">
        <v>0</v>
      </c>
      <c r="I492">
        <v>7</v>
      </c>
      <c r="J492" s="61">
        <f t="shared" ca="1" si="158"/>
        <v>0</v>
      </c>
      <c r="K492" s="61">
        <f t="shared" ca="1" si="159"/>
        <v>0</v>
      </c>
      <c r="L492" s="82">
        <f t="shared" ca="1" si="160"/>
        <v>77</v>
      </c>
      <c r="M492" s="16">
        <f t="shared" ca="1" si="161"/>
        <v>923</v>
      </c>
      <c r="N492" s="3">
        <f t="shared" ca="1" si="162"/>
        <v>5</v>
      </c>
      <c r="O492" s="19">
        <f t="shared" ca="1" si="163"/>
        <v>2.8178718937399587</v>
      </c>
      <c r="P492" s="19">
        <f t="shared" ca="1" si="164"/>
        <v>28.178718937399587</v>
      </c>
      <c r="Q492" s="19">
        <f t="shared" ca="1" si="165"/>
        <v>28.178718937399587</v>
      </c>
      <c r="R492" s="19">
        <f t="shared" ca="1" si="166"/>
        <v>2.8178718937399587</v>
      </c>
      <c r="S492" s="19">
        <f t="shared" ca="1" si="167"/>
        <v>2.8178718937399587</v>
      </c>
      <c r="T492" s="19">
        <f t="shared" ca="1" si="168"/>
        <v>0</v>
      </c>
      <c r="U492" s="19">
        <f t="shared" ca="1" si="169"/>
        <v>1336.3251747165598</v>
      </c>
      <c r="V492" s="19">
        <f t="shared" ca="1" si="170"/>
        <v>0</v>
      </c>
      <c r="W492" s="82">
        <f t="shared" ca="1" si="171"/>
        <v>3401.3366102430559</v>
      </c>
      <c r="X492" s="19">
        <f t="shared" ca="1" si="172"/>
        <v>0</v>
      </c>
      <c r="Y492" s="19">
        <f t="shared" si="173"/>
        <v>0</v>
      </c>
      <c r="Z492" s="82">
        <f t="shared" ca="1" si="174"/>
        <v>3401.3366102430559</v>
      </c>
      <c r="AA492" s="19">
        <f t="shared" ca="1" si="175"/>
        <v>0</v>
      </c>
      <c r="AE492" s="19"/>
    </row>
    <row r="493" spans="1:31" ht="12.75" customHeight="1" x14ac:dyDescent="0.2">
      <c r="A493">
        <v>3</v>
      </c>
      <c r="B493">
        <v>2</v>
      </c>
      <c r="C493">
        <f t="shared" ca="1" si="154"/>
        <v>7</v>
      </c>
      <c r="D493">
        <f t="shared" ca="1" si="155"/>
        <v>6</v>
      </c>
      <c r="E493">
        <f t="shared" ca="1" si="156"/>
        <v>3</v>
      </c>
      <c r="F493" s="61">
        <f t="shared" ca="1" si="157"/>
        <v>1.1639999999999999E-3</v>
      </c>
      <c r="G493">
        <v>0</v>
      </c>
      <c r="H493">
        <v>0</v>
      </c>
      <c r="I493">
        <v>6</v>
      </c>
      <c r="J493" s="61">
        <f t="shared" ca="1" si="158"/>
        <v>3.6754594531249997E-2</v>
      </c>
      <c r="K493" s="61">
        <f t="shared" ca="1" si="159"/>
        <v>4.2782348034374992E-5</v>
      </c>
      <c r="L493" s="82">
        <f t="shared" ca="1" si="160"/>
        <v>66</v>
      </c>
      <c r="M493" s="16">
        <f t="shared" ca="1" si="161"/>
        <v>934</v>
      </c>
      <c r="N493" s="3">
        <f t="shared" ca="1" si="162"/>
        <v>5</v>
      </c>
      <c r="O493" s="19">
        <f t="shared" ca="1" si="163"/>
        <v>2.8178718937399587</v>
      </c>
      <c r="P493" s="19">
        <f t="shared" ca="1" si="164"/>
        <v>28.178718937399587</v>
      </c>
      <c r="Q493" s="19">
        <f t="shared" ca="1" si="165"/>
        <v>28.178718937399587</v>
      </c>
      <c r="R493" s="19">
        <f t="shared" ca="1" si="166"/>
        <v>2.8178718937399587</v>
      </c>
      <c r="S493" s="19">
        <f t="shared" ca="1" si="167"/>
        <v>2.8178718937399587</v>
      </c>
      <c r="T493" s="19">
        <f t="shared" ca="1" si="168"/>
        <v>1.2055517607426626E-4</v>
      </c>
      <c r="U493" s="19">
        <f t="shared" ca="1" si="169"/>
        <v>1325.3251747165598</v>
      </c>
      <c r="V493" s="19">
        <f t="shared" ca="1" si="170"/>
        <v>5.6700522883442704E-2</v>
      </c>
      <c r="W493" s="82">
        <f t="shared" ca="1" si="171"/>
        <v>2915.4313802083334</v>
      </c>
      <c r="X493" s="19">
        <f t="shared" ca="1" si="172"/>
        <v>0.12472899997841116</v>
      </c>
      <c r="Y493" s="19">
        <f t="shared" si="173"/>
        <v>0</v>
      </c>
      <c r="Z493" s="82">
        <f t="shared" ca="1" si="174"/>
        <v>2915.4313802083334</v>
      </c>
      <c r="AA493" s="19">
        <f t="shared" ca="1" si="175"/>
        <v>0.12472899997841116</v>
      </c>
      <c r="AE493" s="19"/>
    </row>
    <row r="494" spans="1:31" ht="12.75" customHeight="1" x14ac:dyDescent="0.2">
      <c r="A494">
        <v>3</v>
      </c>
      <c r="B494">
        <v>2</v>
      </c>
      <c r="C494">
        <f t="shared" ca="1" si="154"/>
        <v>7</v>
      </c>
      <c r="D494">
        <f t="shared" ca="1" si="155"/>
        <v>6</v>
      </c>
      <c r="E494">
        <f t="shared" ca="1" si="156"/>
        <v>3</v>
      </c>
      <c r="F494" s="61">
        <f t="shared" ca="1" si="157"/>
        <v>1.1639999999999999E-3</v>
      </c>
      <c r="G494">
        <v>0</v>
      </c>
      <c r="H494">
        <v>0</v>
      </c>
      <c r="I494">
        <v>5</v>
      </c>
      <c r="J494" s="61">
        <f t="shared" ca="1" si="158"/>
        <v>1.1606714062500011E-2</v>
      </c>
      <c r="K494" s="61">
        <f t="shared" ca="1" si="159"/>
        <v>1.3510215168750011E-5</v>
      </c>
      <c r="L494" s="82">
        <f t="shared" ca="1" si="160"/>
        <v>55</v>
      </c>
      <c r="M494" s="16">
        <f t="shared" ca="1" si="161"/>
        <v>945</v>
      </c>
      <c r="N494" s="3">
        <f t="shared" ca="1" si="162"/>
        <v>5</v>
      </c>
      <c r="O494" s="19">
        <f t="shared" ca="1" si="163"/>
        <v>2.8178718937399587</v>
      </c>
      <c r="P494" s="19">
        <f t="shared" ca="1" si="164"/>
        <v>28.178718937399587</v>
      </c>
      <c r="Q494" s="19">
        <f t="shared" ca="1" si="165"/>
        <v>28.178718937399587</v>
      </c>
      <c r="R494" s="19">
        <f t="shared" ca="1" si="166"/>
        <v>2.8178718937399587</v>
      </c>
      <c r="S494" s="19">
        <f t="shared" ca="1" si="167"/>
        <v>2.8178718937399587</v>
      </c>
      <c r="T494" s="19">
        <f t="shared" ca="1" si="168"/>
        <v>3.8070055602399908E-5</v>
      </c>
      <c r="U494" s="19">
        <f t="shared" ca="1" si="169"/>
        <v>1314.3251747165598</v>
      </c>
      <c r="V494" s="19">
        <f t="shared" ca="1" si="170"/>
        <v>1.7756815912125676E-2</v>
      </c>
      <c r="W494" s="82">
        <f t="shared" ca="1" si="171"/>
        <v>2429.5261501736113</v>
      </c>
      <c r="X494" s="19">
        <f t="shared" ca="1" si="172"/>
        <v>3.2823421046950338E-2</v>
      </c>
      <c r="Y494" s="19">
        <f t="shared" si="173"/>
        <v>0</v>
      </c>
      <c r="Z494" s="82">
        <f t="shared" ca="1" si="174"/>
        <v>2429.5261501736113</v>
      </c>
      <c r="AA494" s="19">
        <f t="shared" ca="1" si="175"/>
        <v>3.2823421046950338E-2</v>
      </c>
      <c r="AE494" s="19"/>
    </row>
    <row r="495" spans="1:31" ht="12.75" customHeight="1" x14ac:dyDescent="0.2">
      <c r="A495">
        <v>3</v>
      </c>
      <c r="B495">
        <v>2</v>
      </c>
      <c r="C495">
        <f t="shared" ca="1" si="154"/>
        <v>7</v>
      </c>
      <c r="D495">
        <f t="shared" ca="1" si="155"/>
        <v>6</v>
      </c>
      <c r="E495">
        <f t="shared" ca="1" si="156"/>
        <v>3</v>
      </c>
      <c r="F495" s="61">
        <f t="shared" ca="1" si="157"/>
        <v>1.1639999999999999E-3</v>
      </c>
      <c r="G495">
        <v>0</v>
      </c>
      <c r="H495">
        <v>0</v>
      </c>
      <c r="I495">
        <v>4</v>
      </c>
      <c r="J495" s="61">
        <f t="shared" ca="1" si="158"/>
        <v>1.5271992187500026E-3</v>
      </c>
      <c r="K495" s="61">
        <f t="shared" ca="1" si="159"/>
        <v>1.7776598906250029E-6</v>
      </c>
      <c r="L495" s="82">
        <f t="shared" ca="1" si="160"/>
        <v>44</v>
      </c>
      <c r="M495" s="16">
        <f t="shared" ca="1" si="161"/>
        <v>956</v>
      </c>
      <c r="N495" s="3">
        <f t="shared" ca="1" si="162"/>
        <v>6</v>
      </c>
      <c r="O495" s="19">
        <f t="shared" ca="1" si="163"/>
        <v>3.3239268932937667</v>
      </c>
      <c r="P495" s="19">
        <f t="shared" ca="1" si="164"/>
        <v>33.239268932937669</v>
      </c>
      <c r="Q495" s="19">
        <f t="shared" ca="1" si="165"/>
        <v>28.178718937399587</v>
      </c>
      <c r="R495" s="19">
        <f t="shared" ca="1" si="166"/>
        <v>3.0708993935168629</v>
      </c>
      <c r="S495" s="19">
        <f t="shared" ca="1" si="167"/>
        <v>3.3239268932937667</v>
      </c>
      <c r="T495" s="19">
        <f t="shared" ca="1" si="168"/>
        <v>5.9088115175781028E-6</v>
      </c>
      <c r="U495" s="19">
        <f t="shared" ca="1" si="169"/>
        <v>1495.4024523027438</v>
      </c>
      <c r="V495" s="19">
        <f t="shared" ca="1" si="170"/>
        <v>2.6583169598008564E-3</v>
      </c>
      <c r="W495" s="82">
        <f t="shared" ca="1" si="171"/>
        <v>1943.620920138889</v>
      </c>
      <c r="X495" s="19">
        <f t="shared" ca="1" si="172"/>
        <v>3.455096952310565E-3</v>
      </c>
      <c r="Y495" s="19">
        <f t="shared" si="173"/>
        <v>0</v>
      </c>
      <c r="Z495" s="82">
        <f t="shared" ca="1" si="174"/>
        <v>1943.620920138889</v>
      </c>
      <c r="AA495" s="19">
        <f t="shared" ca="1" si="175"/>
        <v>3.455096952310565E-3</v>
      </c>
      <c r="AE495" s="19"/>
    </row>
    <row r="496" spans="1:31" ht="12.75" customHeight="1" x14ac:dyDescent="0.2">
      <c r="A496">
        <v>3</v>
      </c>
      <c r="B496">
        <v>2</v>
      </c>
      <c r="C496">
        <f t="shared" ca="1" si="154"/>
        <v>7</v>
      </c>
      <c r="D496">
        <f t="shared" ca="1" si="155"/>
        <v>6</v>
      </c>
      <c r="E496">
        <f t="shared" ca="1" si="156"/>
        <v>3</v>
      </c>
      <c r="F496" s="61">
        <f t="shared" ca="1" si="157"/>
        <v>1.1639999999999999E-3</v>
      </c>
      <c r="G496">
        <v>0</v>
      </c>
      <c r="H496">
        <v>0</v>
      </c>
      <c r="I496">
        <v>3</v>
      </c>
      <c r="J496" s="61">
        <f t="shared" ca="1" si="158"/>
        <v>1.0717187500000027E-4</v>
      </c>
      <c r="K496" s="61">
        <f t="shared" ca="1" si="159"/>
        <v>1.2474806250000031E-7</v>
      </c>
      <c r="L496" s="82">
        <f t="shared" ca="1" si="160"/>
        <v>33</v>
      </c>
      <c r="M496" s="16">
        <f t="shared" ca="1" si="161"/>
        <v>967</v>
      </c>
      <c r="N496" s="3">
        <f t="shared" ca="1" si="162"/>
        <v>6</v>
      </c>
      <c r="O496" s="19">
        <f t="shared" ca="1" si="163"/>
        <v>3.3239268932937667</v>
      </c>
      <c r="P496" s="19">
        <f t="shared" ca="1" si="164"/>
        <v>33.239268932937669</v>
      </c>
      <c r="Q496" s="19">
        <f t="shared" ca="1" si="165"/>
        <v>33.239268932937669</v>
      </c>
      <c r="R496" s="19">
        <f t="shared" ca="1" si="166"/>
        <v>3.3239268932937671</v>
      </c>
      <c r="S496" s="19">
        <f t="shared" ca="1" si="167"/>
        <v>3.3239268932937667</v>
      </c>
      <c r="T496" s="19">
        <f t="shared" ca="1" si="168"/>
        <v>4.1465343983004264E-7</v>
      </c>
      <c r="U496" s="19">
        <f t="shared" ca="1" si="169"/>
        <v>1484.4024523027438</v>
      </c>
      <c r="V496" s="19">
        <f t="shared" ca="1" si="170"/>
        <v>1.8517632989501639E-4</v>
      </c>
      <c r="W496" s="82">
        <f t="shared" ca="1" si="171"/>
        <v>1457.7156901041667</v>
      </c>
      <c r="X496" s="19">
        <f t="shared" ca="1" si="172"/>
        <v>1.8184720801634567E-4</v>
      </c>
      <c r="Y496" s="19">
        <f t="shared" si="173"/>
        <v>0</v>
      </c>
      <c r="Z496" s="82">
        <f t="shared" ca="1" si="174"/>
        <v>1457.7156901041667</v>
      </c>
      <c r="AA496" s="19">
        <f t="shared" ca="1" si="175"/>
        <v>1.8184720801634567E-4</v>
      </c>
      <c r="AE496" s="19"/>
    </row>
    <row r="497" spans="1:31" ht="12.75" customHeight="1" x14ac:dyDescent="0.2">
      <c r="A497">
        <v>3</v>
      </c>
      <c r="B497">
        <v>2</v>
      </c>
      <c r="C497">
        <f t="shared" ca="1" si="154"/>
        <v>7</v>
      </c>
      <c r="D497">
        <f t="shared" ca="1" si="155"/>
        <v>6</v>
      </c>
      <c r="E497">
        <f t="shared" ca="1" si="156"/>
        <v>3</v>
      </c>
      <c r="F497" s="61">
        <f t="shared" ca="1" si="157"/>
        <v>1.1639999999999999E-3</v>
      </c>
      <c r="G497">
        <v>0</v>
      </c>
      <c r="H497">
        <v>0</v>
      </c>
      <c r="I497">
        <v>2</v>
      </c>
      <c r="J497" s="61">
        <f t="shared" ca="1" si="158"/>
        <v>4.2304687500000152E-6</v>
      </c>
      <c r="K497" s="61">
        <f t="shared" ca="1" si="159"/>
        <v>4.9242656250000172E-9</v>
      </c>
      <c r="L497" s="82">
        <f t="shared" ca="1" si="160"/>
        <v>22</v>
      </c>
      <c r="M497" s="16">
        <f t="shared" ca="1" si="161"/>
        <v>978</v>
      </c>
      <c r="N497" s="3">
        <f t="shared" ca="1" si="162"/>
        <v>6</v>
      </c>
      <c r="O497" s="19">
        <f t="shared" ca="1" si="163"/>
        <v>3.3239268932937667</v>
      </c>
      <c r="P497" s="19">
        <f t="shared" ca="1" si="164"/>
        <v>33.239268932937669</v>
      </c>
      <c r="Q497" s="19">
        <f t="shared" ca="1" si="165"/>
        <v>33.239268932937669</v>
      </c>
      <c r="R497" s="19">
        <f t="shared" ca="1" si="166"/>
        <v>3.3239268932937671</v>
      </c>
      <c r="S497" s="19">
        <f t="shared" ca="1" si="167"/>
        <v>3.3239268932937667</v>
      </c>
      <c r="T497" s="19">
        <f t="shared" ca="1" si="168"/>
        <v>1.6367898940659597E-8</v>
      </c>
      <c r="U497" s="19">
        <f t="shared" ca="1" si="169"/>
        <v>1473.4024523027438</v>
      </c>
      <c r="V497" s="19">
        <f t="shared" ca="1" si="170"/>
        <v>7.2554250476651283E-6</v>
      </c>
      <c r="W497" s="82">
        <f t="shared" ca="1" si="171"/>
        <v>971.8104600694445</v>
      </c>
      <c r="X497" s="19">
        <f t="shared" ca="1" si="172"/>
        <v>4.7854528425354171E-6</v>
      </c>
      <c r="Y497" s="19">
        <f t="shared" si="173"/>
        <v>0</v>
      </c>
      <c r="Z497" s="82">
        <f t="shared" ca="1" si="174"/>
        <v>971.8104600694445</v>
      </c>
      <c r="AA497" s="19">
        <f t="shared" ca="1" si="175"/>
        <v>4.7854528425354171E-6</v>
      </c>
      <c r="AE497" s="19"/>
    </row>
    <row r="498" spans="1:31" ht="12.75" customHeight="1" x14ac:dyDescent="0.2">
      <c r="A498">
        <v>3</v>
      </c>
      <c r="B498">
        <v>2</v>
      </c>
      <c r="C498">
        <f t="shared" ca="1" si="154"/>
        <v>7</v>
      </c>
      <c r="D498">
        <f t="shared" ca="1" si="155"/>
        <v>6</v>
      </c>
      <c r="E498">
        <f t="shared" ca="1" si="156"/>
        <v>3</v>
      </c>
      <c r="F498" s="61">
        <f t="shared" ca="1" si="157"/>
        <v>1.1639999999999999E-3</v>
      </c>
      <c r="G498">
        <v>0</v>
      </c>
      <c r="H498">
        <v>0</v>
      </c>
      <c r="I498">
        <v>1</v>
      </c>
      <c r="J498" s="61">
        <f t="shared" ca="1" si="158"/>
        <v>8.9062500000000418E-8</v>
      </c>
      <c r="K498" s="61">
        <f t="shared" ca="1" si="159"/>
        <v>1.0366875000000048E-10</v>
      </c>
      <c r="L498" s="82">
        <f t="shared" ca="1" si="160"/>
        <v>11</v>
      </c>
      <c r="M498" s="16">
        <f t="shared" ca="1" si="161"/>
        <v>989</v>
      </c>
      <c r="N498" s="3">
        <f t="shared" ca="1" si="162"/>
        <v>6</v>
      </c>
      <c r="O498" s="19">
        <f t="shared" ca="1" si="163"/>
        <v>3.3239268932937667</v>
      </c>
      <c r="P498" s="19">
        <f t="shared" ca="1" si="164"/>
        <v>33.239268932937669</v>
      </c>
      <c r="Q498" s="19">
        <f t="shared" ca="1" si="165"/>
        <v>33.239268932937669</v>
      </c>
      <c r="R498" s="19">
        <f t="shared" ca="1" si="166"/>
        <v>3.3239268932937671</v>
      </c>
      <c r="S498" s="19">
        <f t="shared" ca="1" si="167"/>
        <v>3.3239268932937667</v>
      </c>
      <c r="T498" s="19">
        <f t="shared" ca="1" si="168"/>
        <v>3.4458734611914979E-10</v>
      </c>
      <c r="U498" s="19">
        <f t="shared" ca="1" si="169"/>
        <v>1462.4024523027438</v>
      </c>
      <c r="V498" s="19">
        <f t="shared" ca="1" si="170"/>
        <v>1.5160543422716076E-7</v>
      </c>
      <c r="W498" s="82">
        <f t="shared" ca="1" si="171"/>
        <v>485.90523003472225</v>
      </c>
      <c r="X498" s="19">
        <f t="shared" ca="1" si="172"/>
        <v>5.0373187816162349E-8</v>
      </c>
      <c r="Y498" s="19">
        <f t="shared" si="173"/>
        <v>0</v>
      </c>
      <c r="Z498" s="82">
        <f t="shared" ca="1" si="174"/>
        <v>485.90523003472225</v>
      </c>
      <c r="AA498" s="19">
        <f t="shared" ca="1" si="175"/>
        <v>5.0373187816162349E-8</v>
      </c>
      <c r="AE498" s="19"/>
    </row>
    <row r="499" spans="1:31" ht="12.75" customHeight="1" x14ac:dyDescent="0.2">
      <c r="A499">
        <v>3</v>
      </c>
      <c r="B499">
        <v>2</v>
      </c>
      <c r="C499">
        <f t="shared" ca="1" si="154"/>
        <v>7</v>
      </c>
      <c r="D499">
        <f t="shared" ca="1" si="155"/>
        <v>6</v>
      </c>
      <c r="E499">
        <f t="shared" ca="1" si="156"/>
        <v>3</v>
      </c>
      <c r="F499" s="61">
        <f t="shared" ca="1" si="157"/>
        <v>1.1639999999999999E-3</v>
      </c>
      <c r="G499">
        <v>0</v>
      </c>
      <c r="H499">
        <v>0</v>
      </c>
      <c r="I499">
        <v>0</v>
      </c>
      <c r="J499" s="61">
        <f t="shared" ca="1" si="158"/>
        <v>7.812500000000041E-10</v>
      </c>
      <c r="K499" s="61">
        <f t="shared" ca="1" si="159"/>
        <v>9.093750000000047E-13</v>
      </c>
      <c r="L499" s="82">
        <f t="shared" ca="1" si="160"/>
        <v>0</v>
      </c>
      <c r="M499" s="16">
        <f t="shared" ca="1" si="161"/>
        <v>1000</v>
      </c>
      <c r="N499" s="3">
        <f t="shared" ca="1" si="162"/>
        <v>6</v>
      </c>
      <c r="O499" s="19">
        <f t="shared" ca="1" si="163"/>
        <v>3.3239268932937667</v>
      </c>
      <c r="P499" s="19">
        <f t="shared" ca="1" si="164"/>
        <v>33.239268932937669</v>
      </c>
      <c r="Q499" s="19">
        <f t="shared" ca="1" si="165"/>
        <v>33.239268932937669</v>
      </c>
      <c r="R499" s="19">
        <f t="shared" ca="1" si="166"/>
        <v>3.3239268932937671</v>
      </c>
      <c r="S499" s="19">
        <f t="shared" ca="1" si="167"/>
        <v>3.3239268932937667</v>
      </c>
      <c r="T499" s="19">
        <f t="shared" ca="1" si="168"/>
        <v>3.0226960185890346E-12</v>
      </c>
      <c r="U499" s="19">
        <f t="shared" ca="1" si="169"/>
        <v>1451.4024523027438</v>
      </c>
      <c r="V499" s="19">
        <f t="shared" ca="1" si="170"/>
        <v>1.3198691050628144E-9</v>
      </c>
      <c r="W499" s="82">
        <f t="shared" ca="1" si="171"/>
        <v>0</v>
      </c>
      <c r="X499" s="19">
        <f t="shared" ca="1" si="172"/>
        <v>0</v>
      </c>
      <c r="Y499" s="19">
        <f t="shared" si="173"/>
        <v>0</v>
      </c>
      <c r="Z499" s="82">
        <f t="shared" ca="1" si="174"/>
        <v>0</v>
      </c>
      <c r="AA499" s="19">
        <f t="shared" ca="1" si="175"/>
        <v>0</v>
      </c>
      <c r="AE499" s="19"/>
    </row>
    <row r="500" spans="1:31" ht="12.75" customHeight="1" x14ac:dyDescent="0.2">
      <c r="A500">
        <v>3</v>
      </c>
      <c r="B500">
        <v>3</v>
      </c>
      <c r="C500">
        <f t="shared" ca="1" si="154"/>
        <v>8</v>
      </c>
      <c r="D500">
        <f t="shared" ca="1" si="155"/>
        <v>7</v>
      </c>
      <c r="E500">
        <f t="shared" ca="1" si="156"/>
        <v>3</v>
      </c>
      <c r="F500" s="61">
        <f t="shared" ca="1" si="157"/>
        <v>8.9999999999999998E-4</v>
      </c>
      <c r="G500">
        <v>1</v>
      </c>
      <c r="H500">
        <v>1</v>
      </c>
      <c r="I500">
        <v>7</v>
      </c>
      <c r="J500" s="61">
        <f t="shared" ca="1" si="158"/>
        <v>0</v>
      </c>
      <c r="K500" s="61">
        <f t="shared" ca="1" si="159"/>
        <v>0</v>
      </c>
      <c r="L500" s="82">
        <f t="shared" ca="1" si="160"/>
        <v>399</v>
      </c>
      <c r="M500" s="16">
        <f t="shared" ca="1" si="161"/>
        <v>601</v>
      </c>
      <c r="N500" s="3">
        <f t="shared" ca="1" si="162"/>
        <v>4</v>
      </c>
      <c r="O500" s="19">
        <f t="shared" ca="1" si="163"/>
        <v>2.3453053758100548</v>
      </c>
      <c r="P500" s="19">
        <f t="shared" ca="1" si="164"/>
        <v>23.453053758100552</v>
      </c>
      <c r="Q500" s="19">
        <f t="shared" ca="1" si="165"/>
        <v>23.453053758100552</v>
      </c>
      <c r="R500" s="19">
        <f t="shared" ca="1" si="166"/>
        <v>2.3453053758100553</v>
      </c>
      <c r="S500" s="19">
        <f t="shared" ca="1" si="167"/>
        <v>2.3453053758100548</v>
      </c>
      <c r="T500" s="19">
        <f t="shared" ca="1" si="168"/>
        <v>0</v>
      </c>
      <c r="U500" s="19">
        <f t="shared" ca="1" si="169"/>
        <v>1478.9587218163997</v>
      </c>
      <c r="V500" s="19">
        <f t="shared" ca="1" si="170"/>
        <v>0</v>
      </c>
      <c r="W500" s="82">
        <f t="shared" ca="1" si="171"/>
        <v>5718.7981307870377</v>
      </c>
      <c r="X500" s="19">
        <f t="shared" ca="1" si="172"/>
        <v>0</v>
      </c>
      <c r="Y500" s="19">
        <f t="shared" si="173"/>
        <v>0</v>
      </c>
      <c r="Z500" s="82">
        <f t="shared" ca="1" si="174"/>
        <v>5718.7981307870377</v>
      </c>
      <c r="AA500" s="19">
        <f t="shared" ca="1" si="175"/>
        <v>0</v>
      </c>
      <c r="AE500" s="19"/>
    </row>
    <row r="501" spans="1:31" ht="12.75" customHeight="1" x14ac:dyDescent="0.2">
      <c r="A501">
        <v>3</v>
      </c>
      <c r="B501">
        <v>3</v>
      </c>
      <c r="C501">
        <f t="shared" ca="1" si="154"/>
        <v>8</v>
      </c>
      <c r="D501">
        <f t="shared" ca="1" si="155"/>
        <v>7</v>
      </c>
      <c r="E501">
        <f t="shared" ca="1" si="156"/>
        <v>3</v>
      </c>
      <c r="F501" s="61">
        <f t="shared" ca="1" si="157"/>
        <v>8.9999999999999998E-4</v>
      </c>
      <c r="G501">
        <v>1</v>
      </c>
      <c r="H501">
        <v>1</v>
      </c>
      <c r="I501">
        <v>6</v>
      </c>
      <c r="J501" s="61">
        <f t="shared" ca="1" si="158"/>
        <v>0</v>
      </c>
      <c r="K501" s="61">
        <f t="shared" ca="1" si="159"/>
        <v>0</v>
      </c>
      <c r="L501" s="82">
        <f t="shared" ca="1" si="160"/>
        <v>388</v>
      </c>
      <c r="M501" s="16">
        <f t="shared" ca="1" si="161"/>
        <v>612</v>
      </c>
      <c r="N501" s="3">
        <f t="shared" ca="1" si="162"/>
        <v>4</v>
      </c>
      <c r="O501" s="19">
        <f t="shared" ca="1" si="163"/>
        <v>2.3453053758100548</v>
      </c>
      <c r="P501" s="19">
        <f t="shared" ca="1" si="164"/>
        <v>23.453053758100552</v>
      </c>
      <c r="Q501" s="19">
        <f t="shared" ca="1" si="165"/>
        <v>23.453053758100552</v>
      </c>
      <c r="R501" s="19">
        <f t="shared" ca="1" si="166"/>
        <v>2.3453053758100553</v>
      </c>
      <c r="S501" s="19">
        <f t="shared" ca="1" si="167"/>
        <v>2.3453053758100548</v>
      </c>
      <c r="T501" s="19">
        <f t="shared" ca="1" si="168"/>
        <v>0</v>
      </c>
      <c r="U501" s="19">
        <f t="shared" ca="1" si="169"/>
        <v>1467.9587218163997</v>
      </c>
      <c r="V501" s="19">
        <f t="shared" ca="1" si="170"/>
        <v>0</v>
      </c>
      <c r="W501" s="82">
        <f t="shared" ca="1" si="171"/>
        <v>5232.8929007523147</v>
      </c>
      <c r="X501" s="19">
        <f t="shared" ca="1" si="172"/>
        <v>0</v>
      </c>
      <c r="Y501" s="19">
        <f t="shared" si="173"/>
        <v>0</v>
      </c>
      <c r="Z501" s="82">
        <f t="shared" ca="1" si="174"/>
        <v>5232.8929007523147</v>
      </c>
      <c r="AA501" s="19">
        <f t="shared" ca="1" si="175"/>
        <v>0</v>
      </c>
      <c r="AE501" s="19"/>
    </row>
    <row r="502" spans="1:31" ht="12.75" customHeight="1" x14ac:dyDescent="0.2">
      <c r="A502">
        <v>3</v>
      </c>
      <c r="B502">
        <v>3</v>
      </c>
      <c r="C502">
        <f t="shared" ca="1" si="154"/>
        <v>8</v>
      </c>
      <c r="D502">
        <f t="shared" ca="1" si="155"/>
        <v>7</v>
      </c>
      <c r="E502">
        <f t="shared" ca="1" si="156"/>
        <v>3</v>
      </c>
      <c r="F502" s="61">
        <f t="shared" ca="1" si="157"/>
        <v>8.9999999999999998E-4</v>
      </c>
      <c r="G502">
        <v>1</v>
      </c>
      <c r="H502">
        <v>1</v>
      </c>
      <c r="I502">
        <v>5</v>
      </c>
      <c r="J502" s="61">
        <f t="shared" ca="1" si="158"/>
        <v>0</v>
      </c>
      <c r="K502" s="61">
        <f t="shared" ca="1" si="159"/>
        <v>0</v>
      </c>
      <c r="L502" s="82">
        <f t="shared" ca="1" si="160"/>
        <v>377</v>
      </c>
      <c r="M502" s="16">
        <f t="shared" ca="1" si="161"/>
        <v>623</v>
      </c>
      <c r="N502" s="3">
        <f t="shared" ca="1" si="162"/>
        <v>4</v>
      </c>
      <c r="O502" s="19">
        <f t="shared" ca="1" si="163"/>
        <v>2.3453053758100548</v>
      </c>
      <c r="P502" s="19">
        <f t="shared" ca="1" si="164"/>
        <v>23.453053758100552</v>
      </c>
      <c r="Q502" s="19">
        <f t="shared" ca="1" si="165"/>
        <v>23.453053758100552</v>
      </c>
      <c r="R502" s="19">
        <f t="shared" ca="1" si="166"/>
        <v>2.3453053758100553</v>
      </c>
      <c r="S502" s="19">
        <f t="shared" ca="1" si="167"/>
        <v>2.3453053758100548</v>
      </c>
      <c r="T502" s="19">
        <f t="shared" ca="1" si="168"/>
        <v>0</v>
      </c>
      <c r="U502" s="19">
        <f t="shared" ca="1" si="169"/>
        <v>1456.9587218163997</v>
      </c>
      <c r="V502" s="19">
        <f t="shared" ca="1" si="170"/>
        <v>0</v>
      </c>
      <c r="W502" s="82">
        <f t="shared" ca="1" si="171"/>
        <v>4746.9876707175936</v>
      </c>
      <c r="X502" s="19">
        <f t="shared" ca="1" si="172"/>
        <v>0</v>
      </c>
      <c r="Y502" s="19">
        <f t="shared" si="173"/>
        <v>0</v>
      </c>
      <c r="Z502" s="82">
        <f t="shared" ca="1" si="174"/>
        <v>4746.9876707175936</v>
      </c>
      <c r="AA502" s="19">
        <f t="shared" ca="1" si="175"/>
        <v>0</v>
      </c>
      <c r="AE502" s="19"/>
    </row>
    <row r="503" spans="1:31" ht="12.75" customHeight="1" x14ac:dyDescent="0.2">
      <c r="A503">
        <v>3</v>
      </c>
      <c r="B503">
        <v>3</v>
      </c>
      <c r="C503">
        <f t="shared" ca="1" si="154"/>
        <v>8</v>
      </c>
      <c r="D503">
        <f t="shared" ca="1" si="155"/>
        <v>7</v>
      </c>
      <c r="E503">
        <f t="shared" ca="1" si="156"/>
        <v>3</v>
      </c>
      <c r="F503" s="61">
        <f t="shared" ca="1" si="157"/>
        <v>8.9999999999999998E-4</v>
      </c>
      <c r="G503">
        <v>1</v>
      </c>
      <c r="H503">
        <v>1</v>
      </c>
      <c r="I503">
        <v>4</v>
      </c>
      <c r="J503" s="61">
        <f t="shared" ca="1" si="158"/>
        <v>0</v>
      </c>
      <c r="K503" s="61">
        <f t="shared" ca="1" si="159"/>
        <v>0</v>
      </c>
      <c r="L503" s="82">
        <f t="shared" ca="1" si="160"/>
        <v>366</v>
      </c>
      <c r="M503" s="16">
        <f t="shared" ca="1" si="161"/>
        <v>634</v>
      </c>
      <c r="N503" s="3">
        <f t="shared" ca="1" si="162"/>
        <v>4</v>
      </c>
      <c r="O503" s="19">
        <f t="shared" ca="1" si="163"/>
        <v>2.3453053758100548</v>
      </c>
      <c r="P503" s="19">
        <f t="shared" ca="1" si="164"/>
        <v>23.453053758100552</v>
      </c>
      <c r="Q503" s="19">
        <f t="shared" ca="1" si="165"/>
        <v>23.453053758100552</v>
      </c>
      <c r="R503" s="19">
        <f t="shared" ca="1" si="166"/>
        <v>2.3453053758100553</v>
      </c>
      <c r="S503" s="19">
        <f t="shared" ca="1" si="167"/>
        <v>2.3453053758100548</v>
      </c>
      <c r="T503" s="19">
        <f t="shared" ca="1" si="168"/>
        <v>0</v>
      </c>
      <c r="U503" s="19">
        <f t="shared" ca="1" si="169"/>
        <v>1445.9587218163997</v>
      </c>
      <c r="V503" s="19">
        <f t="shared" ca="1" si="170"/>
        <v>0</v>
      </c>
      <c r="W503" s="82">
        <f t="shared" ca="1" si="171"/>
        <v>4261.0824406828706</v>
      </c>
      <c r="X503" s="19">
        <f t="shared" ca="1" si="172"/>
        <v>0</v>
      </c>
      <c r="Y503" s="19">
        <f t="shared" si="173"/>
        <v>0</v>
      </c>
      <c r="Z503" s="82">
        <f t="shared" ca="1" si="174"/>
        <v>4261.0824406828706</v>
      </c>
      <c r="AA503" s="19">
        <f t="shared" ca="1" si="175"/>
        <v>0</v>
      </c>
      <c r="AE503" s="19"/>
    </row>
    <row r="504" spans="1:31" ht="12.75" customHeight="1" x14ac:dyDescent="0.2">
      <c r="A504">
        <v>3</v>
      </c>
      <c r="B504">
        <v>3</v>
      </c>
      <c r="C504">
        <f t="shared" ca="1" si="154"/>
        <v>8</v>
      </c>
      <c r="D504">
        <f t="shared" ca="1" si="155"/>
        <v>7</v>
      </c>
      <c r="E504">
        <f t="shared" ca="1" si="156"/>
        <v>3</v>
      </c>
      <c r="F504" s="61">
        <f t="shared" ca="1" si="157"/>
        <v>8.9999999999999998E-4</v>
      </c>
      <c r="G504">
        <v>1</v>
      </c>
      <c r="H504">
        <v>1</v>
      </c>
      <c r="I504">
        <v>3</v>
      </c>
      <c r="J504" s="61">
        <f t="shared" ca="1" si="158"/>
        <v>0</v>
      </c>
      <c r="K504" s="61">
        <f t="shared" ca="1" si="159"/>
        <v>0</v>
      </c>
      <c r="L504" s="82">
        <f t="shared" ca="1" si="160"/>
        <v>355</v>
      </c>
      <c r="M504" s="16">
        <f t="shared" ca="1" si="161"/>
        <v>645</v>
      </c>
      <c r="N504" s="3">
        <f t="shared" ca="1" si="162"/>
        <v>4</v>
      </c>
      <c r="O504" s="19">
        <f t="shared" ca="1" si="163"/>
        <v>2.3453053758100548</v>
      </c>
      <c r="P504" s="19">
        <f t="shared" ca="1" si="164"/>
        <v>23.453053758100552</v>
      </c>
      <c r="Q504" s="19">
        <f t="shared" ca="1" si="165"/>
        <v>23.453053758100552</v>
      </c>
      <c r="R504" s="19">
        <f t="shared" ca="1" si="166"/>
        <v>2.3453053758100553</v>
      </c>
      <c r="S504" s="19">
        <f t="shared" ca="1" si="167"/>
        <v>2.3453053758100548</v>
      </c>
      <c r="T504" s="19">
        <f t="shared" ca="1" si="168"/>
        <v>0</v>
      </c>
      <c r="U504" s="19">
        <f t="shared" ca="1" si="169"/>
        <v>1434.9587218163997</v>
      </c>
      <c r="V504" s="19">
        <f t="shared" ca="1" si="170"/>
        <v>0</v>
      </c>
      <c r="W504" s="82">
        <f t="shared" ca="1" si="171"/>
        <v>3775.1772106481485</v>
      </c>
      <c r="X504" s="19">
        <f t="shared" ca="1" si="172"/>
        <v>0</v>
      </c>
      <c r="Y504" s="19">
        <f t="shared" si="173"/>
        <v>0</v>
      </c>
      <c r="Z504" s="82">
        <f t="shared" ca="1" si="174"/>
        <v>3775.1772106481485</v>
      </c>
      <c r="AA504" s="19">
        <f t="shared" ca="1" si="175"/>
        <v>0</v>
      </c>
      <c r="AE504" s="19"/>
    </row>
    <row r="505" spans="1:31" ht="12.75" customHeight="1" x14ac:dyDescent="0.2">
      <c r="A505">
        <v>3</v>
      </c>
      <c r="B505">
        <v>3</v>
      </c>
      <c r="C505">
        <f t="shared" ca="1" si="154"/>
        <v>8</v>
      </c>
      <c r="D505">
        <f t="shared" ca="1" si="155"/>
        <v>7</v>
      </c>
      <c r="E505">
        <f t="shared" ca="1" si="156"/>
        <v>3</v>
      </c>
      <c r="F505" s="61">
        <f t="shared" ca="1" si="157"/>
        <v>8.9999999999999998E-4</v>
      </c>
      <c r="G505">
        <v>1</v>
      </c>
      <c r="H505">
        <v>1</v>
      </c>
      <c r="I505">
        <v>2</v>
      </c>
      <c r="J505" s="61">
        <f t="shared" ca="1" si="158"/>
        <v>0</v>
      </c>
      <c r="K505" s="61">
        <f t="shared" ca="1" si="159"/>
        <v>0</v>
      </c>
      <c r="L505" s="82">
        <f t="shared" ca="1" si="160"/>
        <v>344</v>
      </c>
      <c r="M505" s="16">
        <f t="shared" ca="1" si="161"/>
        <v>656</v>
      </c>
      <c r="N505" s="3">
        <f t="shared" ca="1" si="162"/>
        <v>4</v>
      </c>
      <c r="O505" s="19">
        <f t="shared" ca="1" si="163"/>
        <v>2.3453053758100548</v>
      </c>
      <c r="P505" s="19">
        <f t="shared" ca="1" si="164"/>
        <v>23.453053758100552</v>
      </c>
      <c r="Q505" s="19">
        <f t="shared" ca="1" si="165"/>
        <v>23.453053758100552</v>
      </c>
      <c r="R505" s="19">
        <f t="shared" ca="1" si="166"/>
        <v>2.3453053758100553</v>
      </c>
      <c r="S505" s="19">
        <f t="shared" ca="1" si="167"/>
        <v>2.3453053758100548</v>
      </c>
      <c r="T505" s="19">
        <f t="shared" ca="1" si="168"/>
        <v>0</v>
      </c>
      <c r="U505" s="19">
        <f t="shared" ca="1" si="169"/>
        <v>1423.9587218163997</v>
      </c>
      <c r="V505" s="19">
        <f t="shared" ca="1" si="170"/>
        <v>0</v>
      </c>
      <c r="W505" s="82">
        <f t="shared" ca="1" si="171"/>
        <v>3289.2719806134264</v>
      </c>
      <c r="X505" s="19">
        <f t="shared" ca="1" si="172"/>
        <v>0</v>
      </c>
      <c r="Y505" s="19">
        <f t="shared" si="173"/>
        <v>0</v>
      </c>
      <c r="Z505" s="82">
        <f t="shared" ca="1" si="174"/>
        <v>3289.2719806134264</v>
      </c>
      <c r="AA505" s="19">
        <f t="shared" ca="1" si="175"/>
        <v>0</v>
      </c>
      <c r="AE505" s="19"/>
    </row>
    <row r="506" spans="1:31" ht="12.75" customHeight="1" x14ac:dyDescent="0.2">
      <c r="A506">
        <v>3</v>
      </c>
      <c r="B506">
        <v>3</v>
      </c>
      <c r="C506">
        <f t="shared" ca="1" si="154"/>
        <v>8</v>
      </c>
      <c r="D506">
        <f t="shared" ca="1" si="155"/>
        <v>7</v>
      </c>
      <c r="E506">
        <f t="shared" ca="1" si="156"/>
        <v>3</v>
      </c>
      <c r="F506" s="61">
        <f t="shared" ca="1" si="157"/>
        <v>8.9999999999999998E-4</v>
      </c>
      <c r="G506">
        <v>1</v>
      </c>
      <c r="H506">
        <v>1</v>
      </c>
      <c r="I506">
        <v>1</v>
      </c>
      <c r="J506" s="61">
        <f t="shared" ca="1" si="158"/>
        <v>0</v>
      </c>
      <c r="K506" s="61">
        <f t="shared" ca="1" si="159"/>
        <v>0</v>
      </c>
      <c r="L506" s="82">
        <f t="shared" ca="1" si="160"/>
        <v>333</v>
      </c>
      <c r="M506" s="16">
        <f t="shared" ca="1" si="161"/>
        <v>667</v>
      </c>
      <c r="N506" s="3">
        <f t="shared" ca="1" si="162"/>
        <v>4</v>
      </c>
      <c r="O506" s="19">
        <f t="shared" ca="1" si="163"/>
        <v>2.3453053758100548</v>
      </c>
      <c r="P506" s="19">
        <f t="shared" ca="1" si="164"/>
        <v>23.453053758100552</v>
      </c>
      <c r="Q506" s="19">
        <f t="shared" ca="1" si="165"/>
        <v>23.453053758100552</v>
      </c>
      <c r="R506" s="19">
        <f t="shared" ca="1" si="166"/>
        <v>2.3453053758100553</v>
      </c>
      <c r="S506" s="19">
        <f t="shared" ca="1" si="167"/>
        <v>2.3453053758100548</v>
      </c>
      <c r="T506" s="19">
        <f t="shared" ca="1" si="168"/>
        <v>0</v>
      </c>
      <c r="U506" s="19">
        <f t="shared" ca="1" si="169"/>
        <v>1412.9587218163997</v>
      </c>
      <c r="V506" s="19">
        <f t="shared" ca="1" si="170"/>
        <v>0</v>
      </c>
      <c r="W506" s="82">
        <f t="shared" ca="1" si="171"/>
        <v>2803.3667505787039</v>
      </c>
      <c r="X506" s="19">
        <f t="shared" ca="1" si="172"/>
        <v>0</v>
      </c>
      <c r="Y506" s="19">
        <f t="shared" si="173"/>
        <v>0</v>
      </c>
      <c r="Z506" s="82">
        <f t="shared" ca="1" si="174"/>
        <v>2803.3667505787039</v>
      </c>
      <c r="AA506" s="19">
        <f t="shared" ca="1" si="175"/>
        <v>0</v>
      </c>
      <c r="AE506" s="19"/>
    </row>
    <row r="507" spans="1:31" ht="12.75" customHeight="1" x14ac:dyDescent="0.2">
      <c r="A507">
        <v>3</v>
      </c>
      <c r="B507">
        <v>3</v>
      </c>
      <c r="C507">
        <f t="shared" ca="1" si="154"/>
        <v>8</v>
      </c>
      <c r="D507">
        <f t="shared" ca="1" si="155"/>
        <v>7</v>
      </c>
      <c r="E507">
        <f t="shared" ca="1" si="156"/>
        <v>3</v>
      </c>
      <c r="F507" s="61">
        <f t="shared" ca="1" si="157"/>
        <v>8.9999999999999998E-4</v>
      </c>
      <c r="G507">
        <v>1</v>
      </c>
      <c r="H507">
        <v>1</v>
      </c>
      <c r="I507">
        <v>0</v>
      </c>
      <c r="J507" s="61">
        <f t="shared" ca="1" si="158"/>
        <v>0</v>
      </c>
      <c r="K507" s="61">
        <f t="shared" ca="1" si="159"/>
        <v>0</v>
      </c>
      <c r="L507" s="82">
        <f t="shared" ca="1" si="160"/>
        <v>322</v>
      </c>
      <c r="M507" s="16">
        <f t="shared" ca="1" si="161"/>
        <v>678</v>
      </c>
      <c r="N507" s="3">
        <f t="shared" ca="1" si="162"/>
        <v>4</v>
      </c>
      <c r="O507" s="19">
        <f t="shared" ca="1" si="163"/>
        <v>2.3453053758100548</v>
      </c>
      <c r="P507" s="19">
        <f t="shared" ca="1" si="164"/>
        <v>23.453053758100552</v>
      </c>
      <c r="Q507" s="19">
        <f t="shared" ca="1" si="165"/>
        <v>23.453053758100552</v>
      </c>
      <c r="R507" s="19">
        <f t="shared" ca="1" si="166"/>
        <v>2.3453053758100553</v>
      </c>
      <c r="S507" s="19">
        <f t="shared" ca="1" si="167"/>
        <v>2.3453053758100548</v>
      </c>
      <c r="T507" s="19">
        <f t="shared" ca="1" si="168"/>
        <v>0</v>
      </c>
      <c r="U507" s="19">
        <f t="shared" ca="1" si="169"/>
        <v>1401.9587218163997</v>
      </c>
      <c r="V507" s="19">
        <f t="shared" ca="1" si="170"/>
        <v>0</v>
      </c>
      <c r="W507" s="82">
        <f t="shared" ca="1" si="171"/>
        <v>2317.4615205439818</v>
      </c>
      <c r="X507" s="19">
        <f t="shared" ca="1" si="172"/>
        <v>0</v>
      </c>
      <c r="Y507" s="19">
        <f t="shared" si="173"/>
        <v>0</v>
      </c>
      <c r="Z507" s="82">
        <f t="shared" ca="1" si="174"/>
        <v>2317.4615205439818</v>
      </c>
      <c r="AA507" s="19">
        <f t="shared" ca="1" si="175"/>
        <v>0</v>
      </c>
      <c r="AE507" s="19"/>
    </row>
    <row r="508" spans="1:31" ht="12.75" customHeight="1" x14ac:dyDescent="0.2">
      <c r="A508">
        <v>3</v>
      </c>
      <c r="B508">
        <v>3</v>
      </c>
      <c r="C508">
        <f t="shared" ca="1" si="154"/>
        <v>8</v>
      </c>
      <c r="D508">
        <f t="shared" ca="1" si="155"/>
        <v>7</v>
      </c>
      <c r="E508">
        <f t="shared" ca="1" si="156"/>
        <v>3</v>
      </c>
      <c r="F508" s="61">
        <f t="shared" ca="1" si="157"/>
        <v>8.9999999999999998E-4</v>
      </c>
      <c r="G508">
        <v>1</v>
      </c>
      <c r="H508">
        <v>0</v>
      </c>
      <c r="I508">
        <v>7</v>
      </c>
      <c r="J508" s="61">
        <f t="shared" ca="1" si="158"/>
        <v>0.66342043128906247</v>
      </c>
      <c r="K508" s="61">
        <f t="shared" ca="1" si="159"/>
        <v>5.9707838816015616E-4</v>
      </c>
      <c r="L508" s="82">
        <f t="shared" ca="1" si="160"/>
        <v>238</v>
      </c>
      <c r="M508" s="16">
        <f t="shared" ca="1" si="161"/>
        <v>762</v>
      </c>
      <c r="N508" s="3">
        <f t="shared" ca="1" si="162"/>
        <v>5</v>
      </c>
      <c r="O508" s="19">
        <f t="shared" ca="1" si="163"/>
        <v>2.8178718937399587</v>
      </c>
      <c r="P508" s="19">
        <f t="shared" ca="1" si="164"/>
        <v>25.815886347750073</v>
      </c>
      <c r="Q508" s="19">
        <f t="shared" ca="1" si="165"/>
        <v>23.453053758100552</v>
      </c>
      <c r="R508" s="19">
        <f t="shared" ca="1" si="166"/>
        <v>2.4634470052925312</v>
      </c>
      <c r="S508" s="19">
        <f t="shared" ca="1" si="167"/>
        <v>2.8178718937399587</v>
      </c>
      <c r="T508" s="19">
        <f t="shared" ca="1" si="168"/>
        <v>1.6824904083560614E-3</v>
      </c>
      <c r="U508" s="19">
        <f t="shared" ca="1" si="169"/>
        <v>1497.3251747165598</v>
      </c>
      <c r="V508" s="19">
        <f t="shared" ca="1" si="170"/>
        <v>0.89402050187138771</v>
      </c>
      <c r="W508" s="82">
        <f t="shared" ca="1" si="171"/>
        <v>5718.7981307870377</v>
      </c>
      <c r="X508" s="19">
        <f t="shared" ca="1" si="172"/>
        <v>3.4145707701436385</v>
      </c>
      <c r="Y508" s="19">
        <f t="shared" si="173"/>
        <v>0</v>
      </c>
      <c r="Z508" s="82">
        <f t="shared" ca="1" si="174"/>
        <v>5718.7981307870377</v>
      </c>
      <c r="AA508" s="19">
        <f t="shared" ca="1" si="175"/>
        <v>3.4145707701436385</v>
      </c>
      <c r="AE508" s="19"/>
    </row>
    <row r="509" spans="1:31" ht="12.75" customHeight="1" x14ac:dyDescent="0.2">
      <c r="A509">
        <v>3</v>
      </c>
      <c r="B509">
        <v>3</v>
      </c>
      <c r="C509">
        <f t="shared" ca="1" si="154"/>
        <v>8</v>
      </c>
      <c r="D509">
        <f t="shared" ca="1" si="155"/>
        <v>7</v>
      </c>
      <c r="E509">
        <f t="shared" ca="1" si="156"/>
        <v>3</v>
      </c>
      <c r="F509" s="61">
        <f t="shared" ca="1" si="157"/>
        <v>8.9999999999999998E-4</v>
      </c>
      <c r="G509">
        <v>1</v>
      </c>
      <c r="H509">
        <v>0</v>
      </c>
      <c r="I509">
        <v>6</v>
      </c>
      <c r="J509" s="61">
        <f t="shared" ca="1" si="158"/>
        <v>0.24441805363281272</v>
      </c>
      <c r="K509" s="61">
        <f t="shared" ca="1" si="159"/>
        <v>2.1997624826953143E-4</v>
      </c>
      <c r="L509" s="82">
        <f t="shared" ca="1" si="160"/>
        <v>227</v>
      </c>
      <c r="M509" s="16">
        <f t="shared" ca="1" si="161"/>
        <v>773</v>
      </c>
      <c r="N509" s="3">
        <f t="shared" ca="1" si="162"/>
        <v>5</v>
      </c>
      <c r="O509" s="19">
        <f t="shared" ca="1" si="163"/>
        <v>2.8178718937399587</v>
      </c>
      <c r="P509" s="19">
        <f t="shared" ca="1" si="164"/>
        <v>28.178718937399587</v>
      </c>
      <c r="Q509" s="19">
        <f t="shared" ca="1" si="165"/>
        <v>26.288452865679979</v>
      </c>
      <c r="R509" s="19">
        <f t="shared" ca="1" si="166"/>
        <v>2.7233585901539783</v>
      </c>
      <c r="S509" s="19">
        <f t="shared" ca="1" si="167"/>
        <v>2.8178718937399587</v>
      </c>
      <c r="T509" s="19">
        <f t="shared" ca="1" si="168"/>
        <v>6.198648872890759E-4</v>
      </c>
      <c r="U509" s="19">
        <f t="shared" ca="1" si="169"/>
        <v>1486.3251747165598</v>
      </c>
      <c r="V509" s="19">
        <f t="shared" ca="1" si="170"/>
        <v>0.32695623564270465</v>
      </c>
      <c r="W509" s="82">
        <f t="shared" ca="1" si="171"/>
        <v>5232.8929007523147</v>
      </c>
      <c r="X509" s="19">
        <f t="shared" ca="1" si="172"/>
        <v>1.1511121479037596</v>
      </c>
      <c r="Y509" s="19">
        <f t="shared" si="173"/>
        <v>0</v>
      </c>
      <c r="Z509" s="82">
        <f t="shared" ca="1" si="174"/>
        <v>5232.8929007523147</v>
      </c>
      <c r="AA509" s="19">
        <f t="shared" ca="1" si="175"/>
        <v>1.1511121479037596</v>
      </c>
      <c r="AE509" s="19"/>
    </row>
    <row r="510" spans="1:31" ht="12.75" customHeight="1" x14ac:dyDescent="0.2">
      <c r="A510">
        <v>3</v>
      </c>
      <c r="B510">
        <v>3</v>
      </c>
      <c r="C510">
        <f t="shared" ca="1" si="154"/>
        <v>8</v>
      </c>
      <c r="D510">
        <f t="shared" ca="1" si="155"/>
        <v>7</v>
      </c>
      <c r="E510">
        <f t="shared" ca="1" si="156"/>
        <v>3</v>
      </c>
      <c r="F510" s="61">
        <f t="shared" ca="1" si="157"/>
        <v>8.9999999999999998E-4</v>
      </c>
      <c r="G510">
        <v>1</v>
      </c>
      <c r="H510">
        <v>0</v>
      </c>
      <c r="I510">
        <v>5</v>
      </c>
      <c r="J510" s="61">
        <f t="shared" ca="1" si="158"/>
        <v>3.8592324257812567E-2</v>
      </c>
      <c r="K510" s="61">
        <f t="shared" ca="1" si="159"/>
        <v>3.4733091832031313E-5</v>
      </c>
      <c r="L510" s="82">
        <f t="shared" ca="1" si="160"/>
        <v>216</v>
      </c>
      <c r="M510" s="16">
        <f t="shared" ca="1" si="161"/>
        <v>784</v>
      </c>
      <c r="N510" s="3">
        <f t="shared" ca="1" si="162"/>
        <v>5</v>
      </c>
      <c r="O510" s="19">
        <f t="shared" ca="1" si="163"/>
        <v>2.8178718937399587</v>
      </c>
      <c r="P510" s="19">
        <f t="shared" ca="1" si="164"/>
        <v>28.178718937399587</v>
      </c>
      <c r="Q510" s="19">
        <f t="shared" ca="1" si="165"/>
        <v>28.178718937399587</v>
      </c>
      <c r="R510" s="19">
        <f t="shared" ca="1" si="166"/>
        <v>2.8178718937399587</v>
      </c>
      <c r="S510" s="19">
        <f t="shared" ca="1" si="167"/>
        <v>2.8178718937399587</v>
      </c>
      <c r="T510" s="19">
        <f t="shared" ca="1" si="168"/>
        <v>9.7873403256169969E-5</v>
      </c>
      <c r="U510" s="19">
        <f t="shared" ca="1" si="169"/>
        <v>1475.3251747165598</v>
      </c>
      <c r="V510" s="19">
        <f t="shared" ca="1" si="170"/>
        <v>5.1242604775537909E-2</v>
      </c>
      <c r="W510" s="82">
        <f t="shared" ca="1" si="171"/>
        <v>4746.9876707175936</v>
      </c>
      <c r="X510" s="19">
        <f t="shared" ca="1" si="172"/>
        <v>0.1648775586925546</v>
      </c>
      <c r="Y510" s="19">
        <f t="shared" si="173"/>
        <v>0</v>
      </c>
      <c r="Z510" s="82">
        <f t="shared" ca="1" si="174"/>
        <v>4746.9876707175936</v>
      </c>
      <c r="AA510" s="19">
        <f t="shared" ca="1" si="175"/>
        <v>0.1648775586925546</v>
      </c>
      <c r="AE510" s="19"/>
    </row>
    <row r="511" spans="1:31" ht="12.75" customHeight="1" x14ac:dyDescent="0.2">
      <c r="A511">
        <v>3</v>
      </c>
      <c r="B511">
        <v>3</v>
      </c>
      <c r="C511">
        <f t="shared" ca="1" si="154"/>
        <v>8</v>
      </c>
      <c r="D511">
        <f t="shared" ca="1" si="155"/>
        <v>7</v>
      </c>
      <c r="E511">
        <f t="shared" ca="1" si="156"/>
        <v>3</v>
      </c>
      <c r="F511" s="61">
        <f t="shared" ca="1" si="157"/>
        <v>8.9999999999999998E-4</v>
      </c>
      <c r="G511">
        <v>1</v>
      </c>
      <c r="H511">
        <v>0</v>
      </c>
      <c r="I511">
        <v>4</v>
      </c>
      <c r="J511" s="61">
        <f t="shared" ca="1" si="158"/>
        <v>3.3852916015625085E-3</v>
      </c>
      <c r="K511" s="61">
        <f t="shared" ca="1" si="159"/>
        <v>3.0467624414062576E-6</v>
      </c>
      <c r="L511" s="82">
        <f t="shared" ca="1" si="160"/>
        <v>205</v>
      </c>
      <c r="M511" s="16">
        <f t="shared" ca="1" si="161"/>
        <v>795</v>
      </c>
      <c r="N511" s="3">
        <f t="shared" ca="1" si="162"/>
        <v>5</v>
      </c>
      <c r="O511" s="19">
        <f t="shared" ca="1" si="163"/>
        <v>2.8178718937399587</v>
      </c>
      <c r="P511" s="19">
        <f t="shared" ca="1" si="164"/>
        <v>28.178718937399587</v>
      </c>
      <c r="Q511" s="19">
        <f t="shared" ca="1" si="165"/>
        <v>28.178718937399587</v>
      </c>
      <c r="R511" s="19">
        <f t="shared" ca="1" si="166"/>
        <v>2.8178718937399587</v>
      </c>
      <c r="S511" s="19">
        <f t="shared" ca="1" si="167"/>
        <v>2.8178718937399587</v>
      </c>
      <c r="T511" s="19">
        <f t="shared" ca="1" si="168"/>
        <v>8.5853862505412302E-6</v>
      </c>
      <c r="U511" s="19">
        <f t="shared" ca="1" si="169"/>
        <v>1464.3251747165598</v>
      </c>
      <c r="V511" s="19">
        <f t="shared" ca="1" si="170"/>
        <v>4.4614509443320705E-3</v>
      </c>
      <c r="W511" s="82">
        <f t="shared" ca="1" si="171"/>
        <v>4261.0824406828706</v>
      </c>
      <c r="X511" s="19">
        <f t="shared" ca="1" si="172"/>
        <v>1.2982505940008278E-2</v>
      </c>
      <c r="Y511" s="19">
        <f t="shared" si="173"/>
        <v>0</v>
      </c>
      <c r="Z511" s="82">
        <f t="shared" ca="1" si="174"/>
        <v>4261.0824406828706</v>
      </c>
      <c r="AA511" s="19">
        <f t="shared" ca="1" si="175"/>
        <v>1.2982505940008278E-2</v>
      </c>
      <c r="AE511" s="19"/>
    </row>
    <row r="512" spans="1:31" ht="12.75" customHeight="1" x14ac:dyDescent="0.2">
      <c r="A512">
        <v>3</v>
      </c>
      <c r="B512">
        <v>3</v>
      </c>
      <c r="C512">
        <f t="shared" ca="1" si="154"/>
        <v>8</v>
      </c>
      <c r="D512">
        <f t="shared" ca="1" si="155"/>
        <v>7</v>
      </c>
      <c r="E512">
        <f t="shared" ca="1" si="156"/>
        <v>3</v>
      </c>
      <c r="F512" s="61">
        <f t="shared" ca="1" si="157"/>
        <v>8.9999999999999998E-4</v>
      </c>
      <c r="G512">
        <v>1</v>
      </c>
      <c r="H512">
        <v>0</v>
      </c>
      <c r="I512">
        <v>3</v>
      </c>
      <c r="J512" s="61">
        <f t="shared" ca="1" si="158"/>
        <v>1.7817324218750058E-4</v>
      </c>
      <c r="K512" s="61">
        <f t="shared" ca="1" si="159"/>
        <v>1.6035591796875052E-7</v>
      </c>
      <c r="L512" s="82">
        <f t="shared" ca="1" si="160"/>
        <v>194</v>
      </c>
      <c r="M512" s="16">
        <f t="shared" ca="1" si="161"/>
        <v>806</v>
      </c>
      <c r="N512" s="3">
        <f t="shared" ca="1" si="162"/>
        <v>5</v>
      </c>
      <c r="O512" s="19">
        <f t="shared" ca="1" si="163"/>
        <v>2.8178718937399587</v>
      </c>
      <c r="P512" s="19">
        <f t="shared" ca="1" si="164"/>
        <v>28.178718937399587</v>
      </c>
      <c r="Q512" s="19">
        <f t="shared" ca="1" si="165"/>
        <v>28.178718937399587</v>
      </c>
      <c r="R512" s="19">
        <f t="shared" ca="1" si="166"/>
        <v>2.8178718937399587</v>
      </c>
      <c r="S512" s="19">
        <f t="shared" ca="1" si="167"/>
        <v>2.8178718937399587</v>
      </c>
      <c r="T512" s="19">
        <f t="shared" ca="1" si="168"/>
        <v>4.5186243423901249E-7</v>
      </c>
      <c r="U512" s="19">
        <f t="shared" ca="1" si="169"/>
        <v>1453.3251747165598</v>
      </c>
      <c r="V512" s="19">
        <f t="shared" ca="1" si="170"/>
        <v>2.3304929249876868E-4</v>
      </c>
      <c r="W512" s="82">
        <f t="shared" ca="1" si="171"/>
        <v>3775.1772106481485</v>
      </c>
      <c r="X512" s="19">
        <f t="shared" ca="1" si="172"/>
        <v>6.0537200710819095E-4</v>
      </c>
      <c r="Y512" s="19">
        <f t="shared" si="173"/>
        <v>0</v>
      </c>
      <c r="Z512" s="82">
        <f t="shared" ca="1" si="174"/>
        <v>3775.1772106481485</v>
      </c>
      <c r="AA512" s="19">
        <f t="shared" ca="1" si="175"/>
        <v>6.0537200710819095E-4</v>
      </c>
      <c r="AE512" s="19"/>
    </row>
    <row r="513" spans="1:31" ht="12.75" customHeight="1" x14ac:dyDescent="0.2">
      <c r="A513">
        <v>3</v>
      </c>
      <c r="B513">
        <v>3</v>
      </c>
      <c r="C513">
        <f t="shared" ca="1" si="154"/>
        <v>8</v>
      </c>
      <c r="D513">
        <f t="shared" ca="1" si="155"/>
        <v>7</v>
      </c>
      <c r="E513">
        <f t="shared" ca="1" si="156"/>
        <v>3</v>
      </c>
      <c r="F513" s="61">
        <f t="shared" ca="1" si="157"/>
        <v>8.9999999999999998E-4</v>
      </c>
      <c r="G513">
        <v>1</v>
      </c>
      <c r="H513">
        <v>0</v>
      </c>
      <c r="I513">
        <v>2</v>
      </c>
      <c r="J513" s="61">
        <f t="shared" ca="1" si="158"/>
        <v>5.6265234375000243E-6</v>
      </c>
      <c r="K513" s="61">
        <f t="shared" ca="1" si="159"/>
        <v>5.063871093750022E-9</v>
      </c>
      <c r="L513" s="82">
        <f t="shared" ca="1" si="160"/>
        <v>183</v>
      </c>
      <c r="M513" s="16">
        <f t="shared" ca="1" si="161"/>
        <v>817</v>
      </c>
      <c r="N513" s="3">
        <f t="shared" ca="1" si="162"/>
        <v>5</v>
      </c>
      <c r="O513" s="19">
        <f t="shared" ca="1" si="163"/>
        <v>2.8178718937399587</v>
      </c>
      <c r="P513" s="19">
        <f t="shared" ca="1" si="164"/>
        <v>28.178718937399587</v>
      </c>
      <c r="Q513" s="19">
        <f t="shared" ca="1" si="165"/>
        <v>28.178718937399587</v>
      </c>
      <c r="R513" s="19">
        <f t="shared" ca="1" si="166"/>
        <v>2.8178718937399587</v>
      </c>
      <c r="S513" s="19">
        <f t="shared" ca="1" si="167"/>
        <v>2.8178718937399587</v>
      </c>
      <c r="T513" s="19">
        <f t="shared" ca="1" si="168"/>
        <v>1.4269340028600411E-8</v>
      </c>
      <c r="U513" s="19">
        <f t="shared" ca="1" si="169"/>
        <v>1442.3251747165598</v>
      </c>
      <c r="V513" s="19">
        <f t="shared" ca="1" si="170"/>
        <v>7.3037487600351374E-6</v>
      </c>
      <c r="W513" s="82">
        <f t="shared" ca="1" si="171"/>
        <v>3289.2719806134264</v>
      </c>
      <c r="X513" s="19">
        <f t="shared" ca="1" si="172"/>
        <v>1.6656449302110214E-5</v>
      </c>
      <c r="Y513" s="19">
        <f t="shared" si="173"/>
        <v>0</v>
      </c>
      <c r="Z513" s="82">
        <f t="shared" ca="1" si="174"/>
        <v>3289.2719806134264</v>
      </c>
      <c r="AA513" s="19">
        <f t="shared" ca="1" si="175"/>
        <v>1.6656449302110214E-5</v>
      </c>
      <c r="AE513" s="19"/>
    </row>
    <row r="514" spans="1:31" ht="12.75" customHeight="1" x14ac:dyDescent="0.2">
      <c r="A514">
        <v>3</v>
      </c>
      <c r="B514">
        <v>3</v>
      </c>
      <c r="C514">
        <f t="shared" ca="1" si="154"/>
        <v>8</v>
      </c>
      <c r="D514">
        <f t="shared" ca="1" si="155"/>
        <v>7</v>
      </c>
      <c r="E514">
        <f t="shared" ca="1" si="156"/>
        <v>3</v>
      </c>
      <c r="F514" s="61">
        <f t="shared" ca="1" si="157"/>
        <v>8.9999999999999998E-4</v>
      </c>
      <c r="G514">
        <v>1</v>
      </c>
      <c r="H514">
        <v>0</v>
      </c>
      <c r="I514">
        <v>1</v>
      </c>
      <c r="J514" s="61">
        <f t="shared" ca="1" si="158"/>
        <v>9.8710937500000504E-8</v>
      </c>
      <c r="K514" s="61">
        <f t="shared" ca="1" si="159"/>
        <v>8.8839843750000455E-11</v>
      </c>
      <c r="L514" s="82">
        <f t="shared" ca="1" si="160"/>
        <v>172</v>
      </c>
      <c r="M514" s="16">
        <f t="shared" ca="1" si="161"/>
        <v>828</v>
      </c>
      <c r="N514" s="3">
        <f t="shared" ca="1" si="162"/>
        <v>5</v>
      </c>
      <c r="O514" s="19">
        <f t="shared" ca="1" si="163"/>
        <v>2.8178718937399587</v>
      </c>
      <c r="P514" s="19">
        <f t="shared" ca="1" si="164"/>
        <v>28.178718937399587</v>
      </c>
      <c r="Q514" s="19">
        <f t="shared" ca="1" si="165"/>
        <v>28.178718937399587</v>
      </c>
      <c r="R514" s="19">
        <f t="shared" ca="1" si="166"/>
        <v>2.8178718937399587</v>
      </c>
      <c r="S514" s="19">
        <f t="shared" ca="1" si="167"/>
        <v>2.8178718937399587</v>
      </c>
      <c r="T514" s="19">
        <f t="shared" ca="1" si="168"/>
        <v>2.5033929874737581E-10</v>
      </c>
      <c r="U514" s="19">
        <f t="shared" ca="1" si="169"/>
        <v>1431.3251747165598</v>
      </c>
      <c r="V514" s="19">
        <f t="shared" ca="1" si="170"/>
        <v>1.2715870487726127E-7</v>
      </c>
      <c r="W514" s="82">
        <f t="shared" ca="1" si="171"/>
        <v>2803.3667505787039</v>
      </c>
      <c r="X514" s="19">
        <f t="shared" ca="1" si="172"/>
        <v>2.4905066409535854E-7</v>
      </c>
      <c r="Y514" s="19">
        <f t="shared" si="173"/>
        <v>0</v>
      </c>
      <c r="Z514" s="82">
        <f t="shared" ca="1" si="174"/>
        <v>2803.3667505787039</v>
      </c>
      <c r="AA514" s="19">
        <f t="shared" ca="1" si="175"/>
        <v>2.4905066409535854E-7</v>
      </c>
      <c r="AE514" s="19"/>
    </row>
    <row r="515" spans="1:31" ht="12.75" customHeight="1" x14ac:dyDescent="0.2">
      <c r="A515">
        <v>3</v>
      </c>
      <c r="B515">
        <v>3</v>
      </c>
      <c r="C515">
        <f t="shared" ca="1" si="154"/>
        <v>8</v>
      </c>
      <c r="D515">
        <f t="shared" ca="1" si="155"/>
        <v>7</v>
      </c>
      <c r="E515">
        <f t="shared" ca="1" si="156"/>
        <v>3</v>
      </c>
      <c r="F515" s="61">
        <f t="shared" ca="1" si="157"/>
        <v>8.9999999999999998E-4</v>
      </c>
      <c r="G515">
        <v>1</v>
      </c>
      <c r="H515">
        <v>0</v>
      </c>
      <c r="I515">
        <v>0</v>
      </c>
      <c r="J515" s="61">
        <f t="shared" ca="1" si="158"/>
        <v>7.4218750000000458E-10</v>
      </c>
      <c r="K515" s="61">
        <f t="shared" ca="1" si="159"/>
        <v>6.6796875000000405E-13</v>
      </c>
      <c r="L515" s="82">
        <f t="shared" ca="1" si="160"/>
        <v>161</v>
      </c>
      <c r="M515" s="16">
        <f t="shared" ca="1" si="161"/>
        <v>839</v>
      </c>
      <c r="N515" s="3">
        <f t="shared" ca="1" si="162"/>
        <v>5</v>
      </c>
      <c r="O515" s="19">
        <f t="shared" ca="1" si="163"/>
        <v>2.8178718937399587</v>
      </c>
      <c r="P515" s="19">
        <f t="shared" ca="1" si="164"/>
        <v>28.178718937399587</v>
      </c>
      <c r="Q515" s="19">
        <f t="shared" ca="1" si="165"/>
        <v>28.178718937399587</v>
      </c>
      <c r="R515" s="19">
        <f t="shared" ca="1" si="166"/>
        <v>2.8178718937399587</v>
      </c>
      <c r="S515" s="19">
        <f t="shared" ca="1" si="167"/>
        <v>2.8178718937399587</v>
      </c>
      <c r="T515" s="19">
        <f t="shared" ca="1" si="168"/>
        <v>1.8822503665216243E-12</v>
      </c>
      <c r="U515" s="19">
        <f t="shared" ca="1" si="169"/>
        <v>1420.3251747165598</v>
      </c>
      <c r="V515" s="19">
        <f t="shared" ca="1" si="170"/>
        <v>9.4873283154895782E-10</v>
      </c>
      <c r="W515" s="82">
        <f t="shared" ca="1" si="171"/>
        <v>2317.4615205439818</v>
      </c>
      <c r="X515" s="19">
        <f t="shared" ca="1" si="172"/>
        <v>1.5479918750508722E-9</v>
      </c>
      <c r="Y515" s="19">
        <f t="shared" si="173"/>
        <v>0</v>
      </c>
      <c r="Z515" s="82">
        <f t="shared" ca="1" si="174"/>
        <v>2317.4615205439818</v>
      </c>
      <c r="AA515" s="19">
        <f t="shared" ca="1" si="175"/>
        <v>1.5479918750508722E-9</v>
      </c>
      <c r="AE515" s="19"/>
    </row>
    <row r="516" spans="1:31" ht="12.75" customHeight="1" x14ac:dyDescent="0.2">
      <c r="A516">
        <v>3</v>
      </c>
      <c r="B516">
        <v>3</v>
      </c>
      <c r="C516">
        <f t="shared" ca="1" si="154"/>
        <v>8</v>
      </c>
      <c r="D516">
        <f t="shared" ca="1" si="155"/>
        <v>7</v>
      </c>
      <c r="E516">
        <f t="shared" ca="1" si="156"/>
        <v>3</v>
      </c>
      <c r="F516" s="61">
        <f t="shared" ca="1" si="157"/>
        <v>8.9999999999999998E-4</v>
      </c>
      <c r="G516">
        <v>0</v>
      </c>
      <c r="H516">
        <v>1</v>
      </c>
      <c r="I516">
        <v>7</v>
      </c>
      <c r="J516" s="61">
        <f t="shared" ca="1" si="158"/>
        <v>0</v>
      </c>
      <c r="K516" s="61">
        <f t="shared" ca="1" si="159"/>
        <v>0</v>
      </c>
      <c r="L516" s="82">
        <f t="shared" ca="1" si="160"/>
        <v>238</v>
      </c>
      <c r="M516" s="16">
        <f t="shared" ca="1" si="161"/>
        <v>762</v>
      </c>
      <c r="N516" s="3">
        <f t="shared" ca="1" si="162"/>
        <v>5</v>
      </c>
      <c r="O516" s="19">
        <f t="shared" ca="1" si="163"/>
        <v>2.8178718937399587</v>
      </c>
      <c r="P516" s="19">
        <f t="shared" ca="1" si="164"/>
        <v>25.815886347750073</v>
      </c>
      <c r="Q516" s="19">
        <f t="shared" ca="1" si="165"/>
        <v>23.453053758100552</v>
      </c>
      <c r="R516" s="19">
        <f t="shared" ca="1" si="166"/>
        <v>2.4634470052925312</v>
      </c>
      <c r="S516" s="19">
        <f t="shared" ca="1" si="167"/>
        <v>2.8178718937399587</v>
      </c>
      <c r="T516" s="19">
        <f t="shared" ca="1" si="168"/>
        <v>0</v>
      </c>
      <c r="U516" s="19">
        <f t="shared" ca="1" si="169"/>
        <v>1497.3251747165598</v>
      </c>
      <c r="V516" s="19">
        <f t="shared" ca="1" si="170"/>
        <v>0</v>
      </c>
      <c r="W516" s="82">
        <f t="shared" ca="1" si="171"/>
        <v>3401.3366102430559</v>
      </c>
      <c r="X516" s="19">
        <f t="shared" ca="1" si="172"/>
        <v>0</v>
      </c>
      <c r="Y516" s="19">
        <f t="shared" si="173"/>
        <v>0</v>
      </c>
      <c r="Z516" s="82">
        <f t="shared" ca="1" si="174"/>
        <v>3401.3366102430559</v>
      </c>
      <c r="AA516" s="19">
        <f t="shared" ca="1" si="175"/>
        <v>0</v>
      </c>
      <c r="AE516" s="19"/>
    </row>
    <row r="517" spans="1:31" ht="12.75" customHeight="1" x14ac:dyDescent="0.2">
      <c r="A517">
        <v>3</v>
      </c>
      <c r="B517">
        <v>3</v>
      </c>
      <c r="C517">
        <f t="shared" ca="1" si="154"/>
        <v>8</v>
      </c>
      <c r="D517">
        <f t="shared" ca="1" si="155"/>
        <v>7</v>
      </c>
      <c r="E517">
        <f t="shared" ca="1" si="156"/>
        <v>3</v>
      </c>
      <c r="F517" s="61">
        <f t="shared" ca="1" si="157"/>
        <v>8.9999999999999998E-4</v>
      </c>
      <c r="G517">
        <v>0</v>
      </c>
      <c r="H517">
        <v>1</v>
      </c>
      <c r="I517">
        <v>6</v>
      </c>
      <c r="J517" s="61">
        <f t="shared" ca="1" si="158"/>
        <v>0</v>
      </c>
      <c r="K517" s="61">
        <f t="shared" ca="1" si="159"/>
        <v>0</v>
      </c>
      <c r="L517" s="82">
        <f t="shared" ca="1" si="160"/>
        <v>227</v>
      </c>
      <c r="M517" s="16">
        <f t="shared" ca="1" si="161"/>
        <v>773</v>
      </c>
      <c r="N517" s="3">
        <f t="shared" ca="1" si="162"/>
        <v>5</v>
      </c>
      <c r="O517" s="19">
        <f t="shared" ca="1" si="163"/>
        <v>2.8178718937399587</v>
      </c>
      <c r="P517" s="19">
        <f t="shared" ca="1" si="164"/>
        <v>28.178718937399587</v>
      </c>
      <c r="Q517" s="19">
        <f t="shared" ca="1" si="165"/>
        <v>26.288452865679979</v>
      </c>
      <c r="R517" s="19">
        <f t="shared" ca="1" si="166"/>
        <v>2.7233585901539783</v>
      </c>
      <c r="S517" s="19">
        <f t="shared" ca="1" si="167"/>
        <v>2.8178718937399587</v>
      </c>
      <c r="T517" s="19">
        <f t="shared" ca="1" si="168"/>
        <v>0</v>
      </c>
      <c r="U517" s="19">
        <f t="shared" ca="1" si="169"/>
        <v>1486.3251747165598</v>
      </c>
      <c r="V517" s="19">
        <f t="shared" ca="1" si="170"/>
        <v>0</v>
      </c>
      <c r="W517" s="82">
        <f t="shared" ca="1" si="171"/>
        <v>2915.4313802083334</v>
      </c>
      <c r="X517" s="19">
        <f t="shared" ca="1" si="172"/>
        <v>0</v>
      </c>
      <c r="Y517" s="19">
        <f t="shared" si="173"/>
        <v>0</v>
      </c>
      <c r="Z517" s="82">
        <f t="shared" ca="1" si="174"/>
        <v>2915.4313802083334</v>
      </c>
      <c r="AA517" s="19">
        <f t="shared" ca="1" si="175"/>
        <v>0</v>
      </c>
      <c r="AE517" s="19"/>
    </row>
    <row r="518" spans="1:31" ht="12.75" customHeight="1" x14ac:dyDescent="0.2">
      <c r="A518">
        <v>3</v>
      </c>
      <c r="B518">
        <v>3</v>
      </c>
      <c r="C518">
        <f t="shared" ca="1" si="154"/>
        <v>8</v>
      </c>
      <c r="D518">
        <f t="shared" ca="1" si="155"/>
        <v>7</v>
      </c>
      <c r="E518">
        <f t="shared" ca="1" si="156"/>
        <v>3</v>
      </c>
      <c r="F518" s="61">
        <f t="shared" ca="1" si="157"/>
        <v>8.9999999999999998E-4</v>
      </c>
      <c r="G518">
        <v>0</v>
      </c>
      <c r="H518">
        <v>1</v>
      </c>
      <c r="I518">
        <v>5</v>
      </c>
      <c r="J518" s="61">
        <f t="shared" ca="1" si="158"/>
        <v>0</v>
      </c>
      <c r="K518" s="61">
        <f t="shared" ca="1" si="159"/>
        <v>0</v>
      </c>
      <c r="L518" s="82">
        <f t="shared" ca="1" si="160"/>
        <v>216</v>
      </c>
      <c r="M518" s="16">
        <f t="shared" ca="1" si="161"/>
        <v>784</v>
      </c>
      <c r="N518" s="3">
        <f t="shared" ca="1" si="162"/>
        <v>5</v>
      </c>
      <c r="O518" s="19">
        <f t="shared" ca="1" si="163"/>
        <v>2.8178718937399587</v>
      </c>
      <c r="P518" s="19">
        <f t="shared" ca="1" si="164"/>
        <v>28.178718937399587</v>
      </c>
      <c r="Q518" s="19">
        <f t="shared" ca="1" si="165"/>
        <v>28.178718937399587</v>
      </c>
      <c r="R518" s="19">
        <f t="shared" ca="1" si="166"/>
        <v>2.8178718937399587</v>
      </c>
      <c r="S518" s="19">
        <f t="shared" ca="1" si="167"/>
        <v>2.8178718937399587</v>
      </c>
      <c r="T518" s="19">
        <f t="shared" ca="1" si="168"/>
        <v>0</v>
      </c>
      <c r="U518" s="19">
        <f t="shared" ca="1" si="169"/>
        <v>1475.3251747165598</v>
      </c>
      <c r="V518" s="19">
        <f t="shared" ca="1" si="170"/>
        <v>0</v>
      </c>
      <c r="W518" s="82">
        <f t="shared" ca="1" si="171"/>
        <v>2429.5261501736113</v>
      </c>
      <c r="X518" s="19">
        <f t="shared" ca="1" si="172"/>
        <v>0</v>
      </c>
      <c r="Y518" s="19">
        <f t="shared" si="173"/>
        <v>0</v>
      </c>
      <c r="Z518" s="82">
        <f t="shared" ca="1" si="174"/>
        <v>2429.5261501736113</v>
      </c>
      <c r="AA518" s="19">
        <f t="shared" ca="1" si="175"/>
        <v>0</v>
      </c>
      <c r="AE518" s="19"/>
    </row>
    <row r="519" spans="1:31" ht="12.75" customHeight="1" x14ac:dyDescent="0.2">
      <c r="A519">
        <v>3</v>
      </c>
      <c r="B519">
        <v>3</v>
      </c>
      <c r="C519">
        <f t="shared" ca="1" si="154"/>
        <v>8</v>
      </c>
      <c r="D519">
        <f t="shared" ca="1" si="155"/>
        <v>7</v>
      </c>
      <c r="E519">
        <f t="shared" ca="1" si="156"/>
        <v>3</v>
      </c>
      <c r="F519" s="61">
        <f t="shared" ca="1" si="157"/>
        <v>8.9999999999999998E-4</v>
      </c>
      <c r="G519">
        <v>0</v>
      </c>
      <c r="H519">
        <v>1</v>
      </c>
      <c r="I519">
        <v>4</v>
      </c>
      <c r="J519" s="61">
        <f t="shared" ca="1" si="158"/>
        <v>0</v>
      </c>
      <c r="K519" s="61">
        <f t="shared" ca="1" si="159"/>
        <v>0</v>
      </c>
      <c r="L519" s="82">
        <f t="shared" ca="1" si="160"/>
        <v>205</v>
      </c>
      <c r="M519" s="16">
        <f t="shared" ca="1" si="161"/>
        <v>795</v>
      </c>
      <c r="N519" s="3">
        <f t="shared" ca="1" si="162"/>
        <v>5</v>
      </c>
      <c r="O519" s="19">
        <f t="shared" ca="1" si="163"/>
        <v>2.8178718937399587</v>
      </c>
      <c r="P519" s="19">
        <f t="shared" ca="1" si="164"/>
        <v>28.178718937399587</v>
      </c>
      <c r="Q519" s="19">
        <f t="shared" ca="1" si="165"/>
        <v>28.178718937399587</v>
      </c>
      <c r="R519" s="19">
        <f t="shared" ca="1" si="166"/>
        <v>2.8178718937399587</v>
      </c>
      <c r="S519" s="19">
        <f t="shared" ca="1" si="167"/>
        <v>2.8178718937399587</v>
      </c>
      <c r="T519" s="19">
        <f t="shared" ca="1" si="168"/>
        <v>0</v>
      </c>
      <c r="U519" s="19">
        <f t="shared" ca="1" si="169"/>
        <v>1464.3251747165598</v>
      </c>
      <c r="V519" s="19">
        <f t="shared" ca="1" si="170"/>
        <v>0</v>
      </c>
      <c r="W519" s="82">
        <f t="shared" ca="1" si="171"/>
        <v>1943.620920138889</v>
      </c>
      <c r="X519" s="19">
        <f t="shared" ca="1" si="172"/>
        <v>0</v>
      </c>
      <c r="Y519" s="19">
        <f t="shared" si="173"/>
        <v>0</v>
      </c>
      <c r="Z519" s="82">
        <f t="shared" ca="1" si="174"/>
        <v>1943.620920138889</v>
      </c>
      <c r="AA519" s="19">
        <f t="shared" ca="1" si="175"/>
        <v>0</v>
      </c>
      <c r="AE519" s="19"/>
    </row>
    <row r="520" spans="1:31" ht="12.75" customHeight="1" x14ac:dyDescent="0.2">
      <c r="A520">
        <v>3</v>
      </c>
      <c r="B520">
        <v>3</v>
      </c>
      <c r="C520">
        <f t="shared" ca="1" si="154"/>
        <v>8</v>
      </c>
      <c r="D520">
        <f t="shared" ca="1" si="155"/>
        <v>7</v>
      </c>
      <c r="E520">
        <f t="shared" ca="1" si="156"/>
        <v>3</v>
      </c>
      <c r="F520" s="61">
        <f t="shared" ca="1" si="157"/>
        <v>8.9999999999999998E-4</v>
      </c>
      <c r="G520">
        <v>0</v>
      </c>
      <c r="H520">
        <v>1</v>
      </c>
      <c r="I520">
        <v>3</v>
      </c>
      <c r="J520" s="61">
        <f t="shared" ca="1" si="158"/>
        <v>0</v>
      </c>
      <c r="K520" s="61">
        <f t="shared" ca="1" si="159"/>
        <v>0</v>
      </c>
      <c r="L520" s="82">
        <f t="shared" ca="1" si="160"/>
        <v>194</v>
      </c>
      <c r="M520" s="16">
        <f t="shared" ca="1" si="161"/>
        <v>806</v>
      </c>
      <c r="N520" s="3">
        <f t="shared" ca="1" si="162"/>
        <v>5</v>
      </c>
      <c r="O520" s="19">
        <f t="shared" ca="1" si="163"/>
        <v>2.8178718937399587</v>
      </c>
      <c r="P520" s="19">
        <f t="shared" ca="1" si="164"/>
        <v>28.178718937399587</v>
      </c>
      <c r="Q520" s="19">
        <f t="shared" ca="1" si="165"/>
        <v>28.178718937399587</v>
      </c>
      <c r="R520" s="19">
        <f t="shared" ca="1" si="166"/>
        <v>2.8178718937399587</v>
      </c>
      <c r="S520" s="19">
        <f t="shared" ca="1" si="167"/>
        <v>2.8178718937399587</v>
      </c>
      <c r="T520" s="19">
        <f t="shared" ca="1" si="168"/>
        <v>0</v>
      </c>
      <c r="U520" s="19">
        <f t="shared" ca="1" si="169"/>
        <v>1453.3251747165598</v>
      </c>
      <c r="V520" s="19">
        <f t="shared" ca="1" si="170"/>
        <v>0</v>
      </c>
      <c r="W520" s="82">
        <f t="shared" ca="1" si="171"/>
        <v>1457.7156901041667</v>
      </c>
      <c r="X520" s="19">
        <f t="shared" ca="1" si="172"/>
        <v>0</v>
      </c>
      <c r="Y520" s="19">
        <f t="shared" si="173"/>
        <v>0</v>
      </c>
      <c r="Z520" s="82">
        <f t="shared" ca="1" si="174"/>
        <v>1457.7156901041667</v>
      </c>
      <c r="AA520" s="19">
        <f t="shared" ca="1" si="175"/>
        <v>0</v>
      </c>
      <c r="AE520" s="19"/>
    </row>
    <row r="521" spans="1:31" ht="12.75" customHeight="1" x14ac:dyDescent="0.2">
      <c r="A521">
        <v>3</v>
      </c>
      <c r="B521">
        <v>3</v>
      </c>
      <c r="C521">
        <f t="shared" ca="1" si="154"/>
        <v>8</v>
      </c>
      <c r="D521">
        <f t="shared" ca="1" si="155"/>
        <v>7</v>
      </c>
      <c r="E521">
        <f t="shared" ca="1" si="156"/>
        <v>3</v>
      </c>
      <c r="F521" s="61">
        <f t="shared" ca="1" si="157"/>
        <v>8.9999999999999998E-4</v>
      </c>
      <c r="G521">
        <v>0</v>
      </c>
      <c r="H521">
        <v>1</v>
      </c>
      <c r="I521">
        <v>2</v>
      </c>
      <c r="J521" s="61">
        <f t="shared" ca="1" si="158"/>
        <v>0</v>
      </c>
      <c r="K521" s="61">
        <f t="shared" ca="1" si="159"/>
        <v>0</v>
      </c>
      <c r="L521" s="82">
        <f t="shared" ca="1" si="160"/>
        <v>183</v>
      </c>
      <c r="M521" s="16">
        <f t="shared" ca="1" si="161"/>
        <v>817</v>
      </c>
      <c r="N521" s="3">
        <f t="shared" ca="1" si="162"/>
        <v>5</v>
      </c>
      <c r="O521" s="19">
        <f t="shared" ca="1" si="163"/>
        <v>2.8178718937399587</v>
      </c>
      <c r="P521" s="19">
        <f t="shared" ca="1" si="164"/>
        <v>28.178718937399587</v>
      </c>
      <c r="Q521" s="19">
        <f t="shared" ca="1" si="165"/>
        <v>28.178718937399587</v>
      </c>
      <c r="R521" s="19">
        <f t="shared" ca="1" si="166"/>
        <v>2.8178718937399587</v>
      </c>
      <c r="S521" s="19">
        <f t="shared" ca="1" si="167"/>
        <v>2.8178718937399587</v>
      </c>
      <c r="T521" s="19">
        <f t="shared" ca="1" si="168"/>
        <v>0</v>
      </c>
      <c r="U521" s="19">
        <f t="shared" ca="1" si="169"/>
        <v>1442.3251747165598</v>
      </c>
      <c r="V521" s="19">
        <f t="shared" ca="1" si="170"/>
        <v>0</v>
      </c>
      <c r="W521" s="82">
        <f t="shared" ca="1" si="171"/>
        <v>971.8104600694445</v>
      </c>
      <c r="X521" s="19">
        <f t="shared" ca="1" si="172"/>
        <v>0</v>
      </c>
      <c r="Y521" s="19">
        <f t="shared" si="173"/>
        <v>0</v>
      </c>
      <c r="Z521" s="82">
        <f t="shared" ca="1" si="174"/>
        <v>971.8104600694445</v>
      </c>
      <c r="AA521" s="19">
        <f t="shared" ca="1" si="175"/>
        <v>0</v>
      </c>
      <c r="AE521" s="19"/>
    </row>
    <row r="522" spans="1:31" ht="12.75" customHeight="1" x14ac:dyDescent="0.2">
      <c r="A522">
        <v>3</v>
      </c>
      <c r="B522">
        <v>3</v>
      </c>
      <c r="C522">
        <f t="shared" ca="1" si="154"/>
        <v>8</v>
      </c>
      <c r="D522">
        <f t="shared" ca="1" si="155"/>
        <v>7</v>
      </c>
      <c r="E522">
        <f t="shared" ca="1" si="156"/>
        <v>3</v>
      </c>
      <c r="F522" s="61">
        <f t="shared" ca="1" si="157"/>
        <v>8.9999999999999998E-4</v>
      </c>
      <c r="G522">
        <v>0</v>
      </c>
      <c r="H522">
        <v>1</v>
      </c>
      <c r="I522">
        <v>1</v>
      </c>
      <c r="J522" s="61">
        <f t="shared" ca="1" si="158"/>
        <v>0</v>
      </c>
      <c r="K522" s="61">
        <f t="shared" ca="1" si="159"/>
        <v>0</v>
      </c>
      <c r="L522" s="82">
        <f t="shared" ca="1" si="160"/>
        <v>172</v>
      </c>
      <c r="M522" s="16">
        <f t="shared" ca="1" si="161"/>
        <v>828</v>
      </c>
      <c r="N522" s="3">
        <f t="shared" ca="1" si="162"/>
        <v>5</v>
      </c>
      <c r="O522" s="19">
        <f t="shared" ca="1" si="163"/>
        <v>2.8178718937399587</v>
      </c>
      <c r="P522" s="19">
        <f t="shared" ca="1" si="164"/>
        <v>28.178718937399587</v>
      </c>
      <c r="Q522" s="19">
        <f t="shared" ca="1" si="165"/>
        <v>28.178718937399587</v>
      </c>
      <c r="R522" s="19">
        <f t="shared" ca="1" si="166"/>
        <v>2.8178718937399587</v>
      </c>
      <c r="S522" s="19">
        <f t="shared" ca="1" si="167"/>
        <v>2.8178718937399587</v>
      </c>
      <c r="T522" s="19">
        <f t="shared" ca="1" si="168"/>
        <v>0</v>
      </c>
      <c r="U522" s="19">
        <f t="shared" ca="1" si="169"/>
        <v>1431.3251747165598</v>
      </c>
      <c r="V522" s="19">
        <f t="shared" ca="1" si="170"/>
        <v>0</v>
      </c>
      <c r="W522" s="82">
        <f t="shared" ca="1" si="171"/>
        <v>485.90523003472225</v>
      </c>
      <c r="X522" s="19">
        <f t="shared" ca="1" si="172"/>
        <v>0</v>
      </c>
      <c r="Y522" s="19">
        <f t="shared" si="173"/>
        <v>0</v>
      </c>
      <c r="Z522" s="82">
        <f t="shared" ca="1" si="174"/>
        <v>485.90523003472225</v>
      </c>
      <c r="AA522" s="19">
        <f t="shared" ca="1" si="175"/>
        <v>0</v>
      </c>
      <c r="AE522" s="19"/>
    </row>
    <row r="523" spans="1:31" ht="12.75" customHeight="1" x14ac:dyDescent="0.2">
      <c r="A523">
        <v>3</v>
      </c>
      <c r="B523">
        <v>3</v>
      </c>
      <c r="C523">
        <f t="shared" ca="1" si="154"/>
        <v>8</v>
      </c>
      <c r="D523">
        <f t="shared" ca="1" si="155"/>
        <v>7</v>
      </c>
      <c r="E523">
        <f t="shared" ca="1" si="156"/>
        <v>3</v>
      </c>
      <c r="F523" s="61">
        <f t="shared" ca="1" si="157"/>
        <v>8.9999999999999998E-4</v>
      </c>
      <c r="G523">
        <v>0</v>
      </c>
      <c r="H523">
        <v>1</v>
      </c>
      <c r="I523">
        <v>0</v>
      </c>
      <c r="J523" s="61">
        <f t="shared" ca="1" si="158"/>
        <v>0</v>
      </c>
      <c r="K523" s="61">
        <f t="shared" ca="1" si="159"/>
        <v>0</v>
      </c>
      <c r="L523" s="82">
        <f t="shared" ca="1" si="160"/>
        <v>161</v>
      </c>
      <c r="M523" s="16">
        <f t="shared" ca="1" si="161"/>
        <v>839</v>
      </c>
      <c r="N523" s="3">
        <f t="shared" ca="1" si="162"/>
        <v>5</v>
      </c>
      <c r="O523" s="19">
        <f t="shared" ca="1" si="163"/>
        <v>2.8178718937399587</v>
      </c>
      <c r="P523" s="19">
        <f t="shared" ca="1" si="164"/>
        <v>28.178718937399587</v>
      </c>
      <c r="Q523" s="19">
        <f t="shared" ca="1" si="165"/>
        <v>28.178718937399587</v>
      </c>
      <c r="R523" s="19">
        <f t="shared" ca="1" si="166"/>
        <v>2.8178718937399587</v>
      </c>
      <c r="S523" s="19">
        <f t="shared" ca="1" si="167"/>
        <v>2.8178718937399587</v>
      </c>
      <c r="T523" s="19">
        <f t="shared" ca="1" si="168"/>
        <v>0</v>
      </c>
      <c r="U523" s="19">
        <f t="shared" ca="1" si="169"/>
        <v>1420.3251747165598</v>
      </c>
      <c r="V523" s="19">
        <f t="shared" ca="1" si="170"/>
        <v>0</v>
      </c>
      <c r="W523" s="82">
        <f t="shared" ca="1" si="171"/>
        <v>0</v>
      </c>
      <c r="X523" s="19">
        <f t="shared" ca="1" si="172"/>
        <v>0</v>
      </c>
      <c r="Y523" s="19">
        <f t="shared" si="173"/>
        <v>0</v>
      </c>
      <c r="Z523" s="82">
        <f t="shared" ca="1" si="174"/>
        <v>0</v>
      </c>
      <c r="AA523" s="19">
        <f t="shared" ca="1" si="175"/>
        <v>0</v>
      </c>
      <c r="AE523" s="19"/>
    </row>
    <row r="524" spans="1:31" ht="12.75" customHeight="1" x14ac:dyDescent="0.2">
      <c r="A524">
        <v>3</v>
      </c>
      <c r="B524">
        <v>3</v>
      </c>
      <c r="C524">
        <f t="shared" ca="1" si="154"/>
        <v>8</v>
      </c>
      <c r="D524">
        <f t="shared" ca="1" si="155"/>
        <v>7</v>
      </c>
      <c r="E524">
        <f t="shared" ca="1" si="156"/>
        <v>3</v>
      </c>
      <c r="F524" s="61">
        <f t="shared" ca="1" si="157"/>
        <v>8.9999999999999998E-4</v>
      </c>
      <c r="G524">
        <v>0</v>
      </c>
      <c r="H524">
        <v>0</v>
      </c>
      <c r="I524">
        <v>7</v>
      </c>
      <c r="J524" s="61">
        <f t="shared" ca="1" si="158"/>
        <v>3.4916864804687496E-2</v>
      </c>
      <c r="K524" s="61">
        <f t="shared" ca="1" si="159"/>
        <v>3.1425178324218745E-5</v>
      </c>
      <c r="L524" s="82">
        <f t="shared" ca="1" si="160"/>
        <v>77</v>
      </c>
      <c r="M524" s="16">
        <f t="shared" ca="1" si="161"/>
        <v>923</v>
      </c>
      <c r="N524" s="3">
        <f t="shared" ca="1" si="162"/>
        <v>5</v>
      </c>
      <c r="O524" s="19">
        <f t="shared" ca="1" si="163"/>
        <v>2.8178718937399587</v>
      </c>
      <c r="P524" s="19">
        <f t="shared" ca="1" si="164"/>
        <v>28.178718937399587</v>
      </c>
      <c r="Q524" s="19">
        <f t="shared" ca="1" si="165"/>
        <v>28.178718937399587</v>
      </c>
      <c r="R524" s="19">
        <f t="shared" ca="1" si="166"/>
        <v>2.8178718937399587</v>
      </c>
      <c r="S524" s="19">
        <f t="shared" ca="1" si="167"/>
        <v>2.8178718937399587</v>
      </c>
      <c r="T524" s="19">
        <f t="shared" ca="1" si="168"/>
        <v>8.8552126755582174E-5</v>
      </c>
      <c r="U524" s="19">
        <f t="shared" ca="1" si="169"/>
        <v>1336.3251747165598</v>
      </c>
      <c r="V524" s="19">
        <f t="shared" ca="1" si="170"/>
        <v>4.1994256914610666E-2</v>
      </c>
      <c r="W524" s="82">
        <f t="shared" ca="1" si="171"/>
        <v>3401.3366102430559</v>
      </c>
      <c r="X524" s="19">
        <f t="shared" ca="1" si="172"/>
        <v>0.10688760951758175</v>
      </c>
      <c r="Y524" s="19">
        <f t="shared" si="173"/>
        <v>0</v>
      </c>
      <c r="Z524" s="82">
        <f t="shared" ca="1" si="174"/>
        <v>3401.3366102430559</v>
      </c>
      <c r="AA524" s="19">
        <f t="shared" ca="1" si="175"/>
        <v>0.10688760951758175</v>
      </c>
      <c r="AE524" s="19"/>
    </row>
    <row r="525" spans="1:31" ht="12.75" customHeight="1" x14ac:dyDescent="0.2">
      <c r="A525">
        <v>3</v>
      </c>
      <c r="B525">
        <v>3</v>
      </c>
      <c r="C525">
        <f t="shared" ca="1" si="154"/>
        <v>8</v>
      </c>
      <c r="D525">
        <f t="shared" ca="1" si="155"/>
        <v>7</v>
      </c>
      <c r="E525">
        <f t="shared" ca="1" si="156"/>
        <v>3</v>
      </c>
      <c r="F525" s="61">
        <f t="shared" ca="1" si="157"/>
        <v>8.9999999999999998E-4</v>
      </c>
      <c r="G525">
        <v>0</v>
      </c>
      <c r="H525">
        <v>0</v>
      </c>
      <c r="I525">
        <v>6</v>
      </c>
      <c r="J525" s="61">
        <f t="shared" ca="1" si="158"/>
        <v>1.2864108085937513E-2</v>
      </c>
      <c r="K525" s="61">
        <f t="shared" ca="1" si="159"/>
        <v>1.1577697277343762E-5</v>
      </c>
      <c r="L525" s="82">
        <f t="shared" ca="1" si="160"/>
        <v>66</v>
      </c>
      <c r="M525" s="16">
        <f t="shared" ca="1" si="161"/>
        <v>934</v>
      </c>
      <c r="N525" s="3">
        <f t="shared" ca="1" si="162"/>
        <v>5</v>
      </c>
      <c r="O525" s="19">
        <f t="shared" ca="1" si="163"/>
        <v>2.8178718937399587</v>
      </c>
      <c r="P525" s="19">
        <f t="shared" ca="1" si="164"/>
        <v>28.178718937399587</v>
      </c>
      <c r="Q525" s="19">
        <f t="shared" ca="1" si="165"/>
        <v>28.178718937399587</v>
      </c>
      <c r="R525" s="19">
        <f t="shared" ca="1" si="166"/>
        <v>2.8178718937399587</v>
      </c>
      <c r="S525" s="19">
        <f t="shared" ca="1" si="167"/>
        <v>2.8178718937399587</v>
      </c>
      <c r="T525" s="19">
        <f t="shared" ca="1" si="168"/>
        <v>3.2624467752056629E-5</v>
      </c>
      <c r="U525" s="19">
        <f t="shared" ca="1" si="169"/>
        <v>1325.3251747165598</v>
      </c>
      <c r="V525" s="19">
        <f t="shared" ca="1" si="170"/>
        <v>1.534421366691106E-2</v>
      </c>
      <c r="W525" s="82">
        <f t="shared" ca="1" si="171"/>
        <v>2915.4313802083334</v>
      </c>
      <c r="X525" s="19">
        <f t="shared" ca="1" si="172"/>
        <v>3.3753981952920585E-2</v>
      </c>
      <c r="Y525" s="19">
        <f t="shared" si="173"/>
        <v>0</v>
      </c>
      <c r="Z525" s="82">
        <f t="shared" ca="1" si="174"/>
        <v>2915.4313802083334</v>
      </c>
      <c r="AA525" s="19">
        <f t="shared" ca="1" si="175"/>
        <v>3.3753981952920585E-2</v>
      </c>
      <c r="AE525" s="19"/>
    </row>
    <row r="526" spans="1:31" ht="12.75" customHeight="1" x14ac:dyDescent="0.2">
      <c r="A526">
        <v>3</v>
      </c>
      <c r="B526">
        <v>3</v>
      </c>
      <c r="C526">
        <f t="shared" ca="1" si="154"/>
        <v>8</v>
      </c>
      <c r="D526">
        <f t="shared" ca="1" si="155"/>
        <v>7</v>
      </c>
      <c r="E526">
        <f t="shared" ca="1" si="156"/>
        <v>3</v>
      </c>
      <c r="F526" s="61">
        <f t="shared" ca="1" si="157"/>
        <v>8.9999999999999998E-4</v>
      </c>
      <c r="G526">
        <v>0</v>
      </c>
      <c r="H526">
        <v>0</v>
      </c>
      <c r="I526">
        <v>5</v>
      </c>
      <c r="J526" s="61">
        <f t="shared" ca="1" si="158"/>
        <v>2.0311749609375038E-3</v>
      </c>
      <c r="K526" s="61">
        <f t="shared" ca="1" si="159"/>
        <v>1.8280574648437534E-6</v>
      </c>
      <c r="L526" s="82">
        <f t="shared" ca="1" si="160"/>
        <v>55</v>
      </c>
      <c r="M526" s="16">
        <f t="shared" ca="1" si="161"/>
        <v>945</v>
      </c>
      <c r="N526" s="3">
        <f t="shared" ca="1" si="162"/>
        <v>5</v>
      </c>
      <c r="O526" s="19">
        <f t="shared" ca="1" si="163"/>
        <v>2.8178718937399587</v>
      </c>
      <c r="P526" s="19">
        <f t="shared" ca="1" si="164"/>
        <v>28.178718937399587</v>
      </c>
      <c r="Q526" s="19">
        <f t="shared" ca="1" si="165"/>
        <v>28.178718937399587</v>
      </c>
      <c r="R526" s="19">
        <f t="shared" ca="1" si="166"/>
        <v>2.8178718937399587</v>
      </c>
      <c r="S526" s="19">
        <f t="shared" ca="1" si="167"/>
        <v>2.8178718937399587</v>
      </c>
      <c r="T526" s="19">
        <f t="shared" ca="1" si="168"/>
        <v>5.1512317503247356E-6</v>
      </c>
      <c r="U526" s="19">
        <f t="shared" ca="1" si="169"/>
        <v>1314.3251747165598</v>
      </c>
      <c r="V526" s="19">
        <f t="shared" ca="1" si="170"/>
        <v>2.4026619468726774E-3</v>
      </c>
      <c r="W526" s="82">
        <f t="shared" ca="1" si="171"/>
        <v>2429.5261501736113</v>
      </c>
      <c r="X526" s="19">
        <f t="shared" ca="1" si="172"/>
        <v>4.4413134148579758E-3</v>
      </c>
      <c r="Y526" s="19">
        <f t="shared" si="173"/>
        <v>0</v>
      </c>
      <c r="Z526" s="82">
        <f t="shared" ca="1" si="174"/>
        <v>2429.5261501736113</v>
      </c>
      <c r="AA526" s="19">
        <f t="shared" ca="1" si="175"/>
        <v>4.4413134148579758E-3</v>
      </c>
      <c r="AE526" s="19"/>
    </row>
    <row r="527" spans="1:31" ht="12.75" customHeight="1" x14ac:dyDescent="0.2">
      <c r="A527">
        <v>3</v>
      </c>
      <c r="B527">
        <v>3</v>
      </c>
      <c r="C527">
        <f t="shared" ca="1" si="154"/>
        <v>8</v>
      </c>
      <c r="D527">
        <f t="shared" ca="1" si="155"/>
        <v>7</v>
      </c>
      <c r="E527">
        <f t="shared" ca="1" si="156"/>
        <v>3</v>
      </c>
      <c r="F527" s="61">
        <f t="shared" ca="1" si="157"/>
        <v>8.9999999999999998E-4</v>
      </c>
      <c r="G527">
        <v>0</v>
      </c>
      <c r="H527">
        <v>0</v>
      </c>
      <c r="I527">
        <v>4</v>
      </c>
      <c r="J527" s="61">
        <f t="shared" ca="1" si="158"/>
        <v>1.7817324218750047E-4</v>
      </c>
      <c r="K527" s="61">
        <f t="shared" ca="1" si="159"/>
        <v>1.6035591796875042E-7</v>
      </c>
      <c r="L527" s="82">
        <f t="shared" ca="1" si="160"/>
        <v>44</v>
      </c>
      <c r="M527" s="16">
        <f t="shared" ca="1" si="161"/>
        <v>956</v>
      </c>
      <c r="N527" s="3">
        <f t="shared" ca="1" si="162"/>
        <v>6</v>
      </c>
      <c r="O527" s="19">
        <f t="shared" ca="1" si="163"/>
        <v>3.3239268932937667</v>
      </c>
      <c r="P527" s="19">
        <f t="shared" ca="1" si="164"/>
        <v>33.239268932937669</v>
      </c>
      <c r="Q527" s="19">
        <f t="shared" ca="1" si="165"/>
        <v>28.178718937399587</v>
      </c>
      <c r="R527" s="19">
        <f t="shared" ca="1" si="166"/>
        <v>3.0708993935168629</v>
      </c>
      <c r="S527" s="19">
        <f t="shared" ca="1" si="167"/>
        <v>3.3239268932937667</v>
      </c>
      <c r="T527" s="19">
        <f t="shared" ca="1" si="168"/>
        <v>5.3301134823513867E-7</v>
      </c>
      <c r="U527" s="19">
        <f t="shared" ca="1" si="169"/>
        <v>1495.4024523027438</v>
      </c>
      <c r="V527" s="19">
        <f t="shared" ca="1" si="170"/>
        <v>2.39796632971727E-4</v>
      </c>
      <c r="W527" s="82">
        <f t="shared" ca="1" si="171"/>
        <v>1943.620920138889</v>
      </c>
      <c r="X527" s="19">
        <f t="shared" ca="1" si="172"/>
        <v>3.1167111683213887E-4</v>
      </c>
      <c r="Y527" s="19">
        <f t="shared" si="173"/>
        <v>0</v>
      </c>
      <c r="Z527" s="82">
        <f t="shared" ca="1" si="174"/>
        <v>1943.620920138889</v>
      </c>
      <c r="AA527" s="19">
        <f t="shared" ca="1" si="175"/>
        <v>3.1167111683213887E-4</v>
      </c>
      <c r="AE527" s="19"/>
    </row>
    <row r="528" spans="1:31" ht="12.75" customHeight="1" x14ac:dyDescent="0.2">
      <c r="A528">
        <v>3</v>
      </c>
      <c r="B528">
        <v>3</v>
      </c>
      <c r="C528">
        <f t="shared" ca="1" si="154"/>
        <v>8</v>
      </c>
      <c r="D528">
        <f t="shared" ca="1" si="155"/>
        <v>7</v>
      </c>
      <c r="E528">
        <f t="shared" ca="1" si="156"/>
        <v>3</v>
      </c>
      <c r="F528" s="61">
        <f t="shared" ca="1" si="157"/>
        <v>8.9999999999999998E-4</v>
      </c>
      <c r="G528">
        <v>0</v>
      </c>
      <c r="H528">
        <v>0</v>
      </c>
      <c r="I528">
        <v>3</v>
      </c>
      <c r="J528" s="61">
        <f t="shared" ca="1" si="158"/>
        <v>9.3775390625000315E-6</v>
      </c>
      <c r="K528" s="61">
        <f t="shared" ca="1" si="159"/>
        <v>8.4397851562500278E-9</v>
      </c>
      <c r="L528" s="82">
        <f t="shared" ca="1" si="160"/>
        <v>33</v>
      </c>
      <c r="M528" s="16">
        <f t="shared" ca="1" si="161"/>
        <v>967</v>
      </c>
      <c r="N528" s="3">
        <f t="shared" ca="1" si="162"/>
        <v>6</v>
      </c>
      <c r="O528" s="19">
        <f t="shared" ca="1" si="163"/>
        <v>3.3239268932937667</v>
      </c>
      <c r="P528" s="19">
        <f t="shared" ca="1" si="164"/>
        <v>33.239268932937669</v>
      </c>
      <c r="Q528" s="19">
        <f t="shared" ca="1" si="165"/>
        <v>33.239268932937669</v>
      </c>
      <c r="R528" s="19">
        <f t="shared" ca="1" si="166"/>
        <v>3.3239268932937671</v>
      </c>
      <c r="S528" s="19">
        <f t="shared" ca="1" si="167"/>
        <v>3.3239268932937667</v>
      </c>
      <c r="T528" s="19">
        <f t="shared" ca="1" si="168"/>
        <v>2.8053228854481004E-8</v>
      </c>
      <c r="U528" s="19">
        <f t="shared" ca="1" si="169"/>
        <v>1484.4024523027438</v>
      </c>
      <c r="V528" s="19">
        <f t="shared" ca="1" si="170"/>
        <v>1.2528037782845836E-5</v>
      </c>
      <c r="W528" s="82">
        <f t="shared" ca="1" si="171"/>
        <v>1457.7156901041667</v>
      </c>
      <c r="X528" s="19">
        <f t="shared" ca="1" si="172"/>
        <v>1.2302807243373912E-5</v>
      </c>
      <c r="Y528" s="19">
        <f t="shared" si="173"/>
        <v>0</v>
      </c>
      <c r="Z528" s="82">
        <f t="shared" ca="1" si="174"/>
        <v>1457.7156901041667</v>
      </c>
      <c r="AA528" s="19">
        <f t="shared" ca="1" si="175"/>
        <v>1.2302807243373912E-5</v>
      </c>
      <c r="AE528" s="19"/>
    </row>
    <row r="529" spans="1:31" ht="12.75" customHeight="1" x14ac:dyDescent="0.2">
      <c r="A529">
        <v>3</v>
      </c>
      <c r="B529">
        <v>3</v>
      </c>
      <c r="C529">
        <f t="shared" ca="1" si="154"/>
        <v>8</v>
      </c>
      <c r="D529">
        <f t="shared" ca="1" si="155"/>
        <v>7</v>
      </c>
      <c r="E529">
        <f t="shared" ca="1" si="156"/>
        <v>3</v>
      </c>
      <c r="F529" s="61">
        <f t="shared" ca="1" si="157"/>
        <v>8.9999999999999998E-4</v>
      </c>
      <c r="G529">
        <v>0</v>
      </c>
      <c r="H529">
        <v>0</v>
      </c>
      <c r="I529">
        <v>2</v>
      </c>
      <c r="J529" s="61">
        <f t="shared" ca="1" si="158"/>
        <v>2.961328125000013E-7</v>
      </c>
      <c r="K529" s="61">
        <f t="shared" ca="1" si="159"/>
        <v>2.6651953125000117E-10</v>
      </c>
      <c r="L529" s="82">
        <f t="shared" ca="1" si="160"/>
        <v>22</v>
      </c>
      <c r="M529" s="16">
        <f t="shared" ca="1" si="161"/>
        <v>978</v>
      </c>
      <c r="N529" s="3">
        <f t="shared" ca="1" si="162"/>
        <v>6</v>
      </c>
      <c r="O529" s="19">
        <f t="shared" ca="1" si="163"/>
        <v>3.3239268932937667</v>
      </c>
      <c r="P529" s="19">
        <f t="shared" ca="1" si="164"/>
        <v>33.239268932937669</v>
      </c>
      <c r="Q529" s="19">
        <f t="shared" ca="1" si="165"/>
        <v>33.239268932937669</v>
      </c>
      <c r="R529" s="19">
        <f t="shared" ca="1" si="166"/>
        <v>3.3239268932937671</v>
      </c>
      <c r="S529" s="19">
        <f t="shared" ca="1" si="167"/>
        <v>3.3239268932937667</v>
      </c>
      <c r="T529" s="19">
        <f t="shared" ca="1" si="168"/>
        <v>8.8589143750992738E-10</v>
      </c>
      <c r="U529" s="19">
        <f t="shared" ca="1" si="169"/>
        <v>1473.4024523027438</v>
      </c>
      <c r="V529" s="19">
        <f t="shared" ca="1" si="170"/>
        <v>3.926905309303295E-7</v>
      </c>
      <c r="W529" s="82">
        <f t="shared" ca="1" si="171"/>
        <v>971.8104600694445</v>
      </c>
      <c r="X529" s="19">
        <f t="shared" ca="1" si="172"/>
        <v>2.5900646828155633E-7</v>
      </c>
      <c r="Y529" s="19">
        <f t="shared" si="173"/>
        <v>0</v>
      </c>
      <c r="Z529" s="82">
        <f t="shared" ca="1" si="174"/>
        <v>971.8104600694445</v>
      </c>
      <c r="AA529" s="19">
        <f t="shared" ca="1" si="175"/>
        <v>2.5900646828155633E-7</v>
      </c>
      <c r="AE529" s="19"/>
    </row>
    <row r="530" spans="1:31" ht="12.75" customHeight="1" x14ac:dyDescent="0.2">
      <c r="A530">
        <v>3</v>
      </c>
      <c r="B530">
        <v>3</v>
      </c>
      <c r="C530">
        <f t="shared" ca="1" si="154"/>
        <v>8</v>
      </c>
      <c r="D530">
        <f t="shared" ca="1" si="155"/>
        <v>7</v>
      </c>
      <c r="E530">
        <f t="shared" ca="1" si="156"/>
        <v>3</v>
      </c>
      <c r="F530" s="61">
        <f t="shared" ca="1" si="157"/>
        <v>8.9999999999999998E-4</v>
      </c>
      <c r="G530">
        <v>0</v>
      </c>
      <c r="H530">
        <v>0</v>
      </c>
      <c r="I530">
        <v>1</v>
      </c>
      <c r="J530" s="61">
        <f t="shared" ca="1" si="158"/>
        <v>5.1953125000000272E-9</v>
      </c>
      <c r="K530" s="61">
        <f t="shared" ca="1" si="159"/>
        <v>4.6757812500000246E-12</v>
      </c>
      <c r="L530" s="82">
        <f t="shared" ca="1" si="160"/>
        <v>11</v>
      </c>
      <c r="M530" s="16">
        <f t="shared" ca="1" si="161"/>
        <v>989</v>
      </c>
      <c r="N530" s="3">
        <f t="shared" ca="1" si="162"/>
        <v>6</v>
      </c>
      <c r="O530" s="19">
        <f t="shared" ca="1" si="163"/>
        <v>3.3239268932937667</v>
      </c>
      <c r="P530" s="19">
        <f t="shared" ca="1" si="164"/>
        <v>33.239268932937669</v>
      </c>
      <c r="Q530" s="19">
        <f t="shared" ca="1" si="165"/>
        <v>33.239268932937669</v>
      </c>
      <c r="R530" s="19">
        <f t="shared" ca="1" si="166"/>
        <v>3.3239268932937671</v>
      </c>
      <c r="S530" s="19">
        <f t="shared" ca="1" si="167"/>
        <v>3.3239268932937667</v>
      </c>
      <c r="T530" s="19">
        <f t="shared" ca="1" si="168"/>
        <v>1.5541955044033825E-11</v>
      </c>
      <c r="U530" s="19">
        <f t="shared" ca="1" si="169"/>
        <v>1462.4024523027438</v>
      </c>
      <c r="V530" s="19">
        <f t="shared" ca="1" si="170"/>
        <v>6.837873966431225E-9</v>
      </c>
      <c r="W530" s="82">
        <f t="shared" ca="1" si="171"/>
        <v>485.90523003472225</v>
      </c>
      <c r="X530" s="19">
        <f t="shared" ca="1" si="172"/>
        <v>2.2719865638733031E-9</v>
      </c>
      <c r="Y530" s="19">
        <f t="shared" si="173"/>
        <v>0</v>
      </c>
      <c r="Z530" s="82">
        <f t="shared" ca="1" si="174"/>
        <v>485.90523003472225</v>
      </c>
      <c r="AA530" s="19">
        <f t="shared" ca="1" si="175"/>
        <v>2.2719865638733031E-9</v>
      </c>
      <c r="AE530" s="19"/>
    </row>
    <row r="531" spans="1:31" ht="12.75" customHeight="1" x14ac:dyDescent="0.2">
      <c r="A531">
        <v>3</v>
      </c>
      <c r="B531">
        <v>3</v>
      </c>
      <c r="C531">
        <f t="shared" ca="1" si="154"/>
        <v>8</v>
      </c>
      <c r="D531">
        <f t="shared" ca="1" si="155"/>
        <v>7</v>
      </c>
      <c r="E531">
        <f t="shared" ca="1" si="156"/>
        <v>3</v>
      </c>
      <c r="F531" s="61">
        <f t="shared" ca="1" si="157"/>
        <v>8.9999999999999998E-4</v>
      </c>
      <c r="G531">
        <v>0</v>
      </c>
      <c r="H531">
        <v>0</v>
      </c>
      <c r="I531">
        <v>0</v>
      </c>
      <c r="J531" s="61">
        <f t="shared" ca="1" si="158"/>
        <v>3.9062500000000246E-11</v>
      </c>
      <c r="K531" s="61">
        <f t="shared" ca="1" si="159"/>
        <v>3.5156250000000219E-14</v>
      </c>
      <c r="L531" s="82">
        <f t="shared" ca="1" si="160"/>
        <v>0</v>
      </c>
      <c r="M531" s="16">
        <f t="shared" ca="1" si="161"/>
        <v>1000</v>
      </c>
      <c r="N531" s="3">
        <f t="shared" ca="1" si="162"/>
        <v>6</v>
      </c>
      <c r="O531" s="19">
        <f t="shared" ca="1" si="163"/>
        <v>3.3239268932937667</v>
      </c>
      <c r="P531" s="19">
        <f t="shared" ca="1" si="164"/>
        <v>33.239268932937669</v>
      </c>
      <c r="Q531" s="19">
        <f t="shared" ca="1" si="165"/>
        <v>33.239268932937669</v>
      </c>
      <c r="R531" s="19">
        <f t="shared" ca="1" si="166"/>
        <v>3.3239268932937671</v>
      </c>
      <c r="S531" s="19">
        <f t="shared" ca="1" si="167"/>
        <v>3.3239268932937667</v>
      </c>
      <c r="T531" s="19">
        <f t="shared" ca="1" si="168"/>
        <v>1.1685680484235972E-13</v>
      </c>
      <c r="U531" s="19">
        <f t="shared" ca="1" si="169"/>
        <v>1451.4024523027438</v>
      </c>
      <c r="V531" s="19">
        <f t="shared" ca="1" si="170"/>
        <v>5.1025867463768655E-11</v>
      </c>
      <c r="W531" s="82">
        <f t="shared" ca="1" si="171"/>
        <v>0</v>
      </c>
      <c r="X531" s="19">
        <f t="shared" ca="1" si="172"/>
        <v>0</v>
      </c>
      <c r="Y531" s="19">
        <f t="shared" si="173"/>
        <v>0</v>
      </c>
      <c r="Z531" s="82">
        <f t="shared" ca="1" si="174"/>
        <v>0</v>
      </c>
      <c r="AA531" s="19">
        <f t="shared" ca="1" si="175"/>
        <v>0</v>
      </c>
      <c r="AE531" s="19"/>
    </row>
    <row r="532" spans="1:31" ht="12.75" customHeight="1" x14ac:dyDescent="0.2"/>
    <row r="533" spans="1:31" ht="12.75" customHeight="1" x14ac:dyDescent="0.2">
      <c r="J533" s="9" t="s">
        <v>444</v>
      </c>
      <c r="K533" s="61">
        <f ca="1">SUM(K20:K531)</f>
        <v>1.0000000000000002</v>
      </c>
      <c r="O533" s="3"/>
      <c r="P533" s="3"/>
      <c r="Q533" s="3"/>
      <c r="R533" s="3"/>
      <c r="S533" s="3" t="s">
        <v>445</v>
      </c>
      <c r="T533" s="19">
        <f ca="1">SUM(T20:T531)</f>
        <v>2.8424309610985694</v>
      </c>
      <c r="U533" t="s">
        <v>401</v>
      </c>
      <c r="V533" s="19">
        <f ca="1">SUM(V20:V531)</f>
        <v>1446.0232040292037</v>
      </c>
      <c r="W533" t="s">
        <v>446</v>
      </c>
      <c r="X533" s="19">
        <f ca="1">SUM(X20:X531)</f>
        <v>3280.5823627754135</v>
      </c>
      <c r="Z533" t="s">
        <v>447</v>
      </c>
      <c r="AA533" s="19">
        <f ca="1">SUM(AA20:AA531)</f>
        <v>3280.5823627754135</v>
      </c>
      <c r="AE533" s="19"/>
    </row>
    <row r="534" spans="1:31" ht="12.75" customHeight="1" x14ac:dyDescent="0.2"/>
    <row r="535" spans="1:31" ht="12.75" customHeight="1" x14ac:dyDescent="0.2"/>
    <row r="536" spans="1:31" ht="12.75" customHeight="1" x14ac:dyDescent="0.2">
      <c r="A536" t="s">
        <v>448</v>
      </c>
      <c r="Q536" s="3"/>
      <c r="R536" s="3"/>
    </row>
    <row r="537" spans="1:31" ht="12.75" customHeight="1" x14ac:dyDescent="0.2">
      <c r="A537" s="1" t="str">
        <f>Entropy</f>
        <v>Dimidiation</v>
      </c>
      <c r="F537" s="9"/>
      <c r="I537" t="str">
        <f>VLOOKUP($A$537, WeaponskillData, MATCH("WSC1 Name", WeaponskillDataCols, 0), 0)</f>
        <v>Dex</v>
      </c>
      <c r="J537" s="16">
        <f ca="1">INDIRECT($A$536 &amp; "WS" &amp; I537)</f>
        <v>319</v>
      </c>
      <c r="K537" s="9">
        <f>VLOOKUP($A$537, WeaponskillData, MATCH("WSC1 Value", WeaponskillDataCols, 0), 0)</f>
        <v>0.8</v>
      </c>
      <c r="P537" s="3"/>
      <c r="Q537" s="12"/>
      <c r="R537" s="12"/>
    </row>
    <row r="538" spans="1:31" ht="12.75" customHeight="1" x14ac:dyDescent="0.2">
      <c r="A538" t="s">
        <v>384</v>
      </c>
      <c r="B538" s="3">
        <f ca="1">Set2MeleeTP</f>
        <v>189</v>
      </c>
      <c r="D538" t="s">
        <v>385</v>
      </c>
      <c r="E538" s="9">
        <f ca="1">Set2DA</f>
        <v>0.22999999999999998</v>
      </c>
      <c r="F538" s="9">
        <f ca="1">Set2DA</f>
        <v>0.22999999999999998</v>
      </c>
      <c r="I538" t="str">
        <f>VLOOKUP($A$537, WeaponskillData, MATCH("WSC2 Name", WeaponskillDataCols, 0), 0)</f>
        <v>N/A</v>
      </c>
      <c r="J538" s="16">
        <f ca="1">IF(I538&lt;&gt;"N/A", INDIRECT($A$536 &amp; "WS" &amp; I538), 0)</f>
        <v>0</v>
      </c>
      <c r="K538" s="9">
        <f>IF(I538&lt;&gt;"N/A", VLOOKUP($A$537, WeaponskillData, MATCH("WSC2 Value", WeaponskillDataCols, 0), 0), 0)</f>
        <v>0</v>
      </c>
      <c r="P538" s="3"/>
      <c r="Q538" s="19"/>
      <c r="R538" s="19"/>
    </row>
    <row r="539" spans="1:31" ht="12.75" customHeight="1" x14ac:dyDescent="0.2">
      <c r="A539" t="s">
        <v>387</v>
      </c>
      <c r="B539">
        <f ca="1">Set2WSTP</f>
        <v>161</v>
      </c>
      <c r="D539" t="s">
        <v>388</v>
      </c>
      <c r="E539" s="9">
        <f ca="1">Set2TA</f>
        <v>0.04</v>
      </c>
      <c r="F539" s="9">
        <f ca="1">Set2TA</f>
        <v>0.04</v>
      </c>
      <c r="I539" t="s">
        <v>389</v>
      </c>
      <c r="J539" s="16">
        <f ca="1">INDIRECT($A$536 &amp; "WSDex")</f>
        <v>319</v>
      </c>
      <c r="K539" s="9">
        <f>IF(Gear!AB4="Utu Grip", 10%, 0%)</f>
        <v>0</v>
      </c>
    </row>
    <row r="540" spans="1:31" ht="12.75" customHeight="1" x14ac:dyDescent="0.2">
      <c r="A540" t="s">
        <v>390</v>
      </c>
      <c r="B540">
        <f ca="1">Set2WSStoreTP</f>
        <v>19</v>
      </c>
      <c r="D540" t="s">
        <v>391</v>
      </c>
      <c r="E540" s="9">
        <f ca="1">Set2QA</f>
        <v>0.03</v>
      </c>
      <c r="F540" s="9">
        <f ca="1">Set2QA</f>
        <v>0.03</v>
      </c>
      <c r="I540" t="s">
        <v>392</v>
      </c>
      <c r="J540">
        <f ca="1">TRUNC(J537*K537+J538*K538+J539*K539)</f>
        <v>255</v>
      </c>
    </row>
    <row r="541" spans="1:31" ht="12.75" customHeight="1" x14ac:dyDescent="0.2">
      <c r="A541" t="s">
        <v>393</v>
      </c>
      <c r="B541">
        <f ca="1">TRUNC(10*(1+B540/100))</f>
        <v>11</v>
      </c>
      <c r="D541" t="s">
        <v>394</v>
      </c>
      <c r="E541" s="9">
        <f ca="1">Melee!B65</f>
        <v>0.6</v>
      </c>
      <c r="F541" s="9">
        <v>0</v>
      </c>
      <c r="I541" t="s">
        <v>395</v>
      </c>
      <c r="J541" s="59">
        <f>VLOOKUP($A$537, WeaponskillData, MATCH("FTP1", WeaponskillDataCols, 0), 0)</f>
        <v>2.25</v>
      </c>
      <c r="K541" s="59">
        <f>VLOOKUP($A$537, WeaponskillData, MATCH("FTP2", WeaponskillDataCols, 0), 0)</f>
        <v>4.5</v>
      </c>
      <c r="L541" s="59">
        <f>VLOOKUP($A$537, WeaponskillData, MATCH("FTP3", WeaponskillDataCols, 0), 0)</f>
        <v>6.5</v>
      </c>
      <c r="N541" t="s">
        <v>396</v>
      </c>
    </row>
    <row r="542" spans="1:31" ht="12.75" customHeight="1" x14ac:dyDescent="0.2">
      <c r="A542" t="s">
        <v>397</v>
      </c>
      <c r="B542" s="65">
        <f ca="1">Set2WSHitRate</f>
        <v>0.95</v>
      </c>
      <c r="D542" t="s">
        <v>398</v>
      </c>
      <c r="E542" s="9">
        <f ca="1">Melee!B66</f>
        <v>0.66600000000000004</v>
      </c>
      <c r="F542" s="9">
        <v>0</v>
      </c>
      <c r="I542" s="3" t="s">
        <v>399</v>
      </c>
      <c r="J542" s="59">
        <f ca="1">J541+Set2FTP</f>
        <v>2.25</v>
      </c>
      <c r="K542" s="59">
        <f ca="1">K541+Set2FTP</f>
        <v>4.5</v>
      </c>
      <c r="L542" s="59">
        <f ca="1">L541+Set2FTP</f>
        <v>6.5</v>
      </c>
      <c r="N542" s="61">
        <f ca="1">VLOOKUP($A$537,WeaponskillData,MATCH("Def0",WeaponskillDataCols,0),0) + (MIN(MAX($J$543-1000, 0),1000)/1000)*VLOOKUP($A$537,WeaponskillData,MATCH("Def1",WeaponskillDataCols,0),0) + MAX($J$543-2000,0)/1000*VLOOKUP($A$537,WeaponskillData,MATCH("Def2",WeaponskillDataCols,0),0)</f>
        <v>0</v>
      </c>
    </row>
    <row r="543" spans="1:31" ht="12.75" customHeight="1" x14ac:dyDescent="0.2">
      <c r="D543" t="s">
        <v>400</v>
      </c>
      <c r="E543" s="9">
        <f ca="1">Melee!B67</f>
        <v>0.33400000000000002</v>
      </c>
      <c r="F543" s="9">
        <v>0</v>
      </c>
      <c r="I543" t="s">
        <v>401</v>
      </c>
      <c r="J543" s="3">
        <f ca="1">MIN(TRUNC(V1069+Set2TPBonus), 3000)</f>
        <v>1696</v>
      </c>
      <c r="K543" t="s">
        <v>402</v>
      </c>
      <c r="L543" s="59">
        <f ca="1">IF(J543&lt;1000, 0, IF(J543&lt;2000, J542+(J543-1000)/1000*(K542-J542), K542+(J543-2000)/1000*(L542-K542)))</f>
        <v>3.8159999999999998</v>
      </c>
    </row>
    <row r="544" spans="1:31" ht="12.75" customHeight="1" x14ac:dyDescent="0.2">
      <c r="A544" t="s">
        <v>403</v>
      </c>
      <c r="B544">
        <f>VLOOKUP($A$537, WeaponskillData, MATCH("Extra Hits", WeaponskillDataCols, 0), 0)</f>
        <v>1</v>
      </c>
      <c r="I544" t="s">
        <v>404</v>
      </c>
      <c r="J544" s="9">
        <f>VLOOKUP($A$537, WeaponskillData, MATCH("Crit0", WeaponskillDataCols, 0), 0)</f>
        <v>0</v>
      </c>
      <c r="K544" s="61">
        <f ca="1">(MIN(J543-1000, 1000)/1000)*VLOOKUP($A$537, WeaponskillData, MATCH("Crit1", WeaponskillDataCols, 0), 0) + (MAX(J543-2000, 0)/1000)*VLOOKUP($A$537, WeaponskillData, MATCH("Crit2", WeaponskillDataCols, 0), 0)</f>
        <v>0</v>
      </c>
      <c r="P544" t="s">
        <v>405</v>
      </c>
      <c r="Q544" s="19">
        <f>Set2OverTP</f>
        <v>0.5</v>
      </c>
    </row>
    <row r="545" spans="1:27" ht="12.75" customHeight="1" x14ac:dyDescent="0.2">
      <c r="A545" t="s">
        <v>406</v>
      </c>
      <c r="B545">
        <f ca="1">IF(Data!H23&gt;0, 1, 0)</f>
        <v>0</v>
      </c>
      <c r="I545" t="s">
        <v>449</v>
      </c>
      <c r="J545" s="9">
        <f ca="1">INDIRECT(A536&amp;"WSDmg")</f>
        <v>1.25</v>
      </c>
      <c r="P545" t="s">
        <v>407</v>
      </c>
      <c r="Q545" s="9">
        <f ca="1">Set2ConserveTP</f>
        <v>0</v>
      </c>
    </row>
    <row r="546" spans="1:27" ht="12.75" customHeight="1" x14ac:dyDescent="0.2">
      <c r="K546" t="s">
        <v>408</v>
      </c>
      <c r="L546" t="s">
        <v>409</v>
      </c>
      <c r="M546" t="s">
        <v>250</v>
      </c>
      <c r="P546" t="s">
        <v>139</v>
      </c>
      <c r="Q546">
        <f ca="1">Set2SaveTP</f>
        <v>0</v>
      </c>
    </row>
    <row r="547" spans="1:27" ht="12.75" customHeight="1" x14ac:dyDescent="0.2">
      <c r="A547" t="s">
        <v>50</v>
      </c>
      <c r="B547">
        <f>IF(OR(Setup!$G$15="WS Only", Setup!$G$15="On"), 1, 0)</f>
        <v>0</v>
      </c>
      <c r="I547" t="s">
        <v>410</v>
      </c>
      <c r="J547">
        <f ca="1">Set2MainDmg</f>
        <v>300</v>
      </c>
      <c r="K547">
        <f ca="1">FLOOR((J547+J540)*L543*J545, 1)</f>
        <v>2647</v>
      </c>
      <c r="L547" s="61">
        <f>IF(J544=0, 0, MIN($J$544+$K$544+Set2CritMain, 100%))</f>
        <v>0</v>
      </c>
      <c r="M547" s="9">
        <f ca="1">Set2CritDmg</f>
        <v>1</v>
      </c>
      <c r="P547" t="s">
        <v>411</v>
      </c>
      <c r="Q547">
        <f>Set2MinTP</f>
        <v>1000</v>
      </c>
      <c r="V547" s="3"/>
    </row>
    <row r="548" spans="1:27" ht="12.75" customHeight="1" x14ac:dyDescent="0.2">
      <c r="A548" t="s">
        <v>330</v>
      </c>
      <c r="B548" s="9">
        <f>Data!$E$204</f>
        <v>0.1</v>
      </c>
      <c r="I548" t="s">
        <v>412</v>
      </c>
      <c r="J548">
        <f ca="1">Set2MainDmg</f>
        <v>300</v>
      </c>
      <c r="K548">
        <f ca="1">IF(J548&gt;0, FLOOR((J548+$J$540) * IF(VLOOKUP($A$537, WeaponskillData, MATCH("FTPCarry", WeaponskillDataCols, 0), 0)=1, $L$543, 1), 1), 0)</f>
        <v>555</v>
      </c>
      <c r="L548" s="61">
        <f>IF(J544=0, 0, MIN($J$544+$K$544+Set2CritMain, 100%))</f>
        <v>0</v>
      </c>
      <c r="M548" s="9">
        <f ca="1">Set2CritDmg</f>
        <v>1</v>
      </c>
      <c r="P548" t="s">
        <v>413</v>
      </c>
      <c r="Q548" s="9">
        <f ca="1">Set2WSDmg</f>
        <v>1.25</v>
      </c>
    </row>
    <row r="549" spans="1:27" ht="12.75" customHeight="1" x14ac:dyDescent="0.2">
      <c r="A549" t="s">
        <v>37</v>
      </c>
      <c r="B549">
        <f ca="1">FLOOR(Setup!G$16*Data!$E$62, 1)</f>
        <v>1658</v>
      </c>
      <c r="I549" t="s">
        <v>414</v>
      </c>
      <c r="J549">
        <v>0</v>
      </c>
      <c r="K549">
        <f>IF(J549&gt;0, FLOOR((J549+$J$540) * IF(VLOOKUP($A$537, WeaponskillData, MATCH("FTPCarry", WeaponskillDataCols, 0), 0)=1, $L$543, 1), 1), 0)</f>
        <v>0</v>
      </c>
      <c r="L549" s="61">
        <f>IF(J544=0, 0, MIN($J$544+$K$544+Set2CritMain, 100%))</f>
        <v>0</v>
      </c>
    </row>
    <row r="550" spans="1:27" ht="12.75" customHeight="1" x14ac:dyDescent="0.2">
      <c r="I550" t="s">
        <v>415</v>
      </c>
      <c r="J550">
        <f ca="1">Set2OffDmg</f>
        <v>0</v>
      </c>
      <c r="K550">
        <f ca="1">IF(J550&gt;0, FLOOR((J550+$J$540) * IF(VLOOKUP($A$537, WeaponskillData, MATCH("FTPCarry", WeaponskillDataCols, 0), 0)=1, $L$543, 1), 1), 0)</f>
        <v>0</v>
      </c>
      <c r="L550" s="61">
        <f>IF(J544=0, 0, MIN($J$544+$K$544+Set2CritOff, 100%))</f>
        <v>0</v>
      </c>
    </row>
    <row r="551" spans="1:27" ht="12.75" customHeight="1" x14ac:dyDescent="0.2">
      <c r="I551" t="s">
        <v>293</v>
      </c>
      <c r="J551" s="12">
        <f ca="1">Set2CRatio</f>
        <v>0.82037037037037042</v>
      </c>
      <c r="K551" s="3" t="s">
        <v>416</v>
      </c>
      <c r="L551" s="12">
        <f ca="1">Data!E101</f>
        <v>0.87550491898148153</v>
      </c>
      <c r="M551" s="12">
        <f ca="1">Data!E117</f>
        <v>1.8113042534722223</v>
      </c>
    </row>
    <row r="552" spans="1:27" ht="12.75" customHeight="1" x14ac:dyDescent="0.2">
      <c r="I552" t="s">
        <v>417</v>
      </c>
      <c r="J552" s="16">
        <f ca="1">Set2Regain</f>
        <v>0</v>
      </c>
      <c r="K552" s="3" t="s">
        <v>418</v>
      </c>
      <c r="L552" s="12">
        <f ca="1">Data!E160</f>
        <v>0.30315724800035027</v>
      </c>
      <c r="M552" s="12">
        <f ca="1">Data!E176</f>
        <v>1.2342</v>
      </c>
    </row>
    <row r="553" spans="1:27" ht="12.75" customHeight="1" x14ac:dyDescent="0.2"/>
    <row r="554" spans="1:27" ht="12.75" customHeight="1" x14ac:dyDescent="0.2"/>
    <row r="555" spans="1:27" ht="12.75" customHeight="1" x14ac:dyDescent="0.2">
      <c r="A555" t="s">
        <v>419</v>
      </c>
      <c r="B555" t="s">
        <v>420</v>
      </c>
      <c r="C555" t="s">
        <v>421</v>
      </c>
      <c r="D555" s="3" t="s">
        <v>422</v>
      </c>
      <c r="E555" t="s">
        <v>423</v>
      </c>
      <c r="F555" t="s">
        <v>424</v>
      </c>
      <c r="G555" t="s">
        <v>425</v>
      </c>
      <c r="H555" t="s">
        <v>426</v>
      </c>
      <c r="I555" t="s">
        <v>427</v>
      </c>
      <c r="J555" t="s">
        <v>428</v>
      </c>
      <c r="K555" s="9" t="s">
        <v>429</v>
      </c>
      <c r="L555" t="s">
        <v>267</v>
      </c>
      <c r="M555" t="s">
        <v>430</v>
      </c>
      <c r="N555" s="3" t="s">
        <v>431</v>
      </c>
      <c r="O555" s="59" t="s">
        <v>360</v>
      </c>
      <c r="P555" s="59" t="s">
        <v>432</v>
      </c>
      <c r="Q555" s="59" t="s">
        <v>433</v>
      </c>
      <c r="R555" s="59" t="s">
        <v>434</v>
      </c>
      <c r="S555" s="59" t="s">
        <v>435</v>
      </c>
      <c r="T555" s="3" t="s">
        <v>436</v>
      </c>
      <c r="U555" s="3" t="s">
        <v>437</v>
      </c>
      <c r="V555" s="3" t="s">
        <v>438</v>
      </c>
      <c r="W555" s="3" t="s">
        <v>439</v>
      </c>
      <c r="X555" s="3" t="s">
        <v>440</v>
      </c>
      <c r="Y555" s="59" t="s">
        <v>441</v>
      </c>
      <c r="Z555" s="59" t="s">
        <v>442</v>
      </c>
      <c r="AA555" t="s">
        <v>443</v>
      </c>
    </row>
    <row r="556" spans="1:27" ht="12.75" customHeight="1" x14ac:dyDescent="0.2">
      <c r="A556">
        <v>0</v>
      </c>
      <c r="B556">
        <v>0</v>
      </c>
      <c r="C556">
        <f t="shared" ref="C556:C619" ca="1" si="176">MIN(8, 1+$B$545+$B$544+A556+B556)</f>
        <v>2</v>
      </c>
      <c r="D556">
        <f t="shared" ref="D556:D619" ca="1" si="177">C556-(1+$B$545)</f>
        <v>1</v>
      </c>
      <c r="E556">
        <f t="shared" ref="E556:E619" ca="1" si="178">MIN(A556, C556-(1+$B$545+$B$544))</f>
        <v>0</v>
      </c>
      <c r="F556" s="61">
        <f t="shared" ref="F556:F619" ca="1" si="179">IF(A556=3, Set2QA, IF(A556=2, (1-Set2QA)*Set2TA + (1-Set2QA)*(1-Set2TA)*(1-Set2DA)*Set2AM3*Set2AM33, IF(A556=1, (1-Set2QA)*(1-Set2TA)*Set2DA + (1-Set2QA)*(1-Set2TA)*(1-Set2DA)*Set2AM3*Set2AM32, (1-Set2QA)*(1-Set2TA)*(1-Set2DA)*(1-Set2AM3)))) * IF($B$544+$B$545&gt;0, IF(B556=3, Set2QA, IF(B556=2, (1-Set2QA)*Set2TA, IF(B556=1, (1-Set2QA)*(1-Set2TA)*Set2DA, (1-Set2QA)*(1-Set2TA)*(1-Set2DA)))), IF(B556=0, 1, 0))</f>
        <v>0.20564936663040001</v>
      </c>
      <c r="G556">
        <v>1</v>
      </c>
      <c r="H556">
        <v>1</v>
      </c>
      <c r="I556">
        <v>7</v>
      </c>
      <c r="J556" s="61">
        <f t="shared" ref="J556:J619" ca="1" si="180">POWER(95%,G556)*POWER(5%, 1-G556) * IF($B$545=0, IF(H556=0, 1, 0), POWER(Set2WSHitRate,H556)*POWER(1-Set2WSHitRate, 1-H556)) * IF(I556&lt;=D556, POWER(Set2WSHitRate, I556)*POWER(1-Set2WSHitRate, D556-I556)*COMBIN(D556,I556), 0)</f>
        <v>0</v>
      </c>
      <c r="K556" s="61">
        <f t="shared" ref="K556:K619" ca="1" si="181">F556*J556</f>
        <v>0</v>
      </c>
      <c r="L556" s="82">
        <f t="shared" ref="L556:L619" ca="1" si="182">MAX((G556+H556)*Set2WSTP + I556*$B$541, Set2SaveTP)</f>
        <v>399</v>
      </c>
      <c r="M556" s="16">
        <f t="shared" ref="M556:M619" ca="1" si="183">MAX(Set2MinTP-(L556+Set2Regain), 0)</f>
        <v>601</v>
      </c>
      <c r="N556" s="3">
        <f t="shared" ref="N556:N619" ca="1" si="184">CEILING(M556/Set2MeleeTP, 1)</f>
        <v>4</v>
      </c>
      <c r="O556" s="19">
        <f t="shared" ref="O556:O619" ca="1" si="185">VLOOKUP(N556, AvgRoundsSet2, 2)</f>
        <v>2.3453053758100548</v>
      </c>
      <c r="P556" s="19">
        <f t="shared" ref="P556:P619" ca="1" si="186">VLOOKUP(CEILING(MAX(M556-1, 0)/Set2MeleeTP, 1), AvgRoundsSet2, 2) + VLOOKUP(CEILING(MAX(M556-2, 0)/Set2MeleeTP, 1), AvgRoundsSet2, 2) + VLOOKUP(CEILING(MAX(M556-3, 0)/Set2MeleeTP, 1), AvgRoundsSet2, 2) + VLOOKUP(CEILING(MAX(M556-4, 0)/Set2MeleeTP, 1), AvgRoundsSet2, 2) + VLOOKUP(CEILING(MAX(M556-5, 0)/Set2MeleeTP, 1), AvgRoundsSet2, 2) + VLOOKUP(CEILING(MAX(M556-6, 0)/Set2MeleeTP, 1), AvgRoundsSet2, 2) + VLOOKUP(CEILING(MAX(M556-7, 0)/Set2MeleeTP, 1), AvgRoundsSet2, 2) + VLOOKUP(CEILING(MAX(M556-8, 0)/Set2MeleeTP, 1), AvgRoundsSet2, 2) + VLOOKUP(CEILING(MAX(M556-9, 0)/Set2MeleeTP, 1), AvgRoundsSet2, 2) + VLOOKUP(CEILING(MAX(M556-10, 0)/Set2MeleeTP, 1), AvgRoundsSet2, 2)</f>
        <v>23.453053758100552</v>
      </c>
      <c r="Q556" s="19">
        <f t="shared" ref="Q556:Q619" ca="1" si="187">VLOOKUP(CEILING(MAX(M556-11, 0)/Set2MeleeTP, 1), AvgRoundsSet2, 2) + VLOOKUP(CEILING(MAX(M556-12, 0)/Set2MeleeTP, 1), AvgRoundsSet2, 2) + VLOOKUP(CEILING(MAX(M556-13, 0)/Set2MeleeTP, 1), AvgRoundsSet2, 2) + VLOOKUP(CEILING(MAX(M556-14, 0)/Set2MeleeTP, 1), AvgRoundsSet2, 2) + VLOOKUP(CEILING(MAX(M556-15, 0)/Set2MeleeTP, 1), AvgRoundsSet2, 2) + VLOOKUP(CEILING(MAX(M556-16, 0)/Set2MeleeTP, 1), AvgRoundsSet2, 2) + VLOOKUP(CEILING(MAX(M556-17, 0)/Set2MeleeTP, 1), AvgRoundsSet2, 2) + VLOOKUP(CEILING(MAX(M556-18, 0)/Set2MeleeTP, 1), AvgRoundsSet2, 2) + VLOOKUP(CEILING(MAX(M556-19, 0)/Set2MeleeTP, 1), AvgRoundsSet2, 2) + VLOOKUP(CEILING(MAX(M556-20, 0)/Set2MeleeTP, 1), AvgRoundsSet2, 2)</f>
        <v>23.453053758100552</v>
      </c>
      <c r="R556" s="19">
        <f t="shared" ref="R556:R619" ca="1" si="188">(P556+Q556)/20</f>
        <v>2.3453053758100553</v>
      </c>
      <c r="S556" s="19">
        <f t="shared" ref="S556:S619" ca="1" si="189">R556*Set2ConserveTP + O556*(1-Set2ConserveTP)</f>
        <v>2.3453053758100548</v>
      </c>
      <c r="T556" s="19">
        <f t="shared" ref="T556:T619" ca="1" si="190">K556*S556</f>
        <v>0</v>
      </c>
      <c r="U556" s="19">
        <f t="shared" ref="U556:U619" ca="1" si="191">MIN(L556+(S556+Set2OverTP)*AvgHitsPerRound2*Set2MeleeTP + Set2Regain + 10.5*Set2ConserveTP, 3000)</f>
        <v>1478.9587218163997</v>
      </c>
      <c r="V556" s="19">
        <f t="shared" ref="V556:V619" ca="1" si="192">U556*K556</f>
        <v>0</v>
      </c>
      <c r="W556" s="82">
        <f t="shared" ref="W556:W619" ca="1" si="193">G556*$K$547*((1-$L$547)*$L$551 + $L$547*$M$551*$M$547) + H556*$K$550*((1-$L$550)*$L$552 + $L$550*$M$552*$M$548) + I556*$K$548*((1-$L$548)*$L$551 + $L$548*$M$551*$M$548) + E556*$K$549*$L$549*$M$547</f>
        <v>5718.7981307870377</v>
      </c>
      <c r="X556" s="19">
        <f t="shared" ref="X556:X619" ca="1" si="194">K556*W556</f>
        <v>0</v>
      </c>
      <c r="Y556" s="19">
        <f t="shared" ref="Y556:Y619" si="195">IF($B$547=1, (VLOOKUP(C556, IF($B$548=10%,Souleater10,Souleater12), 6, 0) * $B$549), 0)</f>
        <v>0</v>
      </c>
      <c r="Z556" s="82">
        <f t="shared" ref="Z556:Z619" ca="1" si="196">Y556+W556</f>
        <v>5718.7981307870377</v>
      </c>
      <c r="AA556" s="19">
        <f t="shared" ref="AA556:AA619" ca="1" si="197">Z556*K556</f>
        <v>0</v>
      </c>
    </row>
    <row r="557" spans="1:27" ht="12.75" customHeight="1" x14ac:dyDescent="0.2">
      <c r="A557">
        <v>0</v>
      </c>
      <c r="B557">
        <v>0</v>
      </c>
      <c r="C557">
        <f t="shared" ca="1" si="176"/>
        <v>2</v>
      </c>
      <c r="D557">
        <f t="shared" ca="1" si="177"/>
        <v>1</v>
      </c>
      <c r="E557">
        <f t="shared" ca="1" si="178"/>
        <v>0</v>
      </c>
      <c r="F557" s="61">
        <f t="shared" ca="1" si="179"/>
        <v>0.20564936663040001</v>
      </c>
      <c r="G557">
        <v>1</v>
      </c>
      <c r="H557">
        <v>1</v>
      </c>
      <c r="I557">
        <v>6</v>
      </c>
      <c r="J557" s="61">
        <f t="shared" ca="1" si="180"/>
        <v>0</v>
      </c>
      <c r="K557" s="61">
        <f t="shared" ca="1" si="181"/>
        <v>0</v>
      </c>
      <c r="L557" s="82">
        <f t="shared" ca="1" si="182"/>
        <v>388</v>
      </c>
      <c r="M557" s="16">
        <f t="shared" ca="1" si="183"/>
        <v>612</v>
      </c>
      <c r="N557" s="3">
        <f t="shared" ca="1" si="184"/>
        <v>4</v>
      </c>
      <c r="O557" s="19">
        <f t="shared" ca="1" si="185"/>
        <v>2.3453053758100548</v>
      </c>
      <c r="P557" s="19">
        <f t="shared" ca="1" si="186"/>
        <v>23.453053758100552</v>
      </c>
      <c r="Q557" s="19">
        <f t="shared" ca="1" si="187"/>
        <v>23.453053758100552</v>
      </c>
      <c r="R557" s="19">
        <f t="shared" ca="1" si="188"/>
        <v>2.3453053758100553</v>
      </c>
      <c r="S557" s="19">
        <f t="shared" ca="1" si="189"/>
        <v>2.3453053758100548</v>
      </c>
      <c r="T557" s="19">
        <f t="shared" ca="1" si="190"/>
        <v>0</v>
      </c>
      <c r="U557" s="19">
        <f t="shared" ca="1" si="191"/>
        <v>1467.9587218163997</v>
      </c>
      <c r="V557" s="19">
        <f t="shared" ca="1" si="192"/>
        <v>0</v>
      </c>
      <c r="W557" s="82">
        <f t="shared" ca="1" si="193"/>
        <v>5232.8929007523147</v>
      </c>
      <c r="X557" s="19">
        <f t="shared" ca="1" si="194"/>
        <v>0</v>
      </c>
      <c r="Y557" s="19">
        <f t="shared" si="195"/>
        <v>0</v>
      </c>
      <c r="Z557" s="82">
        <f t="shared" ca="1" si="196"/>
        <v>5232.8929007523147</v>
      </c>
      <c r="AA557" s="19">
        <f t="shared" ca="1" si="197"/>
        <v>0</v>
      </c>
    </row>
    <row r="558" spans="1:27" ht="12.75" customHeight="1" x14ac:dyDescent="0.2">
      <c r="A558">
        <v>0</v>
      </c>
      <c r="B558">
        <v>0</v>
      </c>
      <c r="C558">
        <f t="shared" ca="1" si="176"/>
        <v>2</v>
      </c>
      <c r="D558">
        <f t="shared" ca="1" si="177"/>
        <v>1</v>
      </c>
      <c r="E558">
        <f t="shared" ca="1" si="178"/>
        <v>0</v>
      </c>
      <c r="F558" s="61">
        <f t="shared" ca="1" si="179"/>
        <v>0.20564936663040001</v>
      </c>
      <c r="G558">
        <v>1</v>
      </c>
      <c r="H558">
        <v>1</v>
      </c>
      <c r="I558">
        <v>5</v>
      </c>
      <c r="J558" s="61">
        <f t="shared" ca="1" si="180"/>
        <v>0</v>
      </c>
      <c r="K558" s="61">
        <f t="shared" ca="1" si="181"/>
        <v>0</v>
      </c>
      <c r="L558" s="82">
        <f t="shared" ca="1" si="182"/>
        <v>377</v>
      </c>
      <c r="M558" s="16">
        <f t="shared" ca="1" si="183"/>
        <v>623</v>
      </c>
      <c r="N558" s="3">
        <f t="shared" ca="1" si="184"/>
        <v>4</v>
      </c>
      <c r="O558" s="19">
        <f t="shared" ca="1" si="185"/>
        <v>2.3453053758100548</v>
      </c>
      <c r="P558" s="19">
        <f t="shared" ca="1" si="186"/>
        <v>23.453053758100552</v>
      </c>
      <c r="Q558" s="19">
        <f t="shared" ca="1" si="187"/>
        <v>23.453053758100552</v>
      </c>
      <c r="R558" s="19">
        <f t="shared" ca="1" si="188"/>
        <v>2.3453053758100553</v>
      </c>
      <c r="S558" s="19">
        <f t="shared" ca="1" si="189"/>
        <v>2.3453053758100548</v>
      </c>
      <c r="T558" s="19">
        <f t="shared" ca="1" si="190"/>
        <v>0</v>
      </c>
      <c r="U558" s="19">
        <f t="shared" ca="1" si="191"/>
        <v>1456.9587218163997</v>
      </c>
      <c r="V558" s="19">
        <f t="shared" ca="1" si="192"/>
        <v>0</v>
      </c>
      <c r="W558" s="82">
        <f t="shared" ca="1" si="193"/>
        <v>4746.9876707175936</v>
      </c>
      <c r="X558" s="19">
        <f t="shared" ca="1" si="194"/>
        <v>0</v>
      </c>
      <c r="Y558" s="19">
        <f t="shared" si="195"/>
        <v>0</v>
      </c>
      <c r="Z558" s="82">
        <f t="shared" ca="1" si="196"/>
        <v>4746.9876707175936</v>
      </c>
      <c r="AA558" s="19">
        <f t="shared" ca="1" si="197"/>
        <v>0</v>
      </c>
    </row>
    <row r="559" spans="1:27" ht="12.75" customHeight="1" x14ac:dyDescent="0.2">
      <c r="A559">
        <v>0</v>
      </c>
      <c r="B559">
        <v>0</v>
      </c>
      <c r="C559">
        <f t="shared" ca="1" si="176"/>
        <v>2</v>
      </c>
      <c r="D559">
        <f t="shared" ca="1" si="177"/>
        <v>1</v>
      </c>
      <c r="E559">
        <f t="shared" ca="1" si="178"/>
        <v>0</v>
      </c>
      <c r="F559" s="61">
        <f t="shared" ca="1" si="179"/>
        <v>0.20564936663040001</v>
      </c>
      <c r="G559">
        <v>1</v>
      </c>
      <c r="H559">
        <v>1</v>
      </c>
      <c r="I559">
        <v>4</v>
      </c>
      <c r="J559" s="61">
        <f t="shared" ca="1" si="180"/>
        <v>0</v>
      </c>
      <c r="K559" s="61">
        <f t="shared" ca="1" si="181"/>
        <v>0</v>
      </c>
      <c r="L559" s="82">
        <f t="shared" ca="1" si="182"/>
        <v>366</v>
      </c>
      <c r="M559" s="16">
        <f t="shared" ca="1" si="183"/>
        <v>634</v>
      </c>
      <c r="N559" s="3">
        <f t="shared" ca="1" si="184"/>
        <v>4</v>
      </c>
      <c r="O559" s="19">
        <f t="shared" ca="1" si="185"/>
        <v>2.3453053758100548</v>
      </c>
      <c r="P559" s="19">
        <f t="shared" ca="1" si="186"/>
        <v>23.453053758100552</v>
      </c>
      <c r="Q559" s="19">
        <f t="shared" ca="1" si="187"/>
        <v>23.453053758100552</v>
      </c>
      <c r="R559" s="19">
        <f t="shared" ca="1" si="188"/>
        <v>2.3453053758100553</v>
      </c>
      <c r="S559" s="19">
        <f t="shared" ca="1" si="189"/>
        <v>2.3453053758100548</v>
      </c>
      <c r="T559" s="19">
        <f t="shared" ca="1" si="190"/>
        <v>0</v>
      </c>
      <c r="U559" s="19">
        <f t="shared" ca="1" si="191"/>
        <v>1445.9587218163997</v>
      </c>
      <c r="V559" s="19">
        <f t="shared" ca="1" si="192"/>
        <v>0</v>
      </c>
      <c r="W559" s="82">
        <f t="shared" ca="1" si="193"/>
        <v>4261.0824406828706</v>
      </c>
      <c r="X559" s="19">
        <f t="shared" ca="1" si="194"/>
        <v>0</v>
      </c>
      <c r="Y559" s="19">
        <f t="shared" si="195"/>
        <v>0</v>
      </c>
      <c r="Z559" s="82">
        <f t="shared" ca="1" si="196"/>
        <v>4261.0824406828706</v>
      </c>
      <c r="AA559" s="19">
        <f t="shared" ca="1" si="197"/>
        <v>0</v>
      </c>
    </row>
    <row r="560" spans="1:27" ht="12.75" customHeight="1" x14ac:dyDescent="0.2">
      <c r="A560">
        <v>0</v>
      </c>
      <c r="B560">
        <v>0</v>
      </c>
      <c r="C560">
        <f t="shared" ca="1" si="176"/>
        <v>2</v>
      </c>
      <c r="D560">
        <f t="shared" ca="1" si="177"/>
        <v>1</v>
      </c>
      <c r="E560">
        <f t="shared" ca="1" si="178"/>
        <v>0</v>
      </c>
      <c r="F560" s="61">
        <f t="shared" ca="1" si="179"/>
        <v>0.20564936663040001</v>
      </c>
      <c r="G560">
        <v>1</v>
      </c>
      <c r="H560">
        <v>1</v>
      </c>
      <c r="I560">
        <v>3</v>
      </c>
      <c r="J560" s="61">
        <f t="shared" ca="1" si="180"/>
        <v>0</v>
      </c>
      <c r="K560" s="61">
        <f t="shared" ca="1" si="181"/>
        <v>0</v>
      </c>
      <c r="L560" s="82">
        <f t="shared" ca="1" si="182"/>
        <v>355</v>
      </c>
      <c r="M560" s="16">
        <f t="shared" ca="1" si="183"/>
        <v>645</v>
      </c>
      <c r="N560" s="3">
        <f t="shared" ca="1" si="184"/>
        <v>4</v>
      </c>
      <c r="O560" s="19">
        <f t="shared" ca="1" si="185"/>
        <v>2.3453053758100548</v>
      </c>
      <c r="P560" s="19">
        <f t="shared" ca="1" si="186"/>
        <v>23.453053758100552</v>
      </c>
      <c r="Q560" s="19">
        <f t="shared" ca="1" si="187"/>
        <v>23.453053758100552</v>
      </c>
      <c r="R560" s="19">
        <f t="shared" ca="1" si="188"/>
        <v>2.3453053758100553</v>
      </c>
      <c r="S560" s="19">
        <f t="shared" ca="1" si="189"/>
        <v>2.3453053758100548</v>
      </c>
      <c r="T560" s="19">
        <f t="shared" ca="1" si="190"/>
        <v>0</v>
      </c>
      <c r="U560" s="19">
        <f t="shared" ca="1" si="191"/>
        <v>1434.9587218163997</v>
      </c>
      <c r="V560" s="19">
        <f t="shared" ca="1" si="192"/>
        <v>0</v>
      </c>
      <c r="W560" s="82">
        <f t="shared" ca="1" si="193"/>
        <v>3775.1772106481485</v>
      </c>
      <c r="X560" s="19">
        <f t="shared" ca="1" si="194"/>
        <v>0</v>
      </c>
      <c r="Y560" s="19">
        <f t="shared" si="195"/>
        <v>0</v>
      </c>
      <c r="Z560" s="82">
        <f t="shared" ca="1" si="196"/>
        <v>3775.1772106481485</v>
      </c>
      <c r="AA560" s="19">
        <f t="shared" ca="1" si="197"/>
        <v>0</v>
      </c>
    </row>
    <row r="561" spans="1:27" ht="12.75" customHeight="1" x14ac:dyDescent="0.2">
      <c r="A561">
        <v>0</v>
      </c>
      <c r="B561">
        <v>0</v>
      </c>
      <c r="C561">
        <f t="shared" ca="1" si="176"/>
        <v>2</v>
      </c>
      <c r="D561">
        <f t="shared" ca="1" si="177"/>
        <v>1</v>
      </c>
      <c r="E561">
        <f t="shared" ca="1" si="178"/>
        <v>0</v>
      </c>
      <c r="F561" s="61">
        <f t="shared" ca="1" si="179"/>
        <v>0.20564936663040001</v>
      </c>
      <c r="G561">
        <v>1</v>
      </c>
      <c r="H561">
        <v>1</v>
      </c>
      <c r="I561">
        <v>2</v>
      </c>
      <c r="J561" s="61">
        <f t="shared" ca="1" si="180"/>
        <v>0</v>
      </c>
      <c r="K561" s="61">
        <f t="shared" ca="1" si="181"/>
        <v>0</v>
      </c>
      <c r="L561" s="82">
        <f t="shared" ca="1" si="182"/>
        <v>344</v>
      </c>
      <c r="M561" s="16">
        <f t="shared" ca="1" si="183"/>
        <v>656</v>
      </c>
      <c r="N561" s="3">
        <f t="shared" ca="1" si="184"/>
        <v>4</v>
      </c>
      <c r="O561" s="19">
        <f t="shared" ca="1" si="185"/>
        <v>2.3453053758100548</v>
      </c>
      <c r="P561" s="19">
        <f t="shared" ca="1" si="186"/>
        <v>23.453053758100552</v>
      </c>
      <c r="Q561" s="19">
        <f t="shared" ca="1" si="187"/>
        <v>23.453053758100552</v>
      </c>
      <c r="R561" s="19">
        <f t="shared" ca="1" si="188"/>
        <v>2.3453053758100553</v>
      </c>
      <c r="S561" s="19">
        <f t="shared" ca="1" si="189"/>
        <v>2.3453053758100548</v>
      </c>
      <c r="T561" s="19">
        <f t="shared" ca="1" si="190"/>
        <v>0</v>
      </c>
      <c r="U561" s="19">
        <f t="shared" ca="1" si="191"/>
        <v>1423.9587218163997</v>
      </c>
      <c r="V561" s="19">
        <f t="shared" ca="1" si="192"/>
        <v>0</v>
      </c>
      <c r="W561" s="82">
        <f t="shared" ca="1" si="193"/>
        <v>3289.2719806134264</v>
      </c>
      <c r="X561" s="19">
        <f t="shared" ca="1" si="194"/>
        <v>0</v>
      </c>
      <c r="Y561" s="19">
        <f t="shared" si="195"/>
        <v>0</v>
      </c>
      <c r="Z561" s="82">
        <f t="shared" ca="1" si="196"/>
        <v>3289.2719806134264</v>
      </c>
      <c r="AA561" s="19">
        <f t="shared" ca="1" si="197"/>
        <v>0</v>
      </c>
    </row>
    <row r="562" spans="1:27" ht="12.75" customHeight="1" x14ac:dyDescent="0.2">
      <c r="A562">
        <v>0</v>
      </c>
      <c r="B562">
        <v>0</v>
      </c>
      <c r="C562">
        <f t="shared" ca="1" si="176"/>
        <v>2</v>
      </c>
      <c r="D562">
        <f t="shared" ca="1" si="177"/>
        <v>1</v>
      </c>
      <c r="E562">
        <f t="shared" ca="1" si="178"/>
        <v>0</v>
      </c>
      <c r="F562" s="61">
        <f t="shared" ca="1" si="179"/>
        <v>0.20564936663040001</v>
      </c>
      <c r="G562">
        <v>1</v>
      </c>
      <c r="H562">
        <v>1</v>
      </c>
      <c r="I562">
        <v>1</v>
      </c>
      <c r="J562" s="61">
        <f t="shared" ca="1" si="180"/>
        <v>0</v>
      </c>
      <c r="K562" s="61">
        <f t="shared" ca="1" si="181"/>
        <v>0</v>
      </c>
      <c r="L562" s="82">
        <f t="shared" ca="1" si="182"/>
        <v>333</v>
      </c>
      <c r="M562" s="16">
        <f t="shared" ca="1" si="183"/>
        <v>667</v>
      </c>
      <c r="N562" s="3">
        <f t="shared" ca="1" si="184"/>
        <v>4</v>
      </c>
      <c r="O562" s="19">
        <f t="shared" ca="1" si="185"/>
        <v>2.3453053758100548</v>
      </c>
      <c r="P562" s="19">
        <f t="shared" ca="1" si="186"/>
        <v>23.453053758100552</v>
      </c>
      <c r="Q562" s="19">
        <f t="shared" ca="1" si="187"/>
        <v>23.453053758100552</v>
      </c>
      <c r="R562" s="19">
        <f t="shared" ca="1" si="188"/>
        <v>2.3453053758100553</v>
      </c>
      <c r="S562" s="19">
        <f t="shared" ca="1" si="189"/>
        <v>2.3453053758100548</v>
      </c>
      <c r="T562" s="19">
        <f t="shared" ca="1" si="190"/>
        <v>0</v>
      </c>
      <c r="U562" s="19">
        <f t="shared" ca="1" si="191"/>
        <v>1412.9587218163997</v>
      </c>
      <c r="V562" s="19">
        <f t="shared" ca="1" si="192"/>
        <v>0</v>
      </c>
      <c r="W562" s="82">
        <f t="shared" ca="1" si="193"/>
        <v>2803.3667505787039</v>
      </c>
      <c r="X562" s="19">
        <f t="shared" ca="1" si="194"/>
        <v>0</v>
      </c>
      <c r="Y562" s="19">
        <f t="shared" si="195"/>
        <v>0</v>
      </c>
      <c r="Z562" s="82">
        <f t="shared" ca="1" si="196"/>
        <v>2803.3667505787039</v>
      </c>
      <c r="AA562" s="19">
        <f t="shared" ca="1" si="197"/>
        <v>0</v>
      </c>
    </row>
    <row r="563" spans="1:27" ht="12.75" customHeight="1" x14ac:dyDescent="0.2">
      <c r="A563">
        <v>0</v>
      </c>
      <c r="B563">
        <v>0</v>
      </c>
      <c r="C563">
        <f t="shared" ca="1" si="176"/>
        <v>2</v>
      </c>
      <c r="D563">
        <f t="shared" ca="1" si="177"/>
        <v>1</v>
      </c>
      <c r="E563">
        <f t="shared" ca="1" si="178"/>
        <v>0</v>
      </c>
      <c r="F563" s="61">
        <f t="shared" ca="1" si="179"/>
        <v>0.20564936663040001</v>
      </c>
      <c r="G563">
        <v>1</v>
      </c>
      <c r="H563">
        <v>1</v>
      </c>
      <c r="I563">
        <v>0</v>
      </c>
      <c r="J563" s="61">
        <f t="shared" ca="1" si="180"/>
        <v>0</v>
      </c>
      <c r="K563" s="61">
        <f t="shared" ca="1" si="181"/>
        <v>0</v>
      </c>
      <c r="L563" s="82">
        <f t="shared" ca="1" si="182"/>
        <v>322</v>
      </c>
      <c r="M563" s="16">
        <f t="shared" ca="1" si="183"/>
        <v>678</v>
      </c>
      <c r="N563" s="3">
        <f t="shared" ca="1" si="184"/>
        <v>4</v>
      </c>
      <c r="O563" s="19">
        <f t="shared" ca="1" si="185"/>
        <v>2.3453053758100548</v>
      </c>
      <c r="P563" s="19">
        <f t="shared" ca="1" si="186"/>
        <v>23.453053758100552</v>
      </c>
      <c r="Q563" s="19">
        <f t="shared" ca="1" si="187"/>
        <v>23.453053758100552</v>
      </c>
      <c r="R563" s="19">
        <f t="shared" ca="1" si="188"/>
        <v>2.3453053758100553</v>
      </c>
      <c r="S563" s="19">
        <f t="shared" ca="1" si="189"/>
        <v>2.3453053758100548</v>
      </c>
      <c r="T563" s="19">
        <f t="shared" ca="1" si="190"/>
        <v>0</v>
      </c>
      <c r="U563" s="19">
        <f t="shared" ca="1" si="191"/>
        <v>1401.9587218163997</v>
      </c>
      <c r="V563" s="19">
        <f t="shared" ca="1" si="192"/>
        <v>0</v>
      </c>
      <c r="W563" s="82">
        <f t="shared" ca="1" si="193"/>
        <v>2317.4615205439818</v>
      </c>
      <c r="X563" s="19">
        <f t="shared" ca="1" si="194"/>
        <v>0</v>
      </c>
      <c r="Y563" s="19">
        <f t="shared" si="195"/>
        <v>0</v>
      </c>
      <c r="Z563" s="82">
        <f t="shared" ca="1" si="196"/>
        <v>2317.4615205439818</v>
      </c>
      <c r="AA563" s="19">
        <f t="shared" ca="1" si="197"/>
        <v>0</v>
      </c>
    </row>
    <row r="564" spans="1:27" ht="12.75" customHeight="1" x14ac:dyDescent="0.2">
      <c r="A564">
        <v>0</v>
      </c>
      <c r="B564">
        <v>0</v>
      </c>
      <c r="C564">
        <f t="shared" ca="1" si="176"/>
        <v>2</v>
      </c>
      <c r="D564">
        <f t="shared" ca="1" si="177"/>
        <v>1</v>
      </c>
      <c r="E564">
        <f t="shared" ca="1" si="178"/>
        <v>0</v>
      </c>
      <c r="F564" s="61">
        <f t="shared" ca="1" si="179"/>
        <v>0.20564936663040001</v>
      </c>
      <c r="G564">
        <v>1</v>
      </c>
      <c r="H564">
        <v>0</v>
      </c>
      <c r="I564">
        <v>7</v>
      </c>
      <c r="J564" s="61">
        <f t="shared" ca="1" si="180"/>
        <v>0</v>
      </c>
      <c r="K564" s="61">
        <f t="shared" ca="1" si="181"/>
        <v>0</v>
      </c>
      <c r="L564" s="82">
        <f t="shared" ca="1" si="182"/>
        <v>238</v>
      </c>
      <c r="M564" s="16">
        <f t="shared" ca="1" si="183"/>
        <v>762</v>
      </c>
      <c r="N564" s="3">
        <f t="shared" ca="1" si="184"/>
        <v>5</v>
      </c>
      <c r="O564" s="19">
        <f t="shared" ca="1" si="185"/>
        <v>2.8178718937399587</v>
      </c>
      <c r="P564" s="19">
        <f t="shared" ca="1" si="186"/>
        <v>25.815886347750073</v>
      </c>
      <c r="Q564" s="19">
        <f t="shared" ca="1" si="187"/>
        <v>23.453053758100552</v>
      </c>
      <c r="R564" s="19">
        <f t="shared" ca="1" si="188"/>
        <v>2.4634470052925312</v>
      </c>
      <c r="S564" s="19">
        <f t="shared" ca="1" si="189"/>
        <v>2.8178718937399587</v>
      </c>
      <c r="T564" s="19">
        <f t="shared" ca="1" si="190"/>
        <v>0</v>
      </c>
      <c r="U564" s="19">
        <f t="shared" ca="1" si="191"/>
        <v>1497.3251747165598</v>
      </c>
      <c r="V564" s="19">
        <f t="shared" ca="1" si="192"/>
        <v>0</v>
      </c>
      <c r="W564" s="82">
        <f t="shared" ca="1" si="193"/>
        <v>5718.7981307870377</v>
      </c>
      <c r="X564" s="19">
        <f t="shared" ca="1" si="194"/>
        <v>0</v>
      </c>
      <c r="Y564" s="19">
        <f t="shared" si="195"/>
        <v>0</v>
      </c>
      <c r="Z564" s="82">
        <f t="shared" ca="1" si="196"/>
        <v>5718.7981307870377</v>
      </c>
      <c r="AA564" s="19">
        <f t="shared" ca="1" si="197"/>
        <v>0</v>
      </c>
    </row>
    <row r="565" spans="1:27" ht="12.75" customHeight="1" x14ac:dyDescent="0.2">
      <c r="A565">
        <v>0</v>
      </c>
      <c r="B565">
        <v>0</v>
      </c>
      <c r="C565">
        <f t="shared" ca="1" si="176"/>
        <v>2</v>
      </c>
      <c r="D565">
        <f t="shared" ca="1" si="177"/>
        <v>1</v>
      </c>
      <c r="E565">
        <f t="shared" ca="1" si="178"/>
        <v>0</v>
      </c>
      <c r="F565" s="61">
        <f t="shared" ca="1" si="179"/>
        <v>0.20564936663040001</v>
      </c>
      <c r="G565">
        <v>1</v>
      </c>
      <c r="H565">
        <v>0</v>
      </c>
      <c r="I565">
        <v>6</v>
      </c>
      <c r="J565" s="61">
        <f t="shared" ca="1" si="180"/>
        <v>0</v>
      </c>
      <c r="K565" s="61">
        <f t="shared" ca="1" si="181"/>
        <v>0</v>
      </c>
      <c r="L565" s="82">
        <f t="shared" ca="1" si="182"/>
        <v>227</v>
      </c>
      <c r="M565" s="16">
        <f t="shared" ca="1" si="183"/>
        <v>773</v>
      </c>
      <c r="N565" s="3">
        <f t="shared" ca="1" si="184"/>
        <v>5</v>
      </c>
      <c r="O565" s="19">
        <f t="shared" ca="1" si="185"/>
        <v>2.8178718937399587</v>
      </c>
      <c r="P565" s="19">
        <f t="shared" ca="1" si="186"/>
        <v>28.178718937399587</v>
      </c>
      <c r="Q565" s="19">
        <f t="shared" ca="1" si="187"/>
        <v>26.288452865679979</v>
      </c>
      <c r="R565" s="19">
        <f t="shared" ca="1" si="188"/>
        <v>2.7233585901539783</v>
      </c>
      <c r="S565" s="19">
        <f t="shared" ca="1" si="189"/>
        <v>2.8178718937399587</v>
      </c>
      <c r="T565" s="19">
        <f t="shared" ca="1" si="190"/>
        <v>0</v>
      </c>
      <c r="U565" s="19">
        <f t="shared" ca="1" si="191"/>
        <v>1486.3251747165598</v>
      </c>
      <c r="V565" s="19">
        <f t="shared" ca="1" si="192"/>
        <v>0</v>
      </c>
      <c r="W565" s="82">
        <f t="shared" ca="1" si="193"/>
        <v>5232.8929007523147</v>
      </c>
      <c r="X565" s="19">
        <f t="shared" ca="1" si="194"/>
        <v>0</v>
      </c>
      <c r="Y565" s="19">
        <f t="shared" si="195"/>
        <v>0</v>
      </c>
      <c r="Z565" s="82">
        <f t="shared" ca="1" si="196"/>
        <v>5232.8929007523147</v>
      </c>
      <c r="AA565" s="19">
        <f t="shared" ca="1" si="197"/>
        <v>0</v>
      </c>
    </row>
    <row r="566" spans="1:27" ht="12.75" customHeight="1" x14ac:dyDescent="0.2">
      <c r="A566">
        <v>0</v>
      </c>
      <c r="B566">
        <v>0</v>
      </c>
      <c r="C566">
        <f t="shared" ca="1" si="176"/>
        <v>2</v>
      </c>
      <c r="D566">
        <f t="shared" ca="1" si="177"/>
        <v>1</v>
      </c>
      <c r="E566">
        <f t="shared" ca="1" si="178"/>
        <v>0</v>
      </c>
      <c r="F566" s="61">
        <f t="shared" ca="1" si="179"/>
        <v>0.20564936663040001</v>
      </c>
      <c r="G566">
        <v>1</v>
      </c>
      <c r="H566">
        <v>0</v>
      </c>
      <c r="I566">
        <v>5</v>
      </c>
      <c r="J566" s="61">
        <f t="shared" ca="1" si="180"/>
        <v>0</v>
      </c>
      <c r="K566" s="61">
        <f t="shared" ca="1" si="181"/>
        <v>0</v>
      </c>
      <c r="L566" s="82">
        <f t="shared" ca="1" si="182"/>
        <v>216</v>
      </c>
      <c r="M566" s="16">
        <f t="shared" ca="1" si="183"/>
        <v>784</v>
      </c>
      <c r="N566" s="3">
        <f t="shared" ca="1" si="184"/>
        <v>5</v>
      </c>
      <c r="O566" s="19">
        <f t="shared" ca="1" si="185"/>
        <v>2.8178718937399587</v>
      </c>
      <c r="P566" s="19">
        <f t="shared" ca="1" si="186"/>
        <v>28.178718937399587</v>
      </c>
      <c r="Q566" s="19">
        <f t="shared" ca="1" si="187"/>
        <v>28.178718937399587</v>
      </c>
      <c r="R566" s="19">
        <f t="shared" ca="1" si="188"/>
        <v>2.8178718937399587</v>
      </c>
      <c r="S566" s="19">
        <f t="shared" ca="1" si="189"/>
        <v>2.8178718937399587</v>
      </c>
      <c r="T566" s="19">
        <f t="shared" ca="1" si="190"/>
        <v>0</v>
      </c>
      <c r="U566" s="19">
        <f t="shared" ca="1" si="191"/>
        <v>1475.3251747165598</v>
      </c>
      <c r="V566" s="19">
        <f t="shared" ca="1" si="192"/>
        <v>0</v>
      </c>
      <c r="W566" s="82">
        <f t="shared" ca="1" si="193"/>
        <v>4746.9876707175936</v>
      </c>
      <c r="X566" s="19">
        <f t="shared" ca="1" si="194"/>
        <v>0</v>
      </c>
      <c r="Y566" s="19">
        <f t="shared" si="195"/>
        <v>0</v>
      </c>
      <c r="Z566" s="82">
        <f t="shared" ca="1" si="196"/>
        <v>4746.9876707175936</v>
      </c>
      <c r="AA566" s="19">
        <f t="shared" ca="1" si="197"/>
        <v>0</v>
      </c>
    </row>
    <row r="567" spans="1:27" ht="12.75" customHeight="1" x14ac:dyDescent="0.2">
      <c r="A567">
        <v>0</v>
      </c>
      <c r="B567">
        <v>0</v>
      </c>
      <c r="C567">
        <f t="shared" ca="1" si="176"/>
        <v>2</v>
      </c>
      <c r="D567">
        <f t="shared" ca="1" si="177"/>
        <v>1</v>
      </c>
      <c r="E567">
        <f t="shared" ca="1" si="178"/>
        <v>0</v>
      </c>
      <c r="F567" s="61">
        <f t="shared" ca="1" si="179"/>
        <v>0.20564936663040001</v>
      </c>
      <c r="G567">
        <v>1</v>
      </c>
      <c r="H567">
        <v>0</v>
      </c>
      <c r="I567">
        <v>4</v>
      </c>
      <c r="J567" s="61">
        <f t="shared" ca="1" si="180"/>
        <v>0</v>
      </c>
      <c r="K567" s="61">
        <f t="shared" ca="1" si="181"/>
        <v>0</v>
      </c>
      <c r="L567" s="82">
        <f t="shared" ca="1" si="182"/>
        <v>205</v>
      </c>
      <c r="M567" s="16">
        <f t="shared" ca="1" si="183"/>
        <v>795</v>
      </c>
      <c r="N567" s="3">
        <f t="shared" ca="1" si="184"/>
        <v>5</v>
      </c>
      <c r="O567" s="19">
        <f t="shared" ca="1" si="185"/>
        <v>2.8178718937399587</v>
      </c>
      <c r="P567" s="19">
        <f t="shared" ca="1" si="186"/>
        <v>28.178718937399587</v>
      </c>
      <c r="Q567" s="19">
        <f t="shared" ca="1" si="187"/>
        <v>28.178718937399587</v>
      </c>
      <c r="R567" s="19">
        <f t="shared" ca="1" si="188"/>
        <v>2.8178718937399587</v>
      </c>
      <c r="S567" s="19">
        <f t="shared" ca="1" si="189"/>
        <v>2.8178718937399587</v>
      </c>
      <c r="T567" s="19">
        <f t="shared" ca="1" si="190"/>
        <v>0</v>
      </c>
      <c r="U567" s="19">
        <f t="shared" ca="1" si="191"/>
        <v>1464.3251747165598</v>
      </c>
      <c r="V567" s="19">
        <f t="shared" ca="1" si="192"/>
        <v>0</v>
      </c>
      <c r="W567" s="82">
        <f t="shared" ca="1" si="193"/>
        <v>4261.0824406828706</v>
      </c>
      <c r="X567" s="19">
        <f t="shared" ca="1" si="194"/>
        <v>0</v>
      </c>
      <c r="Y567" s="19">
        <f t="shared" si="195"/>
        <v>0</v>
      </c>
      <c r="Z567" s="82">
        <f t="shared" ca="1" si="196"/>
        <v>4261.0824406828706</v>
      </c>
      <c r="AA567" s="19">
        <f t="shared" ca="1" si="197"/>
        <v>0</v>
      </c>
    </row>
    <row r="568" spans="1:27" ht="12.75" customHeight="1" x14ac:dyDescent="0.2">
      <c r="A568">
        <v>0</v>
      </c>
      <c r="B568">
        <v>0</v>
      </c>
      <c r="C568">
        <f t="shared" ca="1" si="176"/>
        <v>2</v>
      </c>
      <c r="D568">
        <f t="shared" ca="1" si="177"/>
        <v>1</v>
      </c>
      <c r="E568">
        <f t="shared" ca="1" si="178"/>
        <v>0</v>
      </c>
      <c r="F568" s="61">
        <f t="shared" ca="1" si="179"/>
        <v>0.20564936663040001</v>
      </c>
      <c r="G568">
        <v>1</v>
      </c>
      <c r="H568">
        <v>0</v>
      </c>
      <c r="I568">
        <v>3</v>
      </c>
      <c r="J568" s="61">
        <f t="shared" ca="1" si="180"/>
        <v>0</v>
      </c>
      <c r="K568" s="61">
        <f t="shared" ca="1" si="181"/>
        <v>0</v>
      </c>
      <c r="L568" s="82">
        <f t="shared" ca="1" si="182"/>
        <v>194</v>
      </c>
      <c r="M568" s="16">
        <f t="shared" ca="1" si="183"/>
        <v>806</v>
      </c>
      <c r="N568" s="3">
        <f t="shared" ca="1" si="184"/>
        <v>5</v>
      </c>
      <c r="O568" s="19">
        <f t="shared" ca="1" si="185"/>
        <v>2.8178718937399587</v>
      </c>
      <c r="P568" s="19">
        <f t="shared" ca="1" si="186"/>
        <v>28.178718937399587</v>
      </c>
      <c r="Q568" s="19">
        <f t="shared" ca="1" si="187"/>
        <v>28.178718937399587</v>
      </c>
      <c r="R568" s="19">
        <f t="shared" ca="1" si="188"/>
        <v>2.8178718937399587</v>
      </c>
      <c r="S568" s="19">
        <f t="shared" ca="1" si="189"/>
        <v>2.8178718937399587</v>
      </c>
      <c r="T568" s="19">
        <f t="shared" ca="1" si="190"/>
        <v>0</v>
      </c>
      <c r="U568" s="19">
        <f t="shared" ca="1" si="191"/>
        <v>1453.3251747165598</v>
      </c>
      <c r="V568" s="19">
        <f t="shared" ca="1" si="192"/>
        <v>0</v>
      </c>
      <c r="W568" s="82">
        <f t="shared" ca="1" si="193"/>
        <v>3775.1772106481485</v>
      </c>
      <c r="X568" s="19">
        <f t="shared" ca="1" si="194"/>
        <v>0</v>
      </c>
      <c r="Y568" s="19">
        <f t="shared" si="195"/>
        <v>0</v>
      </c>
      <c r="Z568" s="82">
        <f t="shared" ca="1" si="196"/>
        <v>3775.1772106481485</v>
      </c>
      <c r="AA568" s="19">
        <f t="shared" ca="1" si="197"/>
        <v>0</v>
      </c>
    </row>
    <row r="569" spans="1:27" ht="12.75" customHeight="1" x14ac:dyDescent="0.2">
      <c r="A569">
        <v>0</v>
      </c>
      <c r="B569">
        <v>0</v>
      </c>
      <c r="C569">
        <f t="shared" ca="1" si="176"/>
        <v>2</v>
      </c>
      <c r="D569">
        <f t="shared" ca="1" si="177"/>
        <v>1</v>
      </c>
      <c r="E569">
        <f t="shared" ca="1" si="178"/>
        <v>0</v>
      </c>
      <c r="F569" s="61">
        <f t="shared" ca="1" si="179"/>
        <v>0.20564936663040001</v>
      </c>
      <c r="G569">
        <v>1</v>
      </c>
      <c r="H569">
        <v>0</v>
      </c>
      <c r="I569">
        <v>2</v>
      </c>
      <c r="J569" s="61">
        <f t="shared" ca="1" si="180"/>
        <v>0</v>
      </c>
      <c r="K569" s="61">
        <f t="shared" ca="1" si="181"/>
        <v>0</v>
      </c>
      <c r="L569" s="82">
        <f t="shared" ca="1" si="182"/>
        <v>183</v>
      </c>
      <c r="M569" s="16">
        <f t="shared" ca="1" si="183"/>
        <v>817</v>
      </c>
      <c r="N569" s="3">
        <f t="shared" ca="1" si="184"/>
        <v>5</v>
      </c>
      <c r="O569" s="19">
        <f t="shared" ca="1" si="185"/>
        <v>2.8178718937399587</v>
      </c>
      <c r="P569" s="19">
        <f t="shared" ca="1" si="186"/>
        <v>28.178718937399587</v>
      </c>
      <c r="Q569" s="19">
        <f t="shared" ca="1" si="187"/>
        <v>28.178718937399587</v>
      </c>
      <c r="R569" s="19">
        <f t="shared" ca="1" si="188"/>
        <v>2.8178718937399587</v>
      </c>
      <c r="S569" s="19">
        <f t="shared" ca="1" si="189"/>
        <v>2.8178718937399587</v>
      </c>
      <c r="T569" s="19">
        <f t="shared" ca="1" si="190"/>
        <v>0</v>
      </c>
      <c r="U569" s="19">
        <f t="shared" ca="1" si="191"/>
        <v>1442.3251747165598</v>
      </c>
      <c r="V569" s="19">
        <f t="shared" ca="1" si="192"/>
        <v>0</v>
      </c>
      <c r="W569" s="82">
        <f t="shared" ca="1" si="193"/>
        <v>3289.2719806134264</v>
      </c>
      <c r="X569" s="19">
        <f t="shared" ca="1" si="194"/>
        <v>0</v>
      </c>
      <c r="Y569" s="19">
        <f t="shared" si="195"/>
        <v>0</v>
      </c>
      <c r="Z569" s="82">
        <f t="shared" ca="1" si="196"/>
        <v>3289.2719806134264</v>
      </c>
      <c r="AA569" s="19">
        <f t="shared" ca="1" si="197"/>
        <v>0</v>
      </c>
    </row>
    <row r="570" spans="1:27" ht="12.75" customHeight="1" x14ac:dyDescent="0.2">
      <c r="A570">
        <v>0</v>
      </c>
      <c r="B570">
        <v>0</v>
      </c>
      <c r="C570">
        <f t="shared" ca="1" si="176"/>
        <v>2</v>
      </c>
      <c r="D570">
        <f t="shared" ca="1" si="177"/>
        <v>1</v>
      </c>
      <c r="E570">
        <f t="shared" ca="1" si="178"/>
        <v>0</v>
      </c>
      <c r="F570" s="61">
        <f t="shared" ca="1" si="179"/>
        <v>0.20564936663040001</v>
      </c>
      <c r="G570">
        <v>1</v>
      </c>
      <c r="H570">
        <v>0</v>
      </c>
      <c r="I570">
        <v>1</v>
      </c>
      <c r="J570" s="61">
        <f t="shared" ca="1" si="180"/>
        <v>0.90249999999999997</v>
      </c>
      <c r="K570" s="61">
        <f t="shared" ca="1" si="181"/>
        <v>0.18559855338393599</v>
      </c>
      <c r="L570" s="82">
        <f t="shared" ca="1" si="182"/>
        <v>172</v>
      </c>
      <c r="M570" s="16">
        <f t="shared" ca="1" si="183"/>
        <v>828</v>
      </c>
      <c r="N570" s="3">
        <f t="shared" ca="1" si="184"/>
        <v>5</v>
      </c>
      <c r="O570" s="19">
        <f t="shared" ca="1" si="185"/>
        <v>2.8178718937399587</v>
      </c>
      <c r="P570" s="19">
        <f t="shared" ca="1" si="186"/>
        <v>28.178718937399587</v>
      </c>
      <c r="Q570" s="19">
        <f t="shared" ca="1" si="187"/>
        <v>28.178718937399587</v>
      </c>
      <c r="R570" s="19">
        <f t="shared" ca="1" si="188"/>
        <v>2.8178718937399587</v>
      </c>
      <c r="S570" s="19">
        <f t="shared" ca="1" si="189"/>
        <v>2.8178718937399587</v>
      </c>
      <c r="T570" s="19">
        <f t="shared" ca="1" si="190"/>
        <v>0.52299294709938859</v>
      </c>
      <c r="U570" s="19">
        <f t="shared" ca="1" si="191"/>
        <v>1431.3251747165598</v>
      </c>
      <c r="V570" s="19">
        <f t="shared" ca="1" si="192"/>
        <v>265.65188184940291</v>
      </c>
      <c r="W570" s="82">
        <f t="shared" ca="1" si="193"/>
        <v>2803.3667505787039</v>
      </c>
      <c r="X570" s="19">
        <f t="shared" ca="1" si="194"/>
        <v>520.30081351203273</v>
      </c>
      <c r="Y570" s="19">
        <f t="shared" si="195"/>
        <v>0</v>
      </c>
      <c r="Z570" s="82">
        <f t="shared" ca="1" si="196"/>
        <v>2803.3667505787039</v>
      </c>
      <c r="AA570" s="19">
        <f t="shared" ca="1" si="197"/>
        <v>520.30081351203273</v>
      </c>
    </row>
    <row r="571" spans="1:27" ht="12.75" customHeight="1" x14ac:dyDescent="0.2">
      <c r="A571">
        <v>0</v>
      </c>
      <c r="B571">
        <v>0</v>
      </c>
      <c r="C571">
        <f t="shared" ca="1" si="176"/>
        <v>2</v>
      </c>
      <c r="D571">
        <f t="shared" ca="1" si="177"/>
        <v>1</v>
      </c>
      <c r="E571">
        <f t="shared" ca="1" si="178"/>
        <v>0</v>
      </c>
      <c r="F571" s="61">
        <f t="shared" ca="1" si="179"/>
        <v>0.20564936663040001</v>
      </c>
      <c r="G571">
        <v>1</v>
      </c>
      <c r="H571">
        <v>0</v>
      </c>
      <c r="I571">
        <v>0</v>
      </c>
      <c r="J571" s="61">
        <f t="shared" ca="1" si="180"/>
        <v>4.7500000000000042E-2</v>
      </c>
      <c r="K571" s="61">
        <f t="shared" ca="1" si="181"/>
        <v>9.7683449149440094E-3</v>
      </c>
      <c r="L571" s="82">
        <f t="shared" ca="1" si="182"/>
        <v>161</v>
      </c>
      <c r="M571" s="16">
        <f t="shared" ca="1" si="183"/>
        <v>839</v>
      </c>
      <c r="N571" s="3">
        <f t="shared" ca="1" si="184"/>
        <v>5</v>
      </c>
      <c r="O571" s="19">
        <f t="shared" ca="1" si="185"/>
        <v>2.8178718937399587</v>
      </c>
      <c r="P571" s="19">
        <f t="shared" ca="1" si="186"/>
        <v>28.178718937399587</v>
      </c>
      <c r="Q571" s="19">
        <f t="shared" ca="1" si="187"/>
        <v>28.178718937399587</v>
      </c>
      <c r="R571" s="19">
        <f t="shared" ca="1" si="188"/>
        <v>2.8178718937399587</v>
      </c>
      <c r="S571" s="19">
        <f t="shared" ca="1" si="189"/>
        <v>2.8178718937399587</v>
      </c>
      <c r="T571" s="19">
        <f t="shared" ca="1" si="190"/>
        <v>2.7525944584178372E-2</v>
      </c>
      <c r="U571" s="19">
        <f t="shared" ca="1" si="191"/>
        <v>1420.3251747165598</v>
      </c>
      <c r="V571" s="19">
        <f t="shared" ca="1" si="192"/>
        <v>13.874226198009469</v>
      </c>
      <c r="W571" s="82">
        <f t="shared" ca="1" si="193"/>
        <v>2317.4615205439818</v>
      </c>
      <c r="X571" s="19">
        <f t="shared" ca="1" si="194"/>
        <v>22.637763459784217</v>
      </c>
      <c r="Y571" s="19">
        <f t="shared" si="195"/>
        <v>0</v>
      </c>
      <c r="Z571" s="82">
        <f t="shared" ca="1" si="196"/>
        <v>2317.4615205439818</v>
      </c>
      <c r="AA571" s="19">
        <f t="shared" ca="1" si="197"/>
        <v>22.637763459784217</v>
      </c>
    </row>
    <row r="572" spans="1:27" ht="12.75" customHeight="1" x14ac:dyDescent="0.2">
      <c r="A572">
        <v>0</v>
      </c>
      <c r="B572">
        <v>0</v>
      </c>
      <c r="C572">
        <f t="shared" ca="1" si="176"/>
        <v>2</v>
      </c>
      <c r="D572">
        <f t="shared" ca="1" si="177"/>
        <v>1</v>
      </c>
      <c r="E572">
        <f t="shared" ca="1" si="178"/>
        <v>0</v>
      </c>
      <c r="F572" s="61">
        <f t="shared" ca="1" si="179"/>
        <v>0.20564936663040001</v>
      </c>
      <c r="G572">
        <v>0</v>
      </c>
      <c r="H572">
        <v>1</v>
      </c>
      <c r="I572">
        <v>7</v>
      </c>
      <c r="J572" s="61">
        <f t="shared" ca="1" si="180"/>
        <v>0</v>
      </c>
      <c r="K572" s="61">
        <f t="shared" ca="1" si="181"/>
        <v>0</v>
      </c>
      <c r="L572" s="82">
        <f t="shared" ca="1" si="182"/>
        <v>238</v>
      </c>
      <c r="M572" s="16">
        <f t="shared" ca="1" si="183"/>
        <v>762</v>
      </c>
      <c r="N572" s="3">
        <f t="shared" ca="1" si="184"/>
        <v>5</v>
      </c>
      <c r="O572" s="19">
        <f t="shared" ca="1" si="185"/>
        <v>2.8178718937399587</v>
      </c>
      <c r="P572" s="19">
        <f t="shared" ca="1" si="186"/>
        <v>25.815886347750073</v>
      </c>
      <c r="Q572" s="19">
        <f t="shared" ca="1" si="187"/>
        <v>23.453053758100552</v>
      </c>
      <c r="R572" s="19">
        <f t="shared" ca="1" si="188"/>
        <v>2.4634470052925312</v>
      </c>
      <c r="S572" s="19">
        <f t="shared" ca="1" si="189"/>
        <v>2.8178718937399587</v>
      </c>
      <c r="T572" s="19">
        <f t="shared" ca="1" si="190"/>
        <v>0</v>
      </c>
      <c r="U572" s="19">
        <f t="shared" ca="1" si="191"/>
        <v>1497.3251747165598</v>
      </c>
      <c r="V572" s="19">
        <f t="shared" ca="1" si="192"/>
        <v>0</v>
      </c>
      <c r="W572" s="82">
        <f t="shared" ca="1" si="193"/>
        <v>3401.3366102430559</v>
      </c>
      <c r="X572" s="19">
        <f t="shared" ca="1" si="194"/>
        <v>0</v>
      </c>
      <c r="Y572" s="19">
        <f t="shared" si="195"/>
        <v>0</v>
      </c>
      <c r="Z572" s="82">
        <f t="shared" ca="1" si="196"/>
        <v>3401.3366102430559</v>
      </c>
      <c r="AA572" s="19">
        <f t="shared" ca="1" si="197"/>
        <v>0</v>
      </c>
    </row>
    <row r="573" spans="1:27" ht="12.75" customHeight="1" x14ac:dyDescent="0.2">
      <c r="A573">
        <v>0</v>
      </c>
      <c r="B573">
        <v>0</v>
      </c>
      <c r="C573">
        <f t="shared" ca="1" si="176"/>
        <v>2</v>
      </c>
      <c r="D573">
        <f t="shared" ca="1" si="177"/>
        <v>1</v>
      </c>
      <c r="E573">
        <f t="shared" ca="1" si="178"/>
        <v>0</v>
      </c>
      <c r="F573" s="61">
        <f t="shared" ca="1" si="179"/>
        <v>0.20564936663040001</v>
      </c>
      <c r="G573">
        <v>0</v>
      </c>
      <c r="H573">
        <v>1</v>
      </c>
      <c r="I573">
        <v>6</v>
      </c>
      <c r="J573" s="61">
        <f t="shared" ca="1" si="180"/>
        <v>0</v>
      </c>
      <c r="K573" s="61">
        <f t="shared" ca="1" si="181"/>
        <v>0</v>
      </c>
      <c r="L573" s="82">
        <f t="shared" ca="1" si="182"/>
        <v>227</v>
      </c>
      <c r="M573" s="16">
        <f t="shared" ca="1" si="183"/>
        <v>773</v>
      </c>
      <c r="N573" s="3">
        <f t="shared" ca="1" si="184"/>
        <v>5</v>
      </c>
      <c r="O573" s="19">
        <f t="shared" ca="1" si="185"/>
        <v>2.8178718937399587</v>
      </c>
      <c r="P573" s="19">
        <f t="shared" ca="1" si="186"/>
        <v>28.178718937399587</v>
      </c>
      <c r="Q573" s="19">
        <f t="shared" ca="1" si="187"/>
        <v>26.288452865679979</v>
      </c>
      <c r="R573" s="19">
        <f t="shared" ca="1" si="188"/>
        <v>2.7233585901539783</v>
      </c>
      <c r="S573" s="19">
        <f t="shared" ca="1" si="189"/>
        <v>2.8178718937399587</v>
      </c>
      <c r="T573" s="19">
        <f t="shared" ca="1" si="190"/>
        <v>0</v>
      </c>
      <c r="U573" s="19">
        <f t="shared" ca="1" si="191"/>
        <v>1486.3251747165598</v>
      </c>
      <c r="V573" s="19">
        <f t="shared" ca="1" si="192"/>
        <v>0</v>
      </c>
      <c r="W573" s="82">
        <f t="shared" ca="1" si="193"/>
        <v>2915.4313802083334</v>
      </c>
      <c r="X573" s="19">
        <f t="shared" ca="1" si="194"/>
        <v>0</v>
      </c>
      <c r="Y573" s="19">
        <f t="shared" si="195"/>
        <v>0</v>
      </c>
      <c r="Z573" s="82">
        <f t="shared" ca="1" si="196"/>
        <v>2915.4313802083334</v>
      </c>
      <c r="AA573" s="19">
        <f t="shared" ca="1" si="197"/>
        <v>0</v>
      </c>
    </row>
    <row r="574" spans="1:27" ht="12.75" customHeight="1" x14ac:dyDescent="0.2">
      <c r="A574">
        <v>0</v>
      </c>
      <c r="B574">
        <v>0</v>
      </c>
      <c r="C574">
        <f t="shared" ca="1" si="176"/>
        <v>2</v>
      </c>
      <c r="D574">
        <f t="shared" ca="1" si="177"/>
        <v>1</v>
      </c>
      <c r="E574">
        <f t="shared" ca="1" si="178"/>
        <v>0</v>
      </c>
      <c r="F574" s="61">
        <f t="shared" ca="1" si="179"/>
        <v>0.20564936663040001</v>
      </c>
      <c r="G574">
        <v>0</v>
      </c>
      <c r="H574">
        <v>1</v>
      </c>
      <c r="I574">
        <v>5</v>
      </c>
      <c r="J574" s="61">
        <f t="shared" ca="1" si="180"/>
        <v>0</v>
      </c>
      <c r="K574" s="61">
        <f t="shared" ca="1" si="181"/>
        <v>0</v>
      </c>
      <c r="L574" s="82">
        <f t="shared" ca="1" si="182"/>
        <v>216</v>
      </c>
      <c r="M574" s="16">
        <f t="shared" ca="1" si="183"/>
        <v>784</v>
      </c>
      <c r="N574" s="3">
        <f t="shared" ca="1" si="184"/>
        <v>5</v>
      </c>
      <c r="O574" s="19">
        <f t="shared" ca="1" si="185"/>
        <v>2.8178718937399587</v>
      </c>
      <c r="P574" s="19">
        <f t="shared" ca="1" si="186"/>
        <v>28.178718937399587</v>
      </c>
      <c r="Q574" s="19">
        <f t="shared" ca="1" si="187"/>
        <v>28.178718937399587</v>
      </c>
      <c r="R574" s="19">
        <f t="shared" ca="1" si="188"/>
        <v>2.8178718937399587</v>
      </c>
      <c r="S574" s="19">
        <f t="shared" ca="1" si="189"/>
        <v>2.8178718937399587</v>
      </c>
      <c r="T574" s="19">
        <f t="shared" ca="1" si="190"/>
        <v>0</v>
      </c>
      <c r="U574" s="19">
        <f t="shared" ca="1" si="191"/>
        <v>1475.3251747165598</v>
      </c>
      <c r="V574" s="19">
        <f t="shared" ca="1" si="192"/>
        <v>0</v>
      </c>
      <c r="W574" s="82">
        <f t="shared" ca="1" si="193"/>
        <v>2429.5261501736113</v>
      </c>
      <c r="X574" s="19">
        <f t="shared" ca="1" si="194"/>
        <v>0</v>
      </c>
      <c r="Y574" s="19">
        <f t="shared" si="195"/>
        <v>0</v>
      </c>
      <c r="Z574" s="82">
        <f t="shared" ca="1" si="196"/>
        <v>2429.5261501736113</v>
      </c>
      <c r="AA574" s="19">
        <f t="shared" ca="1" si="197"/>
        <v>0</v>
      </c>
    </row>
    <row r="575" spans="1:27" ht="12.75" customHeight="1" x14ac:dyDescent="0.2">
      <c r="A575">
        <v>0</v>
      </c>
      <c r="B575">
        <v>0</v>
      </c>
      <c r="C575">
        <f t="shared" ca="1" si="176"/>
        <v>2</v>
      </c>
      <c r="D575">
        <f t="shared" ca="1" si="177"/>
        <v>1</v>
      </c>
      <c r="E575">
        <f t="shared" ca="1" si="178"/>
        <v>0</v>
      </c>
      <c r="F575" s="61">
        <f t="shared" ca="1" si="179"/>
        <v>0.20564936663040001</v>
      </c>
      <c r="G575">
        <v>0</v>
      </c>
      <c r="H575">
        <v>1</v>
      </c>
      <c r="I575">
        <v>4</v>
      </c>
      <c r="J575" s="61">
        <f t="shared" ca="1" si="180"/>
        <v>0</v>
      </c>
      <c r="K575" s="61">
        <f t="shared" ca="1" si="181"/>
        <v>0</v>
      </c>
      <c r="L575" s="82">
        <f t="shared" ca="1" si="182"/>
        <v>205</v>
      </c>
      <c r="M575" s="16">
        <f t="shared" ca="1" si="183"/>
        <v>795</v>
      </c>
      <c r="N575" s="3">
        <f t="shared" ca="1" si="184"/>
        <v>5</v>
      </c>
      <c r="O575" s="19">
        <f t="shared" ca="1" si="185"/>
        <v>2.8178718937399587</v>
      </c>
      <c r="P575" s="19">
        <f t="shared" ca="1" si="186"/>
        <v>28.178718937399587</v>
      </c>
      <c r="Q575" s="19">
        <f t="shared" ca="1" si="187"/>
        <v>28.178718937399587</v>
      </c>
      <c r="R575" s="19">
        <f t="shared" ca="1" si="188"/>
        <v>2.8178718937399587</v>
      </c>
      <c r="S575" s="19">
        <f t="shared" ca="1" si="189"/>
        <v>2.8178718937399587</v>
      </c>
      <c r="T575" s="19">
        <f t="shared" ca="1" si="190"/>
        <v>0</v>
      </c>
      <c r="U575" s="19">
        <f t="shared" ca="1" si="191"/>
        <v>1464.3251747165598</v>
      </c>
      <c r="V575" s="19">
        <f t="shared" ca="1" si="192"/>
        <v>0</v>
      </c>
      <c r="W575" s="82">
        <f t="shared" ca="1" si="193"/>
        <v>1943.620920138889</v>
      </c>
      <c r="X575" s="19">
        <f t="shared" ca="1" si="194"/>
        <v>0</v>
      </c>
      <c r="Y575" s="19">
        <f t="shared" si="195"/>
        <v>0</v>
      </c>
      <c r="Z575" s="82">
        <f t="shared" ca="1" si="196"/>
        <v>1943.620920138889</v>
      </c>
      <c r="AA575" s="19">
        <f t="shared" ca="1" si="197"/>
        <v>0</v>
      </c>
    </row>
    <row r="576" spans="1:27" ht="12.75" customHeight="1" x14ac:dyDescent="0.2">
      <c r="A576">
        <v>0</v>
      </c>
      <c r="B576">
        <v>0</v>
      </c>
      <c r="C576">
        <f t="shared" ca="1" si="176"/>
        <v>2</v>
      </c>
      <c r="D576">
        <f t="shared" ca="1" si="177"/>
        <v>1</v>
      </c>
      <c r="E576">
        <f t="shared" ca="1" si="178"/>
        <v>0</v>
      </c>
      <c r="F576" s="61">
        <f t="shared" ca="1" si="179"/>
        <v>0.20564936663040001</v>
      </c>
      <c r="G576">
        <v>0</v>
      </c>
      <c r="H576">
        <v>1</v>
      </c>
      <c r="I576">
        <v>3</v>
      </c>
      <c r="J576" s="61">
        <f t="shared" ca="1" si="180"/>
        <v>0</v>
      </c>
      <c r="K576" s="61">
        <f t="shared" ca="1" si="181"/>
        <v>0</v>
      </c>
      <c r="L576" s="82">
        <f t="shared" ca="1" si="182"/>
        <v>194</v>
      </c>
      <c r="M576" s="16">
        <f t="shared" ca="1" si="183"/>
        <v>806</v>
      </c>
      <c r="N576" s="3">
        <f t="shared" ca="1" si="184"/>
        <v>5</v>
      </c>
      <c r="O576" s="19">
        <f t="shared" ca="1" si="185"/>
        <v>2.8178718937399587</v>
      </c>
      <c r="P576" s="19">
        <f t="shared" ca="1" si="186"/>
        <v>28.178718937399587</v>
      </c>
      <c r="Q576" s="19">
        <f t="shared" ca="1" si="187"/>
        <v>28.178718937399587</v>
      </c>
      <c r="R576" s="19">
        <f t="shared" ca="1" si="188"/>
        <v>2.8178718937399587</v>
      </c>
      <c r="S576" s="19">
        <f t="shared" ca="1" si="189"/>
        <v>2.8178718937399587</v>
      </c>
      <c r="T576" s="19">
        <f t="shared" ca="1" si="190"/>
        <v>0</v>
      </c>
      <c r="U576" s="19">
        <f t="shared" ca="1" si="191"/>
        <v>1453.3251747165598</v>
      </c>
      <c r="V576" s="19">
        <f t="shared" ca="1" si="192"/>
        <v>0</v>
      </c>
      <c r="W576" s="82">
        <f t="shared" ca="1" si="193"/>
        <v>1457.7156901041667</v>
      </c>
      <c r="X576" s="19">
        <f t="shared" ca="1" si="194"/>
        <v>0</v>
      </c>
      <c r="Y576" s="19">
        <f t="shared" si="195"/>
        <v>0</v>
      </c>
      <c r="Z576" s="82">
        <f t="shared" ca="1" si="196"/>
        <v>1457.7156901041667</v>
      </c>
      <c r="AA576" s="19">
        <f t="shared" ca="1" si="197"/>
        <v>0</v>
      </c>
    </row>
    <row r="577" spans="1:27" ht="12.75" customHeight="1" x14ac:dyDescent="0.2">
      <c r="A577">
        <v>0</v>
      </c>
      <c r="B577">
        <v>0</v>
      </c>
      <c r="C577">
        <f t="shared" ca="1" si="176"/>
        <v>2</v>
      </c>
      <c r="D577">
        <f t="shared" ca="1" si="177"/>
        <v>1</v>
      </c>
      <c r="E577">
        <f t="shared" ca="1" si="178"/>
        <v>0</v>
      </c>
      <c r="F577" s="61">
        <f t="shared" ca="1" si="179"/>
        <v>0.20564936663040001</v>
      </c>
      <c r="G577">
        <v>0</v>
      </c>
      <c r="H577">
        <v>1</v>
      </c>
      <c r="I577">
        <v>2</v>
      </c>
      <c r="J577" s="61">
        <f t="shared" ca="1" si="180"/>
        <v>0</v>
      </c>
      <c r="K577" s="61">
        <f t="shared" ca="1" si="181"/>
        <v>0</v>
      </c>
      <c r="L577" s="82">
        <f t="shared" ca="1" si="182"/>
        <v>183</v>
      </c>
      <c r="M577" s="16">
        <f t="shared" ca="1" si="183"/>
        <v>817</v>
      </c>
      <c r="N577" s="3">
        <f t="shared" ca="1" si="184"/>
        <v>5</v>
      </c>
      <c r="O577" s="19">
        <f t="shared" ca="1" si="185"/>
        <v>2.8178718937399587</v>
      </c>
      <c r="P577" s="19">
        <f t="shared" ca="1" si="186"/>
        <v>28.178718937399587</v>
      </c>
      <c r="Q577" s="19">
        <f t="shared" ca="1" si="187"/>
        <v>28.178718937399587</v>
      </c>
      <c r="R577" s="19">
        <f t="shared" ca="1" si="188"/>
        <v>2.8178718937399587</v>
      </c>
      <c r="S577" s="19">
        <f t="shared" ca="1" si="189"/>
        <v>2.8178718937399587</v>
      </c>
      <c r="T577" s="19">
        <f t="shared" ca="1" si="190"/>
        <v>0</v>
      </c>
      <c r="U577" s="19">
        <f t="shared" ca="1" si="191"/>
        <v>1442.3251747165598</v>
      </c>
      <c r="V577" s="19">
        <f t="shared" ca="1" si="192"/>
        <v>0</v>
      </c>
      <c r="W577" s="82">
        <f t="shared" ca="1" si="193"/>
        <v>971.8104600694445</v>
      </c>
      <c r="X577" s="19">
        <f t="shared" ca="1" si="194"/>
        <v>0</v>
      </c>
      <c r="Y577" s="19">
        <f t="shared" si="195"/>
        <v>0</v>
      </c>
      <c r="Z577" s="82">
        <f t="shared" ca="1" si="196"/>
        <v>971.8104600694445</v>
      </c>
      <c r="AA577" s="19">
        <f t="shared" ca="1" si="197"/>
        <v>0</v>
      </c>
    </row>
    <row r="578" spans="1:27" ht="12.75" customHeight="1" x14ac:dyDescent="0.2">
      <c r="A578">
        <v>0</v>
      </c>
      <c r="B578">
        <v>0</v>
      </c>
      <c r="C578">
        <f t="shared" ca="1" si="176"/>
        <v>2</v>
      </c>
      <c r="D578">
        <f t="shared" ca="1" si="177"/>
        <v>1</v>
      </c>
      <c r="E578">
        <f t="shared" ca="1" si="178"/>
        <v>0</v>
      </c>
      <c r="F578" s="61">
        <f t="shared" ca="1" si="179"/>
        <v>0.20564936663040001</v>
      </c>
      <c r="G578">
        <v>0</v>
      </c>
      <c r="H578">
        <v>1</v>
      </c>
      <c r="I578">
        <v>1</v>
      </c>
      <c r="J578" s="61">
        <f t="shared" ca="1" si="180"/>
        <v>0</v>
      </c>
      <c r="K578" s="61">
        <f t="shared" ca="1" si="181"/>
        <v>0</v>
      </c>
      <c r="L578" s="82">
        <f t="shared" ca="1" si="182"/>
        <v>172</v>
      </c>
      <c r="M578" s="16">
        <f t="shared" ca="1" si="183"/>
        <v>828</v>
      </c>
      <c r="N578" s="3">
        <f t="shared" ca="1" si="184"/>
        <v>5</v>
      </c>
      <c r="O578" s="19">
        <f t="shared" ca="1" si="185"/>
        <v>2.8178718937399587</v>
      </c>
      <c r="P578" s="19">
        <f t="shared" ca="1" si="186"/>
        <v>28.178718937399587</v>
      </c>
      <c r="Q578" s="19">
        <f t="shared" ca="1" si="187"/>
        <v>28.178718937399587</v>
      </c>
      <c r="R578" s="19">
        <f t="shared" ca="1" si="188"/>
        <v>2.8178718937399587</v>
      </c>
      <c r="S578" s="19">
        <f t="shared" ca="1" si="189"/>
        <v>2.8178718937399587</v>
      </c>
      <c r="T578" s="19">
        <f t="shared" ca="1" si="190"/>
        <v>0</v>
      </c>
      <c r="U578" s="19">
        <f t="shared" ca="1" si="191"/>
        <v>1431.3251747165598</v>
      </c>
      <c r="V578" s="19">
        <f t="shared" ca="1" si="192"/>
        <v>0</v>
      </c>
      <c r="W578" s="82">
        <f t="shared" ca="1" si="193"/>
        <v>485.90523003472225</v>
      </c>
      <c r="X578" s="19">
        <f t="shared" ca="1" si="194"/>
        <v>0</v>
      </c>
      <c r="Y578" s="19">
        <f t="shared" si="195"/>
        <v>0</v>
      </c>
      <c r="Z578" s="82">
        <f t="shared" ca="1" si="196"/>
        <v>485.90523003472225</v>
      </c>
      <c r="AA578" s="19">
        <f t="shared" ca="1" si="197"/>
        <v>0</v>
      </c>
    </row>
    <row r="579" spans="1:27" ht="12.75" customHeight="1" x14ac:dyDescent="0.2">
      <c r="A579">
        <v>0</v>
      </c>
      <c r="B579">
        <v>0</v>
      </c>
      <c r="C579">
        <f t="shared" ca="1" si="176"/>
        <v>2</v>
      </c>
      <c r="D579">
        <f t="shared" ca="1" si="177"/>
        <v>1</v>
      </c>
      <c r="E579">
        <f t="shared" ca="1" si="178"/>
        <v>0</v>
      </c>
      <c r="F579" s="61">
        <f t="shared" ca="1" si="179"/>
        <v>0.20564936663040001</v>
      </c>
      <c r="G579">
        <v>0</v>
      </c>
      <c r="H579">
        <v>1</v>
      </c>
      <c r="I579">
        <v>0</v>
      </c>
      <c r="J579" s="61">
        <f t="shared" ca="1" si="180"/>
        <v>0</v>
      </c>
      <c r="K579" s="61">
        <f t="shared" ca="1" si="181"/>
        <v>0</v>
      </c>
      <c r="L579" s="82">
        <f t="shared" ca="1" si="182"/>
        <v>161</v>
      </c>
      <c r="M579" s="16">
        <f t="shared" ca="1" si="183"/>
        <v>839</v>
      </c>
      <c r="N579" s="3">
        <f t="shared" ca="1" si="184"/>
        <v>5</v>
      </c>
      <c r="O579" s="19">
        <f t="shared" ca="1" si="185"/>
        <v>2.8178718937399587</v>
      </c>
      <c r="P579" s="19">
        <f t="shared" ca="1" si="186"/>
        <v>28.178718937399587</v>
      </c>
      <c r="Q579" s="19">
        <f t="shared" ca="1" si="187"/>
        <v>28.178718937399587</v>
      </c>
      <c r="R579" s="19">
        <f t="shared" ca="1" si="188"/>
        <v>2.8178718937399587</v>
      </c>
      <c r="S579" s="19">
        <f t="shared" ca="1" si="189"/>
        <v>2.8178718937399587</v>
      </c>
      <c r="T579" s="19">
        <f t="shared" ca="1" si="190"/>
        <v>0</v>
      </c>
      <c r="U579" s="19">
        <f t="shared" ca="1" si="191"/>
        <v>1420.3251747165598</v>
      </c>
      <c r="V579" s="19">
        <f t="shared" ca="1" si="192"/>
        <v>0</v>
      </c>
      <c r="W579" s="82">
        <f t="shared" ca="1" si="193"/>
        <v>0</v>
      </c>
      <c r="X579" s="19">
        <f t="shared" ca="1" si="194"/>
        <v>0</v>
      </c>
      <c r="Y579" s="19">
        <f t="shared" si="195"/>
        <v>0</v>
      </c>
      <c r="Z579" s="82">
        <f t="shared" ca="1" si="196"/>
        <v>0</v>
      </c>
      <c r="AA579" s="19">
        <f t="shared" ca="1" si="197"/>
        <v>0</v>
      </c>
    </row>
    <row r="580" spans="1:27" ht="12.75" customHeight="1" x14ac:dyDescent="0.2">
      <c r="A580">
        <v>0</v>
      </c>
      <c r="B580">
        <v>0</v>
      </c>
      <c r="C580">
        <f t="shared" ca="1" si="176"/>
        <v>2</v>
      </c>
      <c r="D580">
        <f t="shared" ca="1" si="177"/>
        <v>1</v>
      </c>
      <c r="E580">
        <f t="shared" ca="1" si="178"/>
        <v>0</v>
      </c>
      <c r="F580" s="61">
        <f t="shared" ca="1" si="179"/>
        <v>0.20564936663040001</v>
      </c>
      <c r="G580">
        <v>0</v>
      </c>
      <c r="H580">
        <v>0</v>
      </c>
      <c r="I580">
        <v>7</v>
      </c>
      <c r="J580" s="61">
        <f t="shared" ca="1" si="180"/>
        <v>0</v>
      </c>
      <c r="K580" s="61">
        <f t="shared" ca="1" si="181"/>
        <v>0</v>
      </c>
      <c r="L580" s="82">
        <f t="shared" ca="1" si="182"/>
        <v>77</v>
      </c>
      <c r="M580" s="16">
        <f t="shared" ca="1" si="183"/>
        <v>923</v>
      </c>
      <c r="N580" s="3">
        <f t="shared" ca="1" si="184"/>
        <v>5</v>
      </c>
      <c r="O580" s="19">
        <f t="shared" ca="1" si="185"/>
        <v>2.8178718937399587</v>
      </c>
      <c r="P580" s="19">
        <f t="shared" ca="1" si="186"/>
        <v>28.178718937399587</v>
      </c>
      <c r="Q580" s="19">
        <f t="shared" ca="1" si="187"/>
        <v>28.178718937399587</v>
      </c>
      <c r="R580" s="19">
        <f t="shared" ca="1" si="188"/>
        <v>2.8178718937399587</v>
      </c>
      <c r="S580" s="19">
        <f t="shared" ca="1" si="189"/>
        <v>2.8178718937399587</v>
      </c>
      <c r="T580" s="19">
        <f t="shared" ca="1" si="190"/>
        <v>0</v>
      </c>
      <c r="U580" s="19">
        <f t="shared" ca="1" si="191"/>
        <v>1336.3251747165598</v>
      </c>
      <c r="V580" s="19">
        <f t="shared" ca="1" si="192"/>
        <v>0</v>
      </c>
      <c r="W580" s="82">
        <f t="shared" ca="1" si="193"/>
        <v>3401.3366102430559</v>
      </c>
      <c r="X580" s="19">
        <f t="shared" ca="1" si="194"/>
        <v>0</v>
      </c>
      <c r="Y580" s="19">
        <f t="shared" si="195"/>
        <v>0</v>
      </c>
      <c r="Z580" s="82">
        <f t="shared" ca="1" si="196"/>
        <v>3401.3366102430559</v>
      </c>
      <c r="AA580" s="19">
        <f t="shared" ca="1" si="197"/>
        <v>0</v>
      </c>
    </row>
    <row r="581" spans="1:27" ht="12.75" customHeight="1" x14ac:dyDescent="0.2">
      <c r="A581">
        <v>0</v>
      </c>
      <c r="B581">
        <v>0</v>
      </c>
      <c r="C581">
        <f t="shared" ca="1" si="176"/>
        <v>2</v>
      </c>
      <c r="D581">
        <f t="shared" ca="1" si="177"/>
        <v>1</v>
      </c>
      <c r="E581">
        <f t="shared" ca="1" si="178"/>
        <v>0</v>
      </c>
      <c r="F581" s="61">
        <f t="shared" ca="1" si="179"/>
        <v>0.20564936663040001</v>
      </c>
      <c r="G581">
        <v>0</v>
      </c>
      <c r="H581">
        <v>0</v>
      </c>
      <c r="I581">
        <v>6</v>
      </c>
      <c r="J581" s="61">
        <f t="shared" ca="1" si="180"/>
        <v>0</v>
      </c>
      <c r="K581" s="61">
        <f t="shared" ca="1" si="181"/>
        <v>0</v>
      </c>
      <c r="L581" s="82">
        <f t="shared" ca="1" si="182"/>
        <v>66</v>
      </c>
      <c r="M581" s="16">
        <f t="shared" ca="1" si="183"/>
        <v>934</v>
      </c>
      <c r="N581" s="3">
        <f t="shared" ca="1" si="184"/>
        <v>5</v>
      </c>
      <c r="O581" s="19">
        <f t="shared" ca="1" si="185"/>
        <v>2.8178718937399587</v>
      </c>
      <c r="P581" s="19">
        <f t="shared" ca="1" si="186"/>
        <v>28.178718937399587</v>
      </c>
      <c r="Q581" s="19">
        <f t="shared" ca="1" si="187"/>
        <v>28.178718937399587</v>
      </c>
      <c r="R581" s="19">
        <f t="shared" ca="1" si="188"/>
        <v>2.8178718937399587</v>
      </c>
      <c r="S581" s="19">
        <f t="shared" ca="1" si="189"/>
        <v>2.8178718937399587</v>
      </c>
      <c r="T581" s="19">
        <f t="shared" ca="1" si="190"/>
        <v>0</v>
      </c>
      <c r="U581" s="19">
        <f t="shared" ca="1" si="191"/>
        <v>1325.3251747165598</v>
      </c>
      <c r="V581" s="19">
        <f t="shared" ca="1" si="192"/>
        <v>0</v>
      </c>
      <c r="W581" s="82">
        <f t="shared" ca="1" si="193"/>
        <v>2915.4313802083334</v>
      </c>
      <c r="X581" s="19">
        <f t="shared" ca="1" si="194"/>
        <v>0</v>
      </c>
      <c r="Y581" s="19">
        <f t="shared" si="195"/>
        <v>0</v>
      </c>
      <c r="Z581" s="82">
        <f t="shared" ca="1" si="196"/>
        <v>2915.4313802083334</v>
      </c>
      <c r="AA581" s="19">
        <f t="shared" ca="1" si="197"/>
        <v>0</v>
      </c>
    </row>
    <row r="582" spans="1:27" ht="12.75" customHeight="1" x14ac:dyDescent="0.2">
      <c r="A582">
        <v>0</v>
      </c>
      <c r="B582">
        <v>0</v>
      </c>
      <c r="C582">
        <f t="shared" ca="1" si="176"/>
        <v>2</v>
      </c>
      <c r="D582">
        <f t="shared" ca="1" si="177"/>
        <v>1</v>
      </c>
      <c r="E582">
        <f t="shared" ca="1" si="178"/>
        <v>0</v>
      </c>
      <c r="F582" s="61">
        <f t="shared" ca="1" si="179"/>
        <v>0.20564936663040001</v>
      </c>
      <c r="G582">
        <v>0</v>
      </c>
      <c r="H582">
        <v>0</v>
      </c>
      <c r="I582">
        <v>5</v>
      </c>
      <c r="J582" s="61">
        <f t="shared" ca="1" si="180"/>
        <v>0</v>
      </c>
      <c r="K582" s="61">
        <f t="shared" ca="1" si="181"/>
        <v>0</v>
      </c>
      <c r="L582" s="82">
        <f t="shared" ca="1" si="182"/>
        <v>55</v>
      </c>
      <c r="M582" s="16">
        <f t="shared" ca="1" si="183"/>
        <v>945</v>
      </c>
      <c r="N582" s="3">
        <f t="shared" ca="1" si="184"/>
        <v>5</v>
      </c>
      <c r="O582" s="19">
        <f t="shared" ca="1" si="185"/>
        <v>2.8178718937399587</v>
      </c>
      <c r="P582" s="19">
        <f t="shared" ca="1" si="186"/>
        <v>28.178718937399587</v>
      </c>
      <c r="Q582" s="19">
        <f t="shared" ca="1" si="187"/>
        <v>28.178718937399587</v>
      </c>
      <c r="R582" s="19">
        <f t="shared" ca="1" si="188"/>
        <v>2.8178718937399587</v>
      </c>
      <c r="S582" s="19">
        <f t="shared" ca="1" si="189"/>
        <v>2.8178718937399587</v>
      </c>
      <c r="T582" s="19">
        <f t="shared" ca="1" si="190"/>
        <v>0</v>
      </c>
      <c r="U582" s="19">
        <f t="shared" ca="1" si="191"/>
        <v>1314.3251747165598</v>
      </c>
      <c r="V582" s="19">
        <f t="shared" ca="1" si="192"/>
        <v>0</v>
      </c>
      <c r="W582" s="82">
        <f t="shared" ca="1" si="193"/>
        <v>2429.5261501736113</v>
      </c>
      <c r="X582" s="19">
        <f t="shared" ca="1" si="194"/>
        <v>0</v>
      </c>
      <c r="Y582" s="19">
        <f t="shared" si="195"/>
        <v>0</v>
      </c>
      <c r="Z582" s="82">
        <f t="shared" ca="1" si="196"/>
        <v>2429.5261501736113</v>
      </c>
      <c r="AA582" s="19">
        <f t="shared" ca="1" si="197"/>
        <v>0</v>
      </c>
    </row>
    <row r="583" spans="1:27" ht="12.75" customHeight="1" x14ac:dyDescent="0.2">
      <c r="A583">
        <v>0</v>
      </c>
      <c r="B583">
        <v>0</v>
      </c>
      <c r="C583">
        <f t="shared" ca="1" si="176"/>
        <v>2</v>
      </c>
      <c r="D583">
        <f t="shared" ca="1" si="177"/>
        <v>1</v>
      </c>
      <c r="E583">
        <f t="shared" ca="1" si="178"/>
        <v>0</v>
      </c>
      <c r="F583" s="61">
        <f t="shared" ca="1" si="179"/>
        <v>0.20564936663040001</v>
      </c>
      <c r="G583">
        <v>0</v>
      </c>
      <c r="H583">
        <v>0</v>
      </c>
      <c r="I583">
        <v>4</v>
      </c>
      <c r="J583" s="61">
        <f t="shared" ca="1" si="180"/>
        <v>0</v>
      </c>
      <c r="K583" s="61">
        <f t="shared" ca="1" si="181"/>
        <v>0</v>
      </c>
      <c r="L583" s="82">
        <f t="shared" ca="1" si="182"/>
        <v>44</v>
      </c>
      <c r="M583" s="16">
        <f t="shared" ca="1" si="183"/>
        <v>956</v>
      </c>
      <c r="N583" s="3">
        <f t="shared" ca="1" si="184"/>
        <v>6</v>
      </c>
      <c r="O583" s="19">
        <f t="shared" ca="1" si="185"/>
        <v>3.3239268932937667</v>
      </c>
      <c r="P583" s="19">
        <f t="shared" ca="1" si="186"/>
        <v>33.239268932937669</v>
      </c>
      <c r="Q583" s="19">
        <f t="shared" ca="1" si="187"/>
        <v>28.178718937399587</v>
      </c>
      <c r="R583" s="19">
        <f t="shared" ca="1" si="188"/>
        <v>3.0708993935168629</v>
      </c>
      <c r="S583" s="19">
        <f t="shared" ca="1" si="189"/>
        <v>3.3239268932937667</v>
      </c>
      <c r="T583" s="19">
        <f t="shared" ca="1" si="190"/>
        <v>0</v>
      </c>
      <c r="U583" s="19">
        <f t="shared" ca="1" si="191"/>
        <v>1495.4024523027438</v>
      </c>
      <c r="V583" s="19">
        <f t="shared" ca="1" si="192"/>
        <v>0</v>
      </c>
      <c r="W583" s="82">
        <f t="shared" ca="1" si="193"/>
        <v>1943.620920138889</v>
      </c>
      <c r="X583" s="19">
        <f t="shared" ca="1" si="194"/>
        <v>0</v>
      </c>
      <c r="Y583" s="19">
        <f t="shared" si="195"/>
        <v>0</v>
      </c>
      <c r="Z583" s="82">
        <f t="shared" ca="1" si="196"/>
        <v>1943.620920138889</v>
      </c>
      <c r="AA583" s="19">
        <f t="shared" ca="1" si="197"/>
        <v>0</v>
      </c>
    </row>
    <row r="584" spans="1:27" ht="12.75" customHeight="1" x14ac:dyDescent="0.2">
      <c r="A584">
        <v>0</v>
      </c>
      <c r="B584">
        <v>0</v>
      </c>
      <c r="C584">
        <f t="shared" ca="1" si="176"/>
        <v>2</v>
      </c>
      <c r="D584">
        <f t="shared" ca="1" si="177"/>
        <v>1</v>
      </c>
      <c r="E584">
        <f t="shared" ca="1" si="178"/>
        <v>0</v>
      </c>
      <c r="F584" s="61">
        <f t="shared" ca="1" si="179"/>
        <v>0.20564936663040001</v>
      </c>
      <c r="G584">
        <v>0</v>
      </c>
      <c r="H584">
        <v>0</v>
      </c>
      <c r="I584">
        <v>3</v>
      </c>
      <c r="J584" s="61">
        <f t="shared" ca="1" si="180"/>
        <v>0</v>
      </c>
      <c r="K584" s="61">
        <f t="shared" ca="1" si="181"/>
        <v>0</v>
      </c>
      <c r="L584" s="82">
        <f t="shared" ca="1" si="182"/>
        <v>33</v>
      </c>
      <c r="M584" s="16">
        <f t="shared" ca="1" si="183"/>
        <v>967</v>
      </c>
      <c r="N584" s="3">
        <f t="shared" ca="1" si="184"/>
        <v>6</v>
      </c>
      <c r="O584" s="19">
        <f t="shared" ca="1" si="185"/>
        <v>3.3239268932937667</v>
      </c>
      <c r="P584" s="19">
        <f t="shared" ca="1" si="186"/>
        <v>33.239268932937669</v>
      </c>
      <c r="Q584" s="19">
        <f t="shared" ca="1" si="187"/>
        <v>33.239268932937669</v>
      </c>
      <c r="R584" s="19">
        <f t="shared" ca="1" si="188"/>
        <v>3.3239268932937671</v>
      </c>
      <c r="S584" s="19">
        <f t="shared" ca="1" si="189"/>
        <v>3.3239268932937667</v>
      </c>
      <c r="T584" s="19">
        <f t="shared" ca="1" si="190"/>
        <v>0</v>
      </c>
      <c r="U584" s="19">
        <f t="shared" ca="1" si="191"/>
        <v>1484.4024523027438</v>
      </c>
      <c r="V584" s="19">
        <f t="shared" ca="1" si="192"/>
        <v>0</v>
      </c>
      <c r="W584" s="82">
        <f t="shared" ca="1" si="193"/>
        <v>1457.7156901041667</v>
      </c>
      <c r="X584" s="19">
        <f t="shared" ca="1" si="194"/>
        <v>0</v>
      </c>
      <c r="Y584" s="19">
        <f t="shared" si="195"/>
        <v>0</v>
      </c>
      <c r="Z584" s="82">
        <f t="shared" ca="1" si="196"/>
        <v>1457.7156901041667</v>
      </c>
      <c r="AA584" s="19">
        <f t="shared" ca="1" si="197"/>
        <v>0</v>
      </c>
    </row>
    <row r="585" spans="1:27" ht="12.75" customHeight="1" x14ac:dyDescent="0.2">
      <c r="A585">
        <v>0</v>
      </c>
      <c r="B585">
        <v>0</v>
      </c>
      <c r="C585">
        <f t="shared" ca="1" si="176"/>
        <v>2</v>
      </c>
      <c r="D585">
        <f t="shared" ca="1" si="177"/>
        <v>1</v>
      </c>
      <c r="E585">
        <f t="shared" ca="1" si="178"/>
        <v>0</v>
      </c>
      <c r="F585" s="61">
        <f t="shared" ca="1" si="179"/>
        <v>0.20564936663040001</v>
      </c>
      <c r="G585">
        <v>0</v>
      </c>
      <c r="H585">
        <v>0</v>
      </c>
      <c r="I585">
        <v>2</v>
      </c>
      <c r="J585" s="61">
        <f t="shared" ca="1" si="180"/>
        <v>0</v>
      </c>
      <c r="K585" s="61">
        <f t="shared" ca="1" si="181"/>
        <v>0</v>
      </c>
      <c r="L585" s="82">
        <f t="shared" ca="1" si="182"/>
        <v>22</v>
      </c>
      <c r="M585" s="16">
        <f t="shared" ca="1" si="183"/>
        <v>978</v>
      </c>
      <c r="N585" s="3">
        <f t="shared" ca="1" si="184"/>
        <v>6</v>
      </c>
      <c r="O585" s="19">
        <f t="shared" ca="1" si="185"/>
        <v>3.3239268932937667</v>
      </c>
      <c r="P585" s="19">
        <f t="shared" ca="1" si="186"/>
        <v>33.239268932937669</v>
      </c>
      <c r="Q585" s="19">
        <f t="shared" ca="1" si="187"/>
        <v>33.239268932937669</v>
      </c>
      <c r="R585" s="19">
        <f t="shared" ca="1" si="188"/>
        <v>3.3239268932937671</v>
      </c>
      <c r="S585" s="19">
        <f t="shared" ca="1" si="189"/>
        <v>3.3239268932937667</v>
      </c>
      <c r="T585" s="19">
        <f t="shared" ca="1" si="190"/>
        <v>0</v>
      </c>
      <c r="U585" s="19">
        <f t="shared" ca="1" si="191"/>
        <v>1473.4024523027438</v>
      </c>
      <c r="V585" s="19">
        <f t="shared" ca="1" si="192"/>
        <v>0</v>
      </c>
      <c r="W585" s="82">
        <f t="shared" ca="1" si="193"/>
        <v>971.8104600694445</v>
      </c>
      <c r="X585" s="19">
        <f t="shared" ca="1" si="194"/>
        <v>0</v>
      </c>
      <c r="Y585" s="19">
        <f t="shared" si="195"/>
        <v>0</v>
      </c>
      <c r="Z585" s="82">
        <f t="shared" ca="1" si="196"/>
        <v>971.8104600694445</v>
      </c>
      <c r="AA585" s="19">
        <f t="shared" ca="1" si="197"/>
        <v>0</v>
      </c>
    </row>
    <row r="586" spans="1:27" ht="12.75" customHeight="1" x14ac:dyDescent="0.2">
      <c r="A586">
        <v>0</v>
      </c>
      <c r="B586">
        <v>0</v>
      </c>
      <c r="C586">
        <f t="shared" ca="1" si="176"/>
        <v>2</v>
      </c>
      <c r="D586">
        <f t="shared" ca="1" si="177"/>
        <v>1</v>
      </c>
      <c r="E586">
        <f t="shared" ca="1" si="178"/>
        <v>0</v>
      </c>
      <c r="F586" s="61">
        <f t="shared" ca="1" si="179"/>
        <v>0.20564936663040001</v>
      </c>
      <c r="G586">
        <v>0</v>
      </c>
      <c r="H586">
        <v>0</v>
      </c>
      <c r="I586">
        <v>1</v>
      </c>
      <c r="J586" s="61">
        <f t="shared" ca="1" si="180"/>
        <v>4.7500000000000001E-2</v>
      </c>
      <c r="K586" s="61">
        <f t="shared" ca="1" si="181"/>
        <v>9.7683449149440008E-3</v>
      </c>
      <c r="L586" s="82">
        <f t="shared" ca="1" si="182"/>
        <v>11</v>
      </c>
      <c r="M586" s="16">
        <f t="shared" ca="1" si="183"/>
        <v>989</v>
      </c>
      <c r="N586" s="3">
        <f t="shared" ca="1" si="184"/>
        <v>6</v>
      </c>
      <c r="O586" s="19">
        <f t="shared" ca="1" si="185"/>
        <v>3.3239268932937667</v>
      </c>
      <c r="P586" s="19">
        <f t="shared" ca="1" si="186"/>
        <v>33.239268932937669</v>
      </c>
      <c r="Q586" s="19">
        <f t="shared" ca="1" si="187"/>
        <v>33.239268932937669</v>
      </c>
      <c r="R586" s="19">
        <f t="shared" ca="1" si="188"/>
        <v>3.3239268932937671</v>
      </c>
      <c r="S586" s="19">
        <f t="shared" ca="1" si="189"/>
        <v>3.3239268932937667</v>
      </c>
      <c r="T586" s="19">
        <f t="shared" ca="1" si="190"/>
        <v>3.2469264365751774E-2</v>
      </c>
      <c r="U586" s="19">
        <f t="shared" ca="1" si="191"/>
        <v>1462.4024523027438</v>
      </c>
      <c r="V586" s="19">
        <f t="shared" ca="1" si="192"/>
        <v>14.285251558553144</v>
      </c>
      <c r="W586" s="82">
        <f t="shared" ca="1" si="193"/>
        <v>485.90523003472225</v>
      </c>
      <c r="X586" s="19">
        <f t="shared" ca="1" si="194"/>
        <v>4.746489882954374</v>
      </c>
      <c r="Y586" s="19">
        <f t="shared" si="195"/>
        <v>0</v>
      </c>
      <c r="Z586" s="82">
        <f t="shared" ca="1" si="196"/>
        <v>485.90523003472225</v>
      </c>
      <c r="AA586" s="19">
        <f t="shared" ca="1" si="197"/>
        <v>4.746489882954374</v>
      </c>
    </row>
    <row r="587" spans="1:27" ht="12.75" customHeight="1" x14ac:dyDescent="0.2">
      <c r="A587">
        <v>0</v>
      </c>
      <c r="B587">
        <v>0</v>
      </c>
      <c r="C587">
        <f t="shared" ca="1" si="176"/>
        <v>2</v>
      </c>
      <c r="D587">
        <f t="shared" ca="1" si="177"/>
        <v>1</v>
      </c>
      <c r="E587">
        <f t="shared" ca="1" si="178"/>
        <v>0</v>
      </c>
      <c r="F587" s="61">
        <f t="shared" ca="1" si="179"/>
        <v>0.20564936663040001</v>
      </c>
      <c r="G587">
        <v>0</v>
      </c>
      <c r="H587">
        <v>0</v>
      </c>
      <c r="I587">
        <v>0</v>
      </c>
      <c r="J587" s="61">
        <f t="shared" ca="1" si="180"/>
        <v>2.5000000000000022E-3</v>
      </c>
      <c r="K587" s="61">
        <f t="shared" ca="1" si="181"/>
        <v>5.1412341657600048E-4</v>
      </c>
      <c r="L587" s="82">
        <f t="shared" ca="1" si="182"/>
        <v>0</v>
      </c>
      <c r="M587" s="16">
        <f t="shared" ca="1" si="183"/>
        <v>1000</v>
      </c>
      <c r="N587" s="3">
        <f t="shared" ca="1" si="184"/>
        <v>6</v>
      </c>
      <c r="O587" s="19">
        <f t="shared" ca="1" si="185"/>
        <v>3.3239268932937667</v>
      </c>
      <c r="P587" s="19">
        <f t="shared" ca="1" si="186"/>
        <v>33.239268932937669</v>
      </c>
      <c r="Q587" s="19">
        <f t="shared" ca="1" si="187"/>
        <v>33.239268932937669</v>
      </c>
      <c r="R587" s="19">
        <f t="shared" ca="1" si="188"/>
        <v>3.3239268932937671</v>
      </c>
      <c r="S587" s="19">
        <f t="shared" ca="1" si="189"/>
        <v>3.3239268932937667</v>
      </c>
      <c r="T587" s="19">
        <f t="shared" ca="1" si="190"/>
        <v>1.7089086508290422E-3</v>
      </c>
      <c r="U587" s="19">
        <f t="shared" ca="1" si="191"/>
        <v>1451.4024523027438</v>
      </c>
      <c r="V587" s="19">
        <f t="shared" ca="1" si="192"/>
        <v>0.74619998760467221</v>
      </c>
      <c r="W587" s="82">
        <f t="shared" ca="1" si="193"/>
        <v>0</v>
      </c>
      <c r="X587" s="19">
        <f t="shared" ca="1" si="194"/>
        <v>0</v>
      </c>
      <c r="Y587" s="19">
        <f t="shared" si="195"/>
        <v>0</v>
      </c>
      <c r="Z587" s="82">
        <f t="shared" ca="1" si="196"/>
        <v>0</v>
      </c>
      <c r="AA587" s="19">
        <f t="shared" ca="1" si="197"/>
        <v>0</v>
      </c>
    </row>
    <row r="588" spans="1:27" ht="12.75" customHeight="1" x14ac:dyDescent="0.2">
      <c r="A588">
        <v>0</v>
      </c>
      <c r="B588">
        <v>1</v>
      </c>
      <c r="C588">
        <f t="shared" ca="1" si="176"/>
        <v>3</v>
      </c>
      <c r="D588">
        <f t="shared" ca="1" si="177"/>
        <v>2</v>
      </c>
      <c r="E588">
        <f t="shared" ca="1" si="178"/>
        <v>0</v>
      </c>
      <c r="F588" s="61">
        <f t="shared" ca="1" si="179"/>
        <v>6.142773288959999E-2</v>
      </c>
      <c r="G588">
        <v>1</v>
      </c>
      <c r="H588">
        <v>1</v>
      </c>
      <c r="I588">
        <v>7</v>
      </c>
      <c r="J588" s="61">
        <f t="shared" ca="1" si="180"/>
        <v>0</v>
      </c>
      <c r="K588" s="61">
        <f t="shared" ca="1" si="181"/>
        <v>0</v>
      </c>
      <c r="L588" s="82">
        <f t="shared" ca="1" si="182"/>
        <v>399</v>
      </c>
      <c r="M588" s="16">
        <f t="shared" ca="1" si="183"/>
        <v>601</v>
      </c>
      <c r="N588" s="3">
        <f t="shared" ca="1" si="184"/>
        <v>4</v>
      </c>
      <c r="O588" s="19">
        <f t="shared" ca="1" si="185"/>
        <v>2.3453053758100548</v>
      </c>
      <c r="P588" s="19">
        <f t="shared" ca="1" si="186"/>
        <v>23.453053758100552</v>
      </c>
      <c r="Q588" s="19">
        <f t="shared" ca="1" si="187"/>
        <v>23.453053758100552</v>
      </c>
      <c r="R588" s="19">
        <f t="shared" ca="1" si="188"/>
        <v>2.3453053758100553</v>
      </c>
      <c r="S588" s="19">
        <f t="shared" ca="1" si="189"/>
        <v>2.3453053758100548</v>
      </c>
      <c r="T588" s="19">
        <f t="shared" ca="1" si="190"/>
        <v>0</v>
      </c>
      <c r="U588" s="19">
        <f t="shared" ca="1" si="191"/>
        <v>1478.9587218163997</v>
      </c>
      <c r="V588" s="19">
        <f t="shared" ca="1" si="192"/>
        <v>0</v>
      </c>
      <c r="W588" s="82">
        <f t="shared" ca="1" si="193"/>
        <v>5718.7981307870377</v>
      </c>
      <c r="X588" s="19">
        <f t="shared" ca="1" si="194"/>
        <v>0</v>
      </c>
      <c r="Y588" s="19">
        <f t="shared" si="195"/>
        <v>0</v>
      </c>
      <c r="Z588" s="82">
        <f t="shared" ca="1" si="196"/>
        <v>5718.7981307870377</v>
      </c>
      <c r="AA588" s="19">
        <f t="shared" ca="1" si="197"/>
        <v>0</v>
      </c>
    </row>
    <row r="589" spans="1:27" ht="12.75" customHeight="1" x14ac:dyDescent="0.2">
      <c r="A589">
        <v>0</v>
      </c>
      <c r="B589">
        <v>1</v>
      </c>
      <c r="C589">
        <f t="shared" ca="1" si="176"/>
        <v>3</v>
      </c>
      <c r="D589">
        <f t="shared" ca="1" si="177"/>
        <v>2</v>
      </c>
      <c r="E589">
        <f t="shared" ca="1" si="178"/>
        <v>0</v>
      </c>
      <c r="F589" s="61">
        <f t="shared" ca="1" si="179"/>
        <v>6.142773288959999E-2</v>
      </c>
      <c r="G589">
        <v>1</v>
      </c>
      <c r="H589">
        <v>1</v>
      </c>
      <c r="I589">
        <v>6</v>
      </c>
      <c r="J589" s="61">
        <f t="shared" ca="1" si="180"/>
        <v>0</v>
      </c>
      <c r="K589" s="61">
        <f t="shared" ca="1" si="181"/>
        <v>0</v>
      </c>
      <c r="L589" s="82">
        <f t="shared" ca="1" si="182"/>
        <v>388</v>
      </c>
      <c r="M589" s="16">
        <f t="shared" ca="1" si="183"/>
        <v>612</v>
      </c>
      <c r="N589" s="3">
        <f t="shared" ca="1" si="184"/>
        <v>4</v>
      </c>
      <c r="O589" s="19">
        <f t="shared" ca="1" si="185"/>
        <v>2.3453053758100548</v>
      </c>
      <c r="P589" s="19">
        <f t="shared" ca="1" si="186"/>
        <v>23.453053758100552</v>
      </c>
      <c r="Q589" s="19">
        <f t="shared" ca="1" si="187"/>
        <v>23.453053758100552</v>
      </c>
      <c r="R589" s="19">
        <f t="shared" ca="1" si="188"/>
        <v>2.3453053758100553</v>
      </c>
      <c r="S589" s="19">
        <f t="shared" ca="1" si="189"/>
        <v>2.3453053758100548</v>
      </c>
      <c r="T589" s="19">
        <f t="shared" ca="1" si="190"/>
        <v>0</v>
      </c>
      <c r="U589" s="19">
        <f t="shared" ca="1" si="191"/>
        <v>1467.9587218163997</v>
      </c>
      <c r="V589" s="19">
        <f t="shared" ca="1" si="192"/>
        <v>0</v>
      </c>
      <c r="W589" s="82">
        <f t="shared" ca="1" si="193"/>
        <v>5232.8929007523147</v>
      </c>
      <c r="X589" s="19">
        <f t="shared" ca="1" si="194"/>
        <v>0</v>
      </c>
      <c r="Y589" s="19">
        <f t="shared" si="195"/>
        <v>0</v>
      </c>
      <c r="Z589" s="82">
        <f t="shared" ca="1" si="196"/>
        <v>5232.8929007523147</v>
      </c>
      <c r="AA589" s="19">
        <f t="shared" ca="1" si="197"/>
        <v>0</v>
      </c>
    </row>
    <row r="590" spans="1:27" ht="12.75" customHeight="1" x14ac:dyDescent="0.2">
      <c r="A590">
        <v>0</v>
      </c>
      <c r="B590">
        <v>1</v>
      </c>
      <c r="C590">
        <f t="shared" ca="1" si="176"/>
        <v>3</v>
      </c>
      <c r="D590">
        <f t="shared" ca="1" si="177"/>
        <v>2</v>
      </c>
      <c r="E590">
        <f t="shared" ca="1" si="178"/>
        <v>0</v>
      </c>
      <c r="F590" s="61">
        <f t="shared" ca="1" si="179"/>
        <v>6.142773288959999E-2</v>
      </c>
      <c r="G590">
        <v>1</v>
      </c>
      <c r="H590">
        <v>1</v>
      </c>
      <c r="I590">
        <v>5</v>
      </c>
      <c r="J590" s="61">
        <f t="shared" ca="1" si="180"/>
        <v>0</v>
      </c>
      <c r="K590" s="61">
        <f t="shared" ca="1" si="181"/>
        <v>0</v>
      </c>
      <c r="L590" s="82">
        <f t="shared" ca="1" si="182"/>
        <v>377</v>
      </c>
      <c r="M590" s="16">
        <f t="shared" ca="1" si="183"/>
        <v>623</v>
      </c>
      <c r="N590" s="3">
        <f t="shared" ca="1" si="184"/>
        <v>4</v>
      </c>
      <c r="O590" s="19">
        <f t="shared" ca="1" si="185"/>
        <v>2.3453053758100548</v>
      </c>
      <c r="P590" s="19">
        <f t="shared" ca="1" si="186"/>
        <v>23.453053758100552</v>
      </c>
      <c r="Q590" s="19">
        <f t="shared" ca="1" si="187"/>
        <v>23.453053758100552</v>
      </c>
      <c r="R590" s="19">
        <f t="shared" ca="1" si="188"/>
        <v>2.3453053758100553</v>
      </c>
      <c r="S590" s="19">
        <f t="shared" ca="1" si="189"/>
        <v>2.3453053758100548</v>
      </c>
      <c r="T590" s="19">
        <f t="shared" ca="1" si="190"/>
        <v>0</v>
      </c>
      <c r="U590" s="19">
        <f t="shared" ca="1" si="191"/>
        <v>1456.9587218163997</v>
      </c>
      <c r="V590" s="19">
        <f t="shared" ca="1" si="192"/>
        <v>0</v>
      </c>
      <c r="W590" s="82">
        <f t="shared" ca="1" si="193"/>
        <v>4746.9876707175936</v>
      </c>
      <c r="X590" s="19">
        <f t="shared" ca="1" si="194"/>
        <v>0</v>
      </c>
      <c r="Y590" s="19">
        <f t="shared" si="195"/>
        <v>0</v>
      </c>
      <c r="Z590" s="82">
        <f t="shared" ca="1" si="196"/>
        <v>4746.9876707175936</v>
      </c>
      <c r="AA590" s="19">
        <f t="shared" ca="1" si="197"/>
        <v>0</v>
      </c>
    </row>
    <row r="591" spans="1:27" ht="12.75" customHeight="1" x14ac:dyDescent="0.2">
      <c r="A591">
        <v>0</v>
      </c>
      <c r="B591">
        <v>1</v>
      </c>
      <c r="C591">
        <f t="shared" ca="1" si="176"/>
        <v>3</v>
      </c>
      <c r="D591">
        <f t="shared" ca="1" si="177"/>
        <v>2</v>
      </c>
      <c r="E591">
        <f t="shared" ca="1" si="178"/>
        <v>0</v>
      </c>
      <c r="F591" s="61">
        <f t="shared" ca="1" si="179"/>
        <v>6.142773288959999E-2</v>
      </c>
      <c r="G591">
        <v>1</v>
      </c>
      <c r="H591">
        <v>1</v>
      </c>
      <c r="I591">
        <v>4</v>
      </c>
      <c r="J591" s="61">
        <f t="shared" ca="1" si="180"/>
        <v>0</v>
      </c>
      <c r="K591" s="61">
        <f t="shared" ca="1" si="181"/>
        <v>0</v>
      </c>
      <c r="L591" s="82">
        <f t="shared" ca="1" si="182"/>
        <v>366</v>
      </c>
      <c r="M591" s="16">
        <f t="shared" ca="1" si="183"/>
        <v>634</v>
      </c>
      <c r="N591" s="3">
        <f t="shared" ca="1" si="184"/>
        <v>4</v>
      </c>
      <c r="O591" s="19">
        <f t="shared" ca="1" si="185"/>
        <v>2.3453053758100548</v>
      </c>
      <c r="P591" s="19">
        <f t="shared" ca="1" si="186"/>
        <v>23.453053758100552</v>
      </c>
      <c r="Q591" s="19">
        <f t="shared" ca="1" si="187"/>
        <v>23.453053758100552</v>
      </c>
      <c r="R591" s="19">
        <f t="shared" ca="1" si="188"/>
        <v>2.3453053758100553</v>
      </c>
      <c r="S591" s="19">
        <f t="shared" ca="1" si="189"/>
        <v>2.3453053758100548</v>
      </c>
      <c r="T591" s="19">
        <f t="shared" ca="1" si="190"/>
        <v>0</v>
      </c>
      <c r="U591" s="19">
        <f t="shared" ca="1" si="191"/>
        <v>1445.9587218163997</v>
      </c>
      <c r="V591" s="19">
        <f t="shared" ca="1" si="192"/>
        <v>0</v>
      </c>
      <c r="W591" s="82">
        <f t="shared" ca="1" si="193"/>
        <v>4261.0824406828706</v>
      </c>
      <c r="X591" s="19">
        <f t="shared" ca="1" si="194"/>
        <v>0</v>
      </c>
      <c r="Y591" s="19">
        <f t="shared" si="195"/>
        <v>0</v>
      </c>
      <c r="Z591" s="82">
        <f t="shared" ca="1" si="196"/>
        <v>4261.0824406828706</v>
      </c>
      <c r="AA591" s="19">
        <f t="shared" ca="1" si="197"/>
        <v>0</v>
      </c>
    </row>
    <row r="592" spans="1:27" ht="12.75" customHeight="1" x14ac:dyDescent="0.2">
      <c r="A592">
        <v>0</v>
      </c>
      <c r="B592">
        <v>1</v>
      </c>
      <c r="C592">
        <f t="shared" ca="1" si="176"/>
        <v>3</v>
      </c>
      <c r="D592">
        <f t="shared" ca="1" si="177"/>
        <v>2</v>
      </c>
      <c r="E592">
        <f t="shared" ca="1" si="178"/>
        <v>0</v>
      </c>
      <c r="F592" s="61">
        <f t="shared" ca="1" si="179"/>
        <v>6.142773288959999E-2</v>
      </c>
      <c r="G592">
        <v>1</v>
      </c>
      <c r="H592">
        <v>1</v>
      </c>
      <c r="I592">
        <v>3</v>
      </c>
      <c r="J592" s="61">
        <f t="shared" ca="1" si="180"/>
        <v>0</v>
      </c>
      <c r="K592" s="61">
        <f t="shared" ca="1" si="181"/>
        <v>0</v>
      </c>
      <c r="L592" s="82">
        <f t="shared" ca="1" si="182"/>
        <v>355</v>
      </c>
      <c r="M592" s="16">
        <f t="shared" ca="1" si="183"/>
        <v>645</v>
      </c>
      <c r="N592" s="3">
        <f t="shared" ca="1" si="184"/>
        <v>4</v>
      </c>
      <c r="O592" s="19">
        <f t="shared" ca="1" si="185"/>
        <v>2.3453053758100548</v>
      </c>
      <c r="P592" s="19">
        <f t="shared" ca="1" si="186"/>
        <v>23.453053758100552</v>
      </c>
      <c r="Q592" s="19">
        <f t="shared" ca="1" si="187"/>
        <v>23.453053758100552</v>
      </c>
      <c r="R592" s="19">
        <f t="shared" ca="1" si="188"/>
        <v>2.3453053758100553</v>
      </c>
      <c r="S592" s="19">
        <f t="shared" ca="1" si="189"/>
        <v>2.3453053758100548</v>
      </c>
      <c r="T592" s="19">
        <f t="shared" ca="1" si="190"/>
        <v>0</v>
      </c>
      <c r="U592" s="19">
        <f t="shared" ca="1" si="191"/>
        <v>1434.9587218163997</v>
      </c>
      <c r="V592" s="19">
        <f t="shared" ca="1" si="192"/>
        <v>0</v>
      </c>
      <c r="W592" s="82">
        <f t="shared" ca="1" si="193"/>
        <v>3775.1772106481485</v>
      </c>
      <c r="X592" s="19">
        <f t="shared" ca="1" si="194"/>
        <v>0</v>
      </c>
      <c r="Y592" s="19">
        <f t="shared" si="195"/>
        <v>0</v>
      </c>
      <c r="Z592" s="82">
        <f t="shared" ca="1" si="196"/>
        <v>3775.1772106481485</v>
      </c>
      <c r="AA592" s="19">
        <f t="shared" ca="1" si="197"/>
        <v>0</v>
      </c>
    </row>
    <row r="593" spans="1:27" ht="12.75" customHeight="1" x14ac:dyDescent="0.2">
      <c r="A593">
        <v>0</v>
      </c>
      <c r="B593">
        <v>1</v>
      </c>
      <c r="C593">
        <f t="shared" ca="1" si="176"/>
        <v>3</v>
      </c>
      <c r="D593">
        <f t="shared" ca="1" si="177"/>
        <v>2</v>
      </c>
      <c r="E593">
        <f t="shared" ca="1" si="178"/>
        <v>0</v>
      </c>
      <c r="F593" s="61">
        <f t="shared" ca="1" si="179"/>
        <v>6.142773288959999E-2</v>
      </c>
      <c r="G593">
        <v>1</v>
      </c>
      <c r="H593">
        <v>1</v>
      </c>
      <c r="I593">
        <v>2</v>
      </c>
      <c r="J593" s="61">
        <f t="shared" ca="1" si="180"/>
        <v>0</v>
      </c>
      <c r="K593" s="61">
        <f t="shared" ca="1" si="181"/>
        <v>0</v>
      </c>
      <c r="L593" s="82">
        <f t="shared" ca="1" si="182"/>
        <v>344</v>
      </c>
      <c r="M593" s="16">
        <f t="shared" ca="1" si="183"/>
        <v>656</v>
      </c>
      <c r="N593" s="3">
        <f t="shared" ca="1" si="184"/>
        <v>4</v>
      </c>
      <c r="O593" s="19">
        <f t="shared" ca="1" si="185"/>
        <v>2.3453053758100548</v>
      </c>
      <c r="P593" s="19">
        <f t="shared" ca="1" si="186"/>
        <v>23.453053758100552</v>
      </c>
      <c r="Q593" s="19">
        <f t="shared" ca="1" si="187"/>
        <v>23.453053758100552</v>
      </c>
      <c r="R593" s="19">
        <f t="shared" ca="1" si="188"/>
        <v>2.3453053758100553</v>
      </c>
      <c r="S593" s="19">
        <f t="shared" ca="1" si="189"/>
        <v>2.3453053758100548</v>
      </c>
      <c r="T593" s="19">
        <f t="shared" ca="1" si="190"/>
        <v>0</v>
      </c>
      <c r="U593" s="19">
        <f t="shared" ca="1" si="191"/>
        <v>1423.9587218163997</v>
      </c>
      <c r="V593" s="19">
        <f t="shared" ca="1" si="192"/>
        <v>0</v>
      </c>
      <c r="W593" s="82">
        <f t="shared" ca="1" si="193"/>
        <v>3289.2719806134264</v>
      </c>
      <c r="X593" s="19">
        <f t="shared" ca="1" si="194"/>
        <v>0</v>
      </c>
      <c r="Y593" s="19">
        <f t="shared" si="195"/>
        <v>0</v>
      </c>
      <c r="Z593" s="82">
        <f t="shared" ca="1" si="196"/>
        <v>3289.2719806134264</v>
      </c>
      <c r="AA593" s="19">
        <f t="shared" ca="1" si="197"/>
        <v>0</v>
      </c>
    </row>
    <row r="594" spans="1:27" ht="12.75" customHeight="1" x14ac:dyDescent="0.2">
      <c r="A594">
        <v>0</v>
      </c>
      <c r="B594">
        <v>1</v>
      </c>
      <c r="C594">
        <f t="shared" ca="1" si="176"/>
        <v>3</v>
      </c>
      <c r="D594">
        <f t="shared" ca="1" si="177"/>
        <v>2</v>
      </c>
      <c r="E594">
        <f t="shared" ca="1" si="178"/>
        <v>0</v>
      </c>
      <c r="F594" s="61">
        <f t="shared" ca="1" si="179"/>
        <v>6.142773288959999E-2</v>
      </c>
      <c r="G594">
        <v>1</v>
      </c>
      <c r="H594">
        <v>1</v>
      </c>
      <c r="I594">
        <v>1</v>
      </c>
      <c r="J594" s="61">
        <f t="shared" ca="1" si="180"/>
        <v>0</v>
      </c>
      <c r="K594" s="61">
        <f t="shared" ca="1" si="181"/>
        <v>0</v>
      </c>
      <c r="L594" s="82">
        <f t="shared" ca="1" si="182"/>
        <v>333</v>
      </c>
      <c r="M594" s="16">
        <f t="shared" ca="1" si="183"/>
        <v>667</v>
      </c>
      <c r="N594" s="3">
        <f t="shared" ca="1" si="184"/>
        <v>4</v>
      </c>
      <c r="O594" s="19">
        <f t="shared" ca="1" si="185"/>
        <v>2.3453053758100548</v>
      </c>
      <c r="P594" s="19">
        <f t="shared" ca="1" si="186"/>
        <v>23.453053758100552</v>
      </c>
      <c r="Q594" s="19">
        <f t="shared" ca="1" si="187"/>
        <v>23.453053758100552</v>
      </c>
      <c r="R594" s="19">
        <f t="shared" ca="1" si="188"/>
        <v>2.3453053758100553</v>
      </c>
      <c r="S594" s="19">
        <f t="shared" ca="1" si="189"/>
        <v>2.3453053758100548</v>
      </c>
      <c r="T594" s="19">
        <f t="shared" ca="1" si="190"/>
        <v>0</v>
      </c>
      <c r="U594" s="19">
        <f t="shared" ca="1" si="191"/>
        <v>1412.9587218163997</v>
      </c>
      <c r="V594" s="19">
        <f t="shared" ca="1" si="192"/>
        <v>0</v>
      </c>
      <c r="W594" s="82">
        <f t="shared" ca="1" si="193"/>
        <v>2803.3667505787039</v>
      </c>
      <c r="X594" s="19">
        <f t="shared" ca="1" si="194"/>
        <v>0</v>
      </c>
      <c r="Y594" s="19">
        <f t="shared" si="195"/>
        <v>0</v>
      </c>
      <c r="Z594" s="82">
        <f t="shared" ca="1" si="196"/>
        <v>2803.3667505787039</v>
      </c>
      <c r="AA594" s="19">
        <f t="shared" ca="1" si="197"/>
        <v>0</v>
      </c>
    </row>
    <row r="595" spans="1:27" ht="12.75" customHeight="1" x14ac:dyDescent="0.2">
      <c r="A595">
        <v>0</v>
      </c>
      <c r="B595">
        <v>1</v>
      </c>
      <c r="C595">
        <f t="shared" ca="1" si="176"/>
        <v>3</v>
      </c>
      <c r="D595">
        <f t="shared" ca="1" si="177"/>
        <v>2</v>
      </c>
      <c r="E595">
        <f t="shared" ca="1" si="178"/>
        <v>0</v>
      </c>
      <c r="F595" s="61">
        <f t="shared" ca="1" si="179"/>
        <v>6.142773288959999E-2</v>
      </c>
      <c r="G595">
        <v>1</v>
      </c>
      <c r="H595">
        <v>1</v>
      </c>
      <c r="I595">
        <v>0</v>
      </c>
      <c r="J595" s="61">
        <f t="shared" ca="1" si="180"/>
        <v>0</v>
      </c>
      <c r="K595" s="61">
        <f t="shared" ca="1" si="181"/>
        <v>0</v>
      </c>
      <c r="L595" s="82">
        <f t="shared" ca="1" si="182"/>
        <v>322</v>
      </c>
      <c r="M595" s="16">
        <f t="shared" ca="1" si="183"/>
        <v>678</v>
      </c>
      <c r="N595" s="3">
        <f t="shared" ca="1" si="184"/>
        <v>4</v>
      </c>
      <c r="O595" s="19">
        <f t="shared" ca="1" si="185"/>
        <v>2.3453053758100548</v>
      </c>
      <c r="P595" s="19">
        <f t="shared" ca="1" si="186"/>
        <v>23.453053758100552</v>
      </c>
      <c r="Q595" s="19">
        <f t="shared" ca="1" si="187"/>
        <v>23.453053758100552</v>
      </c>
      <c r="R595" s="19">
        <f t="shared" ca="1" si="188"/>
        <v>2.3453053758100553</v>
      </c>
      <c r="S595" s="19">
        <f t="shared" ca="1" si="189"/>
        <v>2.3453053758100548</v>
      </c>
      <c r="T595" s="19">
        <f t="shared" ca="1" si="190"/>
        <v>0</v>
      </c>
      <c r="U595" s="19">
        <f t="shared" ca="1" si="191"/>
        <v>1401.9587218163997</v>
      </c>
      <c r="V595" s="19">
        <f t="shared" ca="1" si="192"/>
        <v>0</v>
      </c>
      <c r="W595" s="82">
        <f t="shared" ca="1" si="193"/>
        <v>2317.4615205439818</v>
      </c>
      <c r="X595" s="19">
        <f t="shared" ca="1" si="194"/>
        <v>0</v>
      </c>
      <c r="Y595" s="19">
        <f t="shared" si="195"/>
        <v>0</v>
      </c>
      <c r="Z595" s="82">
        <f t="shared" ca="1" si="196"/>
        <v>2317.4615205439818</v>
      </c>
      <c r="AA595" s="19">
        <f t="shared" ca="1" si="197"/>
        <v>0</v>
      </c>
    </row>
    <row r="596" spans="1:27" ht="12.75" customHeight="1" x14ac:dyDescent="0.2">
      <c r="A596">
        <v>0</v>
      </c>
      <c r="B596">
        <v>1</v>
      </c>
      <c r="C596">
        <f t="shared" ca="1" si="176"/>
        <v>3</v>
      </c>
      <c r="D596">
        <f t="shared" ca="1" si="177"/>
        <v>2</v>
      </c>
      <c r="E596">
        <f t="shared" ca="1" si="178"/>
        <v>0</v>
      </c>
      <c r="F596" s="61">
        <f t="shared" ca="1" si="179"/>
        <v>6.142773288959999E-2</v>
      </c>
      <c r="G596">
        <v>1</v>
      </c>
      <c r="H596">
        <v>0</v>
      </c>
      <c r="I596">
        <v>7</v>
      </c>
      <c r="J596" s="61">
        <f t="shared" ca="1" si="180"/>
        <v>0</v>
      </c>
      <c r="K596" s="61">
        <f t="shared" ca="1" si="181"/>
        <v>0</v>
      </c>
      <c r="L596" s="82">
        <f t="shared" ca="1" si="182"/>
        <v>238</v>
      </c>
      <c r="M596" s="16">
        <f t="shared" ca="1" si="183"/>
        <v>762</v>
      </c>
      <c r="N596" s="3">
        <f t="shared" ca="1" si="184"/>
        <v>5</v>
      </c>
      <c r="O596" s="19">
        <f t="shared" ca="1" si="185"/>
        <v>2.8178718937399587</v>
      </c>
      <c r="P596" s="19">
        <f t="shared" ca="1" si="186"/>
        <v>25.815886347750073</v>
      </c>
      <c r="Q596" s="19">
        <f t="shared" ca="1" si="187"/>
        <v>23.453053758100552</v>
      </c>
      <c r="R596" s="19">
        <f t="shared" ca="1" si="188"/>
        <v>2.4634470052925312</v>
      </c>
      <c r="S596" s="19">
        <f t="shared" ca="1" si="189"/>
        <v>2.8178718937399587</v>
      </c>
      <c r="T596" s="19">
        <f t="shared" ca="1" si="190"/>
        <v>0</v>
      </c>
      <c r="U596" s="19">
        <f t="shared" ca="1" si="191"/>
        <v>1497.3251747165598</v>
      </c>
      <c r="V596" s="19">
        <f t="shared" ca="1" si="192"/>
        <v>0</v>
      </c>
      <c r="W596" s="82">
        <f t="shared" ca="1" si="193"/>
        <v>5718.7981307870377</v>
      </c>
      <c r="X596" s="19">
        <f t="shared" ca="1" si="194"/>
        <v>0</v>
      </c>
      <c r="Y596" s="19">
        <f t="shared" si="195"/>
        <v>0</v>
      </c>
      <c r="Z596" s="82">
        <f t="shared" ca="1" si="196"/>
        <v>5718.7981307870377</v>
      </c>
      <c r="AA596" s="19">
        <f t="shared" ca="1" si="197"/>
        <v>0</v>
      </c>
    </row>
    <row r="597" spans="1:27" ht="12.75" customHeight="1" x14ac:dyDescent="0.2">
      <c r="A597">
        <v>0</v>
      </c>
      <c r="B597">
        <v>1</v>
      </c>
      <c r="C597">
        <f t="shared" ca="1" si="176"/>
        <v>3</v>
      </c>
      <c r="D597">
        <f t="shared" ca="1" si="177"/>
        <v>2</v>
      </c>
      <c r="E597">
        <f t="shared" ca="1" si="178"/>
        <v>0</v>
      </c>
      <c r="F597" s="61">
        <f t="shared" ca="1" si="179"/>
        <v>6.142773288959999E-2</v>
      </c>
      <c r="G597">
        <v>1</v>
      </c>
      <c r="H597">
        <v>0</v>
      </c>
      <c r="I597">
        <v>6</v>
      </c>
      <c r="J597" s="61">
        <f t="shared" ca="1" si="180"/>
        <v>0</v>
      </c>
      <c r="K597" s="61">
        <f t="shared" ca="1" si="181"/>
        <v>0</v>
      </c>
      <c r="L597" s="82">
        <f t="shared" ca="1" si="182"/>
        <v>227</v>
      </c>
      <c r="M597" s="16">
        <f t="shared" ca="1" si="183"/>
        <v>773</v>
      </c>
      <c r="N597" s="3">
        <f t="shared" ca="1" si="184"/>
        <v>5</v>
      </c>
      <c r="O597" s="19">
        <f t="shared" ca="1" si="185"/>
        <v>2.8178718937399587</v>
      </c>
      <c r="P597" s="19">
        <f t="shared" ca="1" si="186"/>
        <v>28.178718937399587</v>
      </c>
      <c r="Q597" s="19">
        <f t="shared" ca="1" si="187"/>
        <v>26.288452865679979</v>
      </c>
      <c r="R597" s="19">
        <f t="shared" ca="1" si="188"/>
        <v>2.7233585901539783</v>
      </c>
      <c r="S597" s="19">
        <f t="shared" ca="1" si="189"/>
        <v>2.8178718937399587</v>
      </c>
      <c r="T597" s="19">
        <f t="shared" ca="1" si="190"/>
        <v>0</v>
      </c>
      <c r="U597" s="19">
        <f t="shared" ca="1" si="191"/>
        <v>1486.3251747165598</v>
      </c>
      <c r="V597" s="19">
        <f t="shared" ca="1" si="192"/>
        <v>0</v>
      </c>
      <c r="W597" s="82">
        <f t="shared" ca="1" si="193"/>
        <v>5232.8929007523147</v>
      </c>
      <c r="X597" s="19">
        <f t="shared" ca="1" si="194"/>
        <v>0</v>
      </c>
      <c r="Y597" s="19">
        <f t="shared" si="195"/>
        <v>0</v>
      </c>
      <c r="Z597" s="82">
        <f t="shared" ca="1" si="196"/>
        <v>5232.8929007523147</v>
      </c>
      <c r="AA597" s="19">
        <f t="shared" ca="1" si="197"/>
        <v>0</v>
      </c>
    </row>
    <row r="598" spans="1:27" ht="12.75" customHeight="1" x14ac:dyDescent="0.2">
      <c r="A598">
        <v>0</v>
      </c>
      <c r="B598">
        <v>1</v>
      </c>
      <c r="C598">
        <f t="shared" ca="1" si="176"/>
        <v>3</v>
      </c>
      <c r="D598">
        <f t="shared" ca="1" si="177"/>
        <v>2</v>
      </c>
      <c r="E598">
        <f t="shared" ca="1" si="178"/>
        <v>0</v>
      </c>
      <c r="F598" s="61">
        <f t="shared" ca="1" si="179"/>
        <v>6.142773288959999E-2</v>
      </c>
      <c r="G598">
        <v>1</v>
      </c>
      <c r="H598">
        <v>0</v>
      </c>
      <c r="I598">
        <v>5</v>
      </c>
      <c r="J598" s="61">
        <f t="shared" ca="1" si="180"/>
        <v>0</v>
      </c>
      <c r="K598" s="61">
        <f t="shared" ca="1" si="181"/>
        <v>0</v>
      </c>
      <c r="L598" s="82">
        <f t="shared" ca="1" si="182"/>
        <v>216</v>
      </c>
      <c r="M598" s="16">
        <f t="shared" ca="1" si="183"/>
        <v>784</v>
      </c>
      <c r="N598" s="3">
        <f t="shared" ca="1" si="184"/>
        <v>5</v>
      </c>
      <c r="O598" s="19">
        <f t="shared" ca="1" si="185"/>
        <v>2.8178718937399587</v>
      </c>
      <c r="P598" s="19">
        <f t="shared" ca="1" si="186"/>
        <v>28.178718937399587</v>
      </c>
      <c r="Q598" s="19">
        <f t="shared" ca="1" si="187"/>
        <v>28.178718937399587</v>
      </c>
      <c r="R598" s="19">
        <f t="shared" ca="1" si="188"/>
        <v>2.8178718937399587</v>
      </c>
      <c r="S598" s="19">
        <f t="shared" ca="1" si="189"/>
        <v>2.8178718937399587</v>
      </c>
      <c r="T598" s="19">
        <f t="shared" ca="1" si="190"/>
        <v>0</v>
      </c>
      <c r="U598" s="19">
        <f t="shared" ca="1" si="191"/>
        <v>1475.3251747165598</v>
      </c>
      <c r="V598" s="19">
        <f t="shared" ca="1" si="192"/>
        <v>0</v>
      </c>
      <c r="W598" s="82">
        <f t="shared" ca="1" si="193"/>
        <v>4746.9876707175936</v>
      </c>
      <c r="X598" s="19">
        <f t="shared" ca="1" si="194"/>
        <v>0</v>
      </c>
      <c r="Y598" s="19">
        <f t="shared" si="195"/>
        <v>0</v>
      </c>
      <c r="Z598" s="82">
        <f t="shared" ca="1" si="196"/>
        <v>4746.9876707175936</v>
      </c>
      <c r="AA598" s="19">
        <f t="shared" ca="1" si="197"/>
        <v>0</v>
      </c>
    </row>
    <row r="599" spans="1:27" ht="12.75" customHeight="1" x14ac:dyDescent="0.2">
      <c r="A599">
        <v>0</v>
      </c>
      <c r="B599">
        <v>1</v>
      </c>
      <c r="C599">
        <f t="shared" ca="1" si="176"/>
        <v>3</v>
      </c>
      <c r="D599">
        <f t="shared" ca="1" si="177"/>
        <v>2</v>
      </c>
      <c r="E599">
        <f t="shared" ca="1" si="178"/>
        <v>0</v>
      </c>
      <c r="F599" s="61">
        <f t="shared" ca="1" si="179"/>
        <v>6.142773288959999E-2</v>
      </c>
      <c r="G599">
        <v>1</v>
      </c>
      <c r="H599">
        <v>0</v>
      </c>
      <c r="I599">
        <v>4</v>
      </c>
      <c r="J599" s="61">
        <f t="shared" ca="1" si="180"/>
        <v>0</v>
      </c>
      <c r="K599" s="61">
        <f t="shared" ca="1" si="181"/>
        <v>0</v>
      </c>
      <c r="L599" s="82">
        <f t="shared" ca="1" si="182"/>
        <v>205</v>
      </c>
      <c r="M599" s="16">
        <f t="shared" ca="1" si="183"/>
        <v>795</v>
      </c>
      <c r="N599" s="3">
        <f t="shared" ca="1" si="184"/>
        <v>5</v>
      </c>
      <c r="O599" s="19">
        <f t="shared" ca="1" si="185"/>
        <v>2.8178718937399587</v>
      </c>
      <c r="P599" s="19">
        <f t="shared" ca="1" si="186"/>
        <v>28.178718937399587</v>
      </c>
      <c r="Q599" s="19">
        <f t="shared" ca="1" si="187"/>
        <v>28.178718937399587</v>
      </c>
      <c r="R599" s="19">
        <f t="shared" ca="1" si="188"/>
        <v>2.8178718937399587</v>
      </c>
      <c r="S599" s="19">
        <f t="shared" ca="1" si="189"/>
        <v>2.8178718937399587</v>
      </c>
      <c r="T599" s="19">
        <f t="shared" ca="1" si="190"/>
        <v>0</v>
      </c>
      <c r="U599" s="19">
        <f t="shared" ca="1" si="191"/>
        <v>1464.3251747165598</v>
      </c>
      <c r="V599" s="19">
        <f t="shared" ca="1" si="192"/>
        <v>0</v>
      </c>
      <c r="W599" s="82">
        <f t="shared" ca="1" si="193"/>
        <v>4261.0824406828706</v>
      </c>
      <c r="X599" s="19">
        <f t="shared" ca="1" si="194"/>
        <v>0</v>
      </c>
      <c r="Y599" s="19">
        <f t="shared" si="195"/>
        <v>0</v>
      </c>
      <c r="Z599" s="82">
        <f t="shared" ca="1" si="196"/>
        <v>4261.0824406828706</v>
      </c>
      <c r="AA599" s="19">
        <f t="shared" ca="1" si="197"/>
        <v>0</v>
      </c>
    </row>
    <row r="600" spans="1:27" ht="12.75" customHeight="1" x14ac:dyDescent="0.2">
      <c r="A600">
        <v>0</v>
      </c>
      <c r="B600">
        <v>1</v>
      </c>
      <c r="C600">
        <f t="shared" ca="1" si="176"/>
        <v>3</v>
      </c>
      <c r="D600">
        <f t="shared" ca="1" si="177"/>
        <v>2</v>
      </c>
      <c r="E600">
        <f t="shared" ca="1" si="178"/>
        <v>0</v>
      </c>
      <c r="F600" s="61">
        <f t="shared" ca="1" si="179"/>
        <v>6.142773288959999E-2</v>
      </c>
      <c r="G600">
        <v>1</v>
      </c>
      <c r="H600">
        <v>0</v>
      </c>
      <c r="I600">
        <v>3</v>
      </c>
      <c r="J600" s="61">
        <f t="shared" ca="1" si="180"/>
        <v>0</v>
      </c>
      <c r="K600" s="61">
        <f t="shared" ca="1" si="181"/>
        <v>0</v>
      </c>
      <c r="L600" s="82">
        <f t="shared" ca="1" si="182"/>
        <v>194</v>
      </c>
      <c r="M600" s="16">
        <f t="shared" ca="1" si="183"/>
        <v>806</v>
      </c>
      <c r="N600" s="3">
        <f t="shared" ca="1" si="184"/>
        <v>5</v>
      </c>
      <c r="O600" s="19">
        <f t="shared" ca="1" si="185"/>
        <v>2.8178718937399587</v>
      </c>
      <c r="P600" s="19">
        <f t="shared" ca="1" si="186"/>
        <v>28.178718937399587</v>
      </c>
      <c r="Q600" s="19">
        <f t="shared" ca="1" si="187"/>
        <v>28.178718937399587</v>
      </c>
      <c r="R600" s="19">
        <f t="shared" ca="1" si="188"/>
        <v>2.8178718937399587</v>
      </c>
      <c r="S600" s="19">
        <f t="shared" ca="1" si="189"/>
        <v>2.8178718937399587</v>
      </c>
      <c r="T600" s="19">
        <f t="shared" ca="1" si="190"/>
        <v>0</v>
      </c>
      <c r="U600" s="19">
        <f t="shared" ca="1" si="191"/>
        <v>1453.3251747165598</v>
      </c>
      <c r="V600" s="19">
        <f t="shared" ca="1" si="192"/>
        <v>0</v>
      </c>
      <c r="W600" s="82">
        <f t="shared" ca="1" si="193"/>
        <v>3775.1772106481485</v>
      </c>
      <c r="X600" s="19">
        <f t="shared" ca="1" si="194"/>
        <v>0</v>
      </c>
      <c r="Y600" s="19">
        <f t="shared" si="195"/>
        <v>0</v>
      </c>
      <c r="Z600" s="82">
        <f t="shared" ca="1" si="196"/>
        <v>3775.1772106481485</v>
      </c>
      <c r="AA600" s="19">
        <f t="shared" ca="1" si="197"/>
        <v>0</v>
      </c>
    </row>
    <row r="601" spans="1:27" ht="12.75" customHeight="1" x14ac:dyDescent="0.2">
      <c r="A601">
        <v>0</v>
      </c>
      <c r="B601">
        <v>1</v>
      </c>
      <c r="C601">
        <f t="shared" ca="1" si="176"/>
        <v>3</v>
      </c>
      <c r="D601">
        <f t="shared" ca="1" si="177"/>
        <v>2</v>
      </c>
      <c r="E601">
        <f t="shared" ca="1" si="178"/>
        <v>0</v>
      </c>
      <c r="F601" s="61">
        <f t="shared" ca="1" si="179"/>
        <v>6.142773288959999E-2</v>
      </c>
      <c r="G601">
        <v>1</v>
      </c>
      <c r="H601">
        <v>0</v>
      </c>
      <c r="I601">
        <v>2</v>
      </c>
      <c r="J601" s="61">
        <f t="shared" ca="1" si="180"/>
        <v>0.85737499999999989</v>
      </c>
      <c r="K601" s="61">
        <f t="shared" ca="1" si="181"/>
        <v>5.2666602486220786E-2</v>
      </c>
      <c r="L601" s="82">
        <f t="shared" ca="1" si="182"/>
        <v>183</v>
      </c>
      <c r="M601" s="16">
        <f t="shared" ca="1" si="183"/>
        <v>817</v>
      </c>
      <c r="N601" s="3">
        <f t="shared" ca="1" si="184"/>
        <v>5</v>
      </c>
      <c r="O601" s="19">
        <f t="shared" ca="1" si="185"/>
        <v>2.8178718937399587</v>
      </c>
      <c r="P601" s="19">
        <f t="shared" ca="1" si="186"/>
        <v>28.178718937399587</v>
      </c>
      <c r="Q601" s="19">
        <f t="shared" ca="1" si="187"/>
        <v>28.178718937399587</v>
      </c>
      <c r="R601" s="19">
        <f t="shared" ca="1" si="188"/>
        <v>2.8178718937399587</v>
      </c>
      <c r="S601" s="19">
        <f t="shared" ca="1" si="189"/>
        <v>2.8178718937399587</v>
      </c>
      <c r="T601" s="19">
        <f t="shared" ca="1" si="190"/>
        <v>0.14840773888469658</v>
      </c>
      <c r="U601" s="19">
        <f t="shared" ca="1" si="191"/>
        <v>1442.3251747165598</v>
      </c>
      <c r="V601" s="19">
        <f t="shared" ca="1" si="192"/>
        <v>75.96236663266599</v>
      </c>
      <c r="W601" s="82">
        <f t="shared" ca="1" si="193"/>
        <v>3289.2719806134264</v>
      </c>
      <c r="X601" s="19">
        <f t="shared" ca="1" si="194"/>
        <v>173.23477987203145</v>
      </c>
      <c r="Y601" s="19">
        <f t="shared" si="195"/>
        <v>0</v>
      </c>
      <c r="Z601" s="82">
        <f t="shared" ca="1" si="196"/>
        <v>3289.2719806134264</v>
      </c>
      <c r="AA601" s="19">
        <f t="shared" ca="1" si="197"/>
        <v>173.23477987203145</v>
      </c>
    </row>
    <row r="602" spans="1:27" ht="12.75" customHeight="1" x14ac:dyDescent="0.2">
      <c r="A602">
        <v>0</v>
      </c>
      <c r="B602">
        <v>1</v>
      </c>
      <c r="C602">
        <f t="shared" ca="1" si="176"/>
        <v>3</v>
      </c>
      <c r="D602">
        <f t="shared" ca="1" si="177"/>
        <v>2</v>
      </c>
      <c r="E602">
        <f t="shared" ca="1" si="178"/>
        <v>0</v>
      </c>
      <c r="F602" s="61">
        <f t="shared" ca="1" si="179"/>
        <v>6.142773288959999E-2</v>
      </c>
      <c r="G602">
        <v>1</v>
      </c>
      <c r="H602">
        <v>0</v>
      </c>
      <c r="I602">
        <v>1</v>
      </c>
      <c r="J602" s="61">
        <f t="shared" ca="1" si="180"/>
        <v>9.025000000000008E-2</v>
      </c>
      <c r="K602" s="61">
        <f t="shared" ca="1" si="181"/>
        <v>5.5438528932864042E-3</v>
      </c>
      <c r="L602" s="82">
        <f t="shared" ca="1" si="182"/>
        <v>172</v>
      </c>
      <c r="M602" s="16">
        <f t="shared" ca="1" si="183"/>
        <v>828</v>
      </c>
      <c r="N602" s="3">
        <f t="shared" ca="1" si="184"/>
        <v>5</v>
      </c>
      <c r="O602" s="19">
        <f t="shared" ca="1" si="185"/>
        <v>2.8178718937399587</v>
      </c>
      <c r="P602" s="19">
        <f t="shared" ca="1" si="186"/>
        <v>28.178718937399587</v>
      </c>
      <c r="Q602" s="19">
        <f t="shared" ca="1" si="187"/>
        <v>28.178718937399587</v>
      </c>
      <c r="R602" s="19">
        <f t="shared" ca="1" si="188"/>
        <v>2.8178718937399587</v>
      </c>
      <c r="S602" s="19">
        <f t="shared" ca="1" si="189"/>
        <v>2.8178718937399587</v>
      </c>
      <c r="T602" s="19">
        <f t="shared" ca="1" si="190"/>
        <v>1.5621867251020709E-2</v>
      </c>
      <c r="U602" s="19">
        <f t="shared" ca="1" si="191"/>
        <v>1431.3251747165598</v>
      </c>
      <c r="V602" s="19">
        <f t="shared" ca="1" si="192"/>
        <v>7.9350562110860681</v>
      </c>
      <c r="W602" s="82">
        <f t="shared" ca="1" si="193"/>
        <v>2803.3667505787039</v>
      </c>
      <c r="X602" s="19">
        <f t="shared" ca="1" si="194"/>
        <v>15.541452871138652</v>
      </c>
      <c r="Y602" s="19">
        <f t="shared" si="195"/>
        <v>0</v>
      </c>
      <c r="Z602" s="82">
        <f t="shared" ca="1" si="196"/>
        <v>2803.3667505787039</v>
      </c>
      <c r="AA602" s="19">
        <f t="shared" ca="1" si="197"/>
        <v>15.541452871138652</v>
      </c>
    </row>
    <row r="603" spans="1:27" ht="12.75" customHeight="1" x14ac:dyDescent="0.2">
      <c r="A603">
        <v>0</v>
      </c>
      <c r="B603">
        <v>1</v>
      </c>
      <c r="C603">
        <f t="shared" ca="1" si="176"/>
        <v>3</v>
      </c>
      <c r="D603">
        <f t="shared" ca="1" si="177"/>
        <v>2</v>
      </c>
      <c r="E603">
        <f t="shared" ca="1" si="178"/>
        <v>0</v>
      </c>
      <c r="F603" s="61">
        <f t="shared" ca="1" si="179"/>
        <v>6.142773288959999E-2</v>
      </c>
      <c r="G603">
        <v>1</v>
      </c>
      <c r="H603">
        <v>0</v>
      </c>
      <c r="I603">
        <v>0</v>
      </c>
      <c r="J603" s="61">
        <f t="shared" ca="1" si="180"/>
        <v>2.3750000000000038E-3</v>
      </c>
      <c r="K603" s="61">
        <f t="shared" ca="1" si="181"/>
        <v>1.4589086561280022E-4</v>
      </c>
      <c r="L603" s="82">
        <f t="shared" ca="1" si="182"/>
        <v>161</v>
      </c>
      <c r="M603" s="16">
        <f t="shared" ca="1" si="183"/>
        <v>839</v>
      </c>
      <c r="N603" s="3">
        <f t="shared" ca="1" si="184"/>
        <v>5</v>
      </c>
      <c r="O603" s="19">
        <f t="shared" ca="1" si="185"/>
        <v>2.8178718937399587</v>
      </c>
      <c r="P603" s="19">
        <f t="shared" ca="1" si="186"/>
        <v>28.178718937399587</v>
      </c>
      <c r="Q603" s="19">
        <f t="shared" ca="1" si="187"/>
        <v>28.178718937399587</v>
      </c>
      <c r="R603" s="19">
        <f t="shared" ca="1" si="188"/>
        <v>2.8178718937399587</v>
      </c>
      <c r="S603" s="19">
        <f t="shared" ca="1" si="189"/>
        <v>2.8178718937399587</v>
      </c>
      <c r="T603" s="19">
        <f t="shared" ca="1" si="190"/>
        <v>4.1110176976370317E-4</v>
      </c>
      <c r="U603" s="19">
        <f t="shared" ca="1" si="191"/>
        <v>1420.3251747165598</v>
      </c>
      <c r="V603" s="19">
        <f t="shared" ca="1" si="192"/>
        <v>0.2072124691910506</v>
      </c>
      <c r="W603" s="82">
        <f t="shared" ca="1" si="193"/>
        <v>2317.4615205439818</v>
      </c>
      <c r="X603" s="19">
        <f t="shared" ca="1" si="194"/>
        <v>0.33809646725651771</v>
      </c>
      <c r="Y603" s="19">
        <f t="shared" si="195"/>
        <v>0</v>
      </c>
      <c r="Z603" s="82">
        <f t="shared" ca="1" si="196"/>
        <v>2317.4615205439818</v>
      </c>
      <c r="AA603" s="19">
        <f t="shared" ca="1" si="197"/>
        <v>0.33809646725651771</v>
      </c>
    </row>
    <row r="604" spans="1:27" ht="12.75" customHeight="1" x14ac:dyDescent="0.2">
      <c r="A604">
        <v>0</v>
      </c>
      <c r="B604">
        <v>1</v>
      </c>
      <c r="C604">
        <f t="shared" ca="1" si="176"/>
        <v>3</v>
      </c>
      <c r="D604">
        <f t="shared" ca="1" si="177"/>
        <v>2</v>
      </c>
      <c r="E604">
        <f t="shared" ca="1" si="178"/>
        <v>0</v>
      </c>
      <c r="F604" s="61">
        <f t="shared" ca="1" si="179"/>
        <v>6.142773288959999E-2</v>
      </c>
      <c r="G604">
        <v>0</v>
      </c>
      <c r="H604">
        <v>1</v>
      </c>
      <c r="I604">
        <v>7</v>
      </c>
      <c r="J604" s="61">
        <f t="shared" ca="1" si="180"/>
        <v>0</v>
      </c>
      <c r="K604" s="61">
        <f t="shared" ca="1" si="181"/>
        <v>0</v>
      </c>
      <c r="L604" s="82">
        <f t="shared" ca="1" si="182"/>
        <v>238</v>
      </c>
      <c r="M604" s="16">
        <f t="shared" ca="1" si="183"/>
        <v>762</v>
      </c>
      <c r="N604" s="3">
        <f t="shared" ca="1" si="184"/>
        <v>5</v>
      </c>
      <c r="O604" s="19">
        <f t="shared" ca="1" si="185"/>
        <v>2.8178718937399587</v>
      </c>
      <c r="P604" s="19">
        <f t="shared" ca="1" si="186"/>
        <v>25.815886347750073</v>
      </c>
      <c r="Q604" s="19">
        <f t="shared" ca="1" si="187"/>
        <v>23.453053758100552</v>
      </c>
      <c r="R604" s="19">
        <f t="shared" ca="1" si="188"/>
        <v>2.4634470052925312</v>
      </c>
      <c r="S604" s="19">
        <f t="shared" ca="1" si="189"/>
        <v>2.8178718937399587</v>
      </c>
      <c r="T604" s="19">
        <f t="shared" ca="1" si="190"/>
        <v>0</v>
      </c>
      <c r="U604" s="19">
        <f t="shared" ca="1" si="191"/>
        <v>1497.3251747165598</v>
      </c>
      <c r="V604" s="19">
        <f t="shared" ca="1" si="192"/>
        <v>0</v>
      </c>
      <c r="W604" s="82">
        <f t="shared" ca="1" si="193"/>
        <v>3401.3366102430559</v>
      </c>
      <c r="X604" s="19">
        <f t="shared" ca="1" si="194"/>
        <v>0</v>
      </c>
      <c r="Y604" s="19">
        <f t="shared" si="195"/>
        <v>0</v>
      </c>
      <c r="Z604" s="82">
        <f t="shared" ca="1" si="196"/>
        <v>3401.3366102430559</v>
      </c>
      <c r="AA604" s="19">
        <f t="shared" ca="1" si="197"/>
        <v>0</v>
      </c>
    </row>
    <row r="605" spans="1:27" ht="12.75" customHeight="1" x14ac:dyDescent="0.2">
      <c r="A605">
        <v>0</v>
      </c>
      <c r="B605">
        <v>1</v>
      </c>
      <c r="C605">
        <f t="shared" ca="1" si="176"/>
        <v>3</v>
      </c>
      <c r="D605">
        <f t="shared" ca="1" si="177"/>
        <v>2</v>
      </c>
      <c r="E605">
        <f t="shared" ca="1" si="178"/>
        <v>0</v>
      </c>
      <c r="F605" s="61">
        <f t="shared" ca="1" si="179"/>
        <v>6.142773288959999E-2</v>
      </c>
      <c r="G605">
        <v>0</v>
      </c>
      <c r="H605">
        <v>1</v>
      </c>
      <c r="I605">
        <v>6</v>
      </c>
      <c r="J605" s="61">
        <f t="shared" ca="1" si="180"/>
        <v>0</v>
      </c>
      <c r="K605" s="61">
        <f t="shared" ca="1" si="181"/>
        <v>0</v>
      </c>
      <c r="L605" s="82">
        <f t="shared" ca="1" si="182"/>
        <v>227</v>
      </c>
      <c r="M605" s="16">
        <f t="shared" ca="1" si="183"/>
        <v>773</v>
      </c>
      <c r="N605" s="3">
        <f t="shared" ca="1" si="184"/>
        <v>5</v>
      </c>
      <c r="O605" s="19">
        <f t="shared" ca="1" si="185"/>
        <v>2.8178718937399587</v>
      </c>
      <c r="P605" s="19">
        <f t="shared" ca="1" si="186"/>
        <v>28.178718937399587</v>
      </c>
      <c r="Q605" s="19">
        <f t="shared" ca="1" si="187"/>
        <v>26.288452865679979</v>
      </c>
      <c r="R605" s="19">
        <f t="shared" ca="1" si="188"/>
        <v>2.7233585901539783</v>
      </c>
      <c r="S605" s="19">
        <f t="shared" ca="1" si="189"/>
        <v>2.8178718937399587</v>
      </c>
      <c r="T605" s="19">
        <f t="shared" ca="1" si="190"/>
        <v>0</v>
      </c>
      <c r="U605" s="19">
        <f t="shared" ca="1" si="191"/>
        <v>1486.3251747165598</v>
      </c>
      <c r="V605" s="19">
        <f t="shared" ca="1" si="192"/>
        <v>0</v>
      </c>
      <c r="W605" s="82">
        <f t="shared" ca="1" si="193"/>
        <v>2915.4313802083334</v>
      </c>
      <c r="X605" s="19">
        <f t="shared" ca="1" si="194"/>
        <v>0</v>
      </c>
      <c r="Y605" s="19">
        <f t="shared" si="195"/>
        <v>0</v>
      </c>
      <c r="Z605" s="82">
        <f t="shared" ca="1" si="196"/>
        <v>2915.4313802083334</v>
      </c>
      <c r="AA605" s="19">
        <f t="shared" ca="1" si="197"/>
        <v>0</v>
      </c>
    </row>
    <row r="606" spans="1:27" ht="12.75" customHeight="1" x14ac:dyDescent="0.2">
      <c r="A606">
        <v>0</v>
      </c>
      <c r="B606">
        <v>1</v>
      </c>
      <c r="C606">
        <f t="shared" ca="1" si="176"/>
        <v>3</v>
      </c>
      <c r="D606">
        <f t="shared" ca="1" si="177"/>
        <v>2</v>
      </c>
      <c r="E606">
        <f t="shared" ca="1" si="178"/>
        <v>0</v>
      </c>
      <c r="F606" s="61">
        <f t="shared" ca="1" si="179"/>
        <v>6.142773288959999E-2</v>
      </c>
      <c r="G606">
        <v>0</v>
      </c>
      <c r="H606">
        <v>1</v>
      </c>
      <c r="I606">
        <v>5</v>
      </c>
      <c r="J606" s="61">
        <f t="shared" ca="1" si="180"/>
        <v>0</v>
      </c>
      <c r="K606" s="61">
        <f t="shared" ca="1" si="181"/>
        <v>0</v>
      </c>
      <c r="L606" s="82">
        <f t="shared" ca="1" si="182"/>
        <v>216</v>
      </c>
      <c r="M606" s="16">
        <f t="shared" ca="1" si="183"/>
        <v>784</v>
      </c>
      <c r="N606" s="3">
        <f t="shared" ca="1" si="184"/>
        <v>5</v>
      </c>
      <c r="O606" s="19">
        <f t="shared" ca="1" si="185"/>
        <v>2.8178718937399587</v>
      </c>
      <c r="P606" s="19">
        <f t="shared" ca="1" si="186"/>
        <v>28.178718937399587</v>
      </c>
      <c r="Q606" s="19">
        <f t="shared" ca="1" si="187"/>
        <v>28.178718937399587</v>
      </c>
      <c r="R606" s="19">
        <f t="shared" ca="1" si="188"/>
        <v>2.8178718937399587</v>
      </c>
      <c r="S606" s="19">
        <f t="shared" ca="1" si="189"/>
        <v>2.8178718937399587</v>
      </c>
      <c r="T606" s="19">
        <f t="shared" ca="1" si="190"/>
        <v>0</v>
      </c>
      <c r="U606" s="19">
        <f t="shared" ca="1" si="191"/>
        <v>1475.3251747165598</v>
      </c>
      <c r="V606" s="19">
        <f t="shared" ca="1" si="192"/>
        <v>0</v>
      </c>
      <c r="W606" s="82">
        <f t="shared" ca="1" si="193"/>
        <v>2429.5261501736113</v>
      </c>
      <c r="X606" s="19">
        <f t="shared" ca="1" si="194"/>
        <v>0</v>
      </c>
      <c r="Y606" s="19">
        <f t="shared" si="195"/>
        <v>0</v>
      </c>
      <c r="Z606" s="82">
        <f t="shared" ca="1" si="196"/>
        <v>2429.5261501736113</v>
      </c>
      <c r="AA606" s="19">
        <f t="shared" ca="1" si="197"/>
        <v>0</v>
      </c>
    </row>
    <row r="607" spans="1:27" ht="12.75" customHeight="1" x14ac:dyDescent="0.2">
      <c r="A607">
        <v>0</v>
      </c>
      <c r="B607">
        <v>1</v>
      </c>
      <c r="C607">
        <f t="shared" ca="1" si="176"/>
        <v>3</v>
      </c>
      <c r="D607">
        <f t="shared" ca="1" si="177"/>
        <v>2</v>
      </c>
      <c r="E607">
        <f t="shared" ca="1" si="178"/>
        <v>0</v>
      </c>
      <c r="F607" s="61">
        <f t="shared" ca="1" si="179"/>
        <v>6.142773288959999E-2</v>
      </c>
      <c r="G607">
        <v>0</v>
      </c>
      <c r="H607">
        <v>1</v>
      </c>
      <c r="I607">
        <v>4</v>
      </c>
      <c r="J607" s="61">
        <f t="shared" ca="1" si="180"/>
        <v>0</v>
      </c>
      <c r="K607" s="61">
        <f t="shared" ca="1" si="181"/>
        <v>0</v>
      </c>
      <c r="L607" s="82">
        <f t="shared" ca="1" si="182"/>
        <v>205</v>
      </c>
      <c r="M607" s="16">
        <f t="shared" ca="1" si="183"/>
        <v>795</v>
      </c>
      <c r="N607" s="3">
        <f t="shared" ca="1" si="184"/>
        <v>5</v>
      </c>
      <c r="O607" s="19">
        <f t="shared" ca="1" si="185"/>
        <v>2.8178718937399587</v>
      </c>
      <c r="P607" s="19">
        <f t="shared" ca="1" si="186"/>
        <v>28.178718937399587</v>
      </c>
      <c r="Q607" s="19">
        <f t="shared" ca="1" si="187"/>
        <v>28.178718937399587</v>
      </c>
      <c r="R607" s="19">
        <f t="shared" ca="1" si="188"/>
        <v>2.8178718937399587</v>
      </c>
      <c r="S607" s="19">
        <f t="shared" ca="1" si="189"/>
        <v>2.8178718937399587</v>
      </c>
      <c r="T607" s="19">
        <f t="shared" ca="1" si="190"/>
        <v>0</v>
      </c>
      <c r="U607" s="19">
        <f t="shared" ca="1" si="191"/>
        <v>1464.3251747165598</v>
      </c>
      <c r="V607" s="19">
        <f t="shared" ca="1" si="192"/>
        <v>0</v>
      </c>
      <c r="W607" s="82">
        <f t="shared" ca="1" si="193"/>
        <v>1943.620920138889</v>
      </c>
      <c r="X607" s="19">
        <f t="shared" ca="1" si="194"/>
        <v>0</v>
      </c>
      <c r="Y607" s="19">
        <f t="shared" si="195"/>
        <v>0</v>
      </c>
      <c r="Z607" s="82">
        <f t="shared" ca="1" si="196"/>
        <v>1943.620920138889</v>
      </c>
      <c r="AA607" s="19">
        <f t="shared" ca="1" si="197"/>
        <v>0</v>
      </c>
    </row>
    <row r="608" spans="1:27" ht="12.75" customHeight="1" x14ac:dyDescent="0.2">
      <c r="A608">
        <v>0</v>
      </c>
      <c r="B608">
        <v>1</v>
      </c>
      <c r="C608">
        <f t="shared" ca="1" si="176"/>
        <v>3</v>
      </c>
      <c r="D608">
        <f t="shared" ca="1" si="177"/>
        <v>2</v>
      </c>
      <c r="E608">
        <f t="shared" ca="1" si="178"/>
        <v>0</v>
      </c>
      <c r="F608" s="61">
        <f t="shared" ca="1" si="179"/>
        <v>6.142773288959999E-2</v>
      </c>
      <c r="G608">
        <v>0</v>
      </c>
      <c r="H608">
        <v>1</v>
      </c>
      <c r="I608">
        <v>3</v>
      </c>
      <c r="J608" s="61">
        <f t="shared" ca="1" si="180"/>
        <v>0</v>
      </c>
      <c r="K608" s="61">
        <f t="shared" ca="1" si="181"/>
        <v>0</v>
      </c>
      <c r="L608" s="82">
        <f t="shared" ca="1" si="182"/>
        <v>194</v>
      </c>
      <c r="M608" s="16">
        <f t="shared" ca="1" si="183"/>
        <v>806</v>
      </c>
      <c r="N608" s="3">
        <f t="shared" ca="1" si="184"/>
        <v>5</v>
      </c>
      <c r="O608" s="19">
        <f t="shared" ca="1" si="185"/>
        <v>2.8178718937399587</v>
      </c>
      <c r="P608" s="19">
        <f t="shared" ca="1" si="186"/>
        <v>28.178718937399587</v>
      </c>
      <c r="Q608" s="19">
        <f t="shared" ca="1" si="187"/>
        <v>28.178718937399587</v>
      </c>
      <c r="R608" s="19">
        <f t="shared" ca="1" si="188"/>
        <v>2.8178718937399587</v>
      </c>
      <c r="S608" s="19">
        <f t="shared" ca="1" si="189"/>
        <v>2.8178718937399587</v>
      </c>
      <c r="T608" s="19">
        <f t="shared" ca="1" si="190"/>
        <v>0</v>
      </c>
      <c r="U608" s="19">
        <f t="shared" ca="1" si="191"/>
        <v>1453.3251747165598</v>
      </c>
      <c r="V608" s="19">
        <f t="shared" ca="1" si="192"/>
        <v>0</v>
      </c>
      <c r="W608" s="82">
        <f t="shared" ca="1" si="193"/>
        <v>1457.7156901041667</v>
      </c>
      <c r="X608" s="19">
        <f t="shared" ca="1" si="194"/>
        <v>0</v>
      </c>
      <c r="Y608" s="19">
        <f t="shared" si="195"/>
        <v>0</v>
      </c>
      <c r="Z608" s="82">
        <f t="shared" ca="1" si="196"/>
        <v>1457.7156901041667</v>
      </c>
      <c r="AA608" s="19">
        <f t="shared" ca="1" si="197"/>
        <v>0</v>
      </c>
    </row>
    <row r="609" spans="1:27" ht="12.75" customHeight="1" x14ac:dyDescent="0.2">
      <c r="A609">
        <v>0</v>
      </c>
      <c r="B609">
        <v>1</v>
      </c>
      <c r="C609">
        <f t="shared" ca="1" si="176"/>
        <v>3</v>
      </c>
      <c r="D609">
        <f t="shared" ca="1" si="177"/>
        <v>2</v>
      </c>
      <c r="E609">
        <f t="shared" ca="1" si="178"/>
        <v>0</v>
      </c>
      <c r="F609" s="61">
        <f t="shared" ca="1" si="179"/>
        <v>6.142773288959999E-2</v>
      </c>
      <c r="G609">
        <v>0</v>
      </c>
      <c r="H609">
        <v>1</v>
      </c>
      <c r="I609">
        <v>2</v>
      </c>
      <c r="J609" s="61">
        <f t="shared" ca="1" si="180"/>
        <v>0</v>
      </c>
      <c r="K609" s="61">
        <f t="shared" ca="1" si="181"/>
        <v>0</v>
      </c>
      <c r="L609" s="82">
        <f t="shared" ca="1" si="182"/>
        <v>183</v>
      </c>
      <c r="M609" s="16">
        <f t="shared" ca="1" si="183"/>
        <v>817</v>
      </c>
      <c r="N609" s="3">
        <f t="shared" ca="1" si="184"/>
        <v>5</v>
      </c>
      <c r="O609" s="19">
        <f t="shared" ca="1" si="185"/>
        <v>2.8178718937399587</v>
      </c>
      <c r="P609" s="19">
        <f t="shared" ca="1" si="186"/>
        <v>28.178718937399587</v>
      </c>
      <c r="Q609" s="19">
        <f t="shared" ca="1" si="187"/>
        <v>28.178718937399587</v>
      </c>
      <c r="R609" s="19">
        <f t="shared" ca="1" si="188"/>
        <v>2.8178718937399587</v>
      </c>
      <c r="S609" s="19">
        <f t="shared" ca="1" si="189"/>
        <v>2.8178718937399587</v>
      </c>
      <c r="T609" s="19">
        <f t="shared" ca="1" si="190"/>
        <v>0</v>
      </c>
      <c r="U609" s="19">
        <f t="shared" ca="1" si="191"/>
        <v>1442.3251747165598</v>
      </c>
      <c r="V609" s="19">
        <f t="shared" ca="1" si="192"/>
        <v>0</v>
      </c>
      <c r="W609" s="82">
        <f t="shared" ca="1" si="193"/>
        <v>971.8104600694445</v>
      </c>
      <c r="X609" s="19">
        <f t="shared" ca="1" si="194"/>
        <v>0</v>
      </c>
      <c r="Y609" s="19">
        <f t="shared" si="195"/>
        <v>0</v>
      </c>
      <c r="Z609" s="82">
        <f t="shared" ca="1" si="196"/>
        <v>971.8104600694445</v>
      </c>
      <c r="AA609" s="19">
        <f t="shared" ca="1" si="197"/>
        <v>0</v>
      </c>
    </row>
    <row r="610" spans="1:27" ht="12.75" customHeight="1" x14ac:dyDescent="0.2">
      <c r="A610">
        <v>0</v>
      </c>
      <c r="B610">
        <v>1</v>
      </c>
      <c r="C610">
        <f t="shared" ca="1" si="176"/>
        <v>3</v>
      </c>
      <c r="D610">
        <f t="shared" ca="1" si="177"/>
        <v>2</v>
      </c>
      <c r="E610">
        <f t="shared" ca="1" si="178"/>
        <v>0</v>
      </c>
      <c r="F610" s="61">
        <f t="shared" ca="1" si="179"/>
        <v>6.142773288959999E-2</v>
      </c>
      <c r="G610">
        <v>0</v>
      </c>
      <c r="H610">
        <v>1</v>
      </c>
      <c r="I610">
        <v>1</v>
      </c>
      <c r="J610" s="61">
        <f t="shared" ca="1" si="180"/>
        <v>0</v>
      </c>
      <c r="K610" s="61">
        <f t="shared" ca="1" si="181"/>
        <v>0</v>
      </c>
      <c r="L610" s="82">
        <f t="shared" ca="1" si="182"/>
        <v>172</v>
      </c>
      <c r="M610" s="16">
        <f t="shared" ca="1" si="183"/>
        <v>828</v>
      </c>
      <c r="N610" s="3">
        <f t="shared" ca="1" si="184"/>
        <v>5</v>
      </c>
      <c r="O610" s="19">
        <f t="shared" ca="1" si="185"/>
        <v>2.8178718937399587</v>
      </c>
      <c r="P610" s="19">
        <f t="shared" ca="1" si="186"/>
        <v>28.178718937399587</v>
      </c>
      <c r="Q610" s="19">
        <f t="shared" ca="1" si="187"/>
        <v>28.178718937399587</v>
      </c>
      <c r="R610" s="19">
        <f t="shared" ca="1" si="188"/>
        <v>2.8178718937399587</v>
      </c>
      <c r="S610" s="19">
        <f t="shared" ca="1" si="189"/>
        <v>2.8178718937399587</v>
      </c>
      <c r="T610" s="19">
        <f t="shared" ca="1" si="190"/>
        <v>0</v>
      </c>
      <c r="U610" s="19">
        <f t="shared" ca="1" si="191"/>
        <v>1431.3251747165598</v>
      </c>
      <c r="V610" s="19">
        <f t="shared" ca="1" si="192"/>
        <v>0</v>
      </c>
      <c r="W610" s="82">
        <f t="shared" ca="1" si="193"/>
        <v>485.90523003472225</v>
      </c>
      <c r="X610" s="19">
        <f t="shared" ca="1" si="194"/>
        <v>0</v>
      </c>
      <c r="Y610" s="19">
        <f t="shared" si="195"/>
        <v>0</v>
      </c>
      <c r="Z610" s="82">
        <f t="shared" ca="1" si="196"/>
        <v>485.90523003472225</v>
      </c>
      <c r="AA610" s="19">
        <f t="shared" ca="1" si="197"/>
        <v>0</v>
      </c>
    </row>
    <row r="611" spans="1:27" ht="12.75" customHeight="1" x14ac:dyDescent="0.2">
      <c r="A611">
        <v>0</v>
      </c>
      <c r="B611">
        <v>1</v>
      </c>
      <c r="C611">
        <f t="shared" ca="1" si="176"/>
        <v>3</v>
      </c>
      <c r="D611">
        <f t="shared" ca="1" si="177"/>
        <v>2</v>
      </c>
      <c r="E611">
        <f t="shared" ca="1" si="178"/>
        <v>0</v>
      </c>
      <c r="F611" s="61">
        <f t="shared" ca="1" si="179"/>
        <v>6.142773288959999E-2</v>
      </c>
      <c r="G611">
        <v>0</v>
      </c>
      <c r="H611">
        <v>1</v>
      </c>
      <c r="I611">
        <v>0</v>
      </c>
      <c r="J611" s="61">
        <f t="shared" ca="1" si="180"/>
        <v>0</v>
      </c>
      <c r="K611" s="61">
        <f t="shared" ca="1" si="181"/>
        <v>0</v>
      </c>
      <c r="L611" s="82">
        <f t="shared" ca="1" si="182"/>
        <v>161</v>
      </c>
      <c r="M611" s="16">
        <f t="shared" ca="1" si="183"/>
        <v>839</v>
      </c>
      <c r="N611" s="3">
        <f t="shared" ca="1" si="184"/>
        <v>5</v>
      </c>
      <c r="O611" s="19">
        <f t="shared" ca="1" si="185"/>
        <v>2.8178718937399587</v>
      </c>
      <c r="P611" s="19">
        <f t="shared" ca="1" si="186"/>
        <v>28.178718937399587</v>
      </c>
      <c r="Q611" s="19">
        <f t="shared" ca="1" si="187"/>
        <v>28.178718937399587</v>
      </c>
      <c r="R611" s="19">
        <f t="shared" ca="1" si="188"/>
        <v>2.8178718937399587</v>
      </c>
      <c r="S611" s="19">
        <f t="shared" ca="1" si="189"/>
        <v>2.8178718937399587</v>
      </c>
      <c r="T611" s="19">
        <f t="shared" ca="1" si="190"/>
        <v>0</v>
      </c>
      <c r="U611" s="19">
        <f t="shared" ca="1" si="191"/>
        <v>1420.3251747165598</v>
      </c>
      <c r="V611" s="19">
        <f t="shared" ca="1" si="192"/>
        <v>0</v>
      </c>
      <c r="W611" s="82">
        <f t="shared" ca="1" si="193"/>
        <v>0</v>
      </c>
      <c r="X611" s="19">
        <f t="shared" ca="1" si="194"/>
        <v>0</v>
      </c>
      <c r="Y611" s="19">
        <f t="shared" si="195"/>
        <v>0</v>
      </c>
      <c r="Z611" s="82">
        <f t="shared" ca="1" si="196"/>
        <v>0</v>
      </c>
      <c r="AA611" s="19">
        <f t="shared" ca="1" si="197"/>
        <v>0</v>
      </c>
    </row>
    <row r="612" spans="1:27" ht="12.75" customHeight="1" x14ac:dyDescent="0.2">
      <c r="A612">
        <v>0</v>
      </c>
      <c r="B612">
        <v>1</v>
      </c>
      <c r="C612">
        <f t="shared" ca="1" si="176"/>
        <v>3</v>
      </c>
      <c r="D612">
        <f t="shared" ca="1" si="177"/>
        <v>2</v>
      </c>
      <c r="E612">
        <f t="shared" ca="1" si="178"/>
        <v>0</v>
      </c>
      <c r="F612" s="61">
        <f t="shared" ca="1" si="179"/>
        <v>6.142773288959999E-2</v>
      </c>
      <c r="G612">
        <v>0</v>
      </c>
      <c r="H612">
        <v>0</v>
      </c>
      <c r="I612">
        <v>7</v>
      </c>
      <c r="J612" s="61">
        <f t="shared" ca="1" si="180"/>
        <v>0</v>
      </c>
      <c r="K612" s="61">
        <f t="shared" ca="1" si="181"/>
        <v>0</v>
      </c>
      <c r="L612" s="82">
        <f t="shared" ca="1" si="182"/>
        <v>77</v>
      </c>
      <c r="M612" s="16">
        <f t="shared" ca="1" si="183"/>
        <v>923</v>
      </c>
      <c r="N612" s="3">
        <f t="shared" ca="1" si="184"/>
        <v>5</v>
      </c>
      <c r="O612" s="19">
        <f t="shared" ca="1" si="185"/>
        <v>2.8178718937399587</v>
      </c>
      <c r="P612" s="19">
        <f t="shared" ca="1" si="186"/>
        <v>28.178718937399587</v>
      </c>
      <c r="Q612" s="19">
        <f t="shared" ca="1" si="187"/>
        <v>28.178718937399587</v>
      </c>
      <c r="R612" s="19">
        <f t="shared" ca="1" si="188"/>
        <v>2.8178718937399587</v>
      </c>
      <c r="S612" s="19">
        <f t="shared" ca="1" si="189"/>
        <v>2.8178718937399587</v>
      </c>
      <c r="T612" s="19">
        <f t="shared" ca="1" si="190"/>
        <v>0</v>
      </c>
      <c r="U612" s="19">
        <f t="shared" ca="1" si="191"/>
        <v>1336.3251747165598</v>
      </c>
      <c r="V612" s="19">
        <f t="shared" ca="1" si="192"/>
        <v>0</v>
      </c>
      <c r="W612" s="82">
        <f t="shared" ca="1" si="193"/>
        <v>3401.3366102430559</v>
      </c>
      <c r="X612" s="19">
        <f t="shared" ca="1" si="194"/>
        <v>0</v>
      </c>
      <c r="Y612" s="19">
        <f t="shared" si="195"/>
        <v>0</v>
      </c>
      <c r="Z612" s="82">
        <f t="shared" ca="1" si="196"/>
        <v>3401.3366102430559</v>
      </c>
      <c r="AA612" s="19">
        <f t="shared" ca="1" si="197"/>
        <v>0</v>
      </c>
    </row>
    <row r="613" spans="1:27" ht="12.75" customHeight="1" x14ac:dyDescent="0.2">
      <c r="A613">
        <v>0</v>
      </c>
      <c r="B613">
        <v>1</v>
      </c>
      <c r="C613">
        <f t="shared" ca="1" si="176"/>
        <v>3</v>
      </c>
      <c r="D613">
        <f t="shared" ca="1" si="177"/>
        <v>2</v>
      </c>
      <c r="E613">
        <f t="shared" ca="1" si="178"/>
        <v>0</v>
      </c>
      <c r="F613" s="61">
        <f t="shared" ca="1" si="179"/>
        <v>6.142773288959999E-2</v>
      </c>
      <c r="G613">
        <v>0</v>
      </c>
      <c r="H613">
        <v>0</v>
      </c>
      <c r="I613">
        <v>6</v>
      </c>
      <c r="J613" s="61">
        <f t="shared" ca="1" si="180"/>
        <v>0</v>
      </c>
      <c r="K613" s="61">
        <f t="shared" ca="1" si="181"/>
        <v>0</v>
      </c>
      <c r="L613" s="82">
        <f t="shared" ca="1" si="182"/>
        <v>66</v>
      </c>
      <c r="M613" s="16">
        <f t="shared" ca="1" si="183"/>
        <v>934</v>
      </c>
      <c r="N613" s="3">
        <f t="shared" ca="1" si="184"/>
        <v>5</v>
      </c>
      <c r="O613" s="19">
        <f t="shared" ca="1" si="185"/>
        <v>2.8178718937399587</v>
      </c>
      <c r="P613" s="19">
        <f t="shared" ca="1" si="186"/>
        <v>28.178718937399587</v>
      </c>
      <c r="Q613" s="19">
        <f t="shared" ca="1" si="187"/>
        <v>28.178718937399587</v>
      </c>
      <c r="R613" s="19">
        <f t="shared" ca="1" si="188"/>
        <v>2.8178718937399587</v>
      </c>
      <c r="S613" s="19">
        <f t="shared" ca="1" si="189"/>
        <v>2.8178718937399587</v>
      </c>
      <c r="T613" s="19">
        <f t="shared" ca="1" si="190"/>
        <v>0</v>
      </c>
      <c r="U613" s="19">
        <f t="shared" ca="1" si="191"/>
        <v>1325.3251747165598</v>
      </c>
      <c r="V613" s="19">
        <f t="shared" ca="1" si="192"/>
        <v>0</v>
      </c>
      <c r="W613" s="82">
        <f t="shared" ca="1" si="193"/>
        <v>2915.4313802083334</v>
      </c>
      <c r="X613" s="19">
        <f t="shared" ca="1" si="194"/>
        <v>0</v>
      </c>
      <c r="Y613" s="19">
        <f t="shared" si="195"/>
        <v>0</v>
      </c>
      <c r="Z613" s="82">
        <f t="shared" ca="1" si="196"/>
        <v>2915.4313802083334</v>
      </c>
      <c r="AA613" s="19">
        <f t="shared" ca="1" si="197"/>
        <v>0</v>
      </c>
    </row>
    <row r="614" spans="1:27" ht="12.75" customHeight="1" x14ac:dyDescent="0.2">
      <c r="A614">
        <v>0</v>
      </c>
      <c r="B614">
        <v>1</v>
      </c>
      <c r="C614">
        <f t="shared" ca="1" si="176"/>
        <v>3</v>
      </c>
      <c r="D614">
        <f t="shared" ca="1" si="177"/>
        <v>2</v>
      </c>
      <c r="E614">
        <f t="shared" ca="1" si="178"/>
        <v>0</v>
      </c>
      <c r="F614" s="61">
        <f t="shared" ca="1" si="179"/>
        <v>6.142773288959999E-2</v>
      </c>
      <c r="G614">
        <v>0</v>
      </c>
      <c r="H614">
        <v>0</v>
      </c>
      <c r="I614">
        <v>5</v>
      </c>
      <c r="J614" s="61">
        <f t="shared" ca="1" si="180"/>
        <v>0</v>
      </c>
      <c r="K614" s="61">
        <f t="shared" ca="1" si="181"/>
        <v>0</v>
      </c>
      <c r="L614" s="82">
        <f t="shared" ca="1" si="182"/>
        <v>55</v>
      </c>
      <c r="M614" s="16">
        <f t="shared" ca="1" si="183"/>
        <v>945</v>
      </c>
      <c r="N614" s="3">
        <f t="shared" ca="1" si="184"/>
        <v>5</v>
      </c>
      <c r="O614" s="19">
        <f t="shared" ca="1" si="185"/>
        <v>2.8178718937399587</v>
      </c>
      <c r="P614" s="19">
        <f t="shared" ca="1" si="186"/>
        <v>28.178718937399587</v>
      </c>
      <c r="Q614" s="19">
        <f t="shared" ca="1" si="187"/>
        <v>28.178718937399587</v>
      </c>
      <c r="R614" s="19">
        <f t="shared" ca="1" si="188"/>
        <v>2.8178718937399587</v>
      </c>
      <c r="S614" s="19">
        <f t="shared" ca="1" si="189"/>
        <v>2.8178718937399587</v>
      </c>
      <c r="T614" s="19">
        <f t="shared" ca="1" si="190"/>
        <v>0</v>
      </c>
      <c r="U614" s="19">
        <f t="shared" ca="1" si="191"/>
        <v>1314.3251747165598</v>
      </c>
      <c r="V614" s="19">
        <f t="shared" ca="1" si="192"/>
        <v>0</v>
      </c>
      <c r="W614" s="82">
        <f t="shared" ca="1" si="193"/>
        <v>2429.5261501736113</v>
      </c>
      <c r="X614" s="19">
        <f t="shared" ca="1" si="194"/>
        <v>0</v>
      </c>
      <c r="Y614" s="19">
        <f t="shared" si="195"/>
        <v>0</v>
      </c>
      <c r="Z614" s="82">
        <f t="shared" ca="1" si="196"/>
        <v>2429.5261501736113</v>
      </c>
      <c r="AA614" s="19">
        <f t="shared" ca="1" si="197"/>
        <v>0</v>
      </c>
    </row>
    <row r="615" spans="1:27" ht="12.75" customHeight="1" x14ac:dyDescent="0.2">
      <c r="A615">
        <v>0</v>
      </c>
      <c r="B615">
        <v>1</v>
      </c>
      <c r="C615">
        <f t="shared" ca="1" si="176"/>
        <v>3</v>
      </c>
      <c r="D615">
        <f t="shared" ca="1" si="177"/>
        <v>2</v>
      </c>
      <c r="E615">
        <f t="shared" ca="1" si="178"/>
        <v>0</v>
      </c>
      <c r="F615" s="61">
        <f t="shared" ca="1" si="179"/>
        <v>6.142773288959999E-2</v>
      </c>
      <c r="G615">
        <v>0</v>
      </c>
      <c r="H615">
        <v>0</v>
      </c>
      <c r="I615">
        <v>4</v>
      </c>
      <c r="J615" s="61">
        <f t="shared" ca="1" si="180"/>
        <v>0</v>
      </c>
      <c r="K615" s="61">
        <f t="shared" ca="1" si="181"/>
        <v>0</v>
      </c>
      <c r="L615" s="82">
        <f t="shared" ca="1" si="182"/>
        <v>44</v>
      </c>
      <c r="M615" s="16">
        <f t="shared" ca="1" si="183"/>
        <v>956</v>
      </c>
      <c r="N615" s="3">
        <f t="shared" ca="1" si="184"/>
        <v>6</v>
      </c>
      <c r="O615" s="19">
        <f t="shared" ca="1" si="185"/>
        <v>3.3239268932937667</v>
      </c>
      <c r="P615" s="19">
        <f t="shared" ca="1" si="186"/>
        <v>33.239268932937669</v>
      </c>
      <c r="Q615" s="19">
        <f t="shared" ca="1" si="187"/>
        <v>28.178718937399587</v>
      </c>
      <c r="R615" s="19">
        <f t="shared" ca="1" si="188"/>
        <v>3.0708993935168629</v>
      </c>
      <c r="S615" s="19">
        <f t="shared" ca="1" si="189"/>
        <v>3.3239268932937667</v>
      </c>
      <c r="T615" s="19">
        <f t="shared" ca="1" si="190"/>
        <v>0</v>
      </c>
      <c r="U615" s="19">
        <f t="shared" ca="1" si="191"/>
        <v>1495.4024523027438</v>
      </c>
      <c r="V615" s="19">
        <f t="shared" ca="1" si="192"/>
        <v>0</v>
      </c>
      <c r="W615" s="82">
        <f t="shared" ca="1" si="193"/>
        <v>1943.620920138889</v>
      </c>
      <c r="X615" s="19">
        <f t="shared" ca="1" si="194"/>
        <v>0</v>
      </c>
      <c r="Y615" s="19">
        <f t="shared" si="195"/>
        <v>0</v>
      </c>
      <c r="Z615" s="82">
        <f t="shared" ca="1" si="196"/>
        <v>1943.620920138889</v>
      </c>
      <c r="AA615" s="19">
        <f t="shared" ca="1" si="197"/>
        <v>0</v>
      </c>
    </row>
    <row r="616" spans="1:27" ht="12.75" customHeight="1" x14ac:dyDescent="0.2">
      <c r="A616">
        <v>0</v>
      </c>
      <c r="B616">
        <v>1</v>
      </c>
      <c r="C616">
        <f t="shared" ca="1" si="176"/>
        <v>3</v>
      </c>
      <c r="D616">
        <f t="shared" ca="1" si="177"/>
        <v>2</v>
      </c>
      <c r="E616">
        <f t="shared" ca="1" si="178"/>
        <v>0</v>
      </c>
      <c r="F616" s="61">
        <f t="shared" ca="1" si="179"/>
        <v>6.142773288959999E-2</v>
      </c>
      <c r="G616">
        <v>0</v>
      </c>
      <c r="H616">
        <v>0</v>
      </c>
      <c r="I616">
        <v>3</v>
      </c>
      <c r="J616" s="61">
        <f t="shared" ca="1" si="180"/>
        <v>0</v>
      </c>
      <c r="K616" s="61">
        <f t="shared" ca="1" si="181"/>
        <v>0</v>
      </c>
      <c r="L616" s="82">
        <f t="shared" ca="1" si="182"/>
        <v>33</v>
      </c>
      <c r="M616" s="16">
        <f t="shared" ca="1" si="183"/>
        <v>967</v>
      </c>
      <c r="N616" s="3">
        <f t="shared" ca="1" si="184"/>
        <v>6</v>
      </c>
      <c r="O616" s="19">
        <f t="shared" ca="1" si="185"/>
        <v>3.3239268932937667</v>
      </c>
      <c r="P616" s="19">
        <f t="shared" ca="1" si="186"/>
        <v>33.239268932937669</v>
      </c>
      <c r="Q616" s="19">
        <f t="shared" ca="1" si="187"/>
        <v>33.239268932937669</v>
      </c>
      <c r="R616" s="19">
        <f t="shared" ca="1" si="188"/>
        <v>3.3239268932937671</v>
      </c>
      <c r="S616" s="19">
        <f t="shared" ca="1" si="189"/>
        <v>3.3239268932937667</v>
      </c>
      <c r="T616" s="19">
        <f t="shared" ca="1" si="190"/>
        <v>0</v>
      </c>
      <c r="U616" s="19">
        <f t="shared" ca="1" si="191"/>
        <v>1484.4024523027438</v>
      </c>
      <c r="V616" s="19">
        <f t="shared" ca="1" si="192"/>
        <v>0</v>
      </c>
      <c r="W616" s="82">
        <f t="shared" ca="1" si="193"/>
        <v>1457.7156901041667</v>
      </c>
      <c r="X616" s="19">
        <f t="shared" ca="1" si="194"/>
        <v>0</v>
      </c>
      <c r="Y616" s="19">
        <f t="shared" si="195"/>
        <v>0</v>
      </c>
      <c r="Z616" s="82">
        <f t="shared" ca="1" si="196"/>
        <v>1457.7156901041667</v>
      </c>
      <c r="AA616" s="19">
        <f t="shared" ca="1" si="197"/>
        <v>0</v>
      </c>
    </row>
    <row r="617" spans="1:27" ht="12.75" customHeight="1" x14ac:dyDescent="0.2">
      <c r="A617">
        <v>0</v>
      </c>
      <c r="B617">
        <v>1</v>
      </c>
      <c r="C617">
        <f t="shared" ca="1" si="176"/>
        <v>3</v>
      </c>
      <c r="D617">
        <f t="shared" ca="1" si="177"/>
        <v>2</v>
      </c>
      <c r="E617">
        <f t="shared" ca="1" si="178"/>
        <v>0</v>
      </c>
      <c r="F617" s="61">
        <f t="shared" ca="1" si="179"/>
        <v>6.142773288959999E-2</v>
      </c>
      <c r="G617">
        <v>0</v>
      </c>
      <c r="H617">
        <v>0</v>
      </c>
      <c r="I617">
        <v>2</v>
      </c>
      <c r="J617" s="61">
        <f t="shared" ca="1" si="180"/>
        <v>4.5124999999999998E-2</v>
      </c>
      <c r="K617" s="61">
        <f t="shared" ca="1" si="181"/>
        <v>2.7719264466431995E-3</v>
      </c>
      <c r="L617" s="82">
        <f t="shared" ca="1" si="182"/>
        <v>22</v>
      </c>
      <c r="M617" s="16">
        <f t="shared" ca="1" si="183"/>
        <v>978</v>
      </c>
      <c r="N617" s="3">
        <f t="shared" ca="1" si="184"/>
        <v>6</v>
      </c>
      <c r="O617" s="19">
        <f t="shared" ca="1" si="185"/>
        <v>3.3239268932937667</v>
      </c>
      <c r="P617" s="19">
        <f t="shared" ca="1" si="186"/>
        <v>33.239268932937669</v>
      </c>
      <c r="Q617" s="19">
        <f t="shared" ca="1" si="187"/>
        <v>33.239268932937669</v>
      </c>
      <c r="R617" s="19">
        <f t="shared" ca="1" si="188"/>
        <v>3.3239268932937671</v>
      </c>
      <c r="S617" s="19">
        <f t="shared" ca="1" si="189"/>
        <v>3.3239268932937667</v>
      </c>
      <c r="T617" s="19">
        <f t="shared" ca="1" si="190"/>
        <v>9.2136808622295605E-3</v>
      </c>
      <c r="U617" s="19">
        <f t="shared" ca="1" si="191"/>
        <v>1473.4024523027438</v>
      </c>
      <c r="V617" s="19">
        <f t="shared" ca="1" si="192"/>
        <v>4.0841632240869208</v>
      </c>
      <c r="W617" s="82">
        <f t="shared" ca="1" si="193"/>
        <v>971.8104600694445</v>
      </c>
      <c r="X617" s="19">
        <f t="shared" ca="1" si="194"/>
        <v>2.6937871153909883</v>
      </c>
      <c r="Y617" s="19">
        <f t="shared" si="195"/>
        <v>0</v>
      </c>
      <c r="Z617" s="82">
        <f t="shared" ca="1" si="196"/>
        <v>971.8104600694445</v>
      </c>
      <c r="AA617" s="19">
        <f t="shared" ca="1" si="197"/>
        <v>2.6937871153909883</v>
      </c>
    </row>
    <row r="618" spans="1:27" ht="12.75" customHeight="1" x14ac:dyDescent="0.2">
      <c r="A618">
        <v>0</v>
      </c>
      <c r="B618">
        <v>1</v>
      </c>
      <c r="C618">
        <f t="shared" ca="1" si="176"/>
        <v>3</v>
      </c>
      <c r="D618">
        <f t="shared" ca="1" si="177"/>
        <v>2</v>
      </c>
      <c r="E618">
        <f t="shared" ca="1" si="178"/>
        <v>0</v>
      </c>
      <c r="F618" s="61">
        <f t="shared" ca="1" si="179"/>
        <v>6.142773288959999E-2</v>
      </c>
      <c r="G618">
        <v>0</v>
      </c>
      <c r="H618">
        <v>0</v>
      </c>
      <c r="I618">
        <v>1</v>
      </c>
      <c r="J618" s="61">
        <f t="shared" ca="1" si="180"/>
        <v>4.7500000000000042E-3</v>
      </c>
      <c r="K618" s="61">
        <f t="shared" ca="1" si="181"/>
        <v>2.9178173122560022E-4</v>
      </c>
      <c r="L618" s="82">
        <f t="shared" ca="1" si="182"/>
        <v>11</v>
      </c>
      <c r="M618" s="16">
        <f t="shared" ca="1" si="183"/>
        <v>989</v>
      </c>
      <c r="N618" s="3">
        <f t="shared" ca="1" si="184"/>
        <v>6</v>
      </c>
      <c r="O618" s="19">
        <f t="shared" ca="1" si="185"/>
        <v>3.3239268932937667</v>
      </c>
      <c r="P618" s="19">
        <f t="shared" ca="1" si="186"/>
        <v>33.239268932937669</v>
      </c>
      <c r="Q618" s="19">
        <f t="shared" ca="1" si="187"/>
        <v>33.239268932937669</v>
      </c>
      <c r="R618" s="19">
        <f t="shared" ca="1" si="188"/>
        <v>3.3239268932937671</v>
      </c>
      <c r="S618" s="19">
        <f t="shared" ca="1" si="189"/>
        <v>3.3239268932937667</v>
      </c>
      <c r="T618" s="19">
        <f t="shared" ca="1" si="190"/>
        <v>9.6986114339258614E-4</v>
      </c>
      <c r="U618" s="19">
        <f t="shared" ca="1" si="191"/>
        <v>1462.4024523027438</v>
      </c>
      <c r="V618" s="19">
        <f t="shared" ca="1" si="192"/>
        <v>0.4267023192814578</v>
      </c>
      <c r="W618" s="82">
        <f t="shared" ca="1" si="193"/>
        <v>485.90523003472225</v>
      </c>
      <c r="X618" s="19">
        <f t="shared" ca="1" si="194"/>
        <v>0.14177826923110479</v>
      </c>
      <c r="Y618" s="19">
        <f t="shared" si="195"/>
        <v>0</v>
      </c>
      <c r="Z618" s="82">
        <f t="shared" ca="1" si="196"/>
        <v>485.90523003472225</v>
      </c>
      <c r="AA618" s="19">
        <f t="shared" ca="1" si="197"/>
        <v>0.14177826923110479</v>
      </c>
    </row>
    <row r="619" spans="1:27" ht="12.75" customHeight="1" x14ac:dyDescent="0.2">
      <c r="A619">
        <v>0</v>
      </c>
      <c r="B619">
        <v>1</v>
      </c>
      <c r="C619">
        <f t="shared" ca="1" si="176"/>
        <v>3</v>
      </c>
      <c r="D619">
        <f t="shared" ca="1" si="177"/>
        <v>2</v>
      </c>
      <c r="E619">
        <f t="shared" ca="1" si="178"/>
        <v>0</v>
      </c>
      <c r="F619" s="61">
        <f t="shared" ca="1" si="179"/>
        <v>6.142773288959999E-2</v>
      </c>
      <c r="G619">
        <v>0</v>
      </c>
      <c r="H619">
        <v>0</v>
      </c>
      <c r="I619">
        <v>0</v>
      </c>
      <c r="J619" s="61">
        <f t="shared" ca="1" si="180"/>
        <v>1.2500000000000022E-4</v>
      </c>
      <c r="K619" s="61">
        <f t="shared" ca="1" si="181"/>
        <v>7.6784666112000128E-6</v>
      </c>
      <c r="L619" s="82">
        <f t="shared" ca="1" si="182"/>
        <v>0</v>
      </c>
      <c r="M619" s="16">
        <f t="shared" ca="1" si="183"/>
        <v>1000</v>
      </c>
      <c r="N619" s="3">
        <f t="shared" ca="1" si="184"/>
        <v>6</v>
      </c>
      <c r="O619" s="19">
        <f t="shared" ca="1" si="185"/>
        <v>3.3239268932937667</v>
      </c>
      <c r="P619" s="19">
        <f t="shared" ca="1" si="186"/>
        <v>33.239268932937669</v>
      </c>
      <c r="Q619" s="19">
        <f t="shared" ca="1" si="187"/>
        <v>33.239268932937669</v>
      </c>
      <c r="R619" s="19">
        <f t="shared" ca="1" si="188"/>
        <v>3.3239268932937671</v>
      </c>
      <c r="S619" s="19">
        <f t="shared" ca="1" si="189"/>
        <v>3.3239268932937667</v>
      </c>
      <c r="T619" s="19">
        <f t="shared" ca="1" si="190"/>
        <v>2.5522661668225975E-5</v>
      </c>
      <c r="U619" s="19">
        <f t="shared" ca="1" si="191"/>
        <v>1451.4024523027438</v>
      </c>
      <c r="V619" s="19">
        <f t="shared" ca="1" si="192"/>
        <v>1.1144545269420438E-2</v>
      </c>
      <c r="W619" s="82">
        <f t="shared" ca="1" si="193"/>
        <v>0</v>
      </c>
      <c r="X619" s="19">
        <f t="shared" ca="1" si="194"/>
        <v>0</v>
      </c>
      <c r="Y619" s="19">
        <f t="shared" si="195"/>
        <v>0</v>
      </c>
      <c r="Z619" s="82">
        <f t="shared" ca="1" si="196"/>
        <v>0</v>
      </c>
      <c r="AA619" s="19">
        <f t="shared" ca="1" si="197"/>
        <v>0</v>
      </c>
    </row>
    <row r="620" spans="1:27" ht="12.75" customHeight="1" x14ac:dyDescent="0.2">
      <c r="A620">
        <v>0</v>
      </c>
      <c r="B620">
        <v>2</v>
      </c>
      <c r="C620">
        <f t="shared" ref="C620:C683" ca="1" si="198">MIN(8, 1+$B$545+$B$544+A620+B620)</f>
        <v>4</v>
      </c>
      <c r="D620">
        <f t="shared" ref="D620:D683" ca="1" si="199">C620-(1+$B$545)</f>
        <v>3</v>
      </c>
      <c r="E620">
        <f t="shared" ref="E620:E683" ca="1" si="200">MIN(A620, C620-(1+$B$545+$B$544))</f>
        <v>0</v>
      </c>
      <c r="F620" s="61">
        <f t="shared" ref="F620:F683" ca="1" si="201">IF(A620=3, Set2QA, IF(A620=2, (1-Set2QA)*Set2TA + (1-Set2QA)*(1-Set2TA)*(1-Set2DA)*Set2AM3*Set2AM33, IF(A620=1, (1-Set2QA)*(1-Set2TA)*Set2DA + (1-Set2QA)*(1-Set2TA)*(1-Set2DA)*Set2AM3*Set2AM32, (1-Set2QA)*(1-Set2TA)*(1-Set2DA)*(1-Set2AM3)))) * IF($B$544+$B$545&gt;0, IF(B620=3, Set2QA, IF(B620=2, (1-Set2QA)*Set2TA, IF(B620=1, (1-Set2QA)*(1-Set2TA)*Set2DA, (1-Set2QA)*(1-Set2TA)*(1-Set2DA)))), IF(B620=0, 1, 0))</f>
        <v>1.112821248E-2</v>
      </c>
      <c r="G620">
        <v>1</v>
      </c>
      <c r="H620">
        <v>1</v>
      </c>
      <c r="I620">
        <v>7</v>
      </c>
      <c r="J620" s="61">
        <f t="shared" ref="J620:J683" ca="1" si="202">POWER(95%,G620)*POWER(5%, 1-G620) * IF($B$545=0, IF(H620=0, 1, 0), POWER(Set2WSHitRate,H620)*POWER(1-Set2WSHitRate, 1-H620)) * IF(I620&lt;=D620, POWER(Set2WSHitRate, I620)*POWER(1-Set2WSHitRate, D620-I620)*COMBIN(D620,I620), 0)</f>
        <v>0</v>
      </c>
      <c r="K620" s="61">
        <f t="shared" ref="K620:K683" ca="1" si="203">F620*J620</f>
        <v>0</v>
      </c>
      <c r="L620" s="82">
        <f t="shared" ref="L620:L683" ca="1" si="204">MAX((G620+H620)*Set2WSTP + I620*$B$541, Set2SaveTP)</f>
        <v>399</v>
      </c>
      <c r="M620" s="16">
        <f t="shared" ref="M620:M683" ca="1" si="205">MAX(Set2MinTP-(L620+Set2Regain), 0)</f>
        <v>601</v>
      </c>
      <c r="N620" s="3">
        <f t="shared" ref="N620:N683" ca="1" si="206">CEILING(M620/Set2MeleeTP, 1)</f>
        <v>4</v>
      </c>
      <c r="O620" s="19">
        <f t="shared" ref="O620:O683" ca="1" si="207">VLOOKUP(N620, AvgRoundsSet2, 2)</f>
        <v>2.3453053758100548</v>
      </c>
      <c r="P620" s="19">
        <f t="shared" ref="P620:P683" ca="1" si="208">VLOOKUP(CEILING(MAX(M620-1, 0)/Set2MeleeTP, 1), AvgRoundsSet2, 2) + VLOOKUP(CEILING(MAX(M620-2, 0)/Set2MeleeTP, 1), AvgRoundsSet2, 2) + VLOOKUP(CEILING(MAX(M620-3, 0)/Set2MeleeTP, 1), AvgRoundsSet2, 2) + VLOOKUP(CEILING(MAX(M620-4, 0)/Set2MeleeTP, 1), AvgRoundsSet2, 2) + VLOOKUP(CEILING(MAX(M620-5, 0)/Set2MeleeTP, 1), AvgRoundsSet2, 2) + VLOOKUP(CEILING(MAX(M620-6, 0)/Set2MeleeTP, 1), AvgRoundsSet2, 2) + VLOOKUP(CEILING(MAX(M620-7, 0)/Set2MeleeTP, 1), AvgRoundsSet2, 2) + VLOOKUP(CEILING(MAX(M620-8, 0)/Set2MeleeTP, 1), AvgRoundsSet2, 2) + VLOOKUP(CEILING(MAX(M620-9, 0)/Set2MeleeTP, 1), AvgRoundsSet2, 2) + VLOOKUP(CEILING(MAX(M620-10, 0)/Set2MeleeTP, 1), AvgRoundsSet2, 2)</f>
        <v>23.453053758100552</v>
      </c>
      <c r="Q620" s="19">
        <f t="shared" ref="Q620:Q683" ca="1" si="209">VLOOKUP(CEILING(MAX(M620-11, 0)/Set2MeleeTP, 1), AvgRoundsSet2, 2) + VLOOKUP(CEILING(MAX(M620-12, 0)/Set2MeleeTP, 1), AvgRoundsSet2, 2) + VLOOKUP(CEILING(MAX(M620-13, 0)/Set2MeleeTP, 1), AvgRoundsSet2, 2) + VLOOKUP(CEILING(MAX(M620-14, 0)/Set2MeleeTP, 1), AvgRoundsSet2, 2) + VLOOKUP(CEILING(MAX(M620-15, 0)/Set2MeleeTP, 1), AvgRoundsSet2, 2) + VLOOKUP(CEILING(MAX(M620-16, 0)/Set2MeleeTP, 1), AvgRoundsSet2, 2) + VLOOKUP(CEILING(MAX(M620-17, 0)/Set2MeleeTP, 1), AvgRoundsSet2, 2) + VLOOKUP(CEILING(MAX(M620-18, 0)/Set2MeleeTP, 1), AvgRoundsSet2, 2) + VLOOKUP(CEILING(MAX(M620-19, 0)/Set2MeleeTP, 1), AvgRoundsSet2, 2) + VLOOKUP(CEILING(MAX(M620-20, 0)/Set2MeleeTP, 1), AvgRoundsSet2, 2)</f>
        <v>23.453053758100552</v>
      </c>
      <c r="R620" s="19">
        <f t="shared" ref="R620:R683" ca="1" si="210">(P620+Q620)/20</f>
        <v>2.3453053758100553</v>
      </c>
      <c r="S620" s="19">
        <f t="shared" ref="S620:S683" ca="1" si="211">R620*Set2ConserveTP + O620*(1-Set2ConserveTP)</f>
        <v>2.3453053758100548</v>
      </c>
      <c r="T620" s="19">
        <f t="shared" ref="T620:T683" ca="1" si="212">K620*S620</f>
        <v>0</v>
      </c>
      <c r="U620" s="19">
        <f t="shared" ref="U620:U683" ca="1" si="213">MIN(L620+(S620+Set2OverTP)*AvgHitsPerRound2*Set2MeleeTP + Set2Regain + 10.5*Set2ConserveTP, 3000)</f>
        <v>1478.9587218163997</v>
      </c>
      <c r="V620" s="19">
        <f t="shared" ref="V620:V683" ca="1" si="214">U620*K620</f>
        <v>0</v>
      </c>
      <c r="W620" s="82">
        <f t="shared" ref="W620:W683" ca="1" si="215">G620*$K$547*((1-$L$547)*$L$551 + $L$547*$M$551*$M$547) + H620*$K$550*((1-$L$550)*$L$552 + $L$550*$M$552*$M$548) + I620*$K$548*((1-$L$548)*$L$551 + $L$548*$M$551*$M$548) + E620*$K$549*$L$549*$M$547</f>
        <v>5718.7981307870377</v>
      </c>
      <c r="X620" s="19">
        <f t="shared" ref="X620:X683" ca="1" si="216">K620*W620</f>
        <v>0</v>
      </c>
      <c r="Y620" s="19">
        <f t="shared" ref="Y620:Y683" si="217">IF($B$547=1, (VLOOKUP(C620, IF($B$548=10%,Souleater10,Souleater12), 6, 0) * $B$549), 0)</f>
        <v>0</v>
      </c>
      <c r="Z620" s="82">
        <f t="shared" ref="Z620:Z683" ca="1" si="218">Y620+W620</f>
        <v>5718.7981307870377</v>
      </c>
      <c r="AA620" s="19">
        <f t="shared" ref="AA620:AA683" ca="1" si="219">Z620*K620</f>
        <v>0</v>
      </c>
    </row>
    <row r="621" spans="1:27" ht="12.75" customHeight="1" x14ac:dyDescent="0.2">
      <c r="A621">
        <v>0</v>
      </c>
      <c r="B621">
        <v>2</v>
      </c>
      <c r="C621">
        <f t="shared" ca="1" si="198"/>
        <v>4</v>
      </c>
      <c r="D621">
        <f t="shared" ca="1" si="199"/>
        <v>3</v>
      </c>
      <c r="E621">
        <f t="shared" ca="1" si="200"/>
        <v>0</v>
      </c>
      <c r="F621" s="61">
        <f t="shared" ca="1" si="201"/>
        <v>1.112821248E-2</v>
      </c>
      <c r="G621">
        <v>1</v>
      </c>
      <c r="H621">
        <v>1</v>
      </c>
      <c r="I621">
        <v>6</v>
      </c>
      <c r="J621" s="61">
        <f t="shared" ca="1" si="202"/>
        <v>0</v>
      </c>
      <c r="K621" s="61">
        <f t="shared" ca="1" si="203"/>
        <v>0</v>
      </c>
      <c r="L621" s="82">
        <f t="shared" ca="1" si="204"/>
        <v>388</v>
      </c>
      <c r="M621" s="16">
        <f t="shared" ca="1" si="205"/>
        <v>612</v>
      </c>
      <c r="N621" s="3">
        <f t="shared" ca="1" si="206"/>
        <v>4</v>
      </c>
      <c r="O621" s="19">
        <f t="shared" ca="1" si="207"/>
        <v>2.3453053758100548</v>
      </c>
      <c r="P621" s="19">
        <f t="shared" ca="1" si="208"/>
        <v>23.453053758100552</v>
      </c>
      <c r="Q621" s="19">
        <f t="shared" ca="1" si="209"/>
        <v>23.453053758100552</v>
      </c>
      <c r="R621" s="19">
        <f t="shared" ca="1" si="210"/>
        <v>2.3453053758100553</v>
      </c>
      <c r="S621" s="19">
        <f t="shared" ca="1" si="211"/>
        <v>2.3453053758100548</v>
      </c>
      <c r="T621" s="19">
        <f t="shared" ca="1" si="212"/>
        <v>0</v>
      </c>
      <c r="U621" s="19">
        <f t="shared" ca="1" si="213"/>
        <v>1467.9587218163997</v>
      </c>
      <c r="V621" s="19">
        <f t="shared" ca="1" si="214"/>
        <v>0</v>
      </c>
      <c r="W621" s="82">
        <f t="shared" ca="1" si="215"/>
        <v>5232.8929007523147</v>
      </c>
      <c r="X621" s="19">
        <f t="shared" ca="1" si="216"/>
        <v>0</v>
      </c>
      <c r="Y621" s="19">
        <f t="shared" si="217"/>
        <v>0</v>
      </c>
      <c r="Z621" s="82">
        <f t="shared" ca="1" si="218"/>
        <v>5232.8929007523147</v>
      </c>
      <c r="AA621" s="19">
        <f t="shared" ca="1" si="219"/>
        <v>0</v>
      </c>
    </row>
    <row r="622" spans="1:27" ht="12.75" customHeight="1" x14ac:dyDescent="0.2">
      <c r="A622">
        <v>0</v>
      </c>
      <c r="B622">
        <v>2</v>
      </c>
      <c r="C622">
        <f t="shared" ca="1" si="198"/>
        <v>4</v>
      </c>
      <c r="D622">
        <f t="shared" ca="1" si="199"/>
        <v>3</v>
      </c>
      <c r="E622">
        <f t="shared" ca="1" si="200"/>
        <v>0</v>
      </c>
      <c r="F622" s="61">
        <f t="shared" ca="1" si="201"/>
        <v>1.112821248E-2</v>
      </c>
      <c r="G622">
        <v>1</v>
      </c>
      <c r="H622">
        <v>1</v>
      </c>
      <c r="I622">
        <v>5</v>
      </c>
      <c r="J622" s="61">
        <f t="shared" ca="1" si="202"/>
        <v>0</v>
      </c>
      <c r="K622" s="61">
        <f t="shared" ca="1" si="203"/>
        <v>0</v>
      </c>
      <c r="L622" s="82">
        <f t="shared" ca="1" si="204"/>
        <v>377</v>
      </c>
      <c r="M622" s="16">
        <f t="shared" ca="1" si="205"/>
        <v>623</v>
      </c>
      <c r="N622" s="3">
        <f t="shared" ca="1" si="206"/>
        <v>4</v>
      </c>
      <c r="O622" s="19">
        <f t="shared" ca="1" si="207"/>
        <v>2.3453053758100548</v>
      </c>
      <c r="P622" s="19">
        <f t="shared" ca="1" si="208"/>
        <v>23.453053758100552</v>
      </c>
      <c r="Q622" s="19">
        <f t="shared" ca="1" si="209"/>
        <v>23.453053758100552</v>
      </c>
      <c r="R622" s="19">
        <f t="shared" ca="1" si="210"/>
        <v>2.3453053758100553</v>
      </c>
      <c r="S622" s="19">
        <f t="shared" ca="1" si="211"/>
        <v>2.3453053758100548</v>
      </c>
      <c r="T622" s="19">
        <f t="shared" ca="1" si="212"/>
        <v>0</v>
      </c>
      <c r="U622" s="19">
        <f t="shared" ca="1" si="213"/>
        <v>1456.9587218163997</v>
      </c>
      <c r="V622" s="19">
        <f t="shared" ca="1" si="214"/>
        <v>0</v>
      </c>
      <c r="W622" s="82">
        <f t="shared" ca="1" si="215"/>
        <v>4746.9876707175936</v>
      </c>
      <c r="X622" s="19">
        <f t="shared" ca="1" si="216"/>
        <v>0</v>
      </c>
      <c r="Y622" s="19">
        <f t="shared" si="217"/>
        <v>0</v>
      </c>
      <c r="Z622" s="82">
        <f t="shared" ca="1" si="218"/>
        <v>4746.9876707175936</v>
      </c>
      <c r="AA622" s="19">
        <f t="shared" ca="1" si="219"/>
        <v>0</v>
      </c>
    </row>
    <row r="623" spans="1:27" ht="12.75" customHeight="1" x14ac:dyDescent="0.2">
      <c r="A623">
        <v>0</v>
      </c>
      <c r="B623">
        <v>2</v>
      </c>
      <c r="C623">
        <f t="shared" ca="1" si="198"/>
        <v>4</v>
      </c>
      <c r="D623">
        <f t="shared" ca="1" si="199"/>
        <v>3</v>
      </c>
      <c r="E623">
        <f t="shared" ca="1" si="200"/>
        <v>0</v>
      </c>
      <c r="F623" s="61">
        <f t="shared" ca="1" si="201"/>
        <v>1.112821248E-2</v>
      </c>
      <c r="G623">
        <v>1</v>
      </c>
      <c r="H623">
        <v>1</v>
      </c>
      <c r="I623">
        <v>4</v>
      </c>
      <c r="J623" s="61">
        <f t="shared" ca="1" si="202"/>
        <v>0</v>
      </c>
      <c r="K623" s="61">
        <f t="shared" ca="1" si="203"/>
        <v>0</v>
      </c>
      <c r="L623" s="82">
        <f t="shared" ca="1" si="204"/>
        <v>366</v>
      </c>
      <c r="M623" s="16">
        <f t="shared" ca="1" si="205"/>
        <v>634</v>
      </c>
      <c r="N623" s="3">
        <f t="shared" ca="1" si="206"/>
        <v>4</v>
      </c>
      <c r="O623" s="19">
        <f t="shared" ca="1" si="207"/>
        <v>2.3453053758100548</v>
      </c>
      <c r="P623" s="19">
        <f t="shared" ca="1" si="208"/>
        <v>23.453053758100552</v>
      </c>
      <c r="Q623" s="19">
        <f t="shared" ca="1" si="209"/>
        <v>23.453053758100552</v>
      </c>
      <c r="R623" s="19">
        <f t="shared" ca="1" si="210"/>
        <v>2.3453053758100553</v>
      </c>
      <c r="S623" s="19">
        <f t="shared" ca="1" si="211"/>
        <v>2.3453053758100548</v>
      </c>
      <c r="T623" s="19">
        <f t="shared" ca="1" si="212"/>
        <v>0</v>
      </c>
      <c r="U623" s="19">
        <f t="shared" ca="1" si="213"/>
        <v>1445.9587218163997</v>
      </c>
      <c r="V623" s="19">
        <f t="shared" ca="1" si="214"/>
        <v>0</v>
      </c>
      <c r="W623" s="82">
        <f t="shared" ca="1" si="215"/>
        <v>4261.0824406828706</v>
      </c>
      <c r="X623" s="19">
        <f t="shared" ca="1" si="216"/>
        <v>0</v>
      </c>
      <c r="Y623" s="19">
        <f t="shared" si="217"/>
        <v>0</v>
      </c>
      <c r="Z623" s="82">
        <f t="shared" ca="1" si="218"/>
        <v>4261.0824406828706</v>
      </c>
      <c r="AA623" s="19">
        <f t="shared" ca="1" si="219"/>
        <v>0</v>
      </c>
    </row>
    <row r="624" spans="1:27" ht="12.75" customHeight="1" x14ac:dyDescent="0.2">
      <c r="A624">
        <v>0</v>
      </c>
      <c r="B624">
        <v>2</v>
      </c>
      <c r="C624">
        <f t="shared" ca="1" si="198"/>
        <v>4</v>
      </c>
      <c r="D624">
        <f t="shared" ca="1" si="199"/>
        <v>3</v>
      </c>
      <c r="E624">
        <f t="shared" ca="1" si="200"/>
        <v>0</v>
      </c>
      <c r="F624" s="61">
        <f t="shared" ca="1" si="201"/>
        <v>1.112821248E-2</v>
      </c>
      <c r="G624">
        <v>1</v>
      </c>
      <c r="H624">
        <v>1</v>
      </c>
      <c r="I624">
        <v>3</v>
      </c>
      <c r="J624" s="61">
        <f t="shared" ca="1" si="202"/>
        <v>0</v>
      </c>
      <c r="K624" s="61">
        <f t="shared" ca="1" si="203"/>
        <v>0</v>
      </c>
      <c r="L624" s="82">
        <f t="shared" ca="1" si="204"/>
        <v>355</v>
      </c>
      <c r="M624" s="16">
        <f t="shared" ca="1" si="205"/>
        <v>645</v>
      </c>
      <c r="N624" s="3">
        <f t="shared" ca="1" si="206"/>
        <v>4</v>
      </c>
      <c r="O624" s="19">
        <f t="shared" ca="1" si="207"/>
        <v>2.3453053758100548</v>
      </c>
      <c r="P624" s="19">
        <f t="shared" ca="1" si="208"/>
        <v>23.453053758100552</v>
      </c>
      <c r="Q624" s="19">
        <f t="shared" ca="1" si="209"/>
        <v>23.453053758100552</v>
      </c>
      <c r="R624" s="19">
        <f t="shared" ca="1" si="210"/>
        <v>2.3453053758100553</v>
      </c>
      <c r="S624" s="19">
        <f t="shared" ca="1" si="211"/>
        <v>2.3453053758100548</v>
      </c>
      <c r="T624" s="19">
        <f t="shared" ca="1" si="212"/>
        <v>0</v>
      </c>
      <c r="U624" s="19">
        <f t="shared" ca="1" si="213"/>
        <v>1434.9587218163997</v>
      </c>
      <c r="V624" s="19">
        <f t="shared" ca="1" si="214"/>
        <v>0</v>
      </c>
      <c r="W624" s="82">
        <f t="shared" ca="1" si="215"/>
        <v>3775.1772106481485</v>
      </c>
      <c r="X624" s="19">
        <f t="shared" ca="1" si="216"/>
        <v>0</v>
      </c>
      <c r="Y624" s="19">
        <f t="shared" si="217"/>
        <v>0</v>
      </c>
      <c r="Z624" s="82">
        <f t="shared" ca="1" si="218"/>
        <v>3775.1772106481485</v>
      </c>
      <c r="AA624" s="19">
        <f t="shared" ca="1" si="219"/>
        <v>0</v>
      </c>
    </row>
    <row r="625" spans="1:27" ht="12.75" customHeight="1" x14ac:dyDescent="0.2">
      <c r="A625">
        <v>0</v>
      </c>
      <c r="B625">
        <v>2</v>
      </c>
      <c r="C625">
        <f t="shared" ca="1" si="198"/>
        <v>4</v>
      </c>
      <c r="D625">
        <f t="shared" ca="1" si="199"/>
        <v>3</v>
      </c>
      <c r="E625">
        <f t="shared" ca="1" si="200"/>
        <v>0</v>
      </c>
      <c r="F625" s="61">
        <f t="shared" ca="1" si="201"/>
        <v>1.112821248E-2</v>
      </c>
      <c r="G625">
        <v>1</v>
      </c>
      <c r="H625">
        <v>1</v>
      </c>
      <c r="I625">
        <v>2</v>
      </c>
      <c r="J625" s="61">
        <f t="shared" ca="1" si="202"/>
        <v>0</v>
      </c>
      <c r="K625" s="61">
        <f t="shared" ca="1" si="203"/>
        <v>0</v>
      </c>
      <c r="L625" s="82">
        <f t="shared" ca="1" si="204"/>
        <v>344</v>
      </c>
      <c r="M625" s="16">
        <f t="shared" ca="1" si="205"/>
        <v>656</v>
      </c>
      <c r="N625" s="3">
        <f t="shared" ca="1" si="206"/>
        <v>4</v>
      </c>
      <c r="O625" s="19">
        <f t="shared" ca="1" si="207"/>
        <v>2.3453053758100548</v>
      </c>
      <c r="P625" s="19">
        <f t="shared" ca="1" si="208"/>
        <v>23.453053758100552</v>
      </c>
      <c r="Q625" s="19">
        <f t="shared" ca="1" si="209"/>
        <v>23.453053758100552</v>
      </c>
      <c r="R625" s="19">
        <f t="shared" ca="1" si="210"/>
        <v>2.3453053758100553</v>
      </c>
      <c r="S625" s="19">
        <f t="shared" ca="1" si="211"/>
        <v>2.3453053758100548</v>
      </c>
      <c r="T625" s="19">
        <f t="shared" ca="1" si="212"/>
        <v>0</v>
      </c>
      <c r="U625" s="19">
        <f t="shared" ca="1" si="213"/>
        <v>1423.9587218163997</v>
      </c>
      <c r="V625" s="19">
        <f t="shared" ca="1" si="214"/>
        <v>0</v>
      </c>
      <c r="W625" s="82">
        <f t="shared" ca="1" si="215"/>
        <v>3289.2719806134264</v>
      </c>
      <c r="X625" s="19">
        <f t="shared" ca="1" si="216"/>
        <v>0</v>
      </c>
      <c r="Y625" s="19">
        <f t="shared" si="217"/>
        <v>0</v>
      </c>
      <c r="Z625" s="82">
        <f t="shared" ca="1" si="218"/>
        <v>3289.2719806134264</v>
      </c>
      <c r="AA625" s="19">
        <f t="shared" ca="1" si="219"/>
        <v>0</v>
      </c>
    </row>
    <row r="626" spans="1:27" ht="12.75" customHeight="1" x14ac:dyDescent="0.2">
      <c r="A626">
        <v>0</v>
      </c>
      <c r="B626">
        <v>2</v>
      </c>
      <c r="C626">
        <f t="shared" ca="1" si="198"/>
        <v>4</v>
      </c>
      <c r="D626">
        <f t="shared" ca="1" si="199"/>
        <v>3</v>
      </c>
      <c r="E626">
        <f t="shared" ca="1" si="200"/>
        <v>0</v>
      </c>
      <c r="F626" s="61">
        <f t="shared" ca="1" si="201"/>
        <v>1.112821248E-2</v>
      </c>
      <c r="G626">
        <v>1</v>
      </c>
      <c r="H626">
        <v>1</v>
      </c>
      <c r="I626">
        <v>1</v>
      </c>
      <c r="J626" s="61">
        <f t="shared" ca="1" si="202"/>
        <v>0</v>
      </c>
      <c r="K626" s="61">
        <f t="shared" ca="1" si="203"/>
        <v>0</v>
      </c>
      <c r="L626" s="82">
        <f t="shared" ca="1" si="204"/>
        <v>333</v>
      </c>
      <c r="M626" s="16">
        <f t="shared" ca="1" si="205"/>
        <v>667</v>
      </c>
      <c r="N626" s="3">
        <f t="shared" ca="1" si="206"/>
        <v>4</v>
      </c>
      <c r="O626" s="19">
        <f t="shared" ca="1" si="207"/>
        <v>2.3453053758100548</v>
      </c>
      <c r="P626" s="19">
        <f t="shared" ca="1" si="208"/>
        <v>23.453053758100552</v>
      </c>
      <c r="Q626" s="19">
        <f t="shared" ca="1" si="209"/>
        <v>23.453053758100552</v>
      </c>
      <c r="R626" s="19">
        <f t="shared" ca="1" si="210"/>
        <v>2.3453053758100553</v>
      </c>
      <c r="S626" s="19">
        <f t="shared" ca="1" si="211"/>
        <v>2.3453053758100548</v>
      </c>
      <c r="T626" s="19">
        <f t="shared" ca="1" si="212"/>
        <v>0</v>
      </c>
      <c r="U626" s="19">
        <f t="shared" ca="1" si="213"/>
        <v>1412.9587218163997</v>
      </c>
      <c r="V626" s="19">
        <f t="shared" ca="1" si="214"/>
        <v>0</v>
      </c>
      <c r="W626" s="82">
        <f t="shared" ca="1" si="215"/>
        <v>2803.3667505787039</v>
      </c>
      <c r="X626" s="19">
        <f t="shared" ca="1" si="216"/>
        <v>0</v>
      </c>
      <c r="Y626" s="19">
        <f t="shared" si="217"/>
        <v>0</v>
      </c>
      <c r="Z626" s="82">
        <f t="shared" ca="1" si="218"/>
        <v>2803.3667505787039</v>
      </c>
      <c r="AA626" s="19">
        <f t="shared" ca="1" si="219"/>
        <v>0</v>
      </c>
    </row>
    <row r="627" spans="1:27" ht="12.75" customHeight="1" x14ac:dyDescent="0.2">
      <c r="A627">
        <v>0</v>
      </c>
      <c r="B627">
        <v>2</v>
      </c>
      <c r="C627">
        <f t="shared" ca="1" si="198"/>
        <v>4</v>
      </c>
      <c r="D627">
        <f t="shared" ca="1" si="199"/>
        <v>3</v>
      </c>
      <c r="E627">
        <f t="shared" ca="1" si="200"/>
        <v>0</v>
      </c>
      <c r="F627" s="61">
        <f t="shared" ca="1" si="201"/>
        <v>1.112821248E-2</v>
      </c>
      <c r="G627">
        <v>1</v>
      </c>
      <c r="H627">
        <v>1</v>
      </c>
      <c r="I627">
        <v>0</v>
      </c>
      <c r="J627" s="61">
        <f t="shared" ca="1" si="202"/>
        <v>0</v>
      </c>
      <c r="K627" s="61">
        <f t="shared" ca="1" si="203"/>
        <v>0</v>
      </c>
      <c r="L627" s="82">
        <f t="shared" ca="1" si="204"/>
        <v>322</v>
      </c>
      <c r="M627" s="16">
        <f t="shared" ca="1" si="205"/>
        <v>678</v>
      </c>
      <c r="N627" s="3">
        <f t="shared" ca="1" si="206"/>
        <v>4</v>
      </c>
      <c r="O627" s="19">
        <f t="shared" ca="1" si="207"/>
        <v>2.3453053758100548</v>
      </c>
      <c r="P627" s="19">
        <f t="shared" ca="1" si="208"/>
        <v>23.453053758100552</v>
      </c>
      <c r="Q627" s="19">
        <f t="shared" ca="1" si="209"/>
        <v>23.453053758100552</v>
      </c>
      <c r="R627" s="19">
        <f t="shared" ca="1" si="210"/>
        <v>2.3453053758100553</v>
      </c>
      <c r="S627" s="19">
        <f t="shared" ca="1" si="211"/>
        <v>2.3453053758100548</v>
      </c>
      <c r="T627" s="19">
        <f t="shared" ca="1" si="212"/>
        <v>0</v>
      </c>
      <c r="U627" s="19">
        <f t="shared" ca="1" si="213"/>
        <v>1401.9587218163997</v>
      </c>
      <c r="V627" s="19">
        <f t="shared" ca="1" si="214"/>
        <v>0</v>
      </c>
      <c r="W627" s="82">
        <f t="shared" ca="1" si="215"/>
        <v>2317.4615205439818</v>
      </c>
      <c r="X627" s="19">
        <f t="shared" ca="1" si="216"/>
        <v>0</v>
      </c>
      <c r="Y627" s="19">
        <f t="shared" si="217"/>
        <v>0</v>
      </c>
      <c r="Z627" s="82">
        <f t="shared" ca="1" si="218"/>
        <v>2317.4615205439818</v>
      </c>
      <c r="AA627" s="19">
        <f t="shared" ca="1" si="219"/>
        <v>0</v>
      </c>
    </row>
    <row r="628" spans="1:27" ht="12.75" customHeight="1" x14ac:dyDescent="0.2">
      <c r="A628">
        <v>0</v>
      </c>
      <c r="B628">
        <v>2</v>
      </c>
      <c r="C628">
        <f t="shared" ca="1" si="198"/>
        <v>4</v>
      </c>
      <c r="D628">
        <f t="shared" ca="1" si="199"/>
        <v>3</v>
      </c>
      <c r="E628">
        <f t="shared" ca="1" si="200"/>
        <v>0</v>
      </c>
      <c r="F628" s="61">
        <f t="shared" ca="1" si="201"/>
        <v>1.112821248E-2</v>
      </c>
      <c r="G628">
        <v>1</v>
      </c>
      <c r="H628">
        <v>0</v>
      </c>
      <c r="I628">
        <v>7</v>
      </c>
      <c r="J628" s="61">
        <f t="shared" ca="1" si="202"/>
        <v>0</v>
      </c>
      <c r="K628" s="61">
        <f t="shared" ca="1" si="203"/>
        <v>0</v>
      </c>
      <c r="L628" s="82">
        <f t="shared" ca="1" si="204"/>
        <v>238</v>
      </c>
      <c r="M628" s="16">
        <f t="shared" ca="1" si="205"/>
        <v>762</v>
      </c>
      <c r="N628" s="3">
        <f t="shared" ca="1" si="206"/>
        <v>5</v>
      </c>
      <c r="O628" s="19">
        <f t="shared" ca="1" si="207"/>
        <v>2.8178718937399587</v>
      </c>
      <c r="P628" s="19">
        <f t="shared" ca="1" si="208"/>
        <v>25.815886347750073</v>
      </c>
      <c r="Q628" s="19">
        <f t="shared" ca="1" si="209"/>
        <v>23.453053758100552</v>
      </c>
      <c r="R628" s="19">
        <f t="shared" ca="1" si="210"/>
        <v>2.4634470052925312</v>
      </c>
      <c r="S628" s="19">
        <f t="shared" ca="1" si="211"/>
        <v>2.8178718937399587</v>
      </c>
      <c r="T628" s="19">
        <f t="shared" ca="1" si="212"/>
        <v>0</v>
      </c>
      <c r="U628" s="19">
        <f t="shared" ca="1" si="213"/>
        <v>1497.3251747165598</v>
      </c>
      <c r="V628" s="19">
        <f t="shared" ca="1" si="214"/>
        <v>0</v>
      </c>
      <c r="W628" s="82">
        <f t="shared" ca="1" si="215"/>
        <v>5718.7981307870377</v>
      </c>
      <c r="X628" s="19">
        <f t="shared" ca="1" si="216"/>
        <v>0</v>
      </c>
      <c r="Y628" s="19">
        <f t="shared" si="217"/>
        <v>0</v>
      </c>
      <c r="Z628" s="82">
        <f t="shared" ca="1" si="218"/>
        <v>5718.7981307870377</v>
      </c>
      <c r="AA628" s="19">
        <f t="shared" ca="1" si="219"/>
        <v>0</v>
      </c>
    </row>
    <row r="629" spans="1:27" ht="12.75" customHeight="1" x14ac:dyDescent="0.2">
      <c r="A629">
        <v>0</v>
      </c>
      <c r="B629">
        <v>2</v>
      </c>
      <c r="C629">
        <f t="shared" ca="1" si="198"/>
        <v>4</v>
      </c>
      <c r="D629">
        <f t="shared" ca="1" si="199"/>
        <v>3</v>
      </c>
      <c r="E629">
        <f t="shared" ca="1" si="200"/>
        <v>0</v>
      </c>
      <c r="F629" s="61">
        <f t="shared" ca="1" si="201"/>
        <v>1.112821248E-2</v>
      </c>
      <c r="G629">
        <v>1</v>
      </c>
      <c r="H629">
        <v>0</v>
      </c>
      <c r="I629">
        <v>6</v>
      </c>
      <c r="J629" s="61">
        <f t="shared" ca="1" si="202"/>
        <v>0</v>
      </c>
      <c r="K629" s="61">
        <f t="shared" ca="1" si="203"/>
        <v>0</v>
      </c>
      <c r="L629" s="82">
        <f t="shared" ca="1" si="204"/>
        <v>227</v>
      </c>
      <c r="M629" s="16">
        <f t="shared" ca="1" si="205"/>
        <v>773</v>
      </c>
      <c r="N629" s="3">
        <f t="shared" ca="1" si="206"/>
        <v>5</v>
      </c>
      <c r="O629" s="19">
        <f t="shared" ca="1" si="207"/>
        <v>2.8178718937399587</v>
      </c>
      <c r="P629" s="19">
        <f t="shared" ca="1" si="208"/>
        <v>28.178718937399587</v>
      </c>
      <c r="Q629" s="19">
        <f t="shared" ca="1" si="209"/>
        <v>26.288452865679979</v>
      </c>
      <c r="R629" s="19">
        <f t="shared" ca="1" si="210"/>
        <v>2.7233585901539783</v>
      </c>
      <c r="S629" s="19">
        <f t="shared" ca="1" si="211"/>
        <v>2.8178718937399587</v>
      </c>
      <c r="T629" s="19">
        <f t="shared" ca="1" si="212"/>
        <v>0</v>
      </c>
      <c r="U629" s="19">
        <f t="shared" ca="1" si="213"/>
        <v>1486.3251747165598</v>
      </c>
      <c r="V629" s="19">
        <f t="shared" ca="1" si="214"/>
        <v>0</v>
      </c>
      <c r="W629" s="82">
        <f t="shared" ca="1" si="215"/>
        <v>5232.8929007523147</v>
      </c>
      <c r="X629" s="19">
        <f t="shared" ca="1" si="216"/>
        <v>0</v>
      </c>
      <c r="Y629" s="19">
        <f t="shared" si="217"/>
        <v>0</v>
      </c>
      <c r="Z629" s="82">
        <f t="shared" ca="1" si="218"/>
        <v>5232.8929007523147</v>
      </c>
      <c r="AA629" s="19">
        <f t="shared" ca="1" si="219"/>
        <v>0</v>
      </c>
    </row>
    <row r="630" spans="1:27" ht="12.75" customHeight="1" x14ac:dyDescent="0.2">
      <c r="A630">
        <v>0</v>
      </c>
      <c r="B630">
        <v>2</v>
      </c>
      <c r="C630">
        <f t="shared" ca="1" si="198"/>
        <v>4</v>
      </c>
      <c r="D630">
        <f t="shared" ca="1" si="199"/>
        <v>3</v>
      </c>
      <c r="E630">
        <f t="shared" ca="1" si="200"/>
        <v>0</v>
      </c>
      <c r="F630" s="61">
        <f t="shared" ca="1" si="201"/>
        <v>1.112821248E-2</v>
      </c>
      <c r="G630">
        <v>1</v>
      </c>
      <c r="H630">
        <v>0</v>
      </c>
      <c r="I630">
        <v>5</v>
      </c>
      <c r="J630" s="61">
        <f t="shared" ca="1" si="202"/>
        <v>0</v>
      </c>
      <c r="K630" s="61">
        <f t="shared" ca="1" si="203"/>
        <v>0</v>
      </c>
      <c r="L630" s="82">
        <f t="shared" ca="1" si="204"/>
        <v>216</v>
      </c>
      <c r="M630" s="16">
        <f t="shared" ca="1" si="205"/>
        <v>784</v>
      </c>
      <c r="N630" s="3">
        <f t="shared" ca="1" si="206"/>
        <v>5</v>
      </c>
      <c r="O630" s="19">
        <f t="shared" ca="1" si="207"/>
        <v>2.8178718937399587</v>
      </c>
      <c r="P630" s="19">
        <f t="shared" ca="1" si="208"/>
        <v>28.178718937399587</v>
      </c>
      <c r="Q630" s="19">
        <f t="shared" ca="1" si="209"/>
        <v>28.178718937399587</v>
      </c>
      <c r="R630" s="19">
        <f t="shared" ca="1" si="210"/>
        <v>2.8178718937399587</v>
      </c>
      <c r="S630" s="19">
        <f t="shared" ca="1" si="211"/>
        <v>2.8178718937399587</v>
      </c>
      <c r="T630" s="19">
        <f t="shared" ca="1" si="212"/>
        <v>0</v>
      </c>
      <c r="U630" s="19">
        <f t="shared" ca="1" si="213"/>
        <v>1475.3251747165598</v>
      </c>
      <c r="V630" s="19">
        <f t="shared" ca="1" si="214"/>
        <v>0</v>
      </c>
      <c r="W630" s="82">
        <f t="shared" ca="1" si="215"/>
        <v>4746.9876707175936</v>
      </c>
      <c r="X630" s="19">
        <f t="shared" ca="1" si="216"/>
        <v>0</v>
      </c>
      <c r="Y630" s="19">
        <f t="shared" si="217"/>
        <v>0</v>
      </c>
      <c r="Z630" s="82">
        <f t="shared" ca="1" si="218"/>
        <v>4746.9876707175936</v>
      </c>
      <c r="AA630" s="19">
        <f t="shared" ca="1" si="219"/>
        <v>0</v>
      </c>
    </row>
    <row r="631" spans="1:27" ht="12.75" customHeight="1" x14ac:dyDescent="0.2">
      <c r="A631">
        <v>0</v>
      </c>
      <c r="B631">
        <v>2</v>
      </c>
      <c r="C631">
        <f t="shared" ca="1" si="198"/>
        <v>4</v>
      </c>
      <c r="D631">
        <f t="shared" ca="1" si="199"/>
        <v>3</v>
      </c>
      <c r="E631">
        <f t="shared" ca="1" si="200"/>
        <v>0</v>
      </c>
      <c r="F631" s="61">
        <f t="shared" ca="1" si="201"/>
        <v>1.112821248E-2</v>
      </c>
      <c r="G631">
        <v>1</v>
      </c>
      <c r="H631">
        <v>0</v>
      </c>
      <c r="I631">
        <v>4</v>
      </c>
      <c r="J631" s="61">
        <f t="shared" ca="1" si="202"/>
        <v>0</v>
      </c>
      <c r="K631" s="61">
        <f t="shared" ca="1" si="203"/>
        <v>0</v>
      </c>
      <c r="L631" s="82">
        <f t="shared" ca="1" si="204"/>
        <v>205</v>
      </c>
      <c r="M631" s="16">
        <f t="shared" ca="1" si="205"/>
        <v>795</v>
      </c>
      <c r="N631" s="3">
        <f t="shared" ca="1" si="206"/>
        <v>5</v>
      </c>
      <c r="O631" s="19">
        <f t="shared" ca="1" si="207"/>
        <v>2.8178718937399587</v>
      </c>
      <c r="P631" s="19">
        <f t="shared" ca="1" si="208"/>
        <v>28.178718937399587</v>
      </c>
      <c r="Q631" s="19">
        <f t="shared" ca="1" si="209"/>
        <v>28.178718937399587</v>
      </c>
      <c r="R631" s="19">
        <f t="shared" ca="1" si="210"/>
        <v>2.8178718937399587</v>
      </c>
      <c r="S631" s="19">
        <f t="shared" ca="1" si="211"/>
        <v>2.8178718937399587</v>
      </c>
      <c r="T631" s="19">
        <f t="shared" ca="1" si="212"/>
        <v>0</v>
      </c>
      <c r="U631" s="19">
        <f t="shared" ca="1" si="213"/>
        <v>1464.3251747165598</v>
      </c>
      <c r="V631" s="19">
        <f t="shared" ca="1" si="214"/>
        <v>0</v>
      </c>
      <c r="W631" s="82">
        <f t="shared" ca="1" si="215"/>
        <v>4261.0824406828706</v>
      </c>
      <c r="X631" s="19">
        <f t="shared" ca="1" si="216"/>
        <v>0</v>
      </c>
      <c r="Y631" s="19">
        <f t="shared" si="217"/>
        <v>0</v>
      </c>
      <c r="Z631" s="82">
        <f t="shared" ca="1" si="218"/>
        <v>4261.0824406828706</v>
      </c>
      <c r="AA631" s="19">
        <f t="shared" ca="1" si="219"/>
        <v>0</v>
      </c>
    </row>
    <row r="632" spans="1:27" ht="12.75" customHeight="1" x14ac:dyDescent="0.2">
      <c r="A632">
        <v>0</v>
      </c>
      <c r="B632">
        <v>2</v>
      </c>
      <c r="C632">
        <f t="shared" ca="1" si="198"/>
        <v>4</v>
      </c>
      <c r="D632">
        <f t="shared" ca="1" si="199"/>
        <v>3</v>
      </c>
      <c r="E632">
        <f t="shared" ca="1" si="200"/>
        <v>0</v>
      </c>
      <c r="F632" s="61">
        <f t="shared" ca="1" si="201"/>
        <v>1.112821248E-2</v>
      </c>
      <c r="G632">
        <v>1</v>
      </c>
      <c r="H632">
        <v>0</v>
      </c>
      <c r="I632">
        <v>3</v>
      </c>
      <c r="J632" s="61">
        <f t="shared" ca="1" si="202"/>
        <v>0.81450624999999988</v>
      </c>
      <c r="K632" s="61">
        <f t="shared" ca="1" si="203"/>
        <v>9.0639986162879983E-3</v>
      </c>
      <c r="L632" s="82">
        <f t="shared" ca="1" si="204"/>
        <v>194</v>
      </c>
      <c r="M632" s="16">
        <f t="shared" ca="1" si="205"/>
        <v>806</v>
      </c>
      <c r="N632" s="3">
        <f t="shared" ca="1" si="206"/>
        <v>5</v>
      </c>
      <c r="O632" s="19">
        <f t="shared" ca="1" si="207"/>
        <v>2.8178718937399587</v>
      </c>
      <c r="P632" s="19">
        <f t="shared" ca="1" si="208"/>
        <v>28.178718937399587</v>
      </c>
      <c r="Q632" s="19">
        <f t="shared" ca="1" si="209"/>
        <v>28.178718937399587</v>
      </c>
      <c r="R632" s="19">
        <f t="shared" ca="1" si="210"/>
        <v>2.8178718937399587</v>
      </c>
      <c r="S632" s="19">
        <f t="shared" ca="1" si="211"/>
        <v>2.8178718937399587</v>
      </c>
      <c r="T632" s="19">
        <f t="shared" ca="1" si="212"/>
        <v>2.5541186945735827E-2</v>
      </c>
      <c r="U632" s="19">
        <f t="shared" ca="1" si="213"/>
        <v>1453.3251747165598</v>
      </c>
      <c r="V632" s="19">
        <f t="shared" ca="1" si="214"/>
        <v>13.172937372647411</v>
      </c>
      <c r="W632" s="82">
        <f t="shared" ca="1" si="215"/>
        <v>3775.1772106481485</v>
      </c>
      <c r="X632" s="19">
        <f t="shared" ca="1" si="216"/>
        <v>34.218201013556801</v>
      </c>
      <c r="Y632" s="19">
        <f t="shared" si="217"/>
        <v>0</v>
      </c>
      <c r="Z632" s="82">
        <f t="shared" ca="1" si="218"/>
        <v>3775.1772106481485</v>
      </c>
      <c r="AA632" s="19">
        <f t="shared" ca="1" si="219"/>
        <v>34.218201013556801</v>
      </c>
    </row>
    <row r="633" spans="1:27" ht="12.75" customHeight="1" x14ac:dyDescent="0.2">
      <c r="A633">
        <v>0</v>
      </c>
      <c r="B633">
        <v>2</v>
      </c>
      <c r="C633">
        <f t="shared" ca="1" si="198"/>
        <v>4</v>
      </c>
      <c r="D633">
        <f t="shared" ca="1" si="199"/>
        <v>3</v>
      </c>
      <c r="E633">
        <f t="shared" ca="1" si="200"/>
        <v>0</v>
      </c>
      <c r="F633" s="61">
        <f t="shared" ca="1" si="201"/>
        <v>1.112821248E-2</v>
      </c>
      <c r="G633">
        <v>1</v>
      </c>
      <c r="H633">
        <v>0</v>
      </c>
      <c r="I633">
        <v>2</v>
      </c>
      <c r="J633" s="61">
        <f t="shared" ca="1" si="202"/>
        <v>0.12860625000000012</v>
      </c>
      <c r="K633" s="61">
        <f t="shared" ca="1" si="203"/>
        <v>1.4311576762560012E-3</v>
      </c>
      <c r="L633" s="82">
        <f t="shared" ca="1" si="204"/>
        <v>183</v>
      </c>
      <c r="M633" s="16">
        <f t="shared" ca="1" si="205"/>
        <v>817</v>
      </c>
      <c r="N633" s="3">
        <f t="shared" ca="1" si="206"/>
        <v>5</v>
      </c>
      <c r="O633" s="19">
        <f t="shared" ca="1" si="207"/>
        <v>2.8178718937399587</v>
      </c>
      <c r="P633" s="19">
        <f t="shared" ca="1" si="208"/>
        <v>28.178718937399587</v>
      </c>
      <c r="Q633" s="19">
        <f t="shared" ca="1" si="209"/>
        <v>28.178718937399587</v>
      </c>
      <c r="R633" s="19">
        <f t="shared" ca="1" si="210"/>
        <v>2.8178718937399587</v>
      </c>
      <c r="S633" s="19">
        <f t="shared" ca="1" si="211"/>
        <v>2.8178718937399587</v>
      </c>
      <c r="T633" s="19">
        <f t="shared" ca="1" si="212"/>
        <v>4.032818991431977E-3</v>
      </c>
      <c r="U633" s="19">
        <f t="shared" ca="1" si="213"/>
        <v>1442.3251747165598</v>
      </c>
      <c r="V633" s="19">
        <f t="shared" ca="1" si="214"/>
        <v>2.0641947454528826</v>
      </c>
      <c r="W633" s="82">
        <f t="shared" ca="1" si="215"/>
        <v>3289.2719806134264</v>
      </c>
      <c r="X633" s="19">
        <f t="shared" ca="1" si="216"/>
        <v>4.7074668443486862</v>
      </c>
      <c r="Y633" s="19">
        <f t="shared" si="217"/>
        <v>0</v>
      </c>
      <c r="Z633" s="82">
        <f t="shared" ca="1" si="218"/>
        <v>3289.2719806134264</v>
      </c>
      <c r="AA633" s="19">
        <f t="shared" ca="1" si="219"/>
        <v>4.7074668443486862</v>
      </c>
    </row>
    <row r="634" spans="1:27" ht="12.75" customHeight="1" x14ac:dyDescent="0.2">
      <c r="A634">
        <v>0</v>
      </c>
      <c r="B634">
        <v>2</v>
      </c>
      <c r="C634">
        <f t="shared" ca="1" si="198"/>
        <v>4</v>
      </c>
      <c r="D634">
        <f t="shared" ca="1" si="199"/>
        <v>3</v>
      </c>
      <c r="E634">
        <f t="shared" ca="1" si="200"/>
        <v>0</v>
      </c>
      <c r="F634" s="61">
        <f t="shared" ca="1" si="201"/>
        <v>1.112821248E-2</v>
      </c>
      <c r="G634">
        <v>1</v>
      </c>
      <c r="H634">
        <v>0</v>
      </c>
      <c r="I634">
        <v>1</v>
      </c>
      <c r="J634" s="61">
        <f t="shared" ca="1" si="202"/>
        <v>6.7687500000000109E-3</v>
      </c>
      <c r="K634" s="61">
        <f t="shared" ca="1" si="203"/>
        <v>7.5324088224000126E-5</v>
      </c>
      <c r="L634" s="82">
        <f t="shared" ca="1" si="204"/>
        <v>172</v>
      </c>
      <c r="M634" s="16">
        <f t="shared" ca="1" si="205"/>
        <v>828</v>
      </c>
      <c r="N634" s="3">
        <f t="shared" ca="1" si="206"/>
        <v>5</v>
      </c>
      <c r="O634" s="19">
        <f t="shared" ca="1" si="207"/>
        <v>2.8178718937399587</v>
      </c>
      <c r="P634" s="19">
        <f t="shared" ca="1" si="208"/>
        <v>28.178718937399587</v>
      </c>
      <c r="Q634" s="19">
        <f t="shared" ca="1" si="209"/>
        <v>28.178718937399587</v>
      </c>
      <c r="R634" s="19">
        <f t="shared" ca="1" si="210"/>
        <v>2.8178718937399587</v>
      </c>
      <c r="S634" s="19">
        <f t="shared" ca="1" si="211"/>
        <v>2.8178718937399587</v>
      </c>
      <c r="T634" s="19">
        <f t="shared" ca="1" si="212"/>
        <v>2.1225363112799896E-4</v>
      </c>
      <c r="U634" s="19">
        <f t="shared" ca="1" si="213"/>
        <v>1431.3251747165598</v>
      </c>
      <c r="V634" s="19">
        <f t="shared" ca="1" si="214"/>
        <v>0.10781326373758254</v>
      </c>
      <c r="W634" s="82">
        <f t="shared" ca="1" si="215"/>
        <v>2803.3667505787039</v>
      </c>
      <c r="X634" s="19">
        <f t="shared" ca="1" si="216"/>
        <v>0.21116104444481884</v>
      </c>
      <c r="Y634" s="19">
        <f t="shared" si="217"/>
        <v>0</v>
      </c>
      <c r="Z634" s="82">
        <f t="shared" ca="1" si="218"/>
        <v>2803.3667505787039</v>
      </c>
      <c r="AA634" s="19">
        <f t="shared" ca="1" si="219"/>
        <v>0.21116104444481884</v>
      </c>
    </row>
    <row r="635" spans="1:27" ht="12.75" customHeight="1" x14ac:dyDescent="0.2">
      <c r="A635">
        <v>0</v>
      </c>
      <c r="B635">
        <v>2</v>
      </c>
      <c r="C635">
        <f t="shared" ca="1" si="198"/>
        <v>4</v>
      </c>
      <c r="D635">
        <f t="shared" ca="1" si="199"/>
        <v>3</v>
      </c>
      <c r="E635">
        <f t="shared" ca="1" si="200"/>
        <v>0</v>
      </c>
      <c r="F635" s="61">
        <f t="shared" ca="1" si="201"/>
        <v>1.112821248E-2</v>
      </c>
      <c r="G635">
        <v>1</v>
      </c>
      <c r="H635">
        <v>0</v>
      </c>
      <c r="I635">
        <v>0</v>
      </c>
      <c r="J635" s="61">
        <f t="shared" ca="1" si="202"/>
        <v>1.1875000000000031E-4</v>
      </c>
      <c r="K635" s="61">
        <f t="shared" ca="1" si="203"/>
        <v>1.3214752320000035E-6</v>
      </c>
      <c r="L635" s="82">
        <f t="shared" ca="1" si="204"/>
        <v>161</v>
      </c>
      <c r="M635" s="16">
        <f t="shared" ca="1" si="205"/>
        <v>839</v>
      </c>
      <c r="N635" s="3">
        <f t="shared" ca="1" si="206"/>
        <v>5</v>
      </c>
      <c r="O635" s="19">
        <f t="shared" ca="1" si="207"/>
        <v>2.8178718937399587</v>
      </c>
      <c r="P635" s="19">
        <f t="shared" ca="1" si="208"/>
        <v>28.178718937399587</v>
      </c>
      <c r="Q635" s="19">
        <f t="shared" ca="1" si="209"/>
        <v>28.178718937399587</v>
      </c>
      <c r="R635" s="19">
        <f t="shared" ca="1" si="210"/>
        <v>2.8178718937399587</v>
      </c>
      <c r="S635" s="19">
        <f t="shared" ca="1" si="211"/>
        <v>2.8178718937399587</v>
      </c>
      <c r="T635" s="19">
        <f t="shared" ca="1" si="212"/>
        <v>3.7237479145263014E-6</v>
      </c>
      <c r="U635" s="19">
        <f t="shared" ca="1" si="213"/>
        <v>1420.3251747165598</v>
      </c>
      <c r="V635" s="19">
        <f t="shared" ca="1" si="214"/>
        <v>1.8769245397740114E-3</v>
      </c>
      <c r="W635" s="82">
        <f t="shared" ca="1" si="215"/>
        <v>2317.4615205439818</v>
      </c>
      <c r="X635" s="19">
        <f t="shared" ca="1" si="216"/>
        <v>3.0624680005119391E-3</v>
      </c>
      <c r="Y635" s="19">
        <f t="shared" si="217"/>
        <v>0</v>
      </c>
      <c r="Z635" s="82">
        <f t="shared" ca="1" si="218"/>
        <v>2317.4615205439818</v>
      </c>
      <c r="AA635" s="19">
        <f t="shared" ca="1" si="219"/>
        <v>3.0624680005119391E-3</v>
      </c>
    </row>
    <row r="636" spans="1:27" ht="12.75" customHeight="1" x14ac:dyDescent="0.2">
      <c r="A636">
        <v>0</v>
      </c>
      <c r="B636">
        <v>2</v>
      </c>
      <c r="C636">
        <f t="shared" ca="1" si="198"/>
        <v>4</v>
      </c>
      <c r="D636">
        <f t="shared" ca="1" si="199"/>
        <v>3</v>
      </c>
      <c r="E636">
        <f t="shared" ca="1" si="200"/>
        <v>0</v>
      </c>
      <c r="F636" s="61">
        <f t="shared" ca="1" si="201"/>
        <v>1.112821248E-2</v>
      </c>
      <c r="G636">
        <v>0</v>
      </c>
      <c r="H636">
        <v>1</v>
      </c>
      <c r="I636">
        <v>7</v>
      </c>
      <c r="J636" s="61">
        <f t="shared" ca="1" si="202"/>
        <v>0</v>
      </c>
      <c r="K636" s="61">
        <f t="shared" ca="1" si="203"/>
        <v>0</v>
      </c>
      <c r="L636" s="82">
        <f t="shared" ca="1" si="204"/>
        <v>238</v>
      </c>
      <c r="M636" s="16">
        <f t="shared" ca="1" si="205"/>
        <v>762</v>
      </c>
      <c r="N636" s="3">
        <f t="shared" ca="1" si="206"/>
        <v>5</v>
      </c>
      <c r="O636" s="19">
        <f t="shared" ca="1" si="207"/>
        <v>2.8178718937399587</v>
      </c>
      <c r="P636" s="19">
        <f t="shared" ca="1" si="208"/>
        <v>25.815886347750073</v>
      </c>
      <c r="Q636" s="19">
        <f t="shared" ca="1" si="209"/>
        <v>23.453053758100552</v>
      </c>
      <c r="R636" s="19">
        <f t="shared" ca="1" si="210"/>
        <v>2.4634470052925312</v>
      </c>
      <c r="S636" s="19">
        <f t="shared" ca="1" si="211"/>
        <v>2.8178718937399587</v>
      </c>
      <c r="T636" s="19">
        <f t="shared" ca="1" si="212"/>
        <v>0</v>
      </c>
      <c r="U636" s="19">
        <f t="shared" ca="1" si="213"/>
        <v>1497.3251747165598</v>
      </c>
      <c r="V636" s="19">
        <f t="shared" ca="1" si="214"/>
        <v>0</v>
      </c>
      <c r="W636" s="82">
        <f t="shared" ca="1" si="215"/>
        <v>3401.3366102430559</v>
      </c>
      <c r="X636" s="19">
        <f t="shared" ca="1" si="216"/>
        <v>0</v>
      </c>
      <c r="Y636" s="19">
        <f t="shared" si="217"/>
        <v>0</v>
      </c>
      <c r="Z636" s="82">
        <f t="shared" ca="1" si="218"/>
        <v>3401.3366102430559</v>
      </c>
      <c r="AA636" s="19">
        <f t="shared" ca="1" si="219"/>
        <v>0</v>
      </c>
    </row>
    <row r="637" spans="1:27" ht="12.75" customHeight="1" x14ac:dyDescent="0.2">
      <c r="A637">
        <v>0</v>
      </c>
      <c r="B637">
        <v>2</v>
      </c>
      <c r="C637">
        <f t="shared" ca="1" si="198"/>
        <v>4</v>
      </c>
      <c r="D637">
        <f t="shared" ca="1" si="199"/>
        <v>3</v>
      </c>
      <c r="E637">
        <f t="shared" ca="1" si="200"/>
        <v>0</v>
      </c>
      <c r="F637" s="61">
        <f t="shared" ca="1" si="201"/>
        <v>1.112821248E-2</v>
      </c>
      <c r="G637">
        <v>0</v>
      </c>
      <c r="H637">
        <v>1</v>
      </c>
      <c r="I637">
        <v>6</v>
      </c>
      <c r="J637" s="61">
        <f t="shared" ca="1" si="202"/>
        <v>0</v>
      </c>
      <c r="K637" s="61">
        <f t="shared" ca="1" si="203"/>
        <v>0</v>
      </c>
      <c r="L637" s="82">
        <f t="shared" ca="1" si="204"/>
        <v>227</v>
      </c>
      <c r="M637" s="16">
        <f t="shared" ca="1" si="205"/>
        <v>773</v>
      </c>
      <c r="N637" s="3">
        <f t="shared" ca="1" si="206"/>
        <v>5</v>
      </c>
      <c r="O637" s="19">
        <f t="shared" ca="1" si="207"/>
        <v>2.8178718937399587</v>
      </c>
      <c r="P637" s="19">
        <f t="shared" ca="1" si="208"/>
        <v>28.178718937399587</v>
      </c>
      <c r="Q637" s="19">
        <f t="shared" ca="1" si="209"/>
        <v>26.288452865679979</v>
      </c>
      <c r="R637" s="19">
        <f t="shared" ca="1" si="210"/>
        <v>2.7233585901539783</v>
      </c>
      <c r="S637" s="19">
        <f t="shared" ca="1" si="211"/>
        <v>2.8178718937399587</v>
      </c>
      <c r="T637" s="19">
        <f t="shared" ca="1" si="212"/>
        <v>0</v>
      </c>
      <c r="U637" s="19">
        <f t="shared" ca="1" si="213"/>
        <v>1486.3251747165598</v>
      </c>
      <c r="V637" s="19">
        <f t="shared" ca="1" si="214"/>
        <v>0</v>
      </c>
      <c r="W637" s="82">
        <f t="shared" ca="1" si="215"/>
        <v>2915.4313802083334</v>
      </c>
      <c r="X637" s="19">
        <f t="shared" ca="1" si="216"/>
        <v>0</v>
      </c>
      <c r="Y637" s="19">
        <f t="shared" si="217"/>
        <v>0</v>
      </c>
      <c r="Z637" s="82">
        <f t="shared" ca="1" si="218"/>
        <v>2915.4313802083334</v>
      </c>
      <c r="AA637" s="19">
        <f t="shared" ca="1" si="219"/>
        <v>0</v>
      </c>
    </row>
    <row r="638" spans="1:27" ht="12.75" customHeight="1" x14ac:dyDescent="0.2">
      <c r="A638">
        <v>0</v>
      </c>
      <c r="B638">
        <v>2</v>
      </c>
      <c r="C638">
        <f t="shared" ca="1" si="198"/>
        <v>4</v>
      </c>
      <c r="D638">
        <f t="shared" ca="1" si="199"/>
        <v>3</v>
      </c>
      <c r="E638">
        <f t="shared" ca="1" si="200"/>
        <v>0</v>
      </c>
      <c r="F638" s="61">
        <f t="shared" ca="1" si="201"/>
        <v>1.112821248E-2</v>
      </c>
      <c r="G638">
        <v>0</v>
      </c>
      <c r="H638">
        <v>1</v>
      </c>
      <c r="I638">
        <v>5</v>
      </c>
      <c r="J638" s="61">
        <f t="shared" ca="1" si="202"/>
        <v>0</v>
      </c>
      <c r="K638" s="61">
        <f t="shared" ca="1" si="203"/>
        <v>0</v>
      </c>
      <c r="L638" s="82">
        <f t="shared" ca="1" si="204"/>
        <v>216</v>
      </c>
      <c r="M638" s="16">
        <f t="shared" ca="1" si="205"/>
        <v>784</v>
      </c>
      <c r="N638" s="3">
        <f t="shared" ca="1" si="206"/>
        <v>5</v>
      </c>
      <c r="O638" s="19">
        <f t="shared" ca="1" si="207"/>
        <v>2.8178718937399587</v>
      </c>
      <c r="P638" s="19">
        <f t="shared" ca="1" si="208"/>
        <v>28.178718937399587</v>
      </c>
      <c r="Q638" s="19">
        <f t="shared" ca="1" si="209"/>
        <v>28.178718937399587</v>
      </c>
      <c r="R638" s="19">
        <f t="shared" ca="1" si="210"/>
        <v>2.8178718937399587</v>
      </c>
      <c r="S638" s="19">
        <f t="shared" ca="1" si="211"/>
        <v>2.8178718937399587</v>
      </c>
      <c r="T638" s="19">
        <f t="shared" ca="1" si="212"/>
        <v>0</v>
      </c>
      <c r="U638" s="19">
        <f t="shared" ca="1" si="213"/>
        <v>1475.3251747165598</v>
      </c>
      <c r="V638" s="19">
        <f t="shared" ca="1" si="214"/>
        <v>0</v>
      </c>
      <c r="W638" s="82">
        <f t="shared" ca="1" si="215"/>
        <v>2429.5261501736113</v>
      </c>
      <c r="X638" s="19">
        <f t="shared" ca="1" si="216"/>
        <v>0</v>
      </c>
      <c r="Y638" s="19">
        <f t="shared" si="217"/>
        <v>0</v>
      </c>
      <c r="Z638" s="82">
        <f t="shared" ca="1" si="218"/>
        <v>2429.5261501736113</v>
      </c>
      <c r="AA638" s="19">
        <f t="shared" ca="1" si="219"/>
        <v>0</v>
      </c>
    </row>
    <row r="639" spans="1:27" ht="12.75" customHeight="1" x14ac:dyDescent="0.2">
      <c r="A639">
        <v>0</v>
      </c>
      <c r="B639">
        <v>2</v>
      </c>
      <c r="C639">
        <f t="shared" ca="1" si="198"/>
        <v>4</v>
      </c>
      <c r="D639">
        <f t="shared" ca="1" si="199"/>
        <v>3</v>
      </c>
      <c r="E639">
        <f t="shared" ca="1" si="200"/>
        <v>0</v>
      </c>
      <c r="F639" s="61">
        <f t="shared" ca="1" si="201"/>
        <v>1.112821248E-2</v>
      </c>
      <c r="G639">
        <v>0</v>
      </c>
      <c r="H639">
        <v>1</v>
      </c>
      <c r="I639">
        <v>4</v>
      </c>
      <c r="J639" s="61">
        <f t="shared" ca="1" si="202"/>
        <v>0</v>
      </c>
      <c r="K639" s="61">
        <f t="shared" ca="1" si="203"/>
        <v>0</v>
      </c>
      <c r="L639" s="82">
        <f t="shared" ca="1" si="204"/>
        <v>205</v>
      </c>
      <c r="M639" s="16">
        <f t="shared" ca="1" si="205"/>
        <v>795</v>
      </c>
      <c r="N639" s="3">
        <f t="shared" ca="1" si="206"/>
        <v>5</v>
      </c>
      <c r="O639" s="19">
        <f t="shared" ca="1" si="207"/>
        <v>2.8178718937399587</v>
      </c>
      <c r="P639" s="19">
        <f t="shared" ca="1" si="208"/>
        <v>28.178718937399587</v>
      </c>
      <c r="Q639" s="19">
        <f t="shared" ca="1" si="209"/>
        <v>28.178718937399587</v>
      </c>
      <c r="R639" s="19">
        <f t="shared" ca="1" si="210"/>
        <v>2.8178718937399587</v>
      </c>
      <c r="S639" s="19">
        <f t="shared" ca="1" si="211"/>
        <v>2.8178718937399587</v>
      </c>
      <c r="T639" s="19">
        <f t="shared" ca="1" si="212"/>
        <v>0</v>
      </c>
      <c r="U639" s="19">
        <f t="shared" ca="1" si="213"/>
        <v>1464.3251747165598</v>
      </c>
      <c r="V639" s="19">
        <f t="shared" ca="1" si="214"/>
        <v>0</v>
      </c>
      <c r="W639" s="82">
        <f t="shared" ca="1" si="215"/>
        <v>1943.620920138889</v>
      </c>
      <c r="X639" s="19">
        <f t="shared" ca="1" si="216"/>
        <v>0</v>
      </c>
      <c r="Y639" s="19">
        <f t="shared" si="217"/>
        <v>0</v>
      </c>
      <c r="Z639" s="82">
        <f t="shared" ca="1" si="218"/>
        <v>1943.620920138889</v>
      </c>
      <c r="AA639" s="19">
        <f t="shared" ca="1" si="219"/>
        <v>0</v>
      </c>
    </row>
    <row r="640" spans="1:27" ht="12.75" customHeight="1" x14ac:dyDescent="0.2">
      <c r="A640">
        <v>0</v>
      </c>
      <c r="B640">
        <v>2</v>
      </c>
      <c r="C640">
        <f t="shared" ca="1" si="198"/>
        <v>4</v>
      </c>
      <c r="D640">
        <f t="shared" ca="1" si="199"/>
        <v>3</v>
      </c>
      <c r="E640">
        <f t="shared" ca="1" si="200"/>
        <v>0</v>
      </c>
      <c r="F640" s="61">
        <f t="shared" ca="1" si="201"/>
        <v>1.112821248E-2</v>
      </c>
      <c r="G640">
        <v>0</v>
      </c>
      <c r="H640">
        <v>1</v>
      </c>
      <c r="I640">
        <v>3</v>
      </c>
      <c r="J640" s="61">
        <f t="shared" ca="1" si="202"/>
        <v>0</v>
      </c>
      <c r="K640" s="61">
        <f t="shared" ca="1" si="203"/>
        <v>0</v>
      </c>
      <c r="L640" s="82">
        <f t="shared" ca="1" si="204"/>
        <v>194</v>
      </c>
      <c r="M640" s="16">
        <f t="shared" ca="1" si="205"/>
        <v>806</v>
      </c>
      <c r="N640" s="3">
        <f t="shared" ca="1" si="206"/>
        <v>5</v>
      </c>
      <c r="O640" s="19">
        <f t="shared" ca="1" si="207"/>
        <v>2.8178718937399587</v>
      </c>
      <c r="P640" s="19">
        <f t="shared" ca="1" si="208"/>
        <v>28.178718937399587</v>
      </c>
      <c r="Q640" s="19">
        <f t="shared" ca="1" si="209"/>
        <v>28.178718937399587</v>
      </c>
      <c r="R640" s="19">
        <f t="shared" ca="1" si="210"/>
        <v>2.8178718937399587</v>
      </c>
      <c r="S640" s="19">
        <f t="shared" ca="1" si="211"/>
        <v>2.8178718937399587</v>
      </c>
      <c r="T640" s="19">
        <f t="shared" ca="1" si="212"/>
        <v>0</v>
      </c>
      <c r="U640" s="19">
        <f t="shared" ca="1" si="213"/>
        <v>1453.3251747165598</v>
      </c>
      <c r="V640" s="19">
        <f t="shared" ca="1" si="214"/>
        <v>0</v>
      </c>
      <c r="W640" s="82">
        <f t="shared" ca="1" si="215"/>
        <v>1457.7156901041667</v>
      </c>
      <c r="X640" s="19">
        <f t="shared" ca="1" si="216"/>
        <v>0</v>
      </c>
      <c r="Y640" s="19">
        <f t="shared" si="217"/>
        <v>0</v>
      </c>
      <c r="Z640" s="82">
        <f t="shared" ca="1" si="218"/>
        <v>1457.7156901041667</v>
      </c>
      <c r="AA640" s="19">
        <f t="shared" ca="1" si="219"/>
        <v>0</v>
      </c>
    </row>
    <row r="641" spans="1:27" ht="12.75" customHeight="1" x14ac:dyDescent="0.2">
      <c r="A641">
        <v>0</v>
      </c>
      <c r="B641">
        <v>2</v>
      </c>
      <c r="C641">
        <f t="shared" ca="1" si="198"/>
        <v>4</v>
      </c>
      <c r="D641">
        <f t="shared" ca="1" si="199"/>
        <v>3</v>
      </c>
      <c r="E641">
        <f t="shared" ca="1" si="200"/>
        <v>0</v>
      </c>
      <c r="F641" s="61">
        <f t="shared" ca="1" si="201"/>
        <v>1.112821248E-2</v>
      </c>
      <c r="G641">
        <v>0</v>
      </c>
      <c r="H641">
        <v>1</v>
      </c>
      <c r="I641">
        <v>2</v>
      </c>
      <c r="J641" s="61">
        <f t="shared" ca="1" si="202"/>
        <v>0</v>
      </c>
      <c r="K641" s="61">
        <f t="shared" ca="1" si="203"/>
        <v>0</v>
      </c>
      <c r="L641" s="82">
        <f t="shared" ca="1" si="204"/>
        <v>183</v>
      </c>
      <c r="M641" s="16">
        <f t="shared" ca="1" si="205"/>
        <v>817</v>
      </c>
      <c r="N641" s="3">
        <f t="shared" ca="1" si="206"/>
        <v>5</v>
      </c>
      <c r="O641" s="19">
        <f t="shared" ca="1" si="207"/>
        <v>2.8178718937399587</v>
      </c>
      <c r="P641" s="19">
        <f t="shared" ca="1" si="208"/>
        <v>28.178718937399587</v>
      </c>
      <c r="Q641" s="19">
        <f t="shared" ca="1" si="209"/>
        <v>28.178718937399587</v>
      </c>
      <c r="R641" s="19">
        <f t="shared" ca="1" si="210"/>
        <v>2.8178718937399587</v>
      </c>
      <c r="S641" s="19">
        <f t="shared" ca="1" si="211"/>
        <v>2.8178718937399587</v>
      </c>
      <c r="T641" s="19">
        <f t="shared" ca="1" si="212"/>
        <v>0</v>
      </c>
      <c r="U641" s="19">
        <f t="shared" ca="1" si="213"/>
        <v>1442.3251747165598</v>
      </c>
      <c r="V641" s="19">
        <f t="shared" ca="1" si="214"/>
        <v>0</v>
      </c>
      <c r="W641" s="82">
        <f t="shared" ca="1" si="215"/>
        <v>971.8104600694445</v>
      </c>
      <c r="X641" s="19">
        <f t="shared" ca="1" si="216"/>
        <v>0</v>
      </c>
      <c r="Y641" s="19">
        <f t="shared" si="217"/>
        <v>0</v>
      </c>
      <c r="Z641" s="82">
        <f t="shared" ca="1" si="218"/>
        <v>971.8104600694445</v>
      </c>
      <c r="AA641" s="19">
        <f t="shared" ca="1" si="219"/>
        <v>0</v>
      </c>
    </row>
    <row r="642" spans="1:27" ht="12.75" customHeight="1" x14ac:dyDescent="0.2">
      <c r="A642">
        <v>0</v>
      </c>
      <c r="B642">
        <v>2</v>
      </c>
      <c r="C642">
        <f t="shared" ca="1" si="198"/>
        <v>4</v>
      </c>
      <c r="D642">
        <f t="shared" ca="1" si="199"/>
        <v>3</v>
      </c>
      <c r="E642">
        <f t="shared" ca="1" si="200"/>
        <v>0</v>
      </c>
      <c r="F642" s="61">
        <f t="shared" ca="1" si="201"/>
        <v>1.112821248E-2</v>
      </c>
      <c r="G642">
        <v>0</v>
      </c>
      <c r="H642">
        <v>1</v>
      </c>
      <c r="I642">
        <v>1</v>
      </c>
      <c r="J642" s="61">
        <f t="shared" ca="1" si="202"/>
        <v>0</v>
      </c>
      <c r="K642" s="61">
        <f t="shared" ca="1" si="203"/>
        <v>0</v>
      </c>
      <c r="L642" s="82">
        <f t="shared" ca="1" si="204"/>
        <v>172</v>
      </c>
      <c r="M642" s="16">
        <f t="shared" ca="1" si="205"/>
        <v>828</v>
      </c>
      <c r="N642" s="3">
        <f t="shared" ca="1" si="206"/>
        <v>5</v>
      </c>
      <c r="O642" s="19">
        <f t="shared" ca="1" si="207"/>
        <v>2.8178718937399587</v>
      </c>
      <c r="P642" s="19">
        <f t="shared" ca="1" si="208"/>
        <v>28.178718937399587</v>
      </c>
      <c r="Q642" s="19">
        <f t="shared" ca="1" si="209"/>
        <v>28.178718937399587</v>
      </c>
      <c r="R642" s="19">
        <f t="shared" ca="1" si="210"/>
        <v>2.8178718937399587</v>
      </c>
      <c r="S642" s="19">
        <f t="shared" ca="1" si="211"/>
        <v>2.8178718937399587</v>
      </c>
      <c r="T642" s="19">
        <f t="shared" ca="1" si="212"/>
        <v>0</v>
      </c>
      <c r="U642" s="19">
        <f t="shared" ca="1" si="213"/>
        <v>1431.3251747165598</v>
      </c>
      <c r="V642" s="19">
        <f t="shared" ca="1" si="214"/>
        <v>0</v>
      </c>
      <c r="W642" s="82">
        <f t="shared" ca="1" si="215"/>
        <v>485.90523003472225</v>
      </c>
      <c r="X642" s="19">
        <f t="shared" ca="1" si="216"/>
        <v>0</v>
      </c>
      <c r="Y642" s="19">
        <f t="shared" si="217"/>
        <v>0</v>
      </c>
      <c r="Z642" s="82">
        <f t="shared" ca="1" si="218"/>
        <v>485.90523003472225</v>
      </c>
      <c r="AA642" s="19">
        <f t="shared" ca="1" si="219"/>
        <v>0</v>
      </c>
    </row>
    <row r="643" spans="1:27" ht="12.75" customHeight="1" x14ac:dyDescent="0.2">
      <c r="A643">
        <v>0</v>
      </c>
      <c r="B643">
        <v>2</v>
      </c>
      <c r="C643">
        <f t="shared" ca="1" si="198"/>
        <v>4</v>
      </c>
      <c r="D643">
        <f t="shared" ca="1" si="199"/>
        <v>3</v>
      </c>
      <c r="E643">
        <f t="shared" ca="1" si="200"/>
        <v>0</v>
      </c>
      <c r="F643" s="61">
        <f t="shared" ca="1" si="201"/>
        <v>1.112821248E-2</v>
      </c>
      <c r="G643">
        <v>0</v>
      </c>
      <c r="H643">
        <v>1</v>
      </c>
      <c r="I643">
        <v>0</v>
      </c>
      <c r="J643" s="61">
        <f t="shared" ca="1" si="202"/>
        <v>0</v>
      </c>
      <c r="K643" s="61">
        <f t="shared" ca="1" si="203"/>
        <v>0</v>
      </c>
      <c r="L643" s="82">
        <f t="shared" ca="1" si="204"/>
        <v>161</v>
      </c>
      <c r="M643" s="16">
        <f t="shared" ca="1" si="205"/>
        <v>839</v>
      </c>
      <c r="N643" s="3">
        <f t="shared" ca="1" si="206"/>
        <v>5</v>
      </c>
      <c r="O643" s="19">
        <f t="shared" ca="1" si="207"/>
        <v>2.8178718937399587</v>
      </c>
      <c r="P643" s="19">
        <f t="shared" ca="1" si="208"/>
        <v>28.178718937399587</v>
      </c>
      <c r="Q643" s="19">
        <f t="shared" ca="1" si="209"/>
        <v>28.178718937399587</v>
      </c>
      <c r="R643" s="19">
        <f t="shared" ca="1" si="210"/>
        <v>2.8178718937399587</v>
      </c>
      <c r="S643" s="19">
        <f t="shared" ca="1" si="211"/>
        <v>2.8178718937399587</v>
      </c>
      <c r="T643" s="19">
        <f t="shared" ca="1" si="212"/>
        <v>0</v>
      </c>
      <c r="U643" s="19">
        <f t="shared" ca="1" si="213"/>
        <v>1420.3251747165598</v>
      </c>
      <c r="V643" s="19">
        <f t="shared" ca="1" si="214"/>
        <v>0</v>
      </c>
      <c r="W643" s="82">
        <f t="shared" ca="1" si="215"/>
        <v>0</v>
      </c>
      <c r="X643" s="19">
        <f t="shared" ca="1" si="216"/>
        <v>0</v>
      </c>
      <c r="Y643" s="19">
        <f t="shared" si="217"/>
        <v>0</v>
      </c>
      <c r="Z643" s="82">
        <f t="shared" ca="1" si="218"/>
        <v>0</v>
      </c>
      <c r="AA643" s="19">
        <f t="shared" ca="1" si="219"/>
        <v>0</v>
      </c>
    </row>
    <row r="644" spans="1:27" ht="12.75" customHeight="1" x14ac:dyDescent="0.2">
      <c r="A644">
        <v>0</v>
      </c>
      <c r="B644">
        <v>2</v>
      </c>
      <c r="C644">
        <f t="shared" ca="1" si="198"/>
        <v>4</v>
      </c>
      <c r="D644">
        <f t="shared" ca="1" si="199"/>
        <v>3</v>
      </c>
      <c r="E644">
        <f t="shared" ca="1" si="200"/>
        <v>0</v>
      </c>
      <c r="F644" s="61">
        <f t="shared" ca="1" si="201"/>
        <v>1.112821248E-2</v>
      </c>
      <c r="G644">
        <v>0</v>
      </c>
      <c r="H644">
        <v>0</v>
      </c>
      <c r="I644">
        <v>7</v>
      </c>
      <c r="J644" s="61">
        <f t="shared" ca="1" si="202"/>
        <v>0</v>
      </c>
      <c r="K644" s="61">
        <f t="shared" ca="1" si="203"/>
        <v>0</v>
      </c>
      <c r="L644" s="82">
        <f t="shared" ca="1" si="204"/>
        <v>77</v>
      </c>
      <c r="M644" s="16">
        <f t="shared" ca="1" si="205"/>
        <v>923</v>
      </c>
      <c r="N644" s="3">
        <f t="shared" ca="1" si="206"/>
        <v>5</v>
      </c>
      <c r="O644" s="19">
        <f t="shared" ca="1" si="207"/>
        <v>2.8178718937399587</v>
      </c>
      <c r="P644" s="19">
        <f t="shared" ca="1" si="208"/>
        <v>28.178718937399587</v>
      </c>
      <c r="Q644" s="19">
        <f t="shared" ca="1" si="209"/>
        <v>28.178718937399587</v>
      </c>
      <c r="R644" s="19">
        <f t="shared" ca="1" si="210"/>
        <v>2.8178718937399587</v>
      </c>
      <c r="S644" s="19">
        <f t="shared" ca="1" si="211"/>
        <v>2.8178718937399587</v>
      </c>
      <c r="T644" s="19">
        <f t="shared" ca="1" si="212"/>
        <v>0</v>
      </c>
      <c r="U644" s="19">
        <f t="shared" ca="1" si="213"/>
        <v>1336.3251747165598</v>
      </c>
      <c r="V644" s="19">
        <f t="shared" ca="1" si="214"/>
        <v>0</v>
      </c>
      <c r="W644" s="82">
        <f t="shared" ca="1" si="215"/>
        <v>3401.3366102430559</v>
      </c>
      <c r="X644" s="19">
        <f t="shared" ca="1" si="216"/>
        <v>0</v>
      </c>
      <c r="Y644" s="19">
        <f t="shared" si="217"/>
        <v>0</v>
      </c>
      <c r="Z644" s="82">
        <f t="shared" ca="1" si="218"/>
        <v>3401.3366102430559</v>
      </c>
      <c r="AA644" s="19">
        <f t="shared" ca="1" si="219"/>
        <v>0</v>
      </c>
    </row>
    <row r="645" spans="1:27" ht="12.75" customHeight="1" x14ac:dyDescent="0.2">
      <c r="A645">
        <v>0</v>
      </c>
      <c r="B645">
        <v>2</v>
      </c>
      <c r="C645">
        <f t="shared" ca="1" si="198"/>
        <v>4</v>
      </c>
      <c r="D645">
        <f t="shared" ca="1" si="199"/>
        <v>3</v>
      </c>
      <c r="E645">
        <f t="shared" ca="1" si="200"/>
        <v>0</v>
      </c>
      <c r="F645" s="61">
        <f t="shared" ca="1" si="201"/>
        <v>1.112821248E-2</v>
      </c>
      <c r="G645">
        <v>0</v>
      </c>
      <c r="H645">
        <v>0</v>
      </c>
      <c r="I645">
        <v>6</v>
      </c>
      <c r="J645" s="61">
        <f t="shared" ca="1" si="202"/>
        <v>0</v>
      </c>
      <c r="K645" s="61">
        <f t="shared" ca="1" si="203"/>
        <v>0</v>
      </c>
      <c r="L645" s="82">
        <f t="shared" ca="1" si="204"/>
        <v>66</v>
      </c>
      <c r="M645" s="16">
        <f t="shared" ca="1" si="205"/>
        <v>934</v>
      </c>
      <c r="N645" s="3">
        <f t="shared" ca="1" si="206"/>
        <v>5</v>
      </c>
      <c r="O645" s="19">
        <f t="shared" ca="1" si="207"/>
        <v>2.8178718937399587</v>
      </c>
      <c r="P645" s="19">
        <f t="shared" ca="1" si="208"/>
        <v>28.178718937399587</v>
      </c>
      <c r="Q645" s="19">
        <f t="shared" ca="1" si="209"/>
        <v>28.178718937399587</v>
      </c>
      <c r="R645" s="19">
        <f t="shared" ca="1" si="210"/>
        <v>2.8178718937399587</v>
      </c>
      <c r="S645" s="19">
        <f t="shared" ca="1" si="211"/>
        <v>2.8178718937399587</v>
      </c>
      <c r="T645" s="19">
        <f t="shared" ca="1" si="212"/>
        <v>0</v>
      </c>
      <c r="U645" s="19">
        <f t="shared" ca="1" si="213"/>
        <v>1325.3251747165598</v>
      </c>
      <c r="V645" s="19">
        <f t="shared" ca="1" si="214"/>
        <v>0</v>
      </c>
      <c r="W645" s="82">
        <f t="shared" ca="1" si="215"/>
        <v>2915.4313802083334</v>
      </c>
      <c r="X645" s="19">
        <f t="shared" ca="1" si="216"/>
        <v>0</v>
      </c>
      <c r="Y645" s="19">
        <f t="shared" si="217"/>
        <v>0</v>
      </c>
      <c r="Z645" s="82">
        <f t="shared" ca="1" si="218"/>
        <v>2915.4313802083334</v>
      </c>
      <c r="AA645" s="19">
        <f t="shared" ca="1" si="219"/>
        <v>0</v>
      </c>
    </row>
    <row r="646" spans="1:27" ht="12.75" customHeight="1" x14ac:dyDescent="0.2">
      <c r="A646">
        <v>0</v>
      </c>
      <c r="B646">
        <v>2</v>
      </c>
      <c r="C646">
        <f t="shared" ca="1" si="198"/>
        <v>4</v>
      </c>
      <c r="D646">
        <f t="shared" ca="1" si="199"/>
        <v>3</v>
      </c>
      <c r="E646">
        <f t="shared" ca="1" si="200"/>
        <v>0</v>
      </c>
      <c r="F646" s="61">
        <f t="shared" ca="1" si="201"/>
        <v>1.112821248E-2</v>
      </c>
      <c r="G646">
        <v>0</v>
      </c>
      <c r="H646">
        <v>0</v>
      </c>
      <c r="I646">
        <v>5</v>
      </c>
      <c r="J646" s="61">
        <f t="shared" ca="1" si="202"/>
        <v>0</v>
      </c>
      <c r="K646" s="61">
        <f t="shared" ca="1" si="203"/>
        <v>0</v>
      </c>
      <c r="L646" s="82">
        <f t="shared" ca="1" si="204"/>
        <v>55</v>
      </c>
      <c r="M646" s="16">
        <f t="shared" ca="1" si="205"/>
        <v>945</v>
      </c>
      <c r="N646" s="3">
        <f t="shared" ca="1" si="206"/>
        <v>5</v>
      </c>
      <c r="O646" s="19">
        <f t="shared" ca="1" si="207"/>
        <v>2.8178718937399587</v>
      </c>
      <c r="P646" s="19">
        <f t="shared" ca="1" si="208"/>
        <v>28.178718937399587</v>
      </c>
      <c r="Q646" s="19">
        <f t="shared" ca="1" si="209"/>
        <v>28.178718937399587</v>
      </c>
      <c r="R646" s="19">
        <f t="shared" ca="1" si="210"/>
        <v>2.8178718937399587</v>
      </c>
      <c r="S646" s="19">
        <f t="shared" ca="1" si="211"/>
        <v>2.8178718937399587</v>
      </c>
      <c r="T646" s="19">
        <f t="shared" ca="1" si="212"/>
        <v>0</v>
      </c>
      <c r="U646" s="19">
        <f t="shared" ca="1" si="213"/>
        <v>1314.3251747165598</v>
      </c>
      <c r="V646" s="19">
        <f t="shared" ca="1" si="214"/>
        <v>0</v>
      </c>
      <c r="W646" s="82">
        <f t="shared" ca="1" si="215"/>
        <v>2429.5261501736113</v>
      </c>
      <c r="X646" s="19">
        <f t="shared" ca="1" si="216"/>
        <v>0</v>
      </c>
      <c r="Y646" s="19">
        <f t="shared" si="217"/>
        <v>0</v>
      </c>
      <c r="Z646" s="82">
        <f t="shared" ca="1" si="218"/>
        <v>2429.5261501736113</v>
      </c>
      <c r="AA646" s="19">
        <f t="shared" ca="1" si="219"/>
        <v>0</v>
      </c>
    </row>
    <row r="647" spans="1:27" ht="12.75" customHeight="1" x14ac:dyDescent="0.2">
      <c r="A647">
        <v>0</v>
      </c>
      <c r="B647">
        <v>2</v>
      </c>
      <c r="C647">
        <f t="shared" ca="1" si="198"/>
        <v>4</v>
      </c>
      <c r="D647">
        <f t="shared" ca="1" si="199"/>
        <v>3</v>
      </c>
      <c r="E647">
        <f t="shared" ca="1" si="200"/>
        <v>0</v>
      </c>
      <c r="F647" s="61">
        <f t="shared" ca="1" si="201"/>
        <v>1.112821248E-2</v>
      </c>
      <c r="G647">
        <v>0</v>
      </c>
      <c r="H647">
        <v>0</v>
      </c>
      <c r="I647">
        <v>4</v>
      </c>
      <c r="J647" s="61">
        <f t="shared" ca="1" si="202"/>
        <v>0</v>
      </c>
      <c r="K647" s="61">
        <f t="shared" ca="1" si="203"/>
        <v>0</v>
      </c>
      <c r="L647" s="82">
        <f t="shared" ca="1" si="204"/>
        <v>44</v>
      </c>
      <c r="M647" s="16">
        <f t="shared" ca="1" si="205"/>
        <v>956</v>
      </c>
      <c r="N647" s="3">
        <f t="shared" ca="1" si="206"/>
        <v>6</v>
      </c>
      <c r="O647" s="19">
        <f t="shared" ca="1" si="207"/>
        <v>3.3239268932937667</v>
      </c>
      <c r="P647" s="19">
        <f t="shared" ca="1" si="208"/>
        <v>33.239268932937669</v>
      </c>
      <c r="Q647" s="19">
        <f t="shared" ca="1" si="209"/>
        <v>28.178718937399587</v>
      </c>
      <c r="R647" s="19">
        <f t="shared" ca="1" si="210"/>
        <v>3.0708993935168629</v>
      </c>
      <c r="S647" s="19">
        <f t="shared" ca="1" si="211"/>
        <v>3.3239268932937667</v>
      </c>
      <c r="T647" s="19">
        <f t="shared" ca="1" si="212"/>
        <v>0</v>
      </c>
      <c r="U647" s="19">
        <f t="shared" ca="1" si="213"/>
        <v>1495.4024523027438</v>
      </c>
      <c r="V647" s="19">
        <f t="shared" ca="1" si="214"/>
        <v>0</v>
      </c>
      <c r="W647" s="82">
        <f t="shared" ca="1" si="215"/>
        <v>1943.620920138889</v>
      </c>
      <c r="X647" s="19">
        <f t="shared" ca="1" si="216"/>
        <v>0</v>
      </c>
      <c r="Y647" s="19">
        <f t="shared" si="217"/>
        <v>0</v>
      </c>
      <c r="Z647" s="82">
        <f t="shared" ca="1" si="218"/>
        <v>1943.620920138889</v>
      </c>
      <c r="AA647" s="19">
        <f t="shared" ca="1" si="219"/>
        <v>0</v>
      </c>
    </row>
    <row r="648" spans="1:27" ht="12.75" customHeight="1" x14ac:dyDescent="0.2">
      <c r="A648">
        <v>0</v>
      </c>
      <c r="B648">
        <v>2</v>
      </c>
      <c r="C648">
        <f t="shared" ca="1" si="198"/>
        <v>4</v>
      </c>
      <c r="D648">
        <f t="shared" ca="1" si="199"/>
        <v>3</v>
      </c>
      <c r="E648">
        <f t="shared" ca="1" si="200"/>
        <v>0</v>
      </c>
      <c r="F648" s="61">
        <f t="shared" ca="1" si="201"/>
        <v>1.112821248E-2</v>
      </c>
      <c r="G648">
        <v>0</v>
      </c>
      <c r="H648">
        <v>0</v>
      </c>
      <c r="I648">
        <v>3</v>
      </c>
      <c r="J648" s="61">
        <f t="shared" ca="1" si="202"/>
        <v>4.2868749999999997E-2</v>
      </c>
      <c r="K648" s="61">
        <f t="shared" ca="1" si="203"/>
        <v>4.7705255875199996E-4</v>
      </c>
      <c r="L648" s="82">
        <f t="shared" ca="1" si="204"/>
        <v>33</v>
      </c>
      <c r="M648" s="16">
        <f t="shared" ca="1" si="205"/>
        <v>967</v>
      </c>
      <c r="N648" s="3">
        <f t="shared" ca="1" si="206"/>
        <v>6</v>
      </c>
      <c r="O648" s="19">
        <f t="shared" ca="1" si="207"/>
        <v>3.3239268932937667</v>
      </c>
      <c r="P648" s="19">
        <f t="shared" ca="1" si="208"/>
        <v>33.239268932937669</v>
      </c>
      <c r="Q648" s="19">
        <f t="shared" ca="1" si="209"/>
        <v>33.239268932937669</v>
      </c>
      <c r="R648" s="19">
        <f t="shared" ca="1" si="210"/>
        <v>3.3239268932937671</v>
      </c>
      <c r="S648" s="19">
        <f t="shared" ca="1" si="211"/>
        <v>3.3239268932937667</v>
      </c>
      <c r="T648" s="19">
        <f t="shared" ca="1" si="212"/>
        <v>1.5856878295503773E-3</v>
      </c>
      <c r="U648" s="19">
        <f t="shared" ca="1" si="213"/>
        <v>1484.4024523027438</v>
      </c>
      <c r="V648" s="19">
        <f t="shared" ca="1" si="214"/>
        <v>0.70813798808876749</v>
      </c>
      <c r="W648" s="82">
        <f t="shared" ca="1" si="215"/>
        <v>1457.7156901041667</v>
      </c>
      <c r="X648" s="19">
        <f t="shared" ca="1" si="216"/>
        <v>0.69540699989713017</v>
      </c>
      <c r="Y648" s="19">
        <f t="shared" si="217"/>
        <v>0</v>
      </c>
      <c r="Z648" s="82">
        <f t="shared" ca="1" si="218"/>
        <v>1457.7156901041667</v>
      </c>
      <c r="AA648" s="19">
        <f t="shared" ca="1" si="219"/>
        <v>0.69540699989713017</v>
      </c>
    </row>
    <row r="649" spans="1:27" ht="12.75" customHeight="1" x14ac:dyDescent="0.2">
      <c r="A649">
        <v>0</v>
      </c>
      <c r="B649">
        <v>2</v>
      </c>
      <c r="C649">
        <f t="shared" ca="1" si="198"/>
        <v>4</v>
      </c>
      <c r="D649">
        <f t="shared" ca="1" si="199"/>
        <v>3</v>
      </c>
      <c r="E649">
        <f t="shared" ca="1" si="200"/>
        <v>0</v>
      </c>
      <c r="F649" s="61">
        <f t="shared" ca="1" si="201"/>
        <v>1.112821248E-2</v>
      </c>
      <c r="G649">
        <v>0</v>
      </c>
      <c r="H649">
        <v>0</v>
      </c>
      <c r="I649">
        <v>2</v>
      </c>
      <c r="J649" s="61">
        <f t="shared" ca="1" si="202"/>
        <v>6.7687500000000074E-3</v>
      </c>
      <c r="K649" s="61">
        <f t="shared" ca="1" si="203"/>
        <v>7.5324088224000085E-5</v>
      </c>
      <c r="L649" s="82">
        <f t="shared" ca="1" si="204"/>
        <v>22</v>
      </c>
      <c r="M649" s="16">
        <f t="shared" ca="1" si="205"/>
        <v>978</v>
      </c>
      <c r="N649" s="3">
        <f t="shared" ca="1" si="206"/>
        <v>6</v>
      </c>
      <c r="O649" s="19">
        <f t="shared" ca="1" si="207"/>
        <v>3.3239268932937667</v>
      </c>
      <c r="P649" s="19">
        <f t="shared" ca="1" si="208"/>
        <v>33.239268932937669</v>
      </c>
      <c r="Q649" s="19">
        <f t="shared" ca="1" si="209"/>
        <v>33.239268932937669</v>
      </c>
      <c r="R649" s="19">
        <f t="shared" ca="1" si="210"/>
        <v>3.3239268932937671</v>
      </c>
      <c r="S649" s="19">
        <f t="shared" ca="1" si="211"/>
        <v>3.3239268932937667</v>
      </c>
      <c r="T649" s="19">
        <f t="shared" ca="1" si="212"/>
        <v>2.5037176256058617E-4</v>
      </c>
      <c r="U649" s="19">
        <f t="shared" ca="1" si="213"/>
        <v>1473.4024523027438</v>
      </c>
      <c r="V649" s="19">
        <f t="shared" ca="1" si="214"/>
        <v>0.11098269630670995</v>
      </c>
      <c r="W649" s="82">
        <f t="shared" ca="1" si="215"/>
        <v>971.8104600694445</v>
      </c>
      <c r="X649" s="19">
        <f t="shared" ca="1" si="216"/>
        <v>7.3200736831276952E-2</v>
      </c>
      <c r="Y649" s="19">
        <f t="shared" si="217"/>
        <v>0</v>
      </c>
      <c r="Z649" s="82">
        <f t="shared" ca="1" si="218"/>
        <v>971.8104600694445</v>
      </c>
      <c r="AA649" s="19">
        <f t="shared" ca="1" si="219"/>
        <v>7.3200736831276952E-2</v>
      </c>
    </row>
    <row r="650" spans="1:27" ht="12.75" customHeight="1" x14ac:dyDescent="0.2">
      <c r="A650">
        <v>0</v>
      </c>
      <c r="B650">
        <v>2</v>
      </c>
      <c r="C650">
        <f t="shared" ca="1" si="198"/>
        <v>4</v>
      </c>
      <c r="D650">
        <f t="shared" ca="1" si="199"/>
        <v>3</v>
      </c>
      <c r="E650">
        <f t="shared" ca="1" si="200"/>
        <v>0</v>
      </c>
      <c r="F650" s="61">
        <f t="shared" ca="1" si="201"/>
        <v>1.112821248E-2</v>
      </c>
      <c r="G650">
        <v>0</v>
      </c>
      <c r="H650">
        <v>0</v>
      </c>
      <c r="I650">
        <v>1</v>
      </c>
      <c r="J650" s="61">
        <f t="shared" ca="1" si="202"/>
        <v>3.5625000000000061E-4</v>
      </c>
      <c r="K650" s="61">
        <f t="shared" ca="1" si="203"/>
        <v>3.9644256960000065E-6</v>
      </c>
      <c r="L650" s="82">
        <f t="shared" ca="1" si="204"/>
        <v>11</v>
      </c>
      <c r="M650" s="16">
        <f t="shared" ca="1" si="205"/>
        <v>989</v>
      </c>
      <c r="N650" s="3">
        <f t="shared" ca="1" si="206"/>
        <v>6</v>
      </c>
      <c r="O650" s="19">
        <f t="shared" ca="1" si="207"/>
        <v>3.3239268932937667</v>
      </c>
      <c r="P650" s="19">
        <f t="shared" ca="1" si="208"/>
        <v>33.239268932937669</v>
      </c>
      <c r="Q650" s="19">
        <f t="shared" ca="1" si="209"/>
        <v>33.239268932937669</v>
      </c>
      <c r="R650" s="19">
        <f t="shared" ca="1" si="210"/>
        <v>3.3239268932937671</v>
      </c>
      <c r="S650" s="19">
        <f t="shared" ca="1" si="211"/>
        <v>3.3239268932937667</v>
      </c>
      <c r="T650" s="19">
        <f t="shared" ca="1" si="212"/>
        <v>1.3177461187399281E-5</v>
      </c>
      <c r="U650" s="19">
        <f t="shared" ca="1" si="213"/>
        <v>1462.4024523027438</v>
      </c>
      <c r="V650" s="19">
        <f t="shared" ca="1" si="214"/>
        <v>5.7975858598024212E-3</v>
      </c>
      <c r="W650" s="82">
        <f t="shared" ca="1" si="215"/>
        <v>485.90523003472225</v>
      </c>
      <c r="X650" s="19">
        <f t="shared" ca="1" si="216"/>
        <v>1.9263351797704469E-3</v>
      </c>
      <c r="Y650" s="19">
        <f t="shared" si="217"/>
        <v>0</v>
      </c>
      <c r="Z650" s="82">
        <f t="shared" ca="1" si="218"/>
        <v>485.90523003472225</v>
      </c>
      <c r="AA650" s="19">
        <f t="shared" ca="1" si="219"/>
        <v>1.9263351797704469E-3</v>
      </c>
    </row>
    <row r="651" spans="1:27" ht="12.75" customHeight="1" x14ac:dyDescent="0.2">
      <c r="A651">
        <v>0</v>
      </c>
      <c r="B651">
        <v>2</v>
      </c>
      <c r="C651">
        <f t="shared" ca="1" si="198"/>
        <v>4</v>
      </c>
      <c r="D651">
        <f t="shared" ca="1" si="199"/>
        <v>3</v>
      </c>
      <c r="E651">
        <f t="shared" ca="1" si="200"/>
        <v>0</v>
      </c>
      <c r="F651" s="61">
        <f t="shared" ca="1" si="201"/>
        <v>1.112821248E-2</v>
      </c>
      <c r="G651">
        <v>0</v>
      </c>
      <c r="H651">
        <v>0</v>
      </c>
      <c r="I651">
        <v>0</v>
      </c>
      <c r="J651" s="61">
        <f t="shared" ca="1" si="202"/>
        <v>6.2500000000000164E-6</v>
      </c>
      <c r="K651" s="61">
        <f t="shared" ca="1" si="203"/>
        <v>6.9551328000000183E-8</v>
      </c>
      <c r="L651" s="82">
        <f t="shared" ca="1" si="204"/>
        <v>0</v>
      </c>
      <c r="M651" s="16">
        <f t="shared" ca="1" si="205"/>
        <v>1000</v>
      </c>
      <c r="N651" s="3">
        <f t="shared" ca="1" si="206"/>
        <v>6</v>
      </c>
      <c r="O651" s="19">
        <f t="shared" ca="1" si="207"/>
        <v>3.3239268932937667</v>
      </c>
      <c r="P651" s="19">
        <f t="shared" ca="1" si="208"/>
        <v>33.239268932937669</v>
      </c>
      <c r="Q651" s="19">
        <f t="shared" ca="1" si="209"/>
        <v>33.239268932937669</v>
      </c>
      <c r="R651" s="19">
        <f t="shared" ca="1" si="210"/>
        <v>3.3239268932937671</v>
      </c>
      <c r="S651" s="19">
        <f t="shared" ca="1" si="211"/>
        <v>3.3239268932937667</v>
      </c>
      <c r="T651" s="19">
        <f t="shared" ca="1" si="212"/>
        <v>2.3118352960349636E-7</v>
      </c>
      <c r="U651" s="19">
        <f t="shared" ca="1" si="213"/>
        <v>1451.4024523027438</v>
      </c>
      <c r="V651" s="19">
        <f t="shared" ca="1" si="214"/>
        <v>1.0094696802011275E-4</v>
      </c>
      <c r="W651" s="82">
        <f t="shared" ca="1" si="215"/>
        <v>0</v>
      </c>
      <c r="X651" s="19">
        <f t="shared" ca="1" si="216"/>
        <v>0</v>
      </c>
      <c r="Y651" s="19">
        <f t="shared" si="217"/>
        <v>0</v>
      </c>
      <c r="Z651" s="82">
        <f t="shared" ca="1" si="218"/>
        <v>0</v>
      </c>
      <c r="AA651" s="19">
        <f t="shared" ca="1" si="219"/>
        <v>0</v>
      </c>
    </row>
    <row r="652" spans="1:27" ht="12.75" customHeight="1" x14ac:dyDescent="0.2">
      <c r="A652">
        <v>0</v>
      </c>
      <c r="B652">
        <v>3</v>
      </c>
      <c r="C652">
        <f t="shared" ca="1" si="198"/>
        <v>5</v>
      </c>
      <c r="D652">
        <f t="shared" ca="1" si="199"/>
        <v>4</v>
      </c>
      <c r="E652">
        <f t="shared" ca="1" si="200"/>
        <v>0</v>
      </c>
      <c r="F652" s="61">
        <f t="shared" ca="1" si="201"/>
        <v>8.6042879999999999E-3</v>
      </c>
      <c r="G652">
        <v>1</v>
      </c>
      <c r="H652">
        <v>1</v>
      </c>
      <c r="I652">
        <v>7</v>
      </c>
      <c r="J652" s="61">
        <f t="shared" ca="1" si="202"/>
        <v>0</v>
      </c>
      <c r="K652" s="61">
        <f t="shared" ca="1" si="203"/>
        <v>0</v>
      </c>
      <c r="L652" s="82">
        <f t="shared" ca="1" si="204"/>
        <v>399</v>
      </c>
      <c r="M652" s="16">
        <f t="shared" ca="1" si="205"/>
        <v>601</v>
      </c>
      <c r="N652" s="3">
        <f t="shared" ca="1" si="206"/>
        <v>4</v>
      </c>
      <c r="O652" s="19">
        <f t="shared" ca="1" si="207"/>
        <v>2.3453053758100548</v>
      </c>
      <c r="P652" s="19">
        <f t="shared" ca="1" si="208"/>
        <v>23.453053758100552</v>
      </c>
      <c r="Q652" s="19">
        <f t="shared" ca="1" si="209"/>
        <v>23.453053758100552</v>
      </c>
      <c r="R652" s="19">
        <f t="shared" ca="1" si="210"/>
        <v>2.3453053758100553</v>
      </c>
      <c r="S652" s="19">
        <f t="shared" ca="1" si="211"/>
        <v>2.3453053758100548</v>
      </c>
      <c r="T652" s="19">
        <f t="shared" ca="1" si="212"/>
        <v>0</v>
      </c>
      <c r="U652" s="19">
        <f t="shared" ca="1" si="213"/>
        <v>1478.9587218163997</v>
      </c>
      <c r="V652" s="19">
        <f t="shared" ca="1" si="214"/>
        <v>0</v>
      </c>
      <c r="W652" s="82">
        <f t="shared" ca="1" si="215"/>
        <v>5718.7981307870377</v>
      </c>
      <c r="X652" s="19">
        <f t="shared" ca="1" si="216"/>
        <v>0</v>
      </c>
      <c r="Y652" s="19">
        <f t="shared" si="217"/>
        <v>0</v>
      </c>
      <c r="Z652" s="82">
        <f t="shared" ca="1" si="218"/>
        <v>5718.7981307870377</v>
      </c>
      <c r="AA652" s="19">
        <f t="shared" ca="1" si="219"/>
        <v>0</v>
      </c>
    </row>
    <row r="653" spans="1:27" ht="12.75" customHeight="1" x14ac:dyDescent="0.2">
      <c r="A653">
        <v>0</v>
      </c>
      <c r="B653">
        <v>3</v>
      </c>
      <c r="C653">
        <f t="shared" ca="1" si="198"/>
        <v>5</v>
      </c>
      <c r="D653">
        <f t="shared" ca="1" si="199"/>
        <v>4</v>
      </c>
      <c r="E653">
        <f t="shared" ca="1" si="200"/>
        <v>0</v>
      </c>
      <c r="F653" s="61">
        <f t="shared" ca="1" si="201"/>
        <v>8.6042879999999999E-3</v>
      </c>
      <c r="G653">
        <v>1</v>
      </c>
      <c r="H653">
        <v>1</v>
      </c>
      <c r="I653">
        <v>6</v>
      </c>
      <c r="J653" s="61">
        <f t="shared" ca="1" si="202"/>
        <v>0</v>
      </c>
      <c r="K653" s="61">
        <f t="shared" ca="1" si="203"/>
        <v>0</v>
      </c>
      <c r="L653" s="82">
        <f t="shared" ca="1" si="204"/>
        <v>388</v>
      </c>
      <c r="M653" s="16">
        <f t="shared" ca="1" si="205"/>
        <v>612</v>
      </c>
      <c r="N653" s="3">
        <f t="shared" ca="1" si="206"/>
        <v>4</v>
      </c>
      <c r="O653" s="19">
        <f t="shared" ca="1" si="207"/>
        <v>2.3453053758100548</v>
      </c>
      <c r="P653" s="19">
        <f t="shared" ca="1" si="208"/>
        <v>23.453053758100552</v>
      </c>
      <c r="Q653" s="19">
        <f t="shared" ca="1" si="209"/>
        <v>23.453053758100552</v>
      </c>
      <c r="R653" s="19">
        <f t="shared" ca="1" si="210"/>
        <v>2.3453053758100553</v>
      </c>
      <c r="S653" s="19">
        <f t="shared" ca="1" si="211"/>
        <v>2.3453053758100548</v>
      </c>
      <c r="T653" s="19">
        <f t="shared" ca="1" si="212"/>
        <v>0</v>
      </c>
      <c r="U653" s="19">
        <f t="shared" ca="1" si="213"/>
        <v>1467.9587218163997</v>
      </c>
      <c r="V653" s="19">
        <f t="shared" ca="1" si="214"/>
        <v>0</v>
      </c>
      <c r="W653" s="82">
        <f t="shared" ca="1" si="215"/>
        <v>5232.8929007523147</v>
      </c>
      <c r="X653" s="19">
        <f t="shared" ca="1" si="216"/>
        <v>0</v>
      </c>
      <c r="Y653" s="19">
        <f t="shared" si="217"/>
        <v>0</v>
      </c>
      <c r="Z653" s="82">
        <f t="shared" ca="1" si="218"/>
        <v>5232.8929007523147</v>
      </c>
      <c r="AA653" s="19">
        <f t="shared" ca="1" si="219"/>
        <v>0</v>
      </c>
    </row>
    <row r="654" spans="1:27" ht="12.75" customHeight="1" x14ac:dyDescent="0.2">
      <c r="A654">
        <v>0</v>
      </c>
      <c r="B654">
        <v>3</v>
      </c>
      <c r="C654">
        <f t="shared" ca="1" si="198"/>
        <v>5</v>
      </c>
      <c r="D654">
        <f t="shared" ca="1" si="199"/>
        <v>4</v>
      </c>
      <c r="E654">
        <f t="shared" ca="1" si="200"/>
        <v>0</v>
      </c>
      <c r="F654" s="61">
        <f t="shared" ca="1" si="201"/>
        <v>8.6042879999999999E-3</v>
      </c>
      <c r="G654">
        <v>1</v>
      </c>
      <c r="H654">
        <v>1</v>
      </c>
      <c r="I654">
        <v>5</v>
      </c>
      <c r="J654" s="61">
        <f t="shared" ca="1" si="202"/>
        <v>0</v>
      </c>
      <c r="K654" s="61">
        <f t="shared" ca="1" si="203"/>
        <v>0</v>
      </c>
      <c r="L654" s="82">
        <f t="shared" ca="1" si="204"/>
        <v>377</v>
      </c>
      <c r="M654" s="16">
        <f t="shared" ca="1" si="205"/>
        <v>623</v>
      </c>
      <c r="N654" s="3">
        <f t="shared" ca="1" si="206"/>
        <v>4</v>
      </c>
      <c r="O654" s="19">
        <f t="shared" ca="1" si="207"/>
        <v>2.3453053758100548</v>
      </c>
      <c r="P654" s="19">
        <f t="shared" ca="1" si="208"/>
        <v>23.453053758100552</v>
      </c>
      <c r="Q654" s="19">
        <f t="shared" ca="1" si="209"/>
        <v>23.453053758100552</v>
      </c>
      <c r="R654" s="19">
        <f t="shared" ca="1" si="210"/>
        <v>2.3453053758100553</v>
      </c>
      <c r="S654" s="19">
        <f t="shared" ca="1" si="211"/>
        <v>2.3453053758100548</v>
      </c>
      <c r="T654" s="19">
        <f t="shared" ca="1" si="212"/>
        <v>0</v>
      </c>
      <c r="U654" s="19">
        <f t="shared" ca="1" si="213"/>
        <v>1456.9587218163997</v>
      </c>
      <c r="V654" s="19">
        <f t="shared" ca="1" si="214"/>
        <v>0</v>
      </c>
      <c r="W654" s="82">
        <f t="shared" ca="1" si="215"/>
        <v>4746.9876707175936</v>
      </c>
      <c r="X654" s="19">
        <f t="shared" ca="1" si="216"/>
        <v>0</v>
      </c>
      <c r="Y654" s="19">
        <f t="shared" si="217"/>
        <v>0</v>
      </c>
      <c r="Z654" s="82">
        <f t="shared" ca="1" si="218"/>
        <v>4746.9876707175936</v>
      </c>
      <c r="AA654" s="19">
        <f t="shared" ca="1" si="219"/>
        <v>0</v>
      </c>
    </row>
    <row r="655" spans="1:27" ht="12.75" customHeight="1" x14ac:dyDescent="0.2">
      <c r="A655">
        <v>0</v>
      </c>
      <c r="B655">
        <v>3</v>
      </c>
      <c r="C655">
        <f t="shared" ca="1" si="198"/>
        <v>5</v>
      </c>
      <c r="D655">
        <f t="shared" ca="1" si="199"/>
        <v>4</v>
      </c>
      <c r="E655">
        <f t="shared" ca="1" si="200"/>
        <v>0</v>
      </c>
      <c r="F655" s="61">
        <f t="shared" ca="1" si="201"/>
        <v>8.6042879999999999E-3</v>
      </c>
      <c r="G655">
        <v>1</v>
      </c>
      <c r="H655">
        <v>1</v>
      </c>
      <c r="I655">
        <v>4</v>
      </c>
      <c r="J655" s="61">
        <f t="shared" ca="1" si="202"/>
        <v>0</v>
      </c>
      <c r="K655" s="61">
        <f t="shared" ca="1" si="203"/>
        <v>0</v>
      </c>
      <c r="L655" s="82">
        <f t="shared" ca="1" si="204"/>
        <v>366</v>
      </c>
      <c r="M655" s="16">
        <f t="shared" ca="1" si="205"/>
        <v>634</v>
      </c>
      <c r="N655" s="3">
        <f t="shared" ca="1" si="206"/>
        <v>4</v>
      </c>
      <c r="O655" s="19">
        <f t="shared" ca="1" si="207"/>
        <v>2.3453053758100548</v>
      </c>
      <c r="P655" s="19">
        <f t="shared" ca="1" si="208"/>
        <v>23.453053758100552</v>
      </c>
      <c r="Q655" s="19">
        <f t="shared" ca="1" si="209"/>
        <v>23.453053758100552</v>
      </c>
      <c r="R655" s="19">
        <f t="shared" ca="1" si="210"/>
        <v>2.3453053758100553</v>
      </c>
      <c r="S655" s="19">
        <f t="shared" ca="1" si="211"/>
        <v>2.3453053758100548</v>
      </c>
      <c r="T655" s="19">
        <f t="shared" ca="1" si="212"/>
        <v>0</v>
      </c>
      <c r="U655" s="19">
        <f t="shared" ca="1" si="213"/>
        <v>1445.9587218163997</v>
      </c>
      <c r="V655" s="19">
        <f t="shared" ca="1" si="214"/>
        <v>0</v>
      </c>
      <c r="W655" s="82">
        <f t="shared" ca="1" si="215"/>
        <v>4261.0824406828706</v>
      </c>
      <c r="X655" s="19">
        <f t="shared" ca="1" si="216"/>
        <v>0</v>
      </c>
      <c r="Y655" s="19">
        <f t="shared" si="217"/>
        <v>0</v>
      </c>
      <c r="Z655" s="82">
        <f t="shared" ca="1" si="218"/>
        <v>4261.0824406828706</v>
      </c>
      <c r="AA655" s="19">
        <f t="shared" ca="1" si="219"/>
        <v>0</v>
      </c>
    </row>
    <row r="656" spans="1:27" ht="12.75" customHeight="1" x14ac:dyDescent="0.2">
      <c r="A656">
        <v>0</v>
      </c>
      <c r="B656">
        <v>3</v>
      </c>
      <c r="C656">
        <f t="shared" ca="1" si="198"/>
        <v>5</v>
      </c>
      <c r="D656">
        <f t="shared" ca="1" si="199"/>
        <v>4</v>
      </c>
      <c r="E656">
        <f t="shared" ca="1" si="200"/>
        <v>0</v>
      </c>
      <c r="F656" s="61">
        <f t="shared" ca="1" si="201"/>
        <v>8.6042879999999999E-3</v>
      </c>
      <c r="G656">
        <v>1</v>
      </c>
      <c r="H656">
        <v>1</v>
      </c>
      <c r="I656">
        <v>3</v>
      </c>
      <c r="J656" s="61">
        <f t="shared" ca="1" si="202"/>
        <v>0</v>
      </c>
      <c r="K656" s="61">
        <f t="shared" ca="1" si="203"/>
        <v>0</v>
      </c>
      <c r="L656" s="82">
        <f t="shared" ca="1" si="204"/>
        <v>355</v>
      </c>
      <c r="M656" s="16">
        <f t="shared" ca="1" si="205"/>
        <v>645</v>
      </c>
      <c r="N656" s="3">
        <f t="shared" ca="1" si="206"/>
        <v>4</v>
      </c>
      <c r="O656" s="19">
        <f t="shared" ca="1" si="207"/>
        <v>2.3453053758100548</v>
      </c>
      <c r="P656" s="19">
        <f t="shared" ca="1" si="208"/>
        <v>23.453053758100552</v>
      </c>
      <c r="Q656" s="19">
        <f t="shared" ca="1" si="209"/>
        <v>23.453053758100552</v>
      </c>
      <c r="R656" s="19">
        <f t="shared" ca="1" si="210"/>
        <v>2.3453053758100553</v>
      </c>
      <c r="S656" s="19">
        <f t="shared" ca="1" si="211"/>
        <v>2.3453053758100548</v>
      </c>
      <c r="T656" s="19">
        <f t="shared" ca="1" si="212"/>
        <v>0</v>
      </c>
      <c r="U656" s="19">
        <f t="shared" ca="1" si="213"/>
        <v>1434.9587218163997</v>
      </c>
      <c r="V656" s="19">
        <f t="shared" ca="1" si="214"/>
        <v>0</v>
      </c>
      <c r="W656" s="82">
        <f t="shared" ca="1" si="215"/>
        <v>3775.1772106481485</v>
      </c>
      <c r="X656" s="19">
        <f t="shared" ca="1" si="216"/>
        <v>0</v>
      </c>
      <c r="Y656" s="19">
        <f t="shared" si="217"/>
        <v>0</v>
      </c>
      <c r="Z656" s="82">
        <f t="shared" ca="1" si="218"/>
        <v>3775.1772106481485</v>
      </c>
      <c r="AA656" s="19">
        <f t="shared" ca="1" si="219"/>
        <v>0</v>
      </c>
    </row>
    <row r="657" spans="1:27" ht="12.75" customHeight="1" x14ac:dyDescent="0.2">
      <c r="A657">
        <v>0</v>
      </c>
      <c r="B657">
        <v>3</v>
      </c>
      <c r="C657">
        <f t="shared" ca="1" si="198"/>
        <v>5</v>
      </c>
      <c r="D657">
        <f t="shared" ca="1" si="199"/>
        <v>4</v>
      </c>
      <c r="E657">
        <f t="shared" ca="1" si="200"/>
        <v>0</v>
      </c>
      <c r="F657" s="61">
        <f t="shared" ca="1" si="201"/>
        <v>8.6042879999999999E-3</v>
      </c>
      <c r="G657">
        <v>1</v>
      </c>
      <c r="H657">
        <v>1</v>
      </c>
      <c r="I657">
        <v>2</v>
      </c>
      <c r="J657" s="61">
        <f t="shared" ca="1" si="202"/>
        <v>0</v>
      </c>
      <c r="K657" s="61">
        <f t="shared" ca="1" si="203"/>
        <v>0</v>
      </c>
      <c r="L657" s="82">
        <f t="shared" ca="1" si="204"/>
        <v>344</v>
      </c>
      <c r="M657" s="16">
        <f t="shared" ca="1" si="205"/>
        <v>656</v>
      </c>
      <c r="N657" s="3">
        <f t="shared" ca="1" si="206"/>
        <v>4</v>
      </c>
      <c r="O657" s="19">
        <f t="shared" ca="1" si="207"/>
        <v>2.3453053758100548</v>
      </c>
      <c r="P657" s="19">
        <f t="shared" ca="1" si="208"/>
        <v>23.453053758100552</v>
      </c>
      <c r="Q657" s="19">
        <f t="shared" ca="1" si="209"/>
        <v>23.453053758100552</v>
      </c>
      <c r="R657" s="19">
        <f t="shared" ca="1" si="210"/>
        <v>2.3453053758100553</v>
      </c>
      <c r="S657" s="19">
        <f t="shared" ca="1" si="211"/>
        <v>2.3453053758100548</v>
      </c>
      <c r="T657" s="19">
        <f t="shared" ca="1" si="212"/>
        <v>0</v>
      </c>
      <c r="U657" s="19">
        <f t="shared" ca="1" si="213"/>
        <v>1423.9587218163997</v>
      </c>
      <c r="V657" s="19">
        <f t="shared" ca="1" si="214"/>
        <v>0</v>
      </c>
      <c r="W657" s="82">
        <f t="shared" ca="1" si="215"/>
        <v>3289.2719806134264</v>
      </c>
      <c r="X657" s="19">
        <f t="shared" ca="1" si="216"/>
        <v>0</v>
      </c>
      <c r="Y657" s="19">
        <f t="shared" si="217"/>
        <v>0</v>
      </c>
      <c r="Z657" s="82">
        <f t="shared" ca="1" si="218"/>
        <v>3289.2719806134264</v>
      </c>
      <c r="AA657" s="19">
        <f t="shared" ca="1" si="219"/>
        <v>0</v>
      </c>
    </row>
    <row r="658" spans="1:27" ht="12.75" customHeight="1" x14ac:dyDescent="0.2">
      <c r="A658">
        <v>0</v>
      </c>
      <c r="B658">
        <v>3</v>
      </c>
      <c r="C658">
        <f t="shared" ca="1" si="198"/>
        <v>5</v>
      </c>
      <c r="D658">
        <f t="shared" ca="1" si="199"/>
        <v>4</v>
      </c>
      <c r="E658">
        <f t="shared" ca="1" si="200"/>
        <v>0</v>
      </c>
      <c r="F658" s="61">
        <f t="shared" ca="1" si="201"/>
        <v>8.6042879999999999E-3</v>
      </c>
      <c r="G658">
        <v>1</v>
      </c>
      <c r="H658">
        <v>1</v>
      </c>
      <c r="I658">
        <v>1</v>
      </c>
      <c r="J658" s="61">
        <f t="shared" ca="1" si="202"/>
        <v>0</v>
      </c>
      <c r="K658" s="61">
        <f t="shared" ca="1" si="203"/>
        <v>0</v>
      </c>
      <c r="L658" s="82">
        <f t="shared" ca="1" si="204"/>
        <v>333</v>
      </c>
      <c r="M658" s="16">
        <f t="shared" ca="1" si="205"/>
        <v>667</v>
      </c>
      <c r="N658" s="3">
        <f t="shared" ca="1" si="206"/>
        <v>4</v>
      </c>
      <c r="O658" s="19">
        <f t="shared" ca="1" si="207"/>
        <v>2.3453053758100548</v>
      </c>
      <c r="P658" s="19">
        <f t="shared" ca="1" si="208"/>
        <v>23.453053758100552</v>
      </c>
      <c r="Q658" s="19">
        <f t="shared" ca="1" si="209"/>
        <v>23.453053758100552</v>
      </c>
      <c r="R658" s="19">
        <f t="shared" ca="1" si="210"/>
        <v>2.3453053758100553</v>
      </c>
      <c r="S658" s="19">
        <f t="shared" ca="1" si="211"/>
        <v>2.3453053758100548</v>
      </c>
      <c r="T658" s="19">
        <f t="shared" ca="1" si="212"/>
        <v>0</v>
      </c>
      <c r="U658" s="19">
        <f t="shared" ca="1" si="213"/>
        <v>1412.9587218163997</v>
      </c>
      <c r="V658" s="19">
        <f t="shared" ca="1" si="214"/>
        <v>0</v>
      </c>
      <c r="W658" s="82">
        <f t="shared" ca="1" si="215"/>
        <v>2803.3667505787039</v>
      </c>
      <c r="X658" s="19">
        <f t="shared" ca="1" si="216"/>
        <v>0</v>
      </c>
      <c r="Y658" s="19">
        <f t="shared" si="217"/>
        <v>0</v>
      </c>
      <c r="Z658" s="82">
        <f t="shared" ca="1" si="218"/>
        <v>2803.3667505787039</v>
      </c>
      <c r="AA658" s="19">
        <f t="shared" ca="1" si="219"/>
        <v>0</v>
      </c>
    </row>
    <row r="659" spans="1:27" ht="12.75" customHeight="1" x14ac:dyDescent="0.2">
      <c r="A659">
        <v>0</v>
      </c>
      <c r="B659">
        <v>3</v>
      </c>
      <c r="C659">
        <f t="shared" ca="1" si="198"/>
        <v>5</v>
      </c>
      <c r="D659">
        <f t="shared" ca="1" si="199"/>
        <v>4</v>
      </c>
      <c r="E659">
        <f t="shared" ca="1" si="200"/>
        <v>0</v>
      </c>
      <c r="F659" s="61">
        <f t="shared" ca="1" si="201"/>
        <v>8.6042879999999999E-3</v>
      </c>
      <c r="G659">
        <v>1</v>
      </c>
      <c r="H659">
        <v>1</v>
      </c>
      <c r="I659">
        <v>0</v>
      </c>
      <c r="J659" s="61">
        <f t="shared" ca="1" si="202"/>
        <v>0</v>
      </c>
      <c r="K659" s="61">
        <f t="shared" ca="1" si="203"/>
        <v>0</v>
      </c>
      <c r="L659" s="82">
        <f t="shared" ca="1" si="204"/>
        <v>322</v>
      </c>
      <c r="M659" s="16">
        <f t="shared" ca="1" si="205"/>
        <v>678</v>
      </c>
      <c r="N659" s="3">
        <f t="shared" ca="1" si="206"/>
        <v>4</v>
      </c>
      <c r="O659" s="19">
        <f t="shared" ca="1" si="207"/>
        <v>2.3453053758100548</v>
      </c>
      <c r="P659" s="19">
        <f t="shared" ca="1" si="208"/>
        <v>23.453053758100552</v>
      </c>
      <c r="Q659" s="19">
        <f t="shared" ca="1" si="209"/>
        <v>23.453053758100552</v>
      </c>
      <c r="R659" s="19">
        <f t="shared" ca="1" si="210"/>
        <v>2.3453053758100553</v>
      </c>
      <c r="S659" s="19">
        <f t="shared" ca="1" si="211"/>
        <v>2.3453053758100548</v>
      </c>
      <c r="T659" s="19">
        <f t="shared" ca="1" si="212"/>
        <v>0</v>
      </c>
      <c r="U659" s="19">
        <f t="shared" ca="1" si="213"/>
        <v>1401.9587218163997</v>
      </c>
      <c r="V659" s="19">
        <f t="shared" ca="1" si="214"/>
        <v>0</v>
      </c>
      <c r="W659" s="82">
        <f t="shared" ca="1" si="215"/>
        <v>2317.4615205439818</v>
      </c>
      <c r="X659" s="19">
        <f t="shared" ca="1" si="216"/>
        <v>0</v>
      </c>
      <c r="Y659" s="19">
        <f t="shared" si="217"/>
        <v>0</v>
      </c>
      <c r="Z659" s="82">
        <f t="shared" ca="1" si="218"/>
        <v>2317.4615205439818</v>
      </c>
      <c r="AA659" s="19">
        <f t="shared" ca="1" si="219"/>
        <v>0</v>
      </c>
    </row>
    <row r="660" spans="1:27" ht="12.75" customHeight="1" x14ac:dyDescent="0.2">
      <c r="A660">
        <v>0</v>
      </c>
      <c r="B660">
        <v>3</v>
      </c>
      <c r="C660">
        <f t="shared" ca="1" si="198"/>
        <v>5</v>
      </c>
      <c r="D660">
        <f t="shared" ca="1" si="199"/>
        <v>4</v>
      </c>
      <c r="E660">
        <f t="shared" ca="1" si="200"/>
        <v>0</v>
      </c>
      <c r="F660" s="61">
        <f t="shared" ca="1" si="201"/>
        <v>8.6042879999999999E-3</v>
      </c>
      <c r="G660">
        <v>1</v>
      </c>
      <c r="H660">
        <v>0</v>
      </c>
      <c r="I660">
        <v>7</v>
      </c>
      <c r="J660" s="61">
        <f t="shared" ca="1" si="202"/>
        <v>0</v>
      </c>
      <c r="K660" s="61">
        <f t="shared" ca="1" si="203"/>
        <v>0</v>
      </c>
      <c r="L660" s="82">
        <f t="shared" ca="1" si="204"/>
        <v>238</v>
      </c>
      <c r="M660" s="16">
        <f t="shared" ca="1" si="205"/>
        <v>762</v>
      </c>
      <c r="N660" s="3">
        <f t="shared" ca="1" si="206"/>
        <v>5</v>
      </c>
      <c r="O660" s="19">
        <f t="shared" ca="1" si="207"/>
        <v>2.8178718937399587</v>
      </c>
      <c r="P660" s="19">
        <f t="shared" ca="1" si="208"/>
        <v>25.815886347750073</v>
      </c>
      <c r="Q660" s="19">
        <f t="shared" ca="1" si="209"/>
        <v>23.453053758100552</v>
      </c>
      <c r="R660" s="19">
        <f t="shared" ca="1" si="210"/>
        <v>2.4634470052925312</v>
      </c>
      <c r="S660" s="19">
        <f t="shared" ca="1" si="211"/>
        <v>2.8178718937399587</v>
      </c>
      <c r="T660" s="19">
        <f t="shared" ca="1" si="212"/>
        <v>0</v>
      </c>
      <c r="U660" s="19">
        <f t="shared" ca="1" si="213"/>
        <v>1497.3251747165598</v>
      </c>
      <c r="V660" s="19">
        <f t="shared" ca="1" si="214"/>
        <v>0</v>
      </c>
      <c r="W660" s="82">
        <f t="shared" ca="1" si="215"/>
        <v>5718.7981307870377</v>
      </c>
      <c r="X660" s="19">
        <f t="shared" ca="1" si="216"/>
        <v>0</v>
      </c>
      <c r="Y660" s="19">
        <f t="shared" si="217"/>
        <v>0</v>
      </c>
      <c r="Z660" s="82">
        <f t="shared" ca="1" si="218"/>
        <v>5718.7981307870377</v>
      </c>
      <c r="AA660" s="19">
        <f t="shared" ca="1" si="219"/>
        <v>0</v>
      </c>
    </row>
    <row r="661" spans="1:27" ht="12.75" customHeight="1" x14ac:dyDescent="0.2">
      <c r="A661">
        <v>0</v>
      </c>
      <c r="B661">
        <v>3</v>
      </c>
      <c r="C661">
        <f t="shared" ca="1" si="198"/>
        <v>5</v>
      </c>
      <c r="D661">
        <f t="shared" ca="1" si="199"/>
        <v>4</v>
      </c>
      <c r="E661">
        <f t="shared" ca="1" si="200"/>
        <v>0</v>
      </c>
      <c r="F661" s="61">
        <f t="shared" ca="1" si="201"/>
        <v>8.6042879999999999E-3</v>
      </c>
      <c r="G661">
        <v>1</v>
      </c>
      <c r="H661">
        <v>0</v>
      </c>
      <c r="I661">
        <v>6</v>
      </c>
      <c r="J661" s="61">
        <f t="shared" ca="1" si="202"/>
        <v>0</v>
      </c>
      <c r="K661" s="61">
        <f t="shared" ca="1" si="203"/>
        <v>0</v>
      </c>
      <c r="L661" s="82">
        <f t="shared" ca="1" si="204"/>
        <v>227</v>
      </c>
      <c r="M661" s="16">
        <f t="shared" ca="1" si="205"/>
        <v>773</v>
      </c>
      <c r="N661" s="3">
        <f t="shared" ca="1" si="206"/>
        <v>5</v>
      </c>
      <c r="O661" s="19">
        <f t="shared" ca="1" si="207"/>
        <v>2.8178718937399587</v>
      </c>
      <c r="P661" s="19">
        <f t="shared" ca="1" si="208"/>
        <v>28.178718937399587</v>
      </c>
      <c r="Q661" s="19">
        <f t="shared" ca="1" si="209"/>
        <v>26.288452865679979</v>
      </c>
      <c r="R661" s="19">
        <f t="shared" ca="1" si="210"/>
        <v>2.7233585901539783</v>
      </c>
      <c r="S661" s="19">
        <f t="shared" ca="1" si="211"/>
        <v>2.8178718937399587</v>
      </c>
      <c r="T661" s="19">
        <f t="shared" ca="1" si="212"/>
        <v>0</v>
      </c>
      <c r="U661" s="19">
        <f t="shared" ca="1" si="213"/>
        <v>1486.3251747165598</v>
      </c>
      <c r="V661" s="19">
        <f t="shared" ca="1" si="214"/>
        <v>0</v>
      </c>
      <c r="W661" s="82">
        <f t="shared" ca="1" si="215"/>
        <v>5232.8929007523147</v>
      </c>
      <c r="X661" s="19">
        <f t="shared" ca="1" si="216"/>
        <v>0</v>
      </c>
      <c r="Y661" s="19">
        <f t="shared" si="217"/>
        <v>0</v>
      </c>
      <c r="Z661" s="82">
        <f t="shared" ca="1" si="218"/>
        <v>5232.8929007523147</v>
      </c>
      <c r="AA661" s="19">
        <f t="shared" ca="1" si="219"/>
        <v>0</v>
      </c>
    </row>
    <row r="662" spans="1:27" ht="12.75" customHeight="1" x14ac:dyDescent="0.2">
      <c r="A662">
        <v>0</v>
      </c>
      <c r="B662">
        <v>3</v>
      </c>
      <c r="C662">
        <f t="shared" ca="1" si="198"/>
        <v>5</v>
      </c>
      <c r="D662">
        <f t="shared" ca="1" si="199"/>
        <v>4</v>
      </c>
      <c r="E662">
        <f t="shared" ca="1" si="200"/>
        <v>0</v>
      </c>
      <c r="F662" s="61">
        <f t="shared" ca="1" si="201"/>
        <v>8.6042879999999999E-3</v>
      </c>
      <c r="G662">
        <v>1</v>
      </c>
      <c r="H662">
        <v>0</v>
      </c>
      <c r="I662">
        <v>5</v>
      </c>
      <c r="J662" s="61">
        <f t="shared" ca="1" si="202"/>
        <v>0</v>
      </c>
      <c r="K662" s="61">
        <f t="shared" ca="1" si="203"/>
        <v>0</v>
      </c>
      <c r="L662" s="82">
        <f t="shared" ca="1" si="204"/>
        <v>216</v>
      </c>
      <c r="M662" s="16">
        <f t="shared" ca="1" si="205"/>
        <v>784</v>
      </c>
      <c r="N662" s="3">
        <f t="shared" ca="1" si="206"/>
        <v>5</v>
      </c>
      <c r="O662" s="19">
        <f t="shared" ca="1" si="207"/>
        <v>2.8178718937399587</v>
      </c>
      <c r="P662" s="19">
        <f t="shared" ca="1" si="208"/>
        <v>28.178718937399587</v>
      </c>
      <c r="Q662" s="19">
        <f t="shared" ca="1" si="209"/>
        <v>28.178718937399587</v>
      </c>
      <c r="R662" s="19">
        <f t="shared" ca="1" si="210"/>
        <v>2.8178718937399587</v>
      </c>
      <c r="S662" s="19">
        <f t="shared" ca="1" si="211"/>
        <v>2.8178718937399587</v>
      </c>
      <c r="T662" s="19">
        <f t="shared" ca="1" si="212"/>
        <v>0</v>
      </c>
      <c r="U662" s="19">
        <f t="shared" ca="1" si="213"/>
        <v>1475.3251747165598</v>
      </c>
      <c r="V662" s="19">
        <f t="shared" ca="1" si="214"/>
        <v>0</v>
      </c>
      <c r="W662" s="82">
        <f t="shared" ca="1" si="215"/>
        <v>4746.9876707175936</v>
      </c>
      <c r="X662" s="19">
        <f t="shared" ca="1" si="216"/>
        <v>0</v>
      </c>
      <c r="Y662" s="19">
        <f t="shared" si="217"/>
        <v>0</v>
      </c>
      <c r="Z662" s="82">
        <f t="shared" ca="1" si="218"/>
        <v>4746.9876707175936</v>
      </c>
      <c r="AA662" s="19">
        <f t="shared" ca="1" si="219"/>
        <v>0</v>
      </c>
    </row>
    <row r="663" spans="1:27" ht="12.75" customHeight="1" x14ac:dyDescent="0.2">
      <c r="A663">
        <v>0</v>
      </c>
      <c r="B663">
        <v>3</v>
      </c>
      <c r="C663">
        <f t="shared" ca="1" si="198"/>
        <v>5</v>
      </c>
      <c r="D663">
        <f t="shared" ca="1" si="199"/>
        <v>4</v>
      </c>
      <c r="E663">
        <f t="shared" ca="1" si="200"/>
        <v>0</v>
      </c>
      <c r="F663" s="61">
        <f t="shared" ca="1" si="201"/>
        <v>8.6042879999999999E-3</v>
      </c>
      <c r="G663">
        <v>1</v>
      </c>
      <c r="H663">
        <v>0</v>
      </c>
      <c r="I663">
        <v>4</v>
      </c>
      <c r="J663" s="61">
        <f t="shared" ca="1" si="202"/>
        <v>0.77378093749999999</v>
      </c>
      <c r="K663" s="61">
        <f t="shared" ca="1" si="203"/>
        <v>6.6578340351599995E-3</v>
      </c>
      <c r="L663" s="82">
        <f t="shared" ca="1" si="204"/>
        <v>205</v>
      </c>
      <c r="M663" s="16">
        <f t="shared" ca="1" si="205"/>
        <v>795</v>
      </c>
      <c r="N663" s="3">
        <f t="shared" ca="1" si="206"/>
        <v>5</v>
      </c>
      <c r="O663" s="19">
        <f t="shared" ca="1" si="207"/>
        <v>2.8178718937399587</v>
      </c>
      <c r="P663" s="19">
        <f t="shared" ca="1" si="208"/>
        <v>28.178718937399587</v>
      </c>
      <c r="Q663" s="19">
        <f t="shared" ca="1" si="209"/>
        <v>28.178718937399587</v>
      </c>
      <c r="R663" s="19">
        <f t="shared" ca="1" si="210"/>
        <v>2.8178718937399587</v>
      </c>
      <c r="S663" s="19">
        <f t="shared" ca="1" si="211"/>
        <v>2.8178718937399587</v>
      </c>
      <c r="T663" s="19">
        <f t="shared" ca="1" si="212"/>
        <v>1.8760923400862658E-2</v>
      </c>
      <c r="U663" s="19">
        <f t="shared" ca="1" si="213"/>
        <v>1464.3251747165598</v>
      </c>
      <c r="V663" s="19">
        <f t="shared" ca="1" si="214"/>
        <v>9.749233986769525</v>
      </c>
      <c r="W663" s="82">
        <f t="shared" ca="1" si="215"/>
        <v>4261.0824406828706</v>
      </c>
      <c r="X663" s="19">
        <f t="shared" ca="1" si="216"/>
        <v>28.369579700201054</v>
      </c>
      <c r="Y663" s="19">
        <f t="shared" si="217"/>
        <v>0</v>
      </c>
      <c r="Z663" s="82">
        <f t="shared" ca="1" si="218"/>
        <v>4261.0824406828706</v>
      </c>
      <c r="AA663" s="19">
        <f t="shared" ca="1" si="219"/>
        <v>28.369579700201054</v>
      </c>
    </row>
    <row r="664" spans="1:27" ht="12.75" customHeight="1" x14ac:dyDescent="0.2">
      <c r="A664">
        <v>0</v>
      </c>
      <c r="B664">
        <v>3</v>
      </c>
      <c r="C664">
        <f t="shared" ca="1" si="198"/>
        <v>5</v>
      </c>
      <c r="D664">
        <f t="shared" ca="1" si="199"/>
        <v>4</v>
      </c>
      <c r="E664">
        <f t="shared" ca="1" si="200"/>
        <v>0</v>
      </c>
      <c r="F664" s="61">
        <f t="shared" ca="1" si="201"/>
        <v>8.6042879999999999E-3</v>
      </c>
      <c r="G664">
        <v>1</v>
      </c>
      <c r="H664">
        <v>0</v>
      </c>
      <c r="I664">
        <v>3</v>
      </c>
      <c r="J664" s="61">
        <f t="shared" ca="1" si="202"/>
        <v>0.16290125000000011</v>
      </c>
      <c r="K664" s="61">
        <f t="shared" ca="1" si="203"/>
        <v>1.4016492705600009E-3</v>
      </c>
      <c r="L664" s="82">
        <f t="shared" ca="1" si="204"/>
        <v>194</v>
      </c>
      <c r="M664" s="16">
        <f t="shared" ca="1" si="205"/>
        <v>806</v>
      </c>
      <c r="N664" s="3">
        <f t="shared" ca="1" si="206"/>
        <v>5</v>
      </c>
      <c r="O664" s="19">
        <f t="shared" ca="1" si="207"/>
        <v>2.8178718937399587</v>
      </c>
      <c r="P664" s="19">
        <f t="shared" ca="1" si="208"/>
        <v>28.178718937399587</v>
      </c>
      <c r="Q664" s="19">
        <f t="shared" ca="1" si="209"/>
        <v>28.178718937399587</v>
      </c>
      <c r="R664" s="19">
        <f t="shared" ca="1" si="210"/>
        <v>2.8178718937399587</v>
      </c>
      <c r="S664" s="19">
        <f t="shared" ca="1" si="211"/>
        <v>2.8178718937399587</v>
      </c>
      <c r="T664" s="19">
        <f t="shared" ca="1" si="212"/>
        <v>3.9496680843921416E-3</v>
      </c>
      <c r="U664" s="19">
        <f t="shared" ca="1" si="213"/>
        <v>1453.3251747165598</v>
      </c>
      <c r="V664" s="19">
        <f t="shared" ca="1" si="214"/>
        <v>2.0370521710279519</v>
      </c>
      <c r="W664" s="82">
        <f t="shared" ca="1" si="215"/>
        <v>3775.1772106481485</v>
      </c>
      <c r="X664" s="19">
        <f t="shared" ca="1" si="216"/>
        <v>5.2914743835397164</v>
      </c>
      <c r="Y664" s="19">
        <f t="shared" si="217"/>
        <v>0</v>
      </c>
      <c r="Z664" s="82">
        <f t="shared" ca="1" si="218"/>
        <v>3775.1772106481485</v>
      </c>
      <c r="AA664" s="19">
        <f t="shared" ca="1" si="219"/>
        <v>5.2914743835397164</v>
      </c>
    </row>
    <row r="665" spans="1:27" ht="12.75" customHeight="1" x14ac:dyDescent="0.2">
      <c r="A665">
        <v>0</v>
      </c>
      <c r="B665">
        <v>3</v>
      </c>
      <c r="C665">
        <f t="shared" ca="1" si="198"/>
        <v>5</v>
      </c>
      <c r="D665">
        <f t="shared" ca="1" si="199"/>
        <v>4</v>
      </c>
      <c r="E665">
        <f t="shared" ca="1" si="200"/>
        <v>0</v>
      </c>
      <c r="F665" s="61">
        <f t="shared" ca="1" si="201"/>
        <v>8.6042879999999999E-3</v>
      </c>
      <c r="G665">
        <v>1</v>
      </c>
      <c r="H665">
        <v>0</v>
      </c>
      <c r="I665">
        <v>2</v>
      </c>
      <c r="J665" s="61">
        <f t="shared" ca="1" si="202"/>
        <v>1.2860625000000021E-2</v>
      </c>
      <c r="K665" s="61">
        <f t="shared" ca="1" si="203"/>
        <v>1.1065652136000018E-4</v>
      </c>
      <c r="L665" s="82">
        <f t="shared" ca="1" si="204"/>
        <v>183</v>
      </c>
      <c r="M665" s="16">
        <f t="shared" ca="1" si="205"/>
        <v>817</v>
      </c>
      <c r="N665" s="3">
        <f t="shared" ca="1" si="206"/>
        <v>5</v>
      </c>
      <c r="O665" s="19">
        <f t="shared" ca="1" si="207"/>
        <v>2.8178718937399587</v>
      </c>
      <c r="P665" s="19">
        <f t="shared" ca="1" si="208"/>
        <v>28.178718937399587</v>
      </c>
      <c r="Q665" s="19">
        <f t="shared" ca="1" si="209"/>
        <v>28.178718937399587</v>
      </c>
      <c r="R665" s="19">
        <f t="shared" ca="1" si="210"/>
        <v>2.8178718937399587</v>
      </c>
      <c r="S665" s="19">
        <f t="shared" ca="1" si="211"/>
        <v>2.8178718937399587</v>
      </c>
      <c r="T665" s="19">
        <f t="shared" ca="1" si="212"/>
        <v>3.118159013993799E-4</v>
      </c>
      <c r="U665" s="19">
        <f t="shared" ca="1" si="213"/>
        <v>1442.3251747165598</v>
      </c>
      <c r="V665" s="19">
        <f t="shared" ca="1" si="214"/>
        <v>0.15960268650408899</v>
      </c>
      <c r="W665" s="82">
        <f t="shared" ca="1" si="215"/>
        <v>3289.2719806134264</v>
      </c>
      <c r="X665" s="19">
        <f t="shared" ca="1" si="216"/>
        <v>0.36397939518159972</v>
      </c>
      <c r="Y665" s="19">
        <f t="shared" si="217"/>
        <v>0</v>
      </c>
      <c r="Z665" s="82">
        <f t="shared" ca="1" si="218"/>
        <v>3289.2719806134264</v>
      </c>
      <c r="AA665" s="19">
        <f t="shared" ca="1" si="219"/>
        <v>0.36397939518159972</v>
      </c>
    </row>
    <row r="666" spans="1:27" ht="12.75" customHeight="1" x14ac:dyDescent="0.2">
      <c r="A666">
        <v>0</v>
      </c>
      <c r="B666">
        <v>3</v>
      </c>
      <c r="C666">
        <f t="shared" ca="1" si="198"/>
        <v>5</v>
      </c>
      <c r="D666">
        <f t="shared" ca="1" si="199"/>
        <v>4</v>
      </c>
      <c r="E666">
        <f t="shared" ca="1" si="200"/>
        <v>0</v>
      </c>
      <c r="F666" s="61">
        <f t="shared" ca="1" si="201"/>
        <v>8.6042879999999999E-3</v>
      </c>
      <c r="G666">
        <v>1</v>
      </c>
      <c r="H666">
        <v>0</v>
      </c>
      <c r="I666">
        <v>1</v>
      </c>
      <c r="J666" s="61">
        <f t="shared" ca="1" si="202"/>
        <v>4.5125000000000118E-4</v>
      </c>
      <c r="K666" s="61">
        <f t="shared" ca="1" si="203"/>
        <v>3.8826849600000099E-6</v>
      </c>
      <c r="L666" s="82">
        <f t="shared" ca="1" si="204"/>
        <v>172</v>
      </c>
      <c r="M666" s="16">
        <f t="shared" ca="1" si="205"/>
        <v>828</v>
      </c>
      <c r="N666" s="3">
        <f t="shared" ca="1" si="206"/>
        <v>5</v>
      </c>
      <c r="O666" s="19">
        <f t="shared" ca="1" si="207"/>
        <v>2.8178718937399587</v>
      </c>
      <c r="P666" s="19">
        <f t="shared" ca="1" si="208"/>
        <v>28.178718937399587</v>
      </c>
      <c r="Q666" s="19">
        <f t="shared" ca="1" si="209"/>
        <v>28.178718937399587</v>
      </c>
      <c r="R666" s="19">
        <f t="shared" ca="1" si="210"/>
        <v>2.8178718937399587</v>
      </c>
      <c r="S666" s="19">
        <f t="shared" ca="1" si="211"/>
        <v>2.8178718937399587</v>
      </c>
      <c r="T666" s="19">
        <f t="shared" ca="1" si="212"/>
        <v>1.0940908821030883E-5</v>
      </c>
      <c r="U666" s="19">
        <f t="shared" ca="1" si="213"/>
        <v>1431.3251747165598</v>
      </c>
      <c r="V666" s="19">
        <f t="shared" ca="1" si="214"/>
        <v>5.5573847287413731E-3</v>
      </c>
      <c r="W666" s="82">
        <f t="shared" ca="1" si="215"/>
        <v>2803.3667505787039</v>
      </c>
      <c r="X666" s="19">
        <f t="shared" ca="1" si="216"/>
        <v>1.0884589919836032E-2</v>
      </c>
      <c r="Y666" s="19">
        <f t="shared" si="217"/>
        <v>0</v>
      </c>
      <c r="Z666" s="82">
        <f t="shared" ca="1" si="218"/>
        <v>2803.3667505787039</v>
      </c>
      <c r="AA666" s="19">
        <f t="shared" ca="1" si="219"/>
        <v>1.0884589919836032E-2</v>
      </c>
    </row>
    <row r="667" spans="1:27" ht="12.75" customHeight="1" x14ac:dyDescent="0.2">
      <c r="A667">
        <v>0</v>
      </c>
      <c r="B667">
        <v>3</v>
      </c>
      <c r="C667">
        <f t="shared" ca="1" si="198"/>
        <v>5</v>
      </c>
      <c r="D667">
        <f t="shared" ca="1" si="199"/>
        <v>4</v>
      </c>
      <c r="E667">
        <f t="shared" ca="1" si="200"/>
        <v>0</v>
      </c>
      <c r="F667" s="61">
        <f t="shared" ca="1" si="201"/>
        <v>8.6042879999999999E-3</v>
      </c>
      <c r="G667">
        <v>1</v>
      </c>
      <c r="H667">
        <v>0</v>
      </c>
      <c r="I667">
        <v>0</v>
      </c>
      <c r="J667" s="61">
        <f t="shared" ca="1" si="202"/>
        <v>5.9375000000000207E-6</v>
      </c>
      <c r="K667" s="61">
        <f t="shared" ca="1" si="203"/>
        <v>5.108796000000018E-8</v>
      </c>
      <c r="L667" s="82">
        <f t="shared" ca="1" si="204"/>
        <v>161</v>
      </c>
      <c r="M667" s="16">
        <f t="shared" ca="1" si="205"/>
        <v>839</v>
      </c>
      <c r="N667" s="3">
        <f t="shared" ca="1" si="206"/>
        <v>5</v>
      </c>
      <c r="O667" s="19">
        <f t="shared" ca="1" si="207"/>
        <v>2.8178718937399587</v>
      </c>
      <c r="P667" s="19">
        <f t="shared" ca="1" si="208"/>
        <v>28.178718937399587</v>
      </c>
      <c r="Q667" s="19">
        <f t="shared" ca="1" si="209"/>
        <v>28.178718937399587</v>
      </c>
      <c r="R667" s="19">
        <f t="shared" ca="1" si="210"/>
        <v>2.8178718937399587</v>
      </c>
      <c r="S667" s="19">
        <f t="shared" ca="1" si="211"/>
        <v>2.8178718937399587</v>
      </c>
      <c r="T667" s="19">
        <f t="shared" ca="1" si="212"/>
        <v>1.4395932659251177E-7</v>
      </c>
      <c r="U667" s="19">
        <f t="shared" ca="1" si="213"/>
        <v>1420.3251747165598</v>
      </c>
      <c r="V667" s="19">
        <f t="shared" ca="1" si="214"/>
        <v>7.256151571291287E-5</v>
      </c>
      <c r="W667" s="82">
        <f t="shared" ca="1" si="215"/>
        <v>2317.4615205439818</v>
      </c>
      <c r="X667" s="19">
        <f t="shared" ca="1" si="216"/>
        <v>1.1839438146309053E-4</v>
      </c>
      <c r="Y667" s="19">
        <f t="shared" si="217"/>
        <v>0</v>
      </c>
      <c r="Z667" s="82">
        <f t="shared" ca="1" si="218"/>
        <v>2317.4615205439818</v>
      </c>
      <c r="AA667" s="19">
        <f t="shared" ca="1" si="219"/>
        <v>1.1839438146309053E-4</v>
      </c>
    </row>
    <row r="668" spans="1:27" ht="12.75" customHeight="1" x14ac:dyDescent="0.2">
      <c r="A668">
        <v>0</v>
      </c>
      <c r="B668">
        <v>3</v>
      </c>
      <c r="C668">
        <f t="shared" ca="1" si="198"/>
        <v>5</v>
      </c>
      <c r="D668">
        <f t="shared" ca="1" si="199"/>
        <v>4</v>
      </c>
      <c r="E668">
        <f t="shared" ca="1" si="200"/>
        <v>0</v>
      </c>
      <c r="F668" s="61">
        <f t="shared" ca="1" si="201"/>
        <v>8.6042879999999999E-3</v>
      </c>
      <c r="G668">
        <v>0</v>
      </c>
      <c r="H668">
        <v>1</v>
      </c>
      <c r="I668">
        <v>7</v>
      </c>
      <c r="J668" s="61">
        <f t="shared" ca="1" si="202"/>
        <v>0</v>
      </c>
      <c r="K668" s="61">
        <f t="shared" ca="1" si="203"/>
        <v>0</v>
      </c>
      <c r="L668" s="82">
        <f t="shared" ca="1" si="204"/>
        <v>238</v>
      </c>
      <c r="M668" s="16">
        <f t="shared" ca="1" si="205"/>
        <v>762</v>
      </c>
      <c r="N668" s="3">
        <f t="shared" ca="1" si="206"/>
        <v>5</v>
      </c>
      <c r="O668" s="19">
        <f t="shared" ca="1" si="207"/>
        <v>2.8178718937399587</v>
      </c>
      <c r="P668" s="19">
        <f t="shared" ca="1" si="208"/>
        <v>25.815886347750073</v>
      </c>
      <c r="Q668" s="19">
        <f t="shared" ca="1" si="209"/>
        <v>23.453053758100552</v>
      </c>
      <c r="R668" s="19">
        <f t="shared" ca="1" si="210"/>
        <v>2.4634470052925312</v>
      </c>
      <c r="S668" s="19">
        <f t="shared" ca="1" si="211"/>
        <v>2.8178718937399587</v>
      </c>
      <c r="T668" s="19">
        <f t="shared" ca="1" si="212"/>
        <v>0</v>
      </c>
      <c r="U668" s="19">
        <f t="shared" ca="1" si="213"/>
        <v>1497.3251747165598</v>
      </c>
      <c r="V668" s="19">
        <f t="shared" ca="1" si="214"/>
        <v>0</v>
      </c>
      <c r="W668" s="82">
        <f t="shared" ca="1" si="215"/>
        <v>3401.3366102430559</v>
      </c>
      <c r="X668" s="19">
        <f t="shared" ca="1" si="216"/>
        <v>0</v>
      </c>
      <c r="Y668" s="19">
        <f t="shared" si="217"/>
        <v>0</v>
      </c>
      <c r="Z668" s="82">
        <f t="shared" ca="1" si="218"/>
        <v>3401.3366102430559</v>
      </c>
      <c r="AA668" s="19">
        <f t="shared" ca="1" si="219"/>
        <v>0</v>
      </c>
    </row>
    <row r="669" spans="1:27" ht="12.75" customHeight="1" x14ac:dyDescent="0.2">
      <c r="A669">
        <v>0</v>
      </c>
      <c r="B669">
        <v>3</v>
      </c>
      <c r="C669">
        <f t="shared" ca="1" si="198"/>
        <v>5</v>
      </c>
      <c r="D669">
        <f t="shared" ca="1" si="199"/>
        <v>4</v>
      </c>
      <c r="E669">
        <f t="shared" ca="1" si="200"/>
        <v>0</v>
      </c>
      <c r="F669" s="61">
        <f t="shared" ca="1" si="201"/>
        <v>8.6042879999999999E-3</v>
      </c>
      <c r="G669">
        <v>0</v>
      </c>
      <c r="H669">
        <v>1</v>
      </c>
      <c r="I669">
        <v>6</v>
      </c>
      <c r="J669" s="61">
        <f t="shared" ca="1" si="202"/>
        <v>0</v>
      </c>
      <c r="K669" s="61">
        <f t="shared" ca="1" si="203"/>
        <v>0</v>
      </c>
      <c r="L669" s="82">
        <f t="shared" ca="1" si="204"/>
        <v>227</v>
      </c>
      <c r="M669" s="16">
        <f t="shared" ca="1" si="205"/>
        <v>773</v>
      </c>
      <c r="N669" s="3">
        <f t="shared" ca="1" si="206"/>
        <v>5</v>
      </c>
      <c r="O669" s="19">
        <f t="shared" ca="1" si="207"/>
        <v>2.8178718937399587</v>
      </c>
      <c r="P669" s="19">
        <f t="shared" ca="1" si="208"/>
        <v>28.178718937399587</v>
      </c>
      <c r="Q669" s="19">
        <f t="shared" ca="1" si="209"/>
        <v>26.288452865679979</v>
      </c>
      <c r="R669" s="19">
        <f t="shared" ca="1" si="210"/>
        <v>2.7233585901539783</v>
      </c>
      <c r="S669" s="19">
        <f t="shared" ca="1" si="211"/>
        <v>2.8178718937399587</v>
      </c>
      <c r="T669" s="19">
        <f t="shared" ca="1" si="212"/>
        <v>0</v>
      </c>
      <c r="U669" s="19">
        <f t="shared" ca="1" si="213"/>
        <v>1486.3251747165598</v>
      </c>
      <c r="V669" s="19">
        <f t="shared" ca="1" si="214"/>
        <v>0</v>
      </c>
      <c r="W669" s="82">
        <f t="shared" ca="1" si="215"/>
        <v>2915.4313802083334</v>
      </c>
      <c r="X669" s="19">
        <f t="shared" ca="1" si="216"/>
        <v>0</v>
      </c>
      <c r="Y669" s="19">
        <f t="shared" si="217"/>
        <v>0</v>
      </c>
      <c r="Z669" s="82">
        <f t="shared" ca="1" si="218"/>
        <v>2915.4313802083334</v>
      </c>
      <c r="AA669" s="19">
        <f t="shared" ca="1" si="219"/>
        <v>0</v>
      </c>
    </row>
    <row r="670" spans="1:27" ht="12.75" customHeight="1" x14ac:dyDescent="0.2">
      <c r="A670">
        <v>0</v>
      </c>
      <c r="B670">
        <v>3</v>
      </c>
      <c r="C670">
        <f t="shared" ca="1" si="198"/>
        <v>5</v>
      </c>
      <c r="D670">
        <f t="shared" ca="1" si="199"/>
        <v>4</v>
      </c>
      <c r="E670">
        <f t="shared" ca="1" si="200"/>
        <v>0</v>
      </c>
      <c r="F670" s="61">
        <f t="shared" ca="1" si="201"/>
        <v>8.6042879999999999E-3</v>
      </c>
      <c r="G670">
        <v>0</v>
      </c>
      <c r="H670">
        <v>1</v>
      </c>
      <c r="I670">
        <v>5</v>
      </c>
      <c r="J670" s="61">
        <f t="shared" ca="1" si="202"/>
        <v>0</v>
      </c>
      <c r="K670" s="61">
        <f t="shared" ca="1" si="203"/>
        <v>0</v>
      </c>
      <c r="L670" s="82">
        <f t="shared" ca="1" si="204"/>
        <v>216</v>
      </c>
      <c r="M670" s="16">
        <f t="shared" ca="1" si="205"/>
        <v>784</v>
      </c>
      <c r="N670" s="3">
        <f t="shared" ca="1" si="206"/>
        <v>5</v>
      </c>
      <c r="O670" s="19">
        <f t="shared" ca="1" si="207"/>
        <v>2.8178718937399587</v>
      </c>
      <c r="P670" s="19">
        <f t="shared" ca="1" si="208"/>
        <v>28.178718937399587</v>
      </c>
      <c r="Q670" s="19">
        <f t="shared" ca="1" si="209"/>
        <v>28.178718937399587</v>
      </c>
      <c r="R670" s="19">
        <f t="shared" ca="1" si="210"/>
        <v>2.8178718937399587</v>
      </c>
      <c r="S670" s="19">
        <f t="shared" ca="1" si="211"/>
        <v>2.8178718937399587</v>
      </c>
      <c r="T670" s="19">
        <f t="shared" ca="1" si="212"/>
        <v>0</v>
      </c>
      <c r="U670" s="19">
        <f t="shared" ca="1" si="213"/>
        <v>1475.3251747165598</v>
      </c>
      <c r="V670" s="19">
        <f t="shared" ca="1" si="214"/>
        <v>0</v>
      </c>
      <c r="W670" s="82">
        <f t="shared" ca="1" si="215"/>
        <v>2429.5261501736113</v>
      </c>
      <c r="X670" s="19">
        <f t="shared" ca="1" si="216"/>
        <v>0</v>
      </c>
      <c r="Y670" s="19">
        <f t="shared" si="217"/>
        <v>0</v>
      </c>
      <c r="Z670" s="82">
        <f t="shared" ca="1" si="218"/>
        <v>2429.5261501736113</v>
      </c>
      <c r="AA670" s="19">
        <f t="shared" ca="1" si="219"/>
        <v>0</v>
      </c>
    </row>
    <row r="671" spans="1:27" ht="12.75" customHeight="1" x14ac:dyDescent="0.2">
      <c r="A671">
        <v>0</v>
      </c>
      <c r="B671">
        <v>3</v>
      </c>
      <c r="C671">
        <f t="shared" ca="1" si="198"/>
        <v>5</v>
      </c>
      <c r="D671">
        <f t="shared" ca="1" si="199"/>
        <v>4</v>
      </c>
      <c r="E671">
        <f t="shared" ca="1" si="200"/>
        <v>0</v>
      </c>
      <c r="F671" s="61">
        <f t="shared" ca="1" si="201"/>
        <v>8.6042879999999999E-3</v>
      </c>
      <c r="G671">
        <v>0</v>
      </c>
      <c r="H671">
        <v>1</v>
      </c>
      <c r="I671">
        <v>4</v>
      </c>
      <c r="J671" s="61">
        <f t="shared" ca="1" si="202"/>
        <v>0</v>
      </c>
      <c r="K671" s="61">
        <f t="shared" ca="1" si="203"/>
        <v>0</v>
      </c>
      <c r="L671" s="82">
        <f t="shared" ca="1" si="204"/>
        <v>205</v>
      </c>
      <c r="M671" s="16">
        <f t="shared" ca="1" si="205"/>
        <v>795</v>
      </c>
      <c r="N671" s="3">
        <f t="shared" ca="1" si="206"/>
        <v>5</v>
      </c>
      <c r="O671" s="19">
        <f t="shared" ca="1" si="207"/>
        <v>2.8178718937399587</v>
      </c>
      <c r="P671" s="19">
        <f t="shared" ca="1" si="208"/>
        <v>28.178718937399587</v>
      </c>
      <c r="Q671" s="19">
        <f t="shared" ca="1" si="209"/>
        <v>28.178718937399587</v>
      </c>
      <c r="R671" s="19">
        <f t="shared" ca="1" si="210"/>
        <v>2.8178718937399587</v>
      </c>
      <c r="S671" s="19">
        <f t="shared" ca="1" si="211"/>
        <v>2.8178718937399587</v>
      </c>
      <c r="T671" s="19">
        <f t="shared" ca="1" si="212"/>
        <v>0</v>
      </c>
      <c r="U671" s="19">
        <f t="shared" ca="1" si="213"/>
        <v>1464.3251747165598</v>
      </c>
      <c r="V671" s="19">
        <f t="shared" ca="1" si="214"/>
        <v>0</v>
      </c>
      <c r="W671" s="82">
        <f t="shared" ca="1" si="215"/>
        <v>1943.620920138889</v>
      </c>
      <c r="X671" s="19">
        <f t="shared" ca="1" si="216"/>
        <v>0</v>
      </c>
      <c r="Y671" s="19">
        <f t="shared" si="217"/>
        <v>0</v>
      </c>
      <c r="Z671" s="82">
        <f t="shared" ca="1" si="218"/>
        <v>1943.620920138889</v>
      </c>
      <c r="AA671" s="19">
        <f t="shared" ca="1" si="219"/>
        <v>0</v>
      </c>
    </row>
    <row r="672" spans="1:27" ht="12.75" customHeight="1" x14ac:dyDescent="0.2">
      <c r="A672">
        <v>0</v>
      </c>
      <c r="B672">
        <v>3</v>
      </c>
      <c r="C672">
        <f t="shared" ca="1" si="198"/>
        <v>5</v>
      </c>
      <c r="D672">
        <f t="shared" ca="1" si="199"/>
        <v>4</v>
      </c>
      <c r="E672">
        <f t="shared" ca="1" si="200"/>
        <v>0</v>
      </c>
      <c r="F672" s="61">
        <f t="shared" ca="1" si="201"/>
        <v>8.6042879999999999E-3</v>
      </c>
      <c r="G672">
        <v>0</v>
      </c>
      <c r="H672">
        <v>1</v>
      </c>
      <c r="I672">
        <v>3</v>
      </c>
      <c r="J672" s="61">
        <f t="shared" ca="1" si="202"/>
        <v>0</v>
      </c>
      <c r="K672" s="61">
        <f t="shared" ca="1" si="203"/>
        <v>0</v>
      </c>
      <c r="L672" s="82">
        <f t="shared" ca="1" si="204"/>
        <v>194</v>
      </c>
      <c r="M672" s="16">
        <f t="shared" ca="1" si="205"/>
        <v>806</v>
      </c>
      <c r="N672" s="3">
        <f t="shared" ca="1" si="206"/>
        <v>5</v>
      </c>
      <c r="O672" s="19">
        <f t="shared" ca="1" si="207"/>
        <v>2.8178718937399587</v>
      </c>
      <c r="P672" s="19">
        <f t="shared" ca="1" si="208"/>
        <v>28.178718937399587</v>
      </c>
      <c r="Q672" s="19">
        <f t="shared" ca="1" si="209"/>
        <v>28.178718937399587</v>
      </c>
      <c r="R672" s="19">
        <f t="shared" ca="1" si="210"/>
        <v>2.8178718937399587</v>
      </c>
      <c r="S672" s="19">
        <f t="shared" ca="1" si="211"/>
        <v>2.8178718937399587</v>
      </c>
      <c r="T672" s="19">
        <f t="shared" ca="1" si="212"/>
        <v>0</v>
      </c>
      <c r="U672" s="19">
        <f t="shared" ca="1" si="213"/>
        <v>1453.3251747165598</v>
      </c>
      <c r="V672" s="19">
        <f t="shared" ca="1" si="214"/>
        <v>0</v>
      </c>
      <c r="W672" s="82">
        <f t="shared" ca="1" si="215"/>
        <v>1457.7156901041667</v>
      </c>
      <c r="X672" s="19">
        <f t="shared" ca="1" si="216"/>
        <v>0</v>
      </c>
      <c r="Y672" s="19">
        <f t="shared" si="217"/>
        <v>0</v>
      </c>
      <c r="Z672" s="82">
        <f t="shared" ca="1" si="218"/>
        <v>1457.7156901041667</v>
      </c>
      <c r="AA672" s="19">
        <f t="shared" ca="1" si="219"/>
        <v>0</v>
      </c>
    </row>
    <row r="673" spans="1:27" ht="12.75" customHeight="1" x14ac:dyDescent="0.2">
      <c r="A673">
        <v>0</v>
      </c>
      <c r="B673">
        <v>3</v>
      </c>
      <c r="C673">
        <f t="shared" ca="1" si="198"/>
        <v>5</v>
      </c>
      <c r="D673">
        <f t="shared" ca="1" si="199"/>
        <v>4</v>
      </c>
      <c r="E673">
        <f t="shared" ca="1" si="200"/>
        <v>0</v>
      </c>
      <c r="F673" s="61">
        <f t="shared" ca="1" si="201"/>
        <v>8.6042879999999999E-3</v>
      </c>
      <c r="G673">
        <v>0</v>
      </c>
      <c r="H673">
        <v>1</v>
      </c>
      <c r="I673">
        <v>2</v>
      </c>
      <c r="J673" s="61">
        <f t="shared" ca="1" si="202"/>
        <v>0</v>
      </c>
      <c r="K673" s="61">
        <f t="shared" ca="1" si="203"/>
        <v>0</v>
      </c>
      <c r="L673" s="82">
        <f t="shared" ca="1" si="204"/>
        <v>183</v>
      </c>
      <c r="M673" s="16">
        <f t="shared" ca="1" si="205"/>
        <v>817</v>
      </c>
      <c r="N673" s="3">
        <f t="shared" ca="1" si="206"/>
        <v>5</v>
      </c>
      <c r="O673" s="19">
        <f t="shared" ca="1" si="207"/>
        <v>2.8178718937399587</v>
      </c>
      <c r="P673" s="19">
        <f t="shared" ca="1" si="208"/>
        <v>28.178718937399587</v>
      </c>
      <c r="Q673" s="19">
        <f t="shared" ca="1" si="209"/>
        <v>28.178718937399587</v>
      </c>
      <c r="R673" s="19">
        <f t="shared" ca="1" si="210"/>
        <v>2.8178718937399587</v>
      </c>
      <c r="S673" s="19">
        <f t="shared" ca="1" si="211"/>
        <v>2.8178718937399587</v>
      </c>
      <c r="T673" s="19">
        <f t="shared" ca="1" si="212"/>
        <v>0</v>
      </c>
      <c r="U673" s="19">
        <f t="shared" ca="1" si="213"/>
        <v>1442.3251747165598</v>
      </c>
      <c r="V673" s="19">
        <f t="shared" ca="1" si="214"/>
        <v>0</v>
      </c>
      <c r="W673" s="82">
        <f t="shared" ca="1" si="215"/>
        <v>971.8104600694445</v>
      </c>
      <c r="X673" s="19">
        <f t="shared" ca="1" si="216"/>
        <v>0</v>
      </c>
      <c r="Y673" s="19">
        <f t="shared" si="217"/>
        <v>0</v>
      </c>
      <c r="Z673" s="82">
        <f t="shared" ca="1" si="218"/>
        <v>971.8104600694445</v>
      </c>
      <c r="AA673" s="19">
        <f t="shared" ca="1" si="219"/>
        <v>0</v>
      </c>
    </row>
    <row r="674" spans="1:27" ht="12.75" customHeight="1" x14ac:dyDescent="0.2">
      <c r="A674">
        <v>0</v>
      </c>
      <c r="B674">
        <v>3</v>
      </c>
      <c r="C674">
        <f t="shared" ca="1" si="198"/>
        <v>5</v>
      </c>
      <c r="D674">
        <f t="shared" ca="1" si="199"/>
        <v>4</v>
      </c>
      <c r="E674">
        <f t="shared" ca="1" si="200"/>
        <v>0</v>
      </c>
      <c r="F674" s="61">
        <f t="shared" ca="1" si="201"/>
        <v>8.6042879999999999E-3</v>
      </c>
      <c r="G674">
        <v>0</v>
      </c>
      <c r="H674">
        <v>1</v>
      </c>
      <c r="I674">
        <v>1</v>
      </c>
      <c r="J674" s="61">
        <f t="shared" ca="1" si="202"/>
        <v>0</v>
      </c>
      <c r="K674" s="61">
        <f t="shared" ca="1" si="203"/>
        <v>0</v>
      </c>
      <c r="L674" s="82">
        <f t="shared" ca="1" si="204"/>
        <v>172</v>
      </c>
      <c r="M674" s="16">
        <f t="shared" ca="1" si="205"/>
        <v>828</v>
      </c>
      <c r="N674" s="3">
        <f t="shared" ca="1" si="206"/>
        <v>5</v>
      </c>
      <c r="O674" s="19">
        <f t="shared" ca="1" si="207"/>
        <v>2.8178718937399587</v>
      </c>
      <c r="P674" s="19">
        <f t="shared" ca="1" si="208"/>
        <v>28.178718937399587</v>
      </c>
      <c r="Q674" s="19">
        <f t="shared" ca="1" si="209"/>
        <v>28.178718937399587</v>
      </c>
      <c r="R674" s="19">
        <f t="shared" ca="1" si="210"/>
        <v>2.8178718937399587</v>
      </c>
      <c r="S674" s="19">
        <f t="shared" ca="1" si="211"/>
        <v>2.8178718937399587</v>
      </c>
      <c r="T674" s="19">
        <f t="shared" ca="1" si="212"/>
        <v>0</v>
      </c>
      <c r="U674" s="19">
        <f t="shared" ca="1" si="213"/>
        <v>1431.3251747165598</v>
      </c>
      <c r="V674" s="19">
        <f t="shared" ca="1" si="214"/>
        <v>0</v>
      </c>
      <c r="W674" s="82">
        <f t="shared" ca="1" si="215"/>
        <v>485.90523003472225</v>
      </c>
      <c r="X674" s="19">
        <f t="shared" ca="1" si="216"/>
        <v>0</v>
      </c>
      <c r="Y674" s="19">
        <f t="shared" si="217"/>
        <v>0</v>
      </c>
      <c r="Z674" s="82">
        <f t="shared" ca="1" si="218"/>
        <v>485.90523003472225</v>
      </c>
      <c r="AA674" s="19">
        <f t="shared" ca="1" si="219"/>
        <v>0</v>
      </c>
    </row>
    <row r="675" spans="1:27" ht="12.75" customHeight="1" x14ac:dyDescent="0.2">
      <c r="A675">
        <v>0</v>
      </c>
      <c r="B675">
        <v>3</v>
      </c>
      <c r="C675">
        <f t="shared" ca="1" si="198"/>
        <v>5</v>
      </c>
      <c r="D675">
        <f t="shared" ca="1" si="199"/>
        <v>4</v>
      </c>
      <c r="E675">
        <f t="shared" ca="1" si="200"/>
        <v>0</v>
      </c>
      <c r="F675" s="61">
        <f t="shared" ca="1" si="201"/>
        <v>8.6042879999999999E-3</v>
      </c>
      <c r="G675">
        <v>0</v>
      </c>
      <c r="H675">
        <v>1</v>
      </c>
      <c r="I675">
        <v>0</v>
      </c>
      <c r="J675" s="61">
        <f t="shared" ca="1" si="202"/>
        <v>0</v>
      </c>
      <c r="K675" s="61">
        <f t="shared" ca="1" si="203"/>
        <v>0</v>
      </c>
      <c r="L675" s="82">
        <f t="shared" ca="1" si="204"/>
        <v>161</v>
      </c>
      <c r="M675" s="16">
        <f t="shared" ca="1" si="205"/>
        <v>839</v>
      </c>
      <c r="N675" s="3">
        <f t="shared" ca="1" si="206"/>
        <v>5</v>
      </c>
      <c r="O675" s="19">
        <f t="shared" ca="1" si="207"/>
        <v>2.8178718937399587</v>
      </c>
      <c r="P675" s="19">
        <f t="shared" ca="1" si="208"/>
        <v>28.178718937399587</v>
      </c>
      <c r="Q675" s="19">
        <f t="shared" ca="1" si="209"/>
        <v>28.178718937399587</v>
      </c>
      <c r="R675" s="19">
        <f t="shared" ca="1" si="210"/>
        <v>2.8178718937399587</v>
      </c>
      <c r="S675" s="19">
        <f t="shared" ca="1" si="211"/>
        <v>2.8178718937399587</v>
      </c>
      <c r="T675" s="19">
        <f t="shared" ca="1" si="212"/>
        <v>0</v>
      </c>
      <c r="U675" s="19">
        <f t="shared" ca="1" si="213"/>
        <v>1420.3251747165598</v>
      </c>
      <c r="V675" s="19">
        <f t="shared" ca="1" si="214"/>
        <v>0</v>
      </c>
      <c r="W675" s="82">
        <f t="shared" ca="1" si="215"/>
        <v>0</v>
      </c>
      <c r="X675" s="19">
        <f t="shared" ca="1" si="216"/>
        <v>0</v>
      </c>
      <c r="Y675" s="19">
        <f t="shared" si="217"/>
        <v>0</v>
      </c>
      <c r="Z675" s="82">
        <f t="shared" ca="1" si="218"/>
        <v>0</v>
      </c>
      <c r="AA675" s="19">
        <f t="shared" ca="1" si="219"/>
        <v>0</v>
      </c>
    </row>
    <row r="676" spans="1:27" ht="12.75" customHeight="1" x14ac:dyDescent="0.2">
      <c r="A676">
        <v>0</v>
      </c>
      <c r="B676">
        <v>3</v>
      </c>
      <c r="C676">
        <f t="shared" ca="1" si="198"/>
        <v>5</v>
      </c>
      <c r="D676">
        <f t="shared" ca="1" si="199"/>
        <v>4</v>
      </c>
      <c r="E676">
        <f t="shared" ca="1" si="200"/>
        <v>0</v>
      </c>
      <c r="F676" s="61">
        <f t="shared" ca="1" si="201"/>
        <v>8.6042879999999999E-3</v>
      </c>
      <c r="G676">
        <v>0</v>
      </c>
      <c r="H676">
        <v>0</v>
      </c>
      <c r="I676">
        <v>7</v>
      </c>
      <c r="J676" s="61">
        <f t="shared" ca="1" si="202"/>
        <v>0</v>
      </c>
      <c r="K676" s="61">
        <f t="shared" ca="1" si="203"/>
        <v>0</v>
      </c>
      <c r="L676" s="82">
        <f t="shared" ca="1" si="204"/>
        <v>77</v>
      </c>
      <c r="M676" s="16">
        <f t="shared" ca="1" si="205"/>
        <v>923</v>
      </c>
      <c r="N676" s="3">
        <f t="shared" ca="1" si="206"/>
        <v>5</v>
      </c>
      <c r="O676" s="19">
        <f t="shared" ca="1" si="207"/>
        <v>2.8178718937399587</v>
      </c>
      <c r="P676" s="19">
        <f t="shared" ca="1" si="208"/>
        <v>28.178718937399587</v>
      </c>
      <c r="Q676" s="19">
        <f t="shared" ca="1" si="209"/>
        <v>28.178718937399587</v>
      </c>
      <c r="R676" s="19">
        <f t="shared" ca="1" si="210"/>
        <v>2.8178718937399587</v>
      </c>
      <c r="S676" s="19">
        <f t="shared" ca="1" si="211"/>
        <v>2.8178718937399587</v>
      </c>
      <c r="T676" s="19">
        <f t="shared" ca="1" si="212"/>
        <v>0</v>
      </c>
      <c r="U676" s="19">
        <f t="shared" ca="1" si="213"/>
        <v>1336.3251747165598</v>
      </c>
      <c r="V676" s="19">
        <f t="shared" ca="1" si="214"/>
        <v>0</v>
      </c>
      <c r="W676" s="82">
        <f t="shared" ca="1" si="215"/>
        <v>3401.3366102430559</v>
      </c>
      <c r="X676" s="19">
        <f t="shared" ca="1" si="216"/>
        <v>0</v>
      </c>
      <c r="Y676" s="19">
        <f t="shared" si="217"/>
        <v>0</v>
      </c>
      <c r="Z676" s="82">
        <f t="shared" ca="1" si="218"/>
        <v>3401.3366102430559</v>
      </c>
      <c r="AA676" s="19">
        <f t="shared" ca="1" si="219"/>
        <v>0</v>
      </c>
    </row>
    <row r="677" spans="1:27" ht="12.75" customHeight="1" x14ac:dyDescent="0.2">
      <c r="A677">
        <v>0</v>
      </c>
      <c r="B677">
        <v>3</v>
      </c>
      <c r="C677">
        <f t="shared" ca="1" si="198"/>
        <v>5</v>
      </c>
      <c r="D677">
        <f t="shared" ca="1" si="199"/>
        <v>4</v>
      </c>
      <c r="E677">
        <f t="shared" ca="1" si="200"/>
        <v>0</v>
      </c>
      <c r="F677" s="61">
        <f t="shared" ca="1" si="201"/>
        <v>8.6042879999999999E-3</v>
      </c>
      <c r="G677">
        <v>0</v>
      </c>
      <c r="H677">
        <v>0</v>
      </c>
      <c r="I677">
        <v>6</v>
      </c>
      <c r="J677" s="61">
        <f t="shared" ca="1" si="202"/>
        <v>0</v>
      </c>
      <c r="K677" s="61">
        <f t="shared" ca="1" si="203"/>
        <v>0</v>
      </c>
      <c r="L677" s="82">
        <f t="shared" ca="1" si="204"/>
        <v>66</v>
      </c>
      <c r="M677" s="16">
        <f t="shared" ca="1" si="205"/>
        <v>934</v>
      </c>
      <c r="N677" s="3">
        <f t="shared" ca="1" si="206"/>
        <v>5</v>
      </c>
      <c r="O677" s="19">
        <f t="shared" ca="1" si="207"/>
        <v>2.8178718937399587</v>
      </c>
      <c r="P677" s="19">
        <f t="shared" ca="1" si="208"/>
        <v>28.178718937399587</v>
      </c>
      <c r="Q677" s="19">
        <f t="shared" ca="1" si="209"/>
        <v>28.178718937399587</v>
      </c>
      <c r="R677" s="19">
        <f t="shared" ca="1" si="210"/>
        <v>2.8178718937399587</v>
      </c>
      <c r="S677" s="19">
        <f t="shared" ca="1" si="211"/>
        <v>2.8178718937399587</v>
      </c>
      <c r="T677" s="19">
        <f t="shared" ca="1" si="212"/>
        <v>0</v>
      </c>
      <c r="U677" s="19">
        <f t="shared" ca="1" si="213"/>
        <v>1325.3251747165598</v>
      </c>
      <c r="V677" s="19">
        <f t="shared" ca="1" si="214"/>
        <v>0</v>
      </c>
      <c r="W677" s="82">
        <f t="shared" ca="1" si="215"/>
        <v>2915.4313802083334</v>
      </c>
      <c r="X677" s="19">
        <f t="shared" ca="1" si="216"/>
        <v>0</v>
      </c>
      <c r="Y677" s="19">
        <f t="shared" si="217"/>
        <v>0</v>
      </c>
      <c r="Z677" s="82">
        <f t="shared" ca="1" si="218"/>
        <v>2915.4313802083334</v>
      </c>
      <c r="AA677" s="19">
        <f t="shared" ca="1" si="219"/>
        <v>0</v>
      </c>
    </row>
    <row r="678" spans="1:27" ht="12.75" customHeight="1" x14ac:dyDescent="0.2">
      <c r="A678">
        <v>0</v>
      </c>
      <c r="B678">
        <v>3</v>
      </c>
      <c r="C678">
        <f t="shared" ca="1" si="198"/>
        <v>5</v>
      </c>
      <c r="D678">
        <f t="shared" ca="1" si="199"/>
        <v>4</v>
      </c>
      <c r="E678">
        <f t="shared" ca="1" si="200"/>
        <v>0</v>
      </c>
      <c r="F678" s="61">
        <f t="shared" ca="1" si="201"/>
        <v>8.6042879999999999E-3</v>
      </c>
      <c r="G678">
        <v>0</v>
      </c>
      <c r="H678">
        <v>0</v>
      </c>
      <c r="I678">
        <v>5</v>
      </c>
      <c r="J678" s="61">
        <f t="shared" ca="1" si="202"/>
        <v>0</v>
      </c>
      <c r="K678" s="61">
        <f t="shared" ca="1" si="203"/>
        <v>0</v>
      </c>
      <c r="L678" s="82">
        <f t="shared" ca="1" si="204"/>
        <v>55</v>
      </c>
      <c r="M678" s="16">
        <f t="shared" ca="1" si="205"/>
        <v>945</v>
      </c>
      <c r="N678" s="3">
        <f t="shared" ca="1" si="206"/>
        <v>5</v>
      </c>
      <c r="O678" s="19">
        <f t="shared" ca="1" si="207"/>
        <v>2.8178718937399587</v>
      </c>
      <c r="P678" s="19">
        <f t="shared" ca="1" si="208"/>
        <v>28.178718937399587</v>
      </c>
      <c r="Q678" s="19">
        <f t="shared" ca="1" si="209"/>
        <v>28.178718937399587</v>
      </c>
      <c r="R678" s="19">
        <f t="shared" ca="1" si="210"/>
        <v>2.8178718937399587</v>
      </c>
      <c r="S678" s="19">
        <f t="shared" ca="1" si="211"/>
        <v>2.8178718937399587</v>
      </c>
      <c r="T678" s="19">
        <f t="shared" ca="1" si="212"/>
        <v>0</v>
      </c>
      <c r="U678" s="19">
        <f t="shared" ca="1" si="213"/>
        <v>1314.3251747165598</v>
      </c>
      <c r="V678" s="19">
        <f t="shared" ca="1" si="214"/>
        <v>0</v>
      </c>
      <c r="W678" s="82">
        <f t="shared" ca="1" si="215"/>
        <v>2429.5261501736113</v>
      </c>
      <c r="X678" s="19">
        <f t="shared" ca="1" si="216"/>
        <v>0</v>
      </c>
      <c r="Y678" s="19">
        <f t="shared" si="217"/>
        <v>0</v>
      </c>
      <c r="Z678" s="82">
        <f t="shared" ca="1" si="218"/>
        <v>2429.5261501736113</v>
      </c>
      <c r="AA678" s="19">
        <f t="shared" ca="1" si="219"/>
        <v>0</v>
      </c>
    </row>
    <row r="679" spans="1:27" ht="12.75" customHeight="1" x14ac:dyDescent="0.2">
      <c r="A679">
        <v>0</v>
      </c>
      <c r="B679">
        <v>3</v>
      </c>
      <c r="C679">
        <f t="shared" ca="1" si="198"/>
        <v>5</v>
      </c>
      <c r="D679">
        <f t="shared" ca="1" si="199"/>
        <v>4</v>
      </c>
      <c r="E679">
        <f t="shared" ca="1" si="200"/>
        <v>0</v>
      </c>
      <c r="F679" s="61">
        <f t="shared" ca="1" si="201"/>
        <v>8.6042879999999999E-3</v>
      </c>
      <c r="G679">
        <v>0</v>
      </c>
      <c r="H679">
        <v>0</v>
      </c>
      <c r="I679">
        <v>4</v>
      </c>
      <c r="J679" s="61">
        <f t="shared" ca="1" si="202"/>
        <v>4.0725312499999999E-2</v>
      </c>
      <c r="K679" s="61">
        <f t="shared" ca="1" si="203"/>
        <v>3.5041231764E-4</v>
      </c>
      <c r="L679" s="82">
        <f t="shared" ca="1" si="204"/>
        <v>44</v>
      </c>
      <c r="M679" s="16">
        <f t="shared" ca="1" si="205"/>
        <v>956</v>
      </c>
      <c r="N679" s="3">
        <f t="shared" ca="1" si="206"/>
        <v>6</v>
      </c>
      <c r="O679" s="19">
        <f t="shared" ca="1" si="207"/>
        <v>3.3239268932937667</v>
      </c>
      <c r="P679" s="19">
        <f t="shared" ca="1" si="208"/>
        <v>33.239268932937669</v>
      </c>
      <c r="Q679" s="19">
        <f t="shared" ca="1" si="209"/>
        <v>28.178718937399587</v>
      </c>
      <c r="R679" s="19">
        <f t="shared" ca="1" si="210"/>
        <v>3.0708993935168629</v>
      </c>
      <c r="S679" s="19">
        <f t="shared" ca="1" si="211"/>
        <v>3.3239268932937667</v>
      </c>
      <c r="T679" s="19">
        <f t="shared" ca="1" si="212"/>
        <v>1.1647449263449937E-3</v>
      </c>
      <c r="U679" s="19">
        <f t="shared" ca="1" si="213"/>
        <v>1495.4024523027438</v>
      </c>
      <c r="V679" s="19">
        <f t="shared" ca="1" si="214"/>
        <v>0.52400743911594405</v>
      </c>
      <c r="W679" s="82">
        <f t="shared" ca="1" si="215"/>
        <v>1943.620920138889</v>
      </c>
      <c r="X679" s="19">
        <f t="shared" ca="1" si="216"/>
        <v>0.68106871123945745</v>
      </c>
      <c r="Y679" s="19">
        <f t="shared" si="217"/>
        <v>0</v>
      </c>
      <c r="Z679" s="82">
        <f t="shared" ca="1" si="218"/>
        <v>1943.620920138889</v>
      </c>
      <c r="AA679" s="19">
        <f t="shared" ca="1" si="219"/>
        <v>0.68106871123945745</v>
      </c>
    </row>
    <row r="680" spans="1:27" ht="12.75" customHeight="1" x14ac:dyDescent="0.2">
      <c r="A680">
        <v>0</v>
      </c>
      <c r="B680">
        <v>3</v>
      </c>
      <c r="C680">
        <f t="shared" ca="1" si="198"/>
        <v>5</v>
      </c>
      <c r="D680">
        <f t="shared" ca="1" si="199"/>
        <v>4</v>
      </c>
      <c r="E680">
        <f t="shared" ca="1" si="200"/>
        <v>0</v>
      </c>
      <c r="F680" s="61">
        <f t="shared" ca="1" si="201"/>
        <v>8.6042879999999999E-3</v>
      </c>
      <c r="G680">
        <v>0</v>
      </c>
      <c r="H680">
        <v>0</v>
      </c>
      <c r="I680">
        <v>3</v>
      </c>
      <c r="J680" s="61">
        <f t="shared" ca="1" si="202"/>
        <v>8.5737500000000067E-3</v>
      </c>
      <c r="K680" s="61">
        <f t="shared" ca="1" si="203"/>
        <v>7.3771014240000057E-5</v>
      </c>
      <c r="L680" s="82">
        <f t="shared" ca="1" si="204"/>
        <v>33</v>
      </c>
      <c r="M680" s="16">
        <f t="shared" ca="1" si="205"/>
        <v>967</v>
      </c>
      <c r="N680" s="3">
        <f t="shared" ca="1" si="206"/>
        <v>6</v>
      </c>
      <c r="O680" s="19">
        <f t="shared" ca="1" si="207"/>
        <v>3.3239268932937667</v>
      </c>
      <c r="P680" s="19">
        <f t="shared" ca="1" si="208"/>
        <v>33.239268932937669</v>
      </c>
      <c r="Q680" s="19">
        <f t="shared" ca="1" si="209"/>
        <v>33.239268932937669</v>
      </c>
      <c r="R680" s="19">
        <f t="shared" ca="1" si="210"/>
        <v>3.3239268932937671</v>
      </c>
      <c r="S680" s="19">
        <f t="shared" ca="1" si="211"/>
        <v>3.3239268932937667</v>
      </c>
      <c r="T680" s="19">
        <f t="shared" ca="1" si="212"/>
        <v>2.452094581778936E-4</v>
      </c>
      <c r="U680" s="19">
        <f t="shared" ca="1" si="213"/>
        <v>1484.4024523027438</v>
      </c>
      <c r="V680" s="19">
        <f t="shared" ca="1" si="214"/>
        <v>0.10950587444671672</v>
      </c>
      <c r="W680" s="82">
        <f t="shared" ca="1" si="215"/>
        <v>1457.7156901041667</v>
      </c>
      <c r="X680" s="19">
        <f t="shared" ca="1" si="216"/>
        <v>0.10753716493254599</v>
      </c>
      <c r="Y680" s="19">
        <f t="shared" si="217"/>
        <v>0</v>
      </c>
      <c r="Z680" s="82">
        <f t="shared" ca="1" si="218"/>
        <v>1457.7156901041667</v>
      </c>
      <c r="AA680" s="19">
        <f t="shared" ca="1" si="219"/>
        <v>0.10753716493254599</v>
      </c>
    </row>
    <row r="681" spans="1:27" ht="12.75" customHeight="1" x14ac:dyDescent="0.2">
      <c r="A681">
        <v>0</v>
      </c>
      <c r="B681">
        <v>3</v>
      </c>
      <c r="C681">
        <f t="shared" ca="1" si="198"/>
        <v>5</v>
      </c>
      <c r="D681">
        <f t="shared" ca="1" si="199"/>
        <v>4</v>
      </c>
      <c r="E681">
        <f t="shared" ca="1" si="200"/>
        <v>0</v>
      </c>
      <c r="F681" s="61">
        <f t="shared" ca="1" si="201"/>
        <v>8.6042879999999999E-3</v>
      </c>
      <c r="G681">
        <v>0</v>
      </c>
      <c r="H681">
        <v>0</v>
      </c>
      <c r="I681">
        <v>2</v>
      </c>
      <c r="J681" s="61">
        <f t="shared" ca="1" si="202"/>
        <v>6.7687500000000126E-4</v>
      </c>
      <c r="K681" s="61">
        <f t="shared" ca="1" si="203"/>
        <v>5.8240274400000111E-6</v>
      </c>
      <c r="L681" s="82">
        <f t="shared" ca="1" si="204"/>
        <v>22</v>
      </c>
      <c r="M681" s="16">
        <f t="shared" ca="1" si="205"/>
        <v>978</v>
      </c>
      <c r="N681" s="3">
        <f t="shared" ca="1" si="206"/>
        <v>6</v>
      </c>
      <c r="O681" s="19">
        <f t="shared" ca="1" si="207"/>
        <v>3.3239268932937667</v>
      </c>
      <c r="P681" s="19">
        <f t="shared" ca="1" si="208"/>
        <v>33.239268932937669</v>
      </c>
      <c r="Q681" s="19">
        <f t="shared" ca="1" si="209"/>
        <v>33.239268932937669</v>
      </c>
      <c r="R681" s="19">
        <f t="shared" ca="1" si="210"/>
        <v>3.3239268932937671</v>
      </c>
      <c r="S681" s="19">
        <f t="shared" ca="1" si="211"/>
        <v>3.3239268932937667</v>
      </c>
      <c r="T681" s="19">
        <f t="shared" ca="1" si="212"/>
        <v>1.9358641435096885E-5</v>
      </c>
      <c r="U681" s="19">
        <f t="shared" ca="1" si="213"/>
        <v>1473.4024523027438</v>
      </c>
      <c r="V681" s="19">
        <f t="shared" ca="1" si="214"/>
        <v>8.581136312374487E-3</v>
      </c>
      <c r="W681" s="82">
        <f t="shared" ca="1" si="215"/>
        <v>971.8104600694445</v>
      </c>
      <c r="X681" s="19">
        <f t="shared" ca="1" si="216"/>
        <v>5.6598507859234801E-3</v>
      </c>
      <c r="Y681" s="19">
        <f t="shared" si="217"/>
        <v>0</v>
      </c>
      <c r="Z681" s="82">
        <f t="shared" ca="1" si="218"/>
        <v>971.8104600694445</v>
      </c>
      <c r="AA681" s="19">
        <f t="shared" ca="1" si="219"/>
        <v>5.6598507859234801E-3</v>
      </c>
    </row>
    <row r="682" spans="1:27" ht="12.75" customHeight="1" x14ac:dyDescent="0.2">
      <c r="A682">
        <v>0</v>
      </c>
      <c r="B682">
        <v>3</v>
      </c>
      <c r="C682">
        <f t="shared" ca="1" si="198"/>
        <v>5</v>
      </c>
      <c r="D682">
        <f t="shared" ca="1" si="199"/>
        <v>4</v>
      </c>
      <c r="E682">
        <f t="shared" ca="1" si="200"/>
        <v>0</v>
      </c>
      <c r="F682" s="61">
        <f t="shared" ca="1" si="201"/>
        <v>8.6042879999999999E-3</v>
      </c>
      <c r="G682">
        <v>0</v>
      </c>
      <c r="H682">
        <v>0</v>
      </c>
      <c r="I682">
        <v>1</v>
      </c>
      <c r="J682" s="61">
        <f t="shared" ca="1" si="202"/>
        <v>2.3750000000000062E-5</v>
      </c>
      <c r="K682" s="61">
        <f t="shared" ca="1" si="203"/>
        <v>2.0435184000000053E-7</v>
      </c>
      <c r="L682" s="82">
        <f t="shared" ca="1" si="204"/>
        <v>11</v>
      </c>
      <c r="M682" s="16">
        <f t="shared" ca="1" si="205"/>
        <v>989</v>
      </c>
      <c r="N682" s="3">
        <f t="shared" ca="1" si="206"/>
        <v>6</v>
      </c>
      <c r="O682" s="19">
        <f t="shared" ca="1" si="207"/>
        <v>3.3239268932937667</v>
      </c>
      <c r="P682" s="19">
        <f t="shared" ca="1" si="208"/>
        <v>33.239268932937669</v>
      </c>
      <c r="Q682" s="19">
        <f t="shared" ca="1" si="209"/>
        <v>33.239268932937669</v>
      </c>
      <c r="R682" s="19">
        <f t="shared" ca="1" si="210"/>
        <v>3.3239268932937671</v>
      </c>
      <c r="S682" s="19">
        <f t="shared" ca="1" si="211"/>
        <v>3.3239268932937667</v>
      </c>
      <c r="T682" s="19">
        <f t="shared" ca="1" si="212"/>
        <v>6.7925057667006666E-7</v>
      </c>
      <c r="U682" s="19">
        <f t="shared" ca="1" si="213"/>
        <v>1462.4024523027438</v>
      </c>
      <c r="V682" s="19">
        <f t="shared" ca="1" si="214"/>
        <v>2.9884463194857869E-4</v>
      </c>
      <c r="W682" s="82">
        <f t="shared" ca="1" si="215"/>
        <v>485.90523003472225</v>
      </c>
      <c r="X682" s="19">
        <f t="shared" ca="1" si="216"/>
        <v>9.9295627823219022E-5</v>
      </c>
      <c r="Y682" s="19">
        <f t="shared" si="217"/>
        <v>0</v>
      </c>
      <c r="Z682" s="82">
        <f t="shared" ca="1" si="218"/>
        <v>485.90523003472225</v>
      </c>
      <c r="AA682" s="19">
        <f t="shared" ca="1" si="219"/>
        <v>9.9295627823219022E-5</v>
      </c>
    </row>
    <row r="683" spans="1:27" ht="12.75" customHeight="1" x14ac:dyDescent="0.2">
      <c r="A683">
        <v>0</v>
      </c>
      <c r="B683">
        <v>3</v>
      </c>
      <c r="C683">
        <f t="shared" ca="1" si="198"/>
        <v>5</v>
      </c>
      <c r="D683">
        <f t="shared" ca="1" si="199"/>
        <v>4</v>
      </c>
      <c r="E683">
        <f t="shared" ca="1" si="200"/>
        <v>0</v>
      </c>
      <c r="F683" s="61">
        <f t="shared" ca="1" si="201"/>
        <v>8.6042879999999999E-3</v>
      </c>
      <c r="G683">
        <v>0</v>
      </c>
      <c r="H683">
        <v>0</v>
      </c>
      <c r="I683">
        <v>0</v>
      </c>
      <c r="J683" s="61">
        <f t="shared" ca="1" si="202"/>
        <v>3.1250000000000114E-7</v>
      </c>
      <c r="K683" s="61">
        <f t="shared" ca="1" si="203"/>
        <v>2.6888400000000099E-9</v>
      </c>
      <c r="L683" s="82">
        <f t="shared" ca="1" si="204"/>
        <v>0</v>
      </c>
      <c r="M683" s="16">
        <f t="shared" ca="1" si="205"/>
        <v>1000</v>
      </c>
      <c r="N683" s="3">
        <f t="shared" ca="1" si="206"/>
        <v>6</v>
      </c>
      <c r="O683" s="19">
        <f t="shared" ca="1" si="207"/>
        <v>3.3239268932937667</v>
      </c>
      <c r="P683" s="19">
        <f t="shared" ca="1" si="208"/>
        <v>33.239268932937669</v>
      </c>
      <c r="Q683" s="19">
        <f t="shared" ca="1" si="209"/>
        <v>33.239268932937669</v>
      </c>
      <c r="R683" s="19">
        <f t="shared" ca="1" si="210"/>
        <v>3.3239268932937671</v>
      </c>
      <c r="S683" s="19">
        <f t="shared" ca="1" si="211"/>
        <v>3.3239268932937667</v>
      </c>
      <c r="T683" s="19">
        <f t="shared" ca="1" si="212"/>
        <v>8.9375075877640438E-9</v>
      </c>
      <c r="U683" s="19">
        <f t="shared" ca="1" si="213"/>
        <v>1451.4024523027438</v>
      </c>
      <c r="V683" s="19">
        <f t="shared" ca="1" si="214"/>
        <v>3.9025889698497238E-6</v>
      </c>
      <c r="W683" s="82">
        <f t="shared" ca="1" si="215"/>
        <v>0</v>
      </c>
      <c r="X683" s="19">
        <f t="shared" ca="1" si="216"/>
        <v>0</v>
      </c>
      <c r="Y683" s="19">
        <f t="shared" si="217"/>
        <v>0</v>
      </c>
      <c r="Z683" s="82">
        <f t="shared" ca="1" si="218"/>
        <v>0</v>
      </c>
      <c r="AA683" s="19">
        <f t="shared" ca="1" si="219"/>
        <v>0</v>
      </c>
    </row>
    <row r="684" spans="1:27" ht="12.75" customHeight="1" x14ac:dyDescent="0.2">
      <c r="A684">
        <v>1</v>
      </c>
      <c r="B684">
        <v>0</v>
      </c>
      <c r="C684">
        <f t="shared" ref="C684:C747" ca="1" si="220">MIN(8, 1+$B$545+$B$544+A684+B684)</f>
        <v>3</v>
      </c>
      <c r="D684">
        <f t="shared" ref="D684:D747" ca="1" si="221">C684-(1+$B$545)</f>
        <v>2</v>
      </c>
      <c r="E684">
        <f t="shared" ref="E684:E747" ca="1" si="222">MIN(A684, C684-(1+$B$545+$B$544))</f>
        <v>1</v>
      </c>
      <c r="F684" s="61">
        <f t="shared" ref="F684:F747" ca="1" si="223">IF(A684=3, Set2QA, IF(A684=2, (1-Set2QA)*Set2TA + (1-Set2QA)*(1-Set2TA)*(1-Set2DA)*Set2AM3*Set2AM33, IF(A684=1, (1-Set2QA)*(1-Set2TA)*Set2DA + (1-Set2QA)*(1-Set2TA)*(1-Set2DA)*Set2AM3*Set2AM32, (1-Set2QA)*(1-Set2TA)*(1-Set2DA)*(1-Set2AM3)))) * IF($B$544+$B$545&gt;0, IF(B684=3, Set2QA, IF(B684=2, (1-Set2QA)*Set2TA, IF(B684=1, (1-Set2QA)*(1-Set2TA)*Set2DA, (1-Set2QA)*(1-Set2TA)*(1-Set2DA)))), IF(B684=0, 1, 0))</f>
        <v>0.35901304948776958</v>
      </c>
      <c r="G684">
        <v>1</v>
      </c>
      <c r="H684">
        <v>1</v>
      </c>
      <c r="I684">
        <v>7</v>
      </c>
      <c r="J684" s="61">
        <f t="shared" ref="J684:J747" ca="1" si="224">POWER(95%,G684)*POWER(5%, 1-G684) * IF($B$545=0, IF(H684=0, 1, 0), POWER(Set2WSHitRate,H684)*POWER(1-Set2WSHitRate, 1-H684)) * IF(I684&lt;=D684, POWER(Set2WSHitRate, I684)*POWER(1-Set2WSHitRate, D684-I684)*COMBIN(D684,I684), 0)</f>
        <v>0</v>
      </c>
      <c r="K684" s="61">
        <f t="shared" ref="K684:K747" ca="1" si="225">F684*J684</f>
        <v>0</v>
      </c>
      <c r="L684" s="82">
        <f t="shared" ref="L684:L747" ca="1" si="226">MAX((G684+H684)*Set2WSTP + I684*$B$541, Set2SaveTP)</f>
        <v>399</v>
      </c>
      <c r="M684" s="16">
        <f t="shared" ref="M684:M747" ca="1" si="227">MAX(Set2MinTP-(L684+Set2Regain), 0)</f>
        <v>601</v>
      </c>
      <c r="N684" s="3">
        <f t="shared" ref="N684:N747" ca="1" si="228">CEILING(M684/Set2MeleeTP, 1)</f>
        <v>4</v>
      </c>
      <c r="O684" s="19">
        <f t="shared" ref="O684:O747" ca="1" si="229">VLOOKUP(N684, AvgRoundsSet2, 2)</f>
        <v>2.3453053758100548</v>
      </c>
      <c r="P684" s="19">
        <f t="shared" ref="P684:P747" ca="1" si="230">VLOOKUP(CEILING(MAX(M684-1, 0)/Set2MeleeTP, 1), AvgRoundsSet2, 2) + VLOOKUP(CEILING(MAX(M684-2, 0)/Set2MeleeTP, 1), AvgRoundsSet2, 2) + VLOOKUP(CEILING(MAX(M684-3, 0)/Set2MeleeTP, 1), AvgRoundsSet2, 2) + VLOOKUP(CEILING(MAX(M684-4, 0)/Set2MeleeTP, 1), AvgRoundsSet2, 2) + VLOOKUP(CEILING(MAX(M684-5, 0)/Set2MeleeTP, 1), AvgRoundsSet2, 2) + VLOOKUP(CEILING(MAX(M684-6, 0)/Set2MeleeTP, 1), AvgRoundsSet2, 2) + VLOOKUP(CEILING(MAX(M684-7, 0)/Set2MeleeTP, 1), AvgRoundsSet2, 2) + VLOOKUP(CEILING(MAX(M684-8, 0)/Set2MeleeTP, 1), AvgRoundsSet2, 2) + VLOOKUP(CEILING(MAX(M684-9, 0)/Set2MeleeTP, 1), AvgRoundsSet2, 2) + VLOOKUP(CEILING(MAX(M684-10, 0)/Set2MeleeTP, 1), AvgRoundsSet2, 2)</f>
        <v>23.453053758100552</v>
      </c>
      <c r="Q684" s="19">
        <f t="shared" ref="Q684:Q747" ca="1" si="231">VLOOKUP(CEILING(MAX(M684-11, 0)/Set2MeleeTP, 1), AvgRoundsSet2, 2) + VLOOKUP(CEILING(MAX(M684-12, 0)/Set2MeleeTP, 1), AvgRoundsSet2, 2) + VLOOKUP(CEILING(MAX(M684-13, 0)/Set2MeleeTP, 1), AvgRoundsSet2, 2) + VLOOKUP(CEILING(MAX(M684-14, 0)/Set2MeleeTP, 1), AvgRoundsSet2, 2) + VLOOKUP(CEILING(MAX(M684-15, 0)/Set2MeleeTP, 1), AvgRoundsSet2, 2) + VLOOKUP(CEILING(MAX(M684-16, 0)/Set2MeleeTP, 1), AvgRoundsSet2, 2) + VLOOKUP(CEILING(MAX(M684-17, 0)/Set2MeleeTP, 1), AvgRoundsSet2, 2) + VLOOKUP(CEILING(MAX(M684-18, 0)/Set2MeleeTP, 1), AvgRoundsSet2, 2) + VLOOKUP(CEILING(MAX(M684-19, 0)/Set2MeleeTP, 1), AvgRoundsSet2, 2) + VLOOKUP(CEILING(MAX(M684-20, 0)/Set2MeleeTP, 1), AvgRoundsSet2, 2)</f>
        <v>23.453053758100552</v>
      </c>
      <c r="R684" s="19">
        <f t="shared" ref="R684:R747" ca="1" si="232">(P684+Q684)/20</f>
        <v>2.3453053758100553</v>
      </c>
      <c r="S684" s="19">
        <f t="shared" ref="S684:S747" ca="1" si="233">R684*Set2ConserveTP + O684*(1-Set2ConserveTP)</f>
        <v>2.3453053758100548</v>
      </c>
      <c r="T684" s="19">
        <f t="shared" ref="T684:T747" ca="1" si="234">K684*S684</f>
        <v>0</v>
      </c>
      <c r="U684" s="19">
        <f t="shared" ref="U684:U747" ca="1" si="235">MIN(L684+(S684+Set2OverTP)*AvgHitsPerRound2*Set2MeleeTP + Set2Regain + 10.5*Set2ConserveTP, 3000)</f>
        <v>1478.9587218163997</v>
      </c>
      <c r="V684" s="19">
        <f t="shared" ref="V684:V747" ca="1" si="236">U684*K684</f>
        <v>0</v>
      </c>
      <c r="W684" s="82">
        <f t="shared" ref="W684:W747" ca="1" si="237">G684*$K$547*((1-$L$547)*$L$551 + $L$547*$M$551*$M$547) + H684*$K$550*((1-$L$550)*$L$552 + $L$550*$M$552*$M$548) + I684*$K$548*((1-$L$548)*$L$551 + $L$548*$M$551*$M$548) + E684*$K$549*$L$549*$M$547</f>
        <v>5718.7981307870377</v>
      </c>
      <c r="X684" s="19">
        <f t="shared" ref="X684:X747" ca="1" si="238">K684*W684</f>
        <v>0</v>
      </c>
      <c r="Y684" s="19">
        <f t="shared" ref="Y684:Y747" si="239">IF($B$547=1, (VLOOKUP(C684, IF($B$548=10%,Souleater10,Souleater12), 6, 0) * $B$549), 0)</f>
        <v>0</v>
      </c>
      <c r="Z684" s="82">
        <f t="shared" ref="Z684:Z747" ca="1" si="240">Y684+W684</f>
        <v>5718.7981307870377</v>
      </c>
      <c r="AA684" s="19">
        <f t="shared" ref="AA684:AA747" ca="1" si="241">Z684*K684</f>
        <v>0</v>
      </c>
    </row>
    <row r="685" spans="1:27" ht="12.75" customHeight="1" x14ac:dyDescent="0.2">
      <c r="A685">
        <v>1</v>
      </c>
      <c r="B685">
        <v>0</v>
      </c>
      <c r="C685">
        <f t="shared" ca="1" si="220"/>
        <v>3</v>
      </c>
      <c r="D685">
        <f t="shared" ca="1" si="221"/>
        <v>2</v>
      </c>
      <c r="E685">
        <f t="shared" ca="1" si="222"/>
        <v>1</v>
      </c>
      <c r="F685" s="61">
        <f t="shared" ca="1" si="223"/>
        <v>0.35901304948776958</v>
      </c>
      <c r="G685">
        <v>1</v>
      </c>
      <c r="H685">
        <v>1</v>
      </c>
      <c r="I685">
        <v>6</v>
      </c>
      <c r="J685" s="61">
        <f t="shared" ca="1" si="224"/>
        <v>0</v>
      </c>
      <c r="K685" s="61">
        <f t="shared" ca="1" si="225"/>
        <v>0</v>
      </c>
      <c r="L685" s="82">
        <f t="shared" ca="1" si="226"/>
        <v>388</v>
      </c>
      <c r="M685" s="16">
        <f t="shared" ca="1" si="227"/>
        <v>612</v>
      </c>
      <c r="N685" s="3">
        <f t="shared" ca="1" si="228"/>
        <v>4</v>
      </c>
      <c r="O685" s="19">
        <f t="shared" ca="1" si="229"/>
        <v>2.3453053758100548</v>
      </c>
      <c r="P685" s="19">
        <f t="shared" ca="1" si="230"/>
        <v>23.453053758100552</v>
      </c>
      <c r="Q685" s="19">
        <f t="shared" ca="1" si="231"/>
        <v>23.453053758100552</v>
      </c>
      <c r="R685" s="19">
        <f t="shared" ca="1" si="232"/>
        <v>2.3453053758100553</v>
      </c>
      <c r="S685" s="19">
        <f t="shared" ca="1" si="233"/>
        <v>2.3453053758100548</v>
      </c>
      <c r="T685" s="19">
        <f t="shared" ca="1" si="234"/>
        <v>0</v>
      </c>
      <c r="U685" s="19">
        <f t="shared" ca="1" si="235"/>
        <v>1467.9587218163997</v>
      </c>
      <c r="V685" s="19">
        <f t="shared" ca="1" si="236"/>
        <v>0</v>
      </c>
      <c r="W685" s="82">
        <f t="shared" ca="1" si="237"/>
        <v>5232.8929007523147</v>
      </c>
      <c r="X685" s="19">
        <f t="shared" ca="1" si="238"/>
        <v>0</v>
      </c>
      <c r="Y685" s="19">
        <f t="shared" si="239"/>
        <v>0</v>
      </c>
      <c r="Z685" s="82">
        <f t="shared" ca="1" si="240"/>
        <v>5232.8929007523147</v>
      </c>
      <c r="AA685" s="19">
        <f t="shared" ca="1" si="241"/>
        <v>0</v>
      </c>
    </row>
    <row r="686" spans="1:27" ht="12.75" customHeight="1" x14ac:dyDescent="0.2">
      <c r="A686">
        <v>1</v>
      </c>
      <c r="B686">
        <v>0</v>
      </c>
      <c r="C686">
        <f t="shared" ca="1" si="220"/>
        <v>3</v>
      </c>
      <c r="D686">
        <f t="shared" ca="1" si="221"/>
        <v>2</v>
      </c>
      <c r="E686">
        <f t="shared" ca="1" si="222"/>
        <v>1</v>
      </c>
      <c r="F686" s="61">
        <f t="shared" ca="1" si="223"/>
        <v>0.35901304948776958</v>
      </c>
      <c r="G686">
        <v>1</v>
      </c>
      <c r="H686">
        <v>1</v>
      </c>
      <c r="I686">
        <v>5</v>
      </c>
      <c r="J686" s="61">
        <f t="shared" ca="1" si="224"/>
        <v>0</v>
      </c>
      <c r="K686" s="61">
        <f t="shared" ca="1" si="225"/>
        <v>0</v>
      </c>
      <c r="L686" s="82">
        <f t="shared" ca="1" si="226"/>
        <v>377</v>
      </c>
      <c r="M686" s="16">
        <f t="shared" ca="1" si="227"/>
        <v>623</v>
      </c>
      <c r="N686" s="3">
        <f t="shared" ca="1" si="228"/>
        <v>4</v>
      </c>
      <c r="O686" s="19">
        <f t="shared" ca="1" si="229"/>
        <v>2.3453053758100548</v>
      </c>
      <c r="P686" s="19">
        <f t="shared" ca="1" si="230"/>
        <v>23.453053758100552</v>
      </c>
      <c r="Q686" s="19">
        <f t="shared" ca="1" si="231"/>
        <v>23.453053758100552</v>
      </c>
      <c r="R686" s="19">
        <f t="shared" ca="1" si="232"/>
        <v>2.3453053758100553</v>
      </c>
      <c r="S686" s="19">
        <f t="shared" ca="1" si="233"/>
        <v>2.3453053758100548</v>
      </c>
      <c r="T686" s="19">
        <f t="shared" ca="1" si="234"/>
        <v>0</v>
      </c>
      <c r="U686" s="19">
        <f t="shared" ca="1" si="235"/>
        <v>1456.9587218163997</v>
      </c>
      <c r="V686" s="19">
        <f t="shared" ca="1" si="236"/>
        <v>0</v>
      </c>
      <c r="W686" s="82">
        <f t="shared" ca="1" si="237"/>
        <v>4746.9876707175936</v>
      </c>
      <c r="X686" s="19">
        <f t="shared" ca="1" si="238"/>
        <v>0</v>
      </c>
      <c r="Y686" s="19">
        <f t="shared" si="239"/>
        <v>0</v>
      </c>
      <c r="Z686" s="82">
        <f t="shared" ca="1" si="240"/>
        <v>4746.9876707175936</v>
      </c>
      <c r="AA686" s="19">
        <f t="shared" ca="1" si="241"/>
        <v>0</v>
      </c>
    </row>
    <row r="687" spans="1:27" ht="12.75" customHeight="1" x14ac:dyDescent="0.2">
      <c r="A687">
        <v>1</v>
      </c>
      <c r="B687">
        <v>0</v>
      </c>
      <c r="C687">
        <f t="shared" ca="1" si="220"/>
        <v>3</v>
      </c>
      <c r="D687">
        <f t="shared" ca="1" si="221"/>
        <v>2</v>
      </c>
      <c r="E687">
        <f t="shared" ca="1" si="222"/>
        <v>1</v>
      </c>
      <c r="F687" s="61">
        <f t="shared" ca="1" si="223"/>
        <v>0.35901304948776958</v>
      </c>
      <c r="G687">
        <v>1</v>
      </c>
      <c r="H687">
        <v>1</v>
      </c>
      <c r="I687">
        <v>4</v>
      </c>
      <c r="J687" s="61">
        <f t="shared" ca="1" si="224"/>
        <v>0</v>
      </c>
      <c r="K687" s="61">
        <f t="shared" ca="1" si="225"/>
        <v>0</v>
      </c>
      <c r="L687" s="82">
        <f t="shared" ca="1" si="226"/>
        <v>366</v>
      </c>
      <c r="M687" s="16">
        <f t="shared" ca="1" si="227"/>
        <v>634</v>
      </c>
      <c r="N687" s="3">
        <f t="shared" ca="1" si="228"/>
        <v>4</v>
      </c>
      <c r="O687" s="19">
        <f t="shared" ca="1" si="229"/>
        <v>2.3453053758100548</v>
      </c>
      <c r="P687" s="19">
        <f t="shared" ca="1" si="230"/>
        <v>23.453053758100552</v>
      </c>
      <c r="Q687" s="19">
        <f t="shared" ca="1" si="231"/>
        <v>23.453053758100552</v>
      </c>
      <c r="R687" s="19">
        <f t="shared" ca="1" si="232"/>
        <v>2.3453053758100553</v>
      </c>
      <c r="S687" s="19">
        <f t="shared" ca="1" si="233"/>
        <v>2.3453053758100548</v>
      </c>
      <c r="T687" s="19">
        <f t="shared" ca="1" si="234"/>
        <v>0</v>
      </c>
      <c r="U687" s="19">
        <f t="shared" ca="1" si="235"/>
        <v>1445.9587218163997</v>
      </c>
      <c r="V687" s="19">
        <f t="shared" ca="1" si="236"/>
        <v>0</v>
      </c>
      <c r="W687" s="82">
        <f t="shared" ca="1" si="237"/>
        <v>4261.0824406828706</v>
      </c>
      <c r="X687" s="19">
        <f t="shared" ca="1" si="238"/>
        <v>0</v>
      </c>
      <c r="Y687" s="19">
        <f t="shared" si="239"/>
        <v>0</v>
      </c>
      <c r="Z687" s="82">
        <f t="shared" ca="1" si="240"/>
        <v>4261.0824406828706</v>
      </c>
      <c r="AA687" s="19">
        <f t="shared" ca="1" si="241"/>
        <v>0</v>
      </c>
    </row>
    <row r="688" spans="1:27" ht="12.75" customHeight="1" x14ac:dyDescent="0.2">
      <c r="A688">
        <v>1</v>
      </c>
      <c r="B688">
        <v>0</v>
      </c>
      <c r="C688">
        <f t="shared" ca="1" si="220"/>
        <v>3</v>
      </c>
      <c r="D688">
        <f t="shared" ca="1" si="221"/>
        <v>2</v>
      </c>
      <c r="E688">
        <f t="shared" ca="1" si="222"/>
        <v>1</v>
      </c>
      <c r="F688" s="61">
        <f t="shared" ca="1" si="223"/>
        <v>0.35901304948776958</v>
      </c>
      <c r="G688">
        <v>1</v>
      </c>
      <c r="H688">
        <v>1</v>
      </c>
      <c r="I688">
        <v>3</v>
      </c>
      <c r="J688" s="61">
        <f t="shared" ca="1" si="224"/>
        <v>0</v>
      </c>
      <c r="K688" s="61">
        <f t="shared" ca="1" si="225"/>
        <v>0</v>
      </c>
      <c r="L688" s="82">
        <f t="shared" ca="1" si="226"/>
        <v>355</v>
      </c>
      <c r="M688" s="16">
        <f t="shared" ca="1" si="227"/>
        <v>645</v>
      </c>
      <c r="N688" s="3">
        <f t="shared" ca="1" si="228"/>
        <v>4</v>
      </c>
      <c r="O688" s="19">
        <f t="shared" ca="1" si="229"/>
        <v>2.3453053758100548</v>
      </c>
      <c r="P688" s="19">
        <f t="shared" ca="1" si="230"/>
        <v>23.453053758100552</v>
      </c>
      <c r="Q688" s="19">
        <f t="shared" ca="1" si="231"/>
        <v>23.453053758100552</v>
      </c>
      <c r="R688" s="19">
        <f t="shared" ca="1" si="232"/>
        <v>2.3453053758100553</v>
      </c>
      <c r="S688" s="19">
        <f t="shared" ca="1" si="233"/>
        <v>2.3453053758100548</v>
      </c>
      <c r="T688" s="19">
        <f t="shared" ca="1" si="234"/>
        <v>0</v>
      </c>
      <c r="U688" s="19">
        <f t="shared" ca="1" si="235"/>
        <v>1434.9587218163997</v>
      </c>
      <c r="V688" s="19">
        <f t="shared" ca="1" si="236"/>
        <v>0</v>
      </c>
      <c r="W688" s="82">
        <f t="shared" ca="1" si="237"/>
        <v>3775.1772106481485</v>
      </c>
      <c r="X688" s="19">
        <f t="shared" ca="1" si="238"/>
        <v>0</v>
      </c>
      <c r="Y688" s="19">
        <f t="shared" si="239"/>
        <v>0</v>
      </c>
      <c r="Z688" s="82">
        <f t="shared" ca="1" si="240"/>
        <v>3775.1772106481485</v>
      </c>
      <c r="AA688" s="19">
        <f t="shared" ca="1" si="241"/>
        <v>0</v>
      </c>
    </row>
    <row r="689" spans="1:27" ht="12.75" customHeight="1" x14ac:dyDescent="0.2">
      <c r="A689">
        <v>1</v>
      </c>
      <c r="B689">
        <v>0</v>
      </c>
      <c r="C689">
        <f t="shared" ca="1" si="220"/>
        <v>3</v>
      </c>
      <c r="D689">
        <f t="shared" ca="1" si="221"/>
        <v>2</v>
      </c>
      <c r="E689">
        <f t="shared" ca="1" si="222"/>
        <v>1</v>
      </c>
      <c r="F689" s="61">
        <f t="shared" ca="1" si="223"/>
        <v>0.35901304948776958</v>
      </c>
      <c r="G689">
        <v>1</v>
      </c>
      <c r="H689">
        <v>1</v>
      </c>
      <c r="I689">
        <v>2</v>
      </c>
      <c r="J689" s="61">
        <f t="shared" ca="1" si="224"/>
        <v>0</v>
      </c>
      <c r="K689" s="61">
        <f t="shared" ca="1" si="225"/>
        <v>0</v>
      </c>
      <c r="L689" s="82">
        <f t="shared" ca="1" si="226"/>
        <v>344</v>
      </c>
      <c r="M689" s="16">
        <f t="shared" ca="1" si="227"/>
        <v>656</v>
      </c>
      <c r="N689" s="3">
        <f t="shared" ca="1" si="228"/>
        <v>4</v>
      </c>
      <c r="O689" s="19">
        <f t="shared" ca="1" si="229"/>
        <v>2.3453053758100548</v>
      </c>
      <c r="P689" s="19">
        <f t="shared" ca="1" si="230"/>
        <v>23.453053758100552</v>
      </c>
      <c r="Q689" s="19">
        <f t="shared" ca="1" si="231"/>
        <v>23.453053758100552</v>
      </c>
      <c r="R689" s="19">
        <f t="shared" ca="1" si="232"/>
        <v>2.3453053758100553</v>
      </c>
      <c r="S689" s="19">
        <f t="shared" ca="1" si="233"/>
        <v>2.3453053758100548</v>
      </c>
      <c r="T689" s="19">
        <f t="shared" ca="1" si="234"/>
        <v>0</v>
      </c>
      <c r="U689" s="19">
        <f t="shared" ca="1" si="235"/>
        <v>1423.9587218163997</v>
      </c>
      <c r="V689" s="19">
        <f t="shared" ca="1" si="236"/>
        <v>0</v>
      </c>
      <c r="W689" s="82">
        <f t="shared" ca="1" si="237"/>
        <v>3289.2719806134264</v>
      </c>
      <c r="X689" s="19">
        <f t="shared" ca="1" si="238"/>
        <v>0</v>
      </c>
      <c r="Y689" s="19">
        <f t="shared" si="239"/>
        <v>0</v>
      </c>
      <c r="Z689" s="82">
        <f t="shared" ca="1" si="240"/>
        <v>3289.2719806134264</v>
      </c>
      <c r="AA689" s="19">
        <f t="shared" ca="1" si="241"/>
        <v>0</v>
      </c>
    </row>
    <row r="690" spans="1:27" ht="12.75" customHeight="1" x14ac:dyDescent="0.2">
      <c r="A690">
        <v>1</v>
      </c>
      <c r="B690">
        <v>0</v>
      </c>
      <c r="C690">
        <f t="shared" ca="1" si="220"/>
        <v>3</v>
      </c>
      <c r="D690">
        <f t="shared" ca="1" si="221"/>
        <v>2</v>
      </c>
      <c r="E690">
        <f t="shared" ca="1" si="222"/>
        <v>1</v>
      </c>
      <c r="F690" s="61">
        <f t="shared" ca="1" si="223"/>
        <v>0.35901304948776958</v>
      </c>
      <c r="G690">
        <v>1</v>
      </c>
      <c r="H690">
        <v>1</v>
      </c>
      <c r="I690">
        <v>1</v>
      </c>
      <c r="J690" s="61">
        <f t="shared" ca="1" si="224"/>
        <v>0</v>
      </c>
      <c r="K690" s="61">
        <f t="shared" ca="1" si="225"/>
        <v>0</v>
      </c>
      <c r="L690" s="82">
        <f t="shared" ca="1" si="226"/>
        <v>333</v>
      </c>
      <c r="M690" s="16">
        <f t="shared" ca="1" si="227"/>
        <v>667</v>
      </c>
      <c r="N690" s="3">
        <f t="shared" ca="1" si="228"/>
        <v>4</v>
      </c>
      <c r="O690" s="19">
        <f t="shared" ca="1" si="229"/>
        <v>2.3453053758100548</v>
      </c>
      <c r="P690" s="19">
        <f t="shared" ca="1" si="230"/>
        <v>23.453053758100552</v>
      </c>
      <c r="Q690" s="19">
        <f t="shared" ca="1" si="231"/>
        <v>23.453053758100552</v>
      </c>
      <c r="R690" s="19">
        <f t="shared" ca="1" si="232"/>
        <v>2.3453053758100553</v>
      </c>
      <c r="S690" s="19">
        <f t="shared" ca="1" si="233"/>
        <v>2.3453053758100548</v>
      </c>
      <c r="T690" s="19">
        <f t="shared" ca="1" si="234"/>
        <v>0</v>
      </c>
      <c r="U690" s="19">
        <f t="shared" ca="1" si="235"/>
        <v>1412.9587218163997</v>
      </c>
      <c r="V690" s="19">
        <f t="shared" ca="1" si="236"/>
        <v>0</v>
      </c>
      <c r="W690" s="82">
        <f t="shared" ca="1" si="237"/>
        <v>2803.3667505787039</v>
      </c>
      <c r="X690" s="19">
        <f t="shared" ca="1" si="238"/>
        <v>0</v>
      </c>
      <c r="Y690" s="19">
        <f t="shared" si="239"/>
        <v>0</v>
      </c>
      <c r="Z690" s="82">
        <f t="shared" ca="1" si="240"/>
        <v>2803.3667505787039</v>
      </c>
      <c r="AA690" s="19">
        <f t="shared" ca="1" si="241"/>
        <v>0</v>
      </c>
    </row>
    <row r="691" spans="1:27" ht="12.75" customHeight="1" x14ac:dyDescent="0.2">
      <c r="A691">
        <v>1</v>
      </c>
      <c r="B691">
        <v>0</v>
      </c>
      <c r="C691">
        <f t="shared" ca="1" si="220"/>
        <v>3</v>
      </c>
      <c r="D691">
        <f t="shared" ca="1" si="221"/>
        <v>2</v>
      </c>
      <c r="E691">
        <f t="shared" ca="1" si="222"/>
        <v>1</v>
      </c>
      <c r="F691" s="61">
        <f t="shared" ca="1" si="223"/>
        <v>0.35901304948776958</v>
      </c>
      <c r="G691">
        <v>1</v>
      </c>
      <c r="H691">
        <v>1</v>
      </c>
      <c r="I691">
        <v>0</v>
      </c>
      <c r="J691" s="61">
        <f t="shared" ca="1" si="224"/>
        <v>0</v>
      </c>
      <c r="K691" s="61">
        <f t="shared" ca="1" si="225"/>
        <v>0</v>
      </c>
      <c r="L691" s="82">
        <f t="shared" ca="1" si="226"/>
        <v>322</v>
      </c>
      <c r="M691" s="16">
        <f t="shared" ca="1" si="227"/>
        <v>678</v>
      </c>
      <c r="N691" s="3">
        <f t="shared" ca="1" si="228"/>
        <v>4</v>
      </c>
      <c r="O691" s="19">
        <f t="shared" ca="1" si="229"/>
        <v>2.3453053758100548</v>
      </c>
      <c r="P691" s="19">
        <f t="shared" ca="1" si="230"/>
        <v>23.453053758100552</v>
      </c>
      <c r="Q691" s="19">
        <f t="shared" ca="1" si="231"/>
        <v>23.453053758100552</v>
      </c>
      <c r="R691" s="19">
        <f t="shared" ca="1" si="232"/>
        <v>2.3453053758100553</v>
      </c>
      <c r="S691" s="19">
        <f t="shared" ca="1" si="233"/>
        <v>2.3453053758100548</v>
      </c>
      <c r="T691" s="19">
        <f t="shared" ca="1" si="234"/>
        <v>0</v>
      </c>
      <c r="U691" s="19">
        <f t="shared" ca="1" si="235"/>
        <v>1401.9587218163997</v>
      </c>
      <c r="V691" s="19">
        <f t="shared" ca="1" si="236"/>
        <v>0</v>
      </c>
      <c r="W691" s="82">
        <f t="shared" ca="1" si="237"/>
        <v>2317.4615205439818</v>
      </c>
      <c r="X691" s="19">
        <f t="shared" ca="1" si="238"/>
        <v>0</v>
      </c>
      <c r="Y691" s="19">
        <f t="shared" si="239"/>
        <v>0</v>
      </c>
      <c r="Z691" s="82">
        <f t="shared" ca="1" si="240"/>
        <v>2317.4615205439818</v>
      </c>
      <c r="AA691" s="19">
        <f t="shared" ca="1" si="241"/>
        <v>0</v>
      </c>
    </row>
    <row r="692" spans="1:27" ht="12.75" customHeight="1" x14ac:dyDescent="0.2">
      <c r="A692">
        <v>1</v>
      </c>
      <c r="B692">
        <v>0</v>
      </c>
      <c r="C692">
        <f t="shared" ca="1" si="220"/>
        <v>3</v>
      </c>
      <c r="D692">
        <f t="shared" ca="1" si="221"/>
        <v>2</v>
      </c>
      <c r="E692">
        <f t="shared" ca="1" si="222"/>
        <v>1</v>
      </c>
      <c r="F692" s="61">
        <f t="shared" ca="1" si="223"/>
        <v>0.35901304948776958</v>
      </c>
      <c r="G692">
        <v>1</v>
      </c>
      <c r="H692">
        <v>0</v>
      </c>
      <c r="I692">
        <v>7</v>
      </c>
      <c r="J692" s="61">
        <f t="shared" ca="1" si="224"/>
        <v>0</v>
      </c>
      <c r="K692" s="61">
        <f t="shared" ca="1" si="225"/>
        <v>0</v>
      </c>
      <c r="L692" s="82">
        <f t="shared" ca="1" si="226"/>
        <v>238</v>
      </c>
      <c r="M692" s="16">
        <f t="shared" ca="1" si="227"/>
        <v>762</v>
      </c>
      <c r="N692" s="3">
        <f t="shared" ca="1" si="228"/>
        <v>5</v>
      </c>
      <c r="O692" s="19">
        <f t="shared" ca="1" si="229"/>
        <v>2.8178718937399587</v>
      </c>
      <c r="P692" s="19">
        <f t="shared" ca="1" si="230"/>
        <v>25.815886347750073</v>
      </c>
      <c r="Q692" s="19">
        <f t="shared" ca="1" si="231"/>
        <v>23.453053758100552</v>
      </c>
      <c r="R692" s="19">
        <f t="shared" ca="1" si="232"/>
        <v>2.4634470052925312</v>
      </c>
      <c r="S692" s="19">
        <f t="shared" ca="1" si="233"/>
        <v>2.8178718937399587</v>
      </c>
      <c r="T692" s="19">
        <f t="shared" ca="1" si="234"/>
        <v>0</v>
      </c>
      <c r="U692" s="19">
        <f t="shared" ca="1" si="235"/>
        <v>1497.3251747165598</v>
      </c>
      <c r="V692" s="19">
        <f t="shared" ca="1" si="236"/>
        <v>0</v>
      </c>
      <c r="W692" s="82">
        <f t="shared" ca="1" si="237"/>
        <v>5718.7981307870377</v>
      </c>
      <c r="X692" s="19">
        <f t="shared" ca="1" si="238"/>
        <v>0</v>
      </c>
      <c r="Y692" s="19">
        <f t="shared" si="239"/>
        <v>0</v>
      </c>
      <c r="Z692" s="82">
        <f t="shared" ca="1" si="240"/>
        <v>5718.7981307870377</v>
      </c>
      <c r="AA692" s="19">
        <f t="shared" ca="1" si="241"/>
        <v>0</v>
      </c>
    </row>
    <row r="693" spans="1:27" ht="12.75" customHeight="1" x14ac:dyDescent="0.2">
      <c r="A693">
        <v>1</v>
      </c>
      <c r="B693">
        <v>0</v>
      </c>
      <c r="C693">
        <f t="shared" ca="1" si="220"/>
        <v>3</v>
      </c>
      <c r="D693">
        <f t="shared" ca="1" si="221"/>
        <v>2</v>
      </c>
      <c r="E693">
        <f t="shared" ca="1" si="222"/>
        <v>1</v>
      </c>
      <c r="F693" s="61">
        <f t="shared" ca="1" si="223"/>
        <v>0.35901304948776958</v>
      </c>
      <c r="G693">
        <v>1</v>
      </c>
      <c r="H693">
        <v>0</v>
      </c>
      <c r="I693">
        <v>6</v>
      </c>
      <c r="J693" s="61">
        <f t="shared" ca="1" si="224"/>
        <v>0</v>
      </c>
      <c r="K693" s="61">
        <f t="shared" ca="1" si="225"/>
        <v>0</v>
      </c>
      <c r="L693" s="82">
        <f t="shared" ca="1" si="226"/>
        <v>227</v>
      </c>
      <c r="M693" s="16">
        <f t="shared" ca="1" si="227"/>
        <v>773</v>
      </c>
      <c r="N693" s="3">
        <f t="shared" ca="1" si="228"/>
        <v>5</v>
      </c>
      <c r="O693" s="19">
        <f t="shared" ca="1" si="229"/>
        <v>2.8178718937399587</v>
      </c>
      <c r="P693" s="19">
        <f t="shared" ca="1" si="230"/>
        <v>28.178718937399587</v>
      </c>
      <c r="Q693" s="19">
        <f t="shared" ca="1" si="231"/>
        <v>26.288452865679979</v>
      </c>
      <c r="R693" s="19">
        <f t="shared" ca="1" si="232"/>
        <v>2.7233585901539783</v>
      </c>
      <c r="S693" s="19">
        <f t="shared" ca="1" si="233"/>
        <v>2.8178718937399587</v>
      </c>
      <c r="T693" s="19">
        <f t="shared" ca="1" si="234"/>
        <v>0</v>
      </c>
      <c r="U693" s="19">
        <f t="shared" ca="1" si="235"/>
        <v>1486.3251747165598</v>
      </c>
      <c r="V693" s="19">
        <f t="shared" ca="1" si="236"/>
        <v>0</v>
      </c>
      <c r="W693" s="82">
        <f t="shared" ca="1" si="237"/>
        <v>5232.8929007523147</v>
      </c>
      <c r="X693" s="19">
        <f t="shared" ca="1" si="238"/>
        <v>0</v>
      </c>
      <c r="Y693" s="19">
        <f t="shared" si="239"/>
        <v>0</v>
      </c>
      <c r="Z693" s="82">
        <f t="shared" ca="1" si="240"/>
        <v>5232.8929007523147</v>
      </c>
      <c r="AA693" s="19">
        <f t="shared" ca="1" si="241"/>
        <v>0</v>
      </c>
    </row>
    <row r="694" spans="1:27" ht="12.75" customHeight="1" x14ac:dyDescent="0.2">
      <c r="A694">
        <v>1</v>
      </c>
      <c r="B694">
        <v>0</v>
      </c>
      <c r="C694">
        <f t="shared" ca="1" si="220"/>
        <v>3</v>
      </c>
      <c r="D694">
        <f t="shared" ca="1" si="221"/>
        <v>2</v>
      </c>
      <c r="E694">
        <f t="shared" ca="1" si="222"/>
        <v>1</v>
      </c>
      <c r="F694" s="61">
        <f t="shared" ca="1" si="223"/>
        <v>0.35901304948776958</v>
      </c>
      <c r="G694">
        <v>1</v>
      </c>
      <c r="H694">
        <v>0</v>
      </c>
      <c r="I694">
        <v>5</v>
      </c>
      <c r="J694" s="61">
        <f t="shared" ca="1" si="224"/>
        <v>0</v>
      </c>
      <c r="K694" s="61">
        <f t="shared" ca="1" si="225"/>
        <v>0</v>
      </c>
      <c r="L694" s="82">
        <f t="shared" ca="1" si="226"/>
        <v>216</v>
      </c>
      <c r="M694" s="16">
        <f t="shared" ca="1" si="227"/>
        <v>784</v>
      </c>
      <c r="N694" s="3">
        <f t="shared" ca="1" si="228"/>
        <v>5</v>
      </c>
      <c r="O694" s="19">
        <f t="shared" ca="1" si="229"/>
        <v>2.8178718937399587</v>
      </c>
      <c r="P694" s="19">
        <f t="shared" ca="1" si="230"/>
        <v>28.178718937399587</v>
      </c>
      <c r="Q694" s="19">
        <f t="shared" ca="1" si="231"/>
        <v>28.178718937399587</v>
      </c>
      <c r="R694" s="19">
        <f t="shared" ca="1" si="232"/>
        <v>2.8178718937399587</v>
      </c>
      <c r="S694" s="19">
        <f t="shared" ca="1" si="233"/>
        <v>2.8178718937399587</v>
      </c>
      <c r="T694" s="19">
        <f t="shared" ca="1" si="234"/>
        <v>0</v>
      </c>
      <c r="U694" s="19">
        <f t="shared" ca="1" si="235"/>
        <v>1475.3251747165598</v>
      </c>
      <c r="V694" s="19">
        <f t="shared" ca="1" si="236"/>
        <v>0</v>
      </c>
      <c r="W694" s="82">
        <f t="shared" ca="1" si="237"/>
        <v>4746.9876707175936</v>
      </c>
      <c r="X694" s="19">
        <f t="shared" ca="1" si="238"/>
        <v>0</v>
      </c>
      <c r="Y694" s="19">
        <f t="shared" si="239"/>
        <v>0</v>
      </c>
      <c r="Z694" s="82">
        <f t="shared" ca="1" si="240"/>
        <v>4746.9876707175936</v>
      </c>
      <c r="AA694" s="19">
        <f t="shared" ca="1" si="241"/>
        <v>0</v>
      </c>
    </row>
    <row r="695" spans="1:27" ht="12.75" customHeight="1" x14ac:dyDescent="0.2">
      <c r="A695">
        <v>1</v>
      </c>
      <c r="B695">
        <v>0</v>
      </c>
      <c r="C695">
        <f t="shared" ca="1" si="220"/>
        <v>3</v>
      </c>
      <c r="D695">
        <f t="shared" ca="1" si="221"/>
        <v>2</v>
      </c>
      <c r="E695">
        <f t="shared" ca="1" si="222"/>
        <v>1</v>
      </c>
      <c r="F695" s="61">
        <f t="shared" ca="1" si="223"/>
        <v>0.35901304948776958</v>
      </c>
      <c r="G695">
        <v>1</v>
      </c>
      <c r="H695">
        <v>0</v>
      </c>
      <c r="I695">
        <v>4</v>
      </c>
      <c r="J695" s="61">
        <f t="shared" ca="1" si="224"/>
        <v>0</v>
      </c>
      <c r="K695" s="61">
        <f t="shared" ca="1" si="225"/>
        <v>0</v>
      </c>
      <c r="L695" s="82">
        <f t="shared" ca="1" si="226"/>
        <v>205</v>
      </c>
      <c r="M695" s="16">
        <f t="shared" ca="1" si="227"/>
        <v>795</v>
      </c>
      <c r="N695" s="3">
        <f t="shared" ca="1" si="228"/>
        <v>5</v>
      </c>
      <c r="O695" s="19">
        <f t="shared" ca="1" si="229"/>
        <v>2.8178718937399587</v>
      </c>
      <c r="P695" s="19">
        <f t="shared" ca="1" si="230"/>
        <v>28.178718937399587</v>
      </c>
      <c r="Q695" s="19">
        <f t="shared" ca="1" si="231"/>
        <v>28.178718937399587</v>
      </c>
      <c r="R695" s="19">
        <f t="shared" ca="1" si="232"/>
        <v>2.8178718937399587</v>
      </c>
      <c r="S695" s="19">
        <f t="shared" ca="1" si="233"/>
        <v>2.8178718937399587</v>
      </c>
      <c r="T695" s="19">
        <f t="shared" ca="1" si="234"/>
        <v>0</v>
      </c>
      <c r="U695" s="19">
        <f t="shared" ca="1" si="235"/>
        <v>1464.3251747165598</v>
      </c>
      <c r="V695" s="19">
        <f t="shared" ca="1" si="236"/>
        <v>0</v>
      </c>
      <c r="W695" s="82">
        <f t="shared" ca="1" si="237"/>
        <v>4261.0824406828706</v>
      </c>
      <c r="X695" s="19">
        <f t="shared" ca="1" si="238"/>
        <v>0</v>
      </c>
      <c r="Y695" s="19">
        <f t="shared" si="239"/>
        <v>0</v>
      </c>
      <c r="Z695" s="82">
        <f t="shared" ca="1" si="240"/>
        <v>4261.0824406828706</v>
      </c>
      <c r="AA695" s="19">
        <f t="shared" ca="1" si="241"/>
        <v>0</v>
      </c>
    </row>
    <row r="696" spans="1:27" ht="12.75" customHeight="1" x14ac:dyDescent="0.2">
      <c r="A696">
        <v>1</v>
      </c>
      <c r="B696">
        <v>0</v>
      </c>
      <c r="C696">
        <f t="shared" ca="1" si="220"/>
        <v>3</v>
      </c>
      <c r="D696">
        <f t="shared" ca="1" si="221"/>
        <v>2</v>
      </c>
      <c r="E696">
        <f t="shared" ca="1" si="222"/>
        <v>1</v>
      </c>
      <c r="F696" s="61">
        <f t="shared" ca="1" si="223"/>
        <v>0.35901304948776958</v>
      </c>
      <c r="G696">
        <v>1</v>
      </c>
      <c r="H696">
        <v>0</v>
      </c>
      <c r="I696">
        <v>3</v>
      </c>
      <c r="J696" s="61">
        <f t="shared" ca="1" si="224"/>
        <v>0</v>
      </c>
      <c r="K696" s="61">
        <f t="shared" ca="1" si="225"/>
        <v>0</v>
      </c>
      <c r="L696" s="82">
        <f t="shared" ca="1" si="226"/>
        <v>194</v>
      </c>
      <c r="M696" s="16">
        <f t="shared" ca="1" si="227"/>
        <v>806</v>
      </c>
      <c r="N696" s="3">
        <f t="shared" ca="1" si="228"/>
        <v>5</v>
      </c>
      <c r="O696" s="19">
        <f t="shared" ca="1" si="229"/>
        <v>2.8178718937399587</v>
      </c>
      <c r="P696" s="19">
        <f t="shared" ca="1" si="230"/>
        <v>28.178718937399587</v>
      </c>
      <c r="Q696" s="19">
        <f t="shared" ca="1" si="231"/>
        <v>28.178718937399587</v>
      </c>
      <c r="R696" s="19">
        <f t="shared" ca="1" si="232"/>
        <v>2.8178718937399587</v>
      </c>
      <c r="S696" s="19">
        <f t="shared" ca="1" si="233"/>
        <v>2.8178718937399587</v>
      </c>
      <c r="T696" s="19">
        <f t="shared" ca="1" si="234"/>
        <v>0</v>
      </c>
      <c r="U696" s="19">
        <f t="shared" ca="1" si="235"/>
        <v>1453.3251747165598</v>
      </c>
      <c r="V696" s="19">
        <f t="shared" ca="1" si="236"/>
        <v>0</v>
      </c>
      <c r="W696" s="82">
        <f t="shared" ca="1" si="237"/>
        <v>3775.1772106481485</v>
      </c>
      <c r="X696" s="19">
        <f t="shared" ca="1" si="238"/>
        <v>0</v>
      </c>
      <c r="Y696" s="19">
        <f t="shared" si="239"/>
        <v>0</v>
      </c>
      <c r="Z696" s="82">
        <f t="shared" ca="1" si="240"/>
        <v>3775.1772106481485</v>
      </c>
      <c r="AA696" s="19">
        <f t="shared" ca="1" si="241"/>
        <v>0</v>
      </c>
    </row>
    <row r="697" spans="1:27" ht="12.75" customHeight="1" x14ac:dyDescent="0.2">
      <c r="A697">
        <v>1</v>
      </c>
      <c r="B697">
        <v>0</v>
      </c>
      <c r="C697">
        <f t="shared" ca="1" si="220"/>
        <v>3</v>
      </c>
      <c r="D697">
        <f t="shared" ca="1" si="221"/>
        <v>2</v>
      </c>
      <c r="E697">
        <f t="shared" ca="1" si="222"/>
        <v>1</v>
      </c>
      <c r="F697" s="61">
        <f t="shared" ca="1" si="223"/>
        <v>0.35901304948776958</v>
      </c>
      <c r="G697">
        <v>1</v>
      </c>
      <c r="H697">
        <v>0</v>
      </c>
      <c r="I697">
        <v>2</v>
      </c>
      <c r="J697" s="61">
        <f t="shared" ca="1" si="224"/>
        <v>0.85737499999999989</v>
      </c>
      <c r="K697" s="61">
        <f t="shared" ca="1" si="225"/>
        <v>0.30780881330457638</v>
      </c>
      <c r="L697" s="82">
        <f t="shared" ca="1" si="226"/>
        <v>183</v>
      </c>
      <c r="M697" s="16">
        <f t="shared" ca="1" si="227"/>
        <v>817</v>
      </c>
      <c r="N697" s="3">
        <f t="shared" ca="1" si="228"/>
        <v>5</v>
      </c>
      <c r="O697" s="19">
        <f t="shared" ca="1" si="229"/>
        <v>2.8178718937399587</v>
      </c>
      <c r="P697" s="19">
        <f t="shared" ca="1" si="230"/>
        <v>28.178718937399587</v>
      </c>
      <c r="Q697" s="19">
        <f t="shared" ca="1" si="231"/>
        <v>28.178718937399587</v>
      </c>
      <c r="R697" s="19">
        <f t="shared" ca="1" si="232"/>
        <v>2.8178718937399587</v>
      </c>
      <c r="S697" s="19">
        <f t="shared" ca="1" si="233"/>
        <v>2.8178718937399587</v>
      </c>
      <c r="T697" s="19">
        <f t="shared" ca="1" si="234"/>
        <v>0.86736580365641602</v>
      </c>
      <c r="U697" s="19">
        <f t="shared" ca="1" si="235"/>
        <v>1442.3251747165598</v>
      </c>
      <c r="V697" s="19">
        <f t="shared" ca="1" si="236"/>
        <v>443.96040042882004</v>
      </c>
      <c r="W697" s="82">
        <f t="shared" ca="1" si="237"/>
        <v>3289.2719806134264</v>
      </c>
      <c r="X697" s="19">
        <f t="shared" ca="1" si="238"/>
        <v>1012.4669049886123</v>
      </c>
      <c r="Y697" s="19">
        <f t="shared" si="239"/>
        <v>0</v>
      </c>
      <c r="Z697" s="82">
        <f t="shared" ca="1" si="240"/>
        <v>3289.2719806134264</v>
      </c>
      <c r="AA697" s="19">
        <f t="shared" ca="1" si="241"/>
        <v>1012.4669049886123</v>
      </c>
    </row>
    <row r="698" spans="1:27" ht="12.75" customHeight="1" x14ac:dyDescent="0.2">
      <c r="A698">
        <v>1</v>
      </c>
      <c r="B698">
        <v>0</v>
      </c>
      <c r="C698">
        <f t="shared" ca="1" si="220"/>
        <v>3</v>
      </c>
      <c r="D698">
        <f t="shared" ca="1" si="221"/>
        <v>2</v>
      </c>
      <c r="E698">
        <f t="shared" ca="1" si="222"/>
        <v>1</v>
      </c>
      <c r="F698" s="61">
        <f t="shared" ca="1" si="223"/>
        <v>0.35901304948776958</v>
      </c>
      <c r="G698">
        <v>1</v>
      </c>
      <c r="H698">
        <v>0</v>
      </c>
      <c r="I698">
        <v>1</v>
      </c>
      <c r="J698" s="61">
        <f t="shared" ca="1" si="224"/>
        <v>9.025000000000008E-2</v>
      </c>
      <c r="K698" s="61">
        <f t="shared" ca="1" si="225"/>
        <v>3.2400927716271233E-2</v>
      </c>
      <c r="L698" s="82">
        <f t="shared" ca="1" si="226"/>
        <v>172</v>
      </c>
      <c r="M698" s="16">
        <f t="shared" ca="1" si="227"/>
        <v>828</v>
      </c>
      <c r="N698" s="3">
        <f t="shared" ca="1" si="228"/>
        <v>5</v>
      </c>
      <c r="O698" s="19">
        <f t="shared" ca="1" si="229"/>
        <v>2.8178718937399587</v>
      </c>
      <c r="P698" s="19">
        <f t="shared" ca="1" si="230"/>
        <v>28.178718937399587</v>
      </c>
      <c r="Q698" s="19">
        <f t="shared" ca="1" si="231"/>
        <v>28.178718937399587</v>
      </c>
      <c r="R698" s="19">
        <f t="shared" ca="1" si="232"/>
        <v>2.8178718937399587</v>
      </c>
      <c r="S698" s="19">
        <f t="shared" ca="1" si="233"/>
        <v>2.8178718937399587</v>
      </c>
      <c r="T698" s="19">
        <f t="shared" ca="1" si="234"/>
        <v>9.1301663542780728E-2</v>
      </c>
      <c r="U698" s="19">
        <f t="shared" ca="1" si="235"/>
        <v>1431.3251747165598</v>
      </c>
      <c r="V698" s="19">
        <f t="shared" ca="1" si="236"/>
        <v>46.376263524470545</v>
      </c>
      <c r="W698" s="82">
        <f t="shared" ca="1" si="237"/>
        <v>2803.3667505787039</v>
      </c>
      <c r="X698" s="19">
        <f t="shared" ca="1" si="238"/>
        <v>90.831683447698751</v>
      </c>
      <c r="Y698" s="19">
        <f t="shared" si="239"/>
        <v>0</v>
      </c>
      <c r="Z698" s="82">
        <f t="shared" ca="1" si="240"/>
        <v>2803.3667505787039</v>
      </c>
      <c r="AA698" s="19">
        <f t="shared" ca="1" si="241"/>
        <v>90.831683447698751</v>
      </c>
    </row>
    <row r="699" spans="1:27" ht="12.75" customHeight="1" x14ac:dyDescent="0.2">
      <c r="A699">
        <v>1</v>
      </c>
      <c r="B699">
        <v>0</v>
      </c>
      <c r="C699">
        <f t="shared" ca="1" si="220"/>
        <v>3</v>
      </c>
      <c r="D699">
        <f t="shared" ca="1" si="221"/>
        <v>2</v>
      </c>
      <c r="E699">
        <f t="shared" ca="1" si="222"/>
        <v>1</v>
      </c>
      <c r="F699" s="61">
        <f t="shared" ca="1" si="223"/>
        <v>0.35901304948776958</v>
      </c>
      <c r="G699">
        <v>1</v>
      </c>
      <c r="H699">
        <v>0</v>
      </c>
      <c r="I699">
        <v>0</v>
      </c>
      <c r="J699" s="61">
        <f t="shared" ca="1" si="224"/>
        <v>2.3750000000000038E-3</v>
      </c>
      <c r="K699" s="61">
        <f t="shared" ca="1" si="225"/>
        <v>8.5265599253345409E-4</v>
      </c>
      <c r="L699" s="82">
        <f t="shared" ca="1" si="226"/>
        <v>161</v>
      </c>
      <c r="M699" s="16">
        <f t="shared" ca="1" si="227"/>
        <v>839</v>
      </c>
      <c r="N699" s="3">
        <f t="shared" ca="1" si="228"/>
        <v>5</v>
      </c>
      <c r="O699" s="19">
        <f t="shared" ca="1" si="229"/>
        <v>2.8178718937399587</v>
      </c>
      <c r="P699" s="19">
        <f t="shared" ca="1" si="230"/>
        <v>28.178718937399587</v>
      </c>
      <c r="Q699" s="19">
        <f t="shared" ca="1" si="231"/>
        <v>28.178718937399587</v>
      </c>
      <c r="R699" s="19">
        <f t="shared" ca="1" si="232"/>
        <v>2.8178718937399587</v>
      </c>
      <c r="S699" s="19">
        <f t="shared" ca="1" si="233"/>
        <v>2.8178718937399587</v>
      </c>
      <c r="T699" s="19">
        <f t="shared" ca="1" si="234"/>
        <v>2.4026753563889682E-3</v>
      </c>
      <c r="U699" s="19">
        <f t="shared" ca="1" si="235"/>
        <v>1420.3251747165598</v>
      </c>
      <c r="V699" s="19">
        <f t="shared" ca="1" si="236"/>
        <v>1.2110487715681999</v>
      </c>
      <c r="W699" s="82">
        <f t="shared" ca="1" si="237"/>
        <v>2317.4615205439818</v>
      </c>
      <c r="X699" s="19">
        <f t="shared" ca="1" si="238"/>
        <v>1.9759974529575166</v>
      </c>
      <c r="Y699" s="19">
        <f t="shared" si="239"/>
        <v>0</v>
      </c>
      <c r="Z699" s="82">
        <f t="shared" ca="1" si="240"/>
        <v>2317.4615205439818</v>
      </c>
      <c r="AA699" s="19">
        <f t="shared" ca="1" si="241"/>
        <v>1.9759974529575166</v>
      </c>
    </row>
    <row r="700" spans="1:27" ht="12.75" customHeight="1" x14ac:dyDescent="0.2">
      <c r="A700">
        <v>1</v>
      </c>
      <c r="B700">
        <v>0</v>
      </c>
      <c r="C700">
        <f t="shared" ca="1" si="220"/>
        <v>3</v>
      </c>
      <c r="D700">
        <f t="shared" ca="1" si="221"/>
        <v>2</v>
      </c>
      <c r="E700">
        <f t="shared" ca="1" si="222"/>
        <v>1</v>
      </c>
      <c r="F700" s="61">
        <f t="shared" ca="1" si="223"/>
        <v>0.35901304948776958</v>
      </c>
      <c r="G700">
        <v>0</v>
      </c>
      <c r="H700">
        <v>1</v>
      </c>
      <c r="I700">
        <v>7</v>
      </c>
      <c r="J700" s="61">
        <f t="shared" ca="1" si="224"/>
        <v>0</v>
      </c>
      <c r="K700" s="61">
        <f t="shared" ca="1" si="225"/>
        <v>0</v>
      </c>
      <c r="L700" s="82">
        <f t="shared" ca="1" si="226"/>
        <v>238</v>
      </c>
      <c r="M700" s="16">
        <f t="shared" ca="1" si="227"/>
        <v>762</v>
      </c>
      <c r="N700" s="3">
        <f t="shared" ca="1" si="228"/>
        <v>5</v>
      </c>
      <c r="O700" s="19">
        <f t="shared" ca="1" si="229"/>
        <v>2.8178718937399587</v>
      </c>
      <c r="P700" s="19">
        <f t="shared" ca="1" si="230"/>
        <v>25.815886347750073</v>
      </c>
      <c r="Q700" s="19">
        <f t="shared" ca="1" si="231"/>
        <v>23.453053758100552</v>
      </c>
      <c r="R700" s="19">
        <f t="shared" ca="1" si="232"/>
        <v>2.4634470052925312</v>
      </c>
      <c r="S700" s="19">
        <f t="shared" ca="1" si="233"/>
        <v>2.8178718937399587</v>
      </c>
      <c r="T700" s="19">
        <f t="shared" ca="1" si="234"/>
        <v>0</v>
      </c>
      <c r="U700" s="19">
        <f t="shared" ca="1" si="235"/>
        <v>1497.3251747165598</v>
      </c>
      <c r="V700" s="19">
        <f t="shared" ca="1" si="236"/>
        <v>0</v>
      </c>
      <c r="W700" s="82">
        <f t="shared" ca="1" si="237"/>
        <v>3401.3366102430559</v>
      </c>
      <c r="X700" s="19">
        <f t="shared" ca="1" si="238"/>
        <v>0</v>
      </c>
      <c r="Y700" s="19">
        <f t="shared" si="239"/>
        <v>0</v>
      </c>
      <c r="Z700" s="82">
        <f t="shared" ca="1" si="240"/>
        <v>3401.3366102430559</v>
      </c>
      <c r="AA700" s="19">
        <f t="shared" ca="1" si="241"/>
        <v>0</v>
      </c>
    </row>
    <row r="701" spans="1:27" ht="12.75" customHeight="1" x14ac:dyDescent="0.2">
      <c r="A701">
        <v>1</v>
      </c>
      <c r="B701">
        <v>0</v>
      </c>
      <c r="C701">
        <f t="shared" ca="1" si="220"/>
        <v>3</v>
      </c>
      <c r="D701">
        <f t="shared" ca="1" si="221"/>
        <v>2</v>
      </c>
      <c r="E701">
        <f t="shared" ca="1" si="222"/>
        <v>1</v>
      </c>
      <c r="F701" s="61">
        <f t="shared" ca="1" si="223"/>
        <v>0.35901304948776958</v>
      </c>
      <c r="G701">
        <v>0</v>
      </c>
      <c r="H701">
        <v>1</v>
      </c>
      <c r="I701">
        <v>6</v>
      </c>
      <c r="J701" s="61">
        <f t="shared" ca="1" si="224"/>
        <v>0</v>
      </c>
      <c r="K701" s="61">
        <f t="shared" ca="1" si="225"/>
        <v>0</v>
      </c>
      <c r="L701" s="82">
        <f t="shared" ca="1" si="226"/>
        <v>227</v>
      </c>
      <c r="M701" s="16">
        <f t="shared" ca="1" si="227"/>
        <v>773</v>
      </c>
      <c r="N701" s="3">
        <f t="shared" ca="1" si="228"/>
        <v>5</v>
      </c>
      <c r="O701" s="19">
        <f t="shared" ca="1" si="229"/>
        <v>2.8178718937399587</v>
      </c>
      <c r="P701" s="19">
        <f t="shared" ca="1" si="230"/>
        <v>28.178718937399587</v>
      </c>
      <c r="Q701" s="19">
        <f t="shared" ca="1" si="231"/>
        <v>26.288452865679979</v>
      </c>
      <c r="R701" s="19">
        <f t="shared" ca="1" si="232"/>
        <v>2.7233585901539783</v>
      </c>
      <c r="S701" s="19">
        <f t="shared" ca="1" si="233"/>
        <v>2.8178718937399587</v>
      </c>
      <c r="T701" s="19">
        <f t="shared" ca="1" si="234"/>
        <v>0</v>
      </c>
      <c r="U701" s="19">
        <f t="shared" ca="1" si="235"/>
        <v>1486.3251747165598</v>
      </c>
      <c r="V701" s="19">
        <f t="shared" ca="1" si="236"/>
        <v>0</v>
      </c>
      <c r="W701" s="82">
        <f t="shared" ca="1" si="237"/>
        <v>2915.4313802083334</v>
      </c>
      <c r="X701" s="19">
        <f t="shared" ca="1" si="238"/>
        <v>0</v>
      </c>
      <c r="Y701" s="19">
        <f t="shared" si="239"/>
        <v>0</v>
      </c>
      <c r="Z701" s="82">
        <f t="shared" ca="1" si="240"/>
        <v>2915.4313802083334</v>
      </c>
      <c r="AA701" s="19">
        <f t="shared" ca="1" si="241"/>
        <v>0</v>
      </c>
    </row>
    <row r="702" spans="1:27" ht="12.75" customHeight="1" x14ac:dyDescent="0.2">
      <c r="A702">
        <v>1</v>
      </c>
      <c r="B702">
        <v>0</v>
      </c>
      <c r="C702">
        <f t="shared" ca="1" si="220"/>
        <v>3</v>
      </c>
      <c r="D702">
        <f t="shared" ca="1" si="221"/>
        <v>2</v>
      </c>
      <c r="E702">
        <f t="shared" ca="1" si="222"/>
        <v>1</v>
      </c>
      <c r="F702" s="61">
        <f t="shared" ca="1" si="223"/>
        <v>0.35901304948776958</v>
      </c>
      <c r="G702">
        <v>0</v>
      </c>
      <c r="H702">
        <v>1</v>
      </c>
      <c r="I702">
        <v>5</v>
      </c>
      <c r="J702" s="61">
        <f t="shared" ca="1" si="224"/>
        <v>0</v>
      </c>
      <c r="K702" s="61">
        <f t="shared" ca="1" si="225"/>
        <v>0</v>
      </c>
      <c r="L702" s="82">
        <f t="shared" ca="1" si="226"/>
        <v>216</v>
      </c>
      <c r="M702" s="16">
        <f t="shared" ca="1" si="227"/>
        <v>784</v>
      </c>
      <c r="N702" s="3">
        <f t="shared" ca="1" si="228"/>
        <v>5</v>
      </c>
      <c r="O702" s="19">
        <f t="shared" ca="1" si="229"/>
        <v>2.8178718937399587</v>
      </c>
      <c r="P702" s="19">
        <f t="shared" ca="1" si="230"/>
        <v>28.178718937399587</v>
      </c>
      <c r="Q702" s="19">
        <f t="shared" ca="1" si="231"/>
        <v>28.178718937399587</v>
      </c>
      <c r="R702" s="19">
        <f t="shared" ca="1" si="232"/>
        <v>2.8178718937399587</v>
      </c>
      <c r="S702" s="19">
        <f t="shared" ca="1" si="233"/>
        <v>2.8178718937399587</v>
      </c>
      <c r="T702" s="19">
        <f t="shared" ca="1" si="234"/>
        <v>0</v>
      </c>
      <c r="U702" s="19">
        <f t="shared" ca="1" si="235"/>
        <v>1475.3251747165598</v>
      </c>
      <c r="V702" s="19">
        <f t="shared" ca="1" si="236"/>
        <v>0</v>
      </c>
      <c r="W702" s="82">
        <f t="shared" ca="1" si="237"/>
        <v>2429.5261501736113</v>
      </c>
      <c r="X702" s="19">
        <f t="shared" ca="1" si="238"/>
        <v>0</v>
      </c>
      <c r="Y702" s="19">
        <f t="shared" si="239"/>
        <v>0</v>
      </c>
      <c r="Z702" s="82">
        <f t="shared" ca="1" si="240"/>
        <v>2429.5261501736113</v>
      </c>
      <c r="AA702" s="19">
        <f t="shared" ca="1" si="241"/>
        <v>0</v>
      </c>
    </row>
    <row r="703" spans="1:27" ht="12.75" customHeight="1" x14ac:dyDescent="0.2">
      <c r="A703">
        <v>1</v>
      </c>
      <c r="B703">
        <v>0</v>
      </c>
      <c r="C703">
        <f t="shared" ca="1" si="220"/>
        <v>3</v>
      </c>
      <c r="D703">
        <f t="shared" ca="1" si="221"/>
        <v>2</v>
      </c>
      <c r="E703">
        <f t="shared" ca="1" si="222"/>
        <v>1</v>
      </c>
      <c r="F703" s="61">
        <f t="shared" ca="1" si="223"/>
        <v>0.35901304948776958</v>
      </c>
      <c r="G703">
        <v>0</v>
      </c>
      <c r="H703">
        <v>1</v>
      </c>
      <c r="I703">
        <v>4</v>
      </c>
      <c r="J703" s="61">
        <f t="shared" ca="1" si="224"/>
        <v>0</v>
      </c>
      <c r="K703" s="61">
        <f t="shared" ca="1" si="225"/>
        <v>0</v>
      </c>
      <c r="L703" s="82">
        <f t="shared" ca="1" si="226"/>
        <v>205</v>
      </c>
      <c r="M703" s="16">
        <f t="shared" ca="1" si="227"/>
        <v>795</v>
      </c>
      <c r="N703" s="3">
        <f t="shared" ca="1" si="228"/>
        <v>5</v>
      </c>
      <c r="O703" s="19">
        <f t="shared" ca="1" si="229"/>
        <v>2.8178718937399587</v>
      </c>
      <c r="P703" s="19">
        <f t="shared" ca="1" si="230"/>
        <v>28.178718937399587</v>
      </c>
      <c r="Q703" s="19">
        <f t="shared" ca="1" si="231"/>
        <v>28.178718937399587</v>
      </c>
      <c r="R703" s="19">
        <f t="shared" ca="1" si="232"/>
        <v>2.8178718937399587</v>
      </c>
      <c r="S703" s="19">
        <f t="shared" ca="1" si="233"/>
        <v>2.8178718937399587</v>
      </c>
      <c r="T703" s="19">
        <f t="shared" ca="1" si="234"/>
        <v>0</v>
      </c>
      <c r="U703" s="19">
        <f t="shared" ca="1" si="235"/>
        <v>1464.3251747165598</v>
      </c>
      <c r="V703" s="19">
        <f t="shared" ca="1" si="236"/>
        <v>0</v>
      </c>
      <c r="W703" s="82">
        <f t="shared" ca="1" si="237"/>
        <v>1943.620920138889</v>
      </c>
      <c r="X703" s="19">
        <f t="shared" ca="1" si="238"/>
        <v>0</v>
      </c>
      <c r="Y703" s="19">
        <f t="shared" si="239"/>
        <v>0</v>
      </c>
      <c r="Z703" s="82">
        <f t="shared" ca="1" si="240"/>
        <v>1943.620920138889</v>
      </c>
      <c r="AA703" s="19">
        <f t="shared" ca="1" si="241"/>
        <v>0</v>
      </c>
    </row>
    <row r="704" spans="1:27" ht="12.75" customHeight="1" x14ac:dyDescent="0.2">
      <c r="A704">
        <v>1</v>
      </c>
      <c r="B704">
        <v>0</v>
      </c>
      <c r="C704">
        <f t="shared" ca="1" si="220"/>
        <v>3</v>
      </c>
      <c r="D704">
        <f t="shared" ca="1" si="221"/>
        <v>2</v>
      </c>
      <c r="E704">
        <f t="shared" ca="1" si="222"/>
        <v>1</v>
      </c>
      <c r="F704" s="61">
        <f t="shared" ca="1" si="223"/>
        <v>0.35901304948776958</v>
      </c>
      <c r="G704">
        <v>0</v>
      </c>
      <c r="H704">
        <v>1</v>
      </c>
      <c r="I704">
        <v>3</v>
      </c>
      <c r="J704" s="61">
        <f t="shared" ca="1" si="224"/>
        <v>0</v>
      </c>
      <c r="K704" s="61">
        <f t="shared" ca="1" si="225"/>
        <v>0</v>
      </c>
      <c r="L704" s="82">
        <f t="shared" ca="1" si="226"/>
        <v>194</v>
      </c>
      <c r="M704" s="16">
        <f t="shared" ca="1" si="227"/>
        <v>806</v>
      </c>
      <c r="N704" s="3">
        <f t="shared" ca="1" si="228"/>
        <v>5</v>
      </c>
      <c r="O704" s="19">
        <f t="shared" ca="1" si="229"/>
        <v>2.8178718937399587</v>
      </c>
      <c r="P704" s="19">
        <f t="shared" ca="1" si="230"/>
        <v>28.178718937399587</v>
      </c>
      <c r="Q704" s="19">
        <f t="shared" ca="1" si="231"/>
        <v>28.178718937399587</v>
      </c>
      <c r="R704" s="19">
        <f t="shared" ca="1" si="232"/>
        <v>2.8178718937399587</v>
      </c>
      <c r="S704" s="19">
        <f t="shared" ca="1" si="233"/>
        <v>2.8178718937399587</v>
      </c>
      <c r="T704" s="19">
        <f t="shared" ca="1" si="234"/>
        <v>0</v>
      </c>
      <c r="U704" s="19">
        <f t="shared" ca="1" si="235"/>
        <v>1453.3251747165598</v>
      </c>
      <c r="V704" s="19">
        <f t="shared" ca="1" si="236"/>
        <v>0</v>
      </c>
      <c r="W704" s="82">
        <f t="shared" ca="1" si="237"/>
        <v>1457.7156901041667</v>
      </c>
      <c r="X704" s="19">
        <f t="shared" ca="1" si="238"/>
        <v>0</v>
      </c>
      <c r="Y704" s="19">
        <f t="shared" si="239"/>
        <v>0</v>
      </c>
      <c r="Z704" s="82">
        <f t="shared" ca="1" si="240"/>
        <v>1457.7156901041667</v>
      </c>
      <c r="AA704" s="19">
        <f t="shared" ca="1" si="241"/>
        <v>0</v>
      </c>
    </row>
    <row r="705" spans="1:27" ht="12.75" customHeight="1" x14ac:dyDescent="0.2">
      <c r="A705">
        <v>1</v>
      </c>
      <c r="B705">
        <v>0</v>
      </c>
      <c r="C705">
        <f t="shared" ca="1" si="220"/>
        <v>3</v>
      </c>
      <c r="D705">
        <f t="shared" ca="1" si="221"/>
        <v>2</v>
      </c>
      <c r="E705">
        <f t="shared" ca="1" si="222"/>
        <v>1</v>
      </c>
      <c r="F705" s="61">
        <f t="shared" ca="1" si="223"/>
        <v>0.35901304948776958</v>
      </c>
      <c r="G705">
        <v>0</v>
      </c>
      <c r="H705">
        <v>1</v>
      </c>
      <c r="I705">
        <v>2</v>
      </c>
      <c r="J705" s="61">
        <f t="shared" ca="1" si="224"/>
        <v>0</v>
      </c>
      <c r="K705" s="61">
        <f t="shared" ca="1" si="225"/>
        <v>0</v>
      </c>
      <c r="L705" s="82">
        <f t="shared" ca="1" si="226"/>
        <v>183</v>
      </c>
      <c r="M705" s="16">
        <f t="shared" ca="1" si="227"/>
        <v>817</v>
      </c>
      <c r="N705" s="3">
        <f t="shared" ca="1" si="228"/>
        <v>5</v>
      </c>
      <c r="O705" s="19">
        <f t="shared" ca="1" si="229"/>
        <v>2.8178718937399587</v>
      </c>
      <c r="P705" s="19">
        <f t="shared" ca="1" si="230"/>
        <v>28.178718937399587</v>
      </c>
      <c r="Q705" s="19">
        <f t="shared" ca="1" si="231"/>
        <v>28.178718937399587</v>
      </c>
      <c r="R705" s="19">
        <f t="shared" ca="1" si="232"/>
        <v>2.8178718937399587</v>
      </c>
      <c r="S705" s="19">
        <f t="shared" ca="1" si="233"/>
        <v>2.8178718937399587</v>
      </c>
      <c r="T705" s="19">
        <f t="shared" ca="1" si="234"/>
        <v>0</v>
      </c>
      <c r="U705" s="19">
        <f t="shared" ca="1" si="235"/>
        <v>1442.3251747165598</v>
      </c>
      <c r="V705" s="19">
        <f t="shared" ca="1" si="236"/>
        <v>0</v>
      </c>
      <c r="W705" s="82">
        <f t="shared" ca="1" si="237"/>
        <v>971.8104600694445</v>
      </c>
      <c r="X705" s="19">
        <f t="shared" ca="1" si="238"/>
        <v>0</v>
      </c>
      <c r="Y705" s="19">
        <f t="shared" si="239"/>
        <v>0</v>
      </c>
      <c r="Z705" s="82">
        <f t="shared" ca="1" si="240"/>
        <v>971.8104600694445</v>
      </c>
      <c r="AA705" s="19">
        <f t="shared" ca="1" si="241"/>
        <v>0</v>
      </c>
    </row>
    <row r="706" spans="1:27" ht="12.75" customHeight="1" x14ac:dyDescent="0.2">
      <c r="A706">
        <v>1</v>
      </c>
      <c r="B706">
        <v>0</v>
      </c>
      <c r="C706">
        <f t="shared" ca="1" si="220"/>
        <v>3</v>
      </c>
      <c r="D706">
        <f t="shared" ca="1" si="221"/>
        <v>2</v>
      </c>
      <c r="E706">
        <f t="shared" ca="1" si="222"/>
        <v>1</v>
      </c>
      <c r="F706" s="61">
        <f t="shared" ca="1" si="223"/>
        <v>0.35901304948776958</v>
      </c>
      <c r="G706">
        <v>0</v>
      </c>
      <c r="H706">
        <v>1</v>
      </c>
      <c r="I706">
        <v>1</v>
      </c>
      <c r="J706" s="61">
        <f t="shared" ca="1" si="224"/>
        <v>0</v>
      </c>
      <c r="K706" s="61">
        <f t="shared" ca="1" si="225"/>
        <v>0</v>
      </c>
      <c r="L706" s="82">
        <f t="shared" ca="1" si="226"/>
        <v>172</v>
      </c>
      <c r="M706" s="16">
        <f t="shared" ca="1" si="227"/>
        <v>828</v>
      </c>
      <c r="N706" s="3">
        <f t="shared" ca="1" si="228"/>
        <v>5</v>
      </c>
      <c r="O706" s="19">
        <f t="shared" ca="1" si="229"/>
        <v>2.8178718937399587</v>
      </c>
      <c r="P706" s="19">
        <f t="shared" ca="1" si="230"/>
        <v>28.178718937399587</v>
      </c>
      <c r="Q706" s="19">
        <f t="shared" ca="1" si="231"/>
        <v>28.178718937399587</v>
      </c>
      <c r="R706" s="19">
        <f t="shared" ca="1" si="232"/>
        <v>2.8178718937399587</v>
      </c>
      <c r="S706" s="19">
        <f t="shared" ca="1" si="233"/>
        <v>2.8178718937399587</v>
      </c>
      <c r="T706" s="19">
        <f t="shared" ca="1" si="234"/>
        <v>0</v>
      </c>
      <c r="U706" s="19">
        <f t="shared" ca="1" si="235"/>
        <v>1431.3251747165598</v>
      </c>
      <c r="V706" s="19">
        <f t="shared" ca="1" si="236"/>
        <v>0</v>
      </c>
      <c r="W706" s="82">
        <f t="shared" ca="1" si="237"/>
        <v>485.90523003472225</v>
      </c>
      <c r="X706" s="19">
        <f t="shared" ca="1" si="238"/>
        <v>0</v>
      </c>
      <c r="Y706" s="19">
        <f t="shared" si="239"/>
        <v>0</v>
      </c>
      <c r="Z706" s="82">
        <f t="shared" ca="1" si="240"/>
        <v>485.90523003472225</v>
      </c>
      <c r="AA706" s="19">
        <f t="shared" ca="1" si="241"/>
        <v>0</v>
      </c>
    </row>
    <row r="707" spans="1:27" ht="12.75" customHeight="1" x14ac:dyDescent="0.2">
      <c r="A707">
        <v>1</v>
      </c>
      <c r="B707">
        <v>0</v>
      </c>
      <c r="C707">
        <f t="shared" ca="1" si="220"/>
        <v>3</v>
      </c>
      <c r="D707">
        <f t="shared" ca="1" si="221"/>
        <v>2</v>
      </c>
      <c r="E707">
        <f t="shared" ca="1" si="222"/>
        <v>1</v>
      </c>
      <c r="F707" s="61">
        <f t="shared" ca="1" si="223"/>
        <v>0.35901304948776958</v>
      </c>
      <c r="G707">
        <v>0</v>
      </c>
      <c r="H707">
        <v>1</v>
      </c>
      <c r="I707">
        <v>0</v>
      </c>
      <c r="J707" s="61">
        <f t="shared" ca="1" si="224"/>
        <v>0</v>
      </c>
      <c r="K707" s="61">
        <f t="shared" ca="1" si="225"/>
        <v>0</v>
      </c>
      <c r="L707" s="82">
        <f t="shared" ca="1" si="226"/>
        <v>161</v>
      </c>
      <c r="M707" s="16">
        <f t="shared" ca="1" si="227"/>
        <v>839</v>
      </c>
      <c r="N707" s="3">
        <f t="shared" ca="1" si="228"/>
        <v>5</v>
      </c>
      <c r="O707" s="19">
        <f t="shared" ca="1" si="229"/>
        <v>2.8178718937399587</v>
      </c>
      <c r="P707" s="19">
        <f t="shared" ca="1" si="230"/>
        <v>28.178718937399587</v>
      </c>
      <c r="Q707" s="19">
        <f t="shared" ca="1" si="231"/>
        <v>28.178718937399587</v>
      </c>
      <c r="R707" s="19">
        <f t="shared" ca="1" si="232"/>
        <v>2.8178718937399587</v>
      </c>
      <c r="S707" s="19">
        <f t="shared" ca="1" si="233"/>
        <v>2.8178718937399587</v>
      </c>
      <c r="T707" s="19">
        <f t="shared" ca="1" si="234"/>
        <v>0</v>
      </c>
      <c r="U707" s="19">
        <f t="shared" ca="1" si="235"/>
        <v>1420.3251747165598</v>
      </c>
      <c r="V707" s="19">
        <f t="shared" ca="1" si="236"/>
        <v>0</v>
      </c>
      <c r="W707" s="82">
        <f t="shared" ca="1" si="237"/>
        <v>0</v>
      </c>
      <c r="X707" s="19">
        <f t="shared" ca="1" si="238"/>
        <v>0</v>
      </c>
      <c r="Y707" s="19">
        <f t="shared" si="239"/>
        <v>0</v>
      </c>
      <c r="Z707" s="82">
        <f t="shared" ca="1" si="240"/>
        <v>0</v>
      </c>
      <c r="AA707" s="19">
        <f t="shared" ca="1" si="241"/>
        <v>0</v>
      </c>
    </row>
    <row r="708" spans="1:27" ht="12.75" customHeight="1" x14ac:dyDescent="0.2">
      <c r="A708">
        <v>1</v>
      </c>
      <c r="B708">
        <v>0</v>
      </c>
      <c r="C708">
        <f t="shared" ca="1" si="220"/>
        <v>3</v>
      </c>
      <c r="D708">
        <f t="shared" ca="1" si="221"/>
        <v>2</v>
      </c>
      <c r="E708">
        <f t="shared" ca="1" si="222"/>
        <v>1</v>
      </c>
      <c r="F708" s="61">
        <f t="shared" ca="1" si="223"/>
        <v>0.35901304948776958</v>
      </c>
      <c r="G708">
        <v>0</v>
      </c>
      <c r="H708">
        <v>0</v>
      </c>
      <c r="I708">
        <v>7</v>
      </c>
      <c r="J708" s="61">
        <f t="shared" ca="1" si="224"/>
        <v>0</v>
      </c>
      <c r="K708" s="61">
        <f t="shared" ca="1" si="225"/>
        <v>0</v>
      </c>
      <c r="L708" s="82">
        <f t="shared" ca="1" si="226"/>
        <v>77</v>
      </c>
      <c r="M708" s="16">
        <f t="shared" ca="1" si="227"/>
        <v>923</v>
      </c>
      <c r="N708" s="3">
        <f t="shared" ca="1" si="228"/>
        <v>5</v>
      </c>
      <c r="O708" s="19">
        <f t="shared" ca="1" si="229"/>
        <v>2.8178718937399587</v>
      </c>
      <c r="P708" s="19">
        <f t="shared" ca="1" si="230"/>
        <v>28.178718937399587</v>
      </c>
      <c r="Q708" s="19">
        <f t="shared" ca="1" si="231"/>
        <v>28.178718937399587</v>
      </c>
      <c r="R708" s="19">
        <f t="shared" ca="1" si="232"/>
        <v>2.8178718937399587</v>
      </c>
      <c r="S708" s="19">
        <f t="shared" ca="1" si="233"/>
        <v>2.8178718937399587</v>
      </c>
      <c r="T708" s="19">
        <f t="shared" ca="1" si="234"/>
        <v>0</v>
      </c>
      <c r="U708" s="19">
        <f t="shared" ca="1" si="235"/>
        <v>1336.3251747165598</v>
      </c>
      <c r="V708" s="19">
        <f t="shared" ca="1" si="236"/>
        <v>0</v>
      </c>
      <c r="W708" s="82">
        <f t="shared" ca="1" si="237"/>
        <v>3401.3366102430559</v>
      </c>
      <c r="X708" s="19">
        <f t="shared" ca="1" si="238"/>
        <v>0</v>
      </c>
      <c r="Y708" s="19">
        <f t="shared" si="239"/>
        <v>0</v>
      </c>
      <c r="Z708" s="82">
        <f t="shared" ca="1" si="240"/>
        <v>3401.3366102430559</v>
      </c>
      <c r="AA708" s="19">
        <f t="shared" ca="1" si="241"/>
        <v>0</v>
      </c>
    </row>
    <row r="709" spans="1:27" ht="12.75" customHeight="1" x14ac:dyDescent="0.2">
      <c r="A709">
        <v>1</v>
      </c>
      <c r="B709">
        <v>0</v>
      </c>
      <c r="C709">
        <f t="shared" ca="1" si="220"/>
        <v>3</v>
      </c>
      <c r="D709">
        <f t="shared" ca="1" si="221"/>
        <v>2</v>
      </c>
      <c r="E709">
        <f t="shared" ca="1" si="222"/>
        <v>1</v>
      </c>
      <c r="F709" s="61">
        <f t="shared" ca="1" si="223"/>
        <v>0.35901304948776958</v>
      </c>
      <c r="G709">
        <v>0</v>
      </c>
      <c r="H709">
        <v>0</v>
      </c>
      <c r="I709">
        <v>6</v>
      </c>
      <c r="J709" s="61">
        <f t="shared" ca="1" si="224"/>
        <v>0</v>
      </c>
      <c r="K709" s="61">
        <f t="shared" ca="1" si="225"/>
        <v>0</v>
      </c>
      <c r="L709" s="82">
        <f t="shared" ca="1" si="226"/>
        <v>66</v>
      </c>
      <c r="M709" s="16">
        <f t="shared" ca="1" si="227"/>
        <v>934</v>
      </c>
      <c r="N709" s="3">
        <f t="shared" ca="1" si="228"/>
        <v>5</v>
      </c>
      <c r="O709" s="19">
        <f t="shared" ca="1" si="229"/>
        <v>2.8178718937399587</v>
      </c>
      <c r="P709" s="19">
        <f t="shared" ca="1" si="230"/>
        <v>28.178718937399587</v>
      </c>
      <c r="Q709" s="19">
        <f t="shared" ca="1" si="231"/>
        <v>28.178718937399587</v>
      </c>
      <c r="R709" s="19">
        <f t="shared" ca="1" si="232"/>
        <v>2.8178718937399587</v>
      </c>
      <c r="S709" s="19">
        <f t="shared" ca="1" si="233"/>
        <v>2.8178718937399587</v>
      </c>
      <c r="T709" s="19">
        <f t="shared" ca="1" si="234"/>
        <v>0</v>
      </c>
      <c r="U709" s="19">
        <f t="shared" ca="1" si="235"/>
        <v>1325.3251747165598</v>
      </c>
      <c r="V709" s="19">
        <f t="shared" ca="1" si="236"/>
        <v>0</v>
      </c>
      <c r="W709" s="82">
        <f t="shared" ca="1" si="237"/>
        <v>2915.4313802083334</v>
      </c>
      <c r="X709" s="19">
        <f t="shared" ca="1" si="238"/>
        <v>0</v>
      </c>
      <c r="Y709" s="19">
        <f t="shared" si="239"/>
        <v>0</v>
      </c>
      <c r="Z709" s="82">
        <f t="shared" ca="1" si="240"/>
        <v>2915.4313802083334</v>
      </c>
      <c r="AA709" s="19">
        <f t="shared" ca="1" si="241"/>
        <v>0</v>
      </c>
    </row>
    <row r="710" spans="1:27" ht="12.75" customHeight="1" x14ac:dyDescent="0.2">
      <c r="A710">
        <v>1</v>
      </c>
      <c r="B710">
        <v>0</v>
      </c>
      <c r="C710">
        <f t="shared" ca="1" si="220"/>
        <v>3</v>
      </c>
      <c r="D710">
        <f t="shared" ca="1" si="221"/>
        <v>2</v>
      </c>
      <c r="E710">
        <f t="shared" ca="1" si="222"/>
        <v>1</v>
      </c>
      <c r="F710" s="61">
        <f t="shared" ca="1" si="223"/>
        <v>0.35901304948776958</v>
      </c>
      <c r="G710">
        <v>0</v>
      </c>
      <c r="H710">
        <v>0</v>
      </c>
      <c r="I710">
        <v>5</v>
      </c>
      <c r="J710" s="61">
        <f t="shared" ca="1" si="224"/>
        <v>0</v>
      </c>
      <c r="K710" s="61">
        <f t="shared" ca="1" si="225"/>
        <v>0</v>
      </c>
      <c r="L710" s="82">
        <f t="shared" ca="1" si="226"/>
        <v>55</v>
      </c>
      <c r="M710" s="16">
        <f t="shared" ca="1" si="227"/>
        <v>945</v>
      </c>
      <c r="N710" s="3">
        <f t="shared" ca="1" si="228"/>
        <v>5</v>
      </c>
      <c r="O710" s="19">
        <f t="shared" ca="1" si="229"/>
        <v>2.8178718937399587</v>
      </c>
      <c r="P710" s="19">
        <f t="shared" ca="1" si="230"/>
        <v>28.178718937399587</v>
      </c>
      <c r="Q710" s="19">
        <f t="shared" ca="1" si="231"/>
        <v>28.178718937399587</v>
      </c>
      <c r="R710" s="19">
        <f t="shared" ca="1" si="232"/>
        <v>2.8178718937399587</v>
      </c>
      <c r="S710" s="19">
        <f t="shared" ca="1" si="233"/>
        <v>2.8178718937399587</v>
      </c>
      <c r="T710" s="19">
        <f t="shared" ca="1" si="234"/>
        <v>0</v>
      </c>
      <c r="U710" s="19">
        <f t="shared" ca="1" si="235"/>
        <v>1314.3251747165598</v>
      </c>
      <c r="V710" s="19">
        <f t="shared" ca="1" si="236"/>
        <v>0</v>
      </c>
      <c r="W710" s="82">
        <f t="shared" ca="1" si="237"/>
        <v>2429.5261501736113</v>
      </c>
      <c r="X710" s="19">
        <f t="shared" ca="1" si="238"/>
        <v>0</v>
      </c>
      <c r="Y710" s="19">
        <f t="shared" si="239"/>
        <v>0</v>
      </c>
      <c r="Z710" s="82">
        <f t="shared" ca="1" si="240"/>
        <v>2429.5261501736113</v>
      </c>
      <c r="AA710" s="19">
        <f t="shared" ca="1" si="241"/>
        <v>0</v>
      </c>
    </row>
    <row r="711" spans="1:27" ht="12.75" customHeight="1" x14ac:dyDescent="0.2">
      <c r="A711">
        <v>1</v>
      </c>
      <c r="B711">
        <v>0</v>
      </c>
      <c r="C711">
        <f t="shared" ca="1" si="220"/>
        <v>3</v>
      </c>
      <c r="D711">
        <f t="shared" ca="1" si="221"/>
        <v>2</v>
      </c>
      <c r="E711">
        <f t="shared" ca="1" si="222"/>
        <v>1</v>
      </c>
      <c r="F711" s="61">
        <f t="shared" ca="1" si="223"/>
        <v>0.35901304948776958</v>
      </c>
      <c r="G711">
        <v>0</v>
      </c>
      <c r="H711">
        <v>0</v>
      </c>
      <c r="I711">
        <v>4</v>
      </c>
      <c r="J711" s="61">
        <f t="shared" ca="1" si="224"/>
        <v>0</v>
      </c>
      <c r="K711" s="61">
        <f t="shared" ca="1" si="225"/>
        <v>0</v>
      </c>
      <c r="L711" s="82">
        <f t="shared" ca="1" si="226"/>
        <v>44</v>
      </c>
      <c r="M711" s="16">
        <f t="shared" ca="1" si="227"/>
        <v>956</v>
      </c>
      <c r="N711" s="3">
        <f t="shared" ca="1" si="228"/>
        <v>6</v>
      </c>
      <c r="O711" s="19">
        <f t="shared" ca="1" si="229"/>
        <v>3.3239268932937667</v>
      </c>
      <c r="P711" s="19">
        <f t="shared" ca="1" si="230"/>
        <v>33.239268932937669</v>
      </c>
      <c r="Q711" s="19">
        <f t="shared" ca="1" si="231"/>
        <v>28.178718937399587</v>
      </c>
      <c r="R711" s="19">
        <f t="shared" ca="1" si="232"/>
        <v>3.0708993935168629</v>
      </c>
      <c r="S711" s="19">
        <f t="shared" ca="1" si="233"/>
        <v>3.3239268932937667</v>
      </c>
      <c r="T711" s="19">
        <f t="shared" ca="1" si="234"/>
        <v>0</v>
      </c>
      <c r="U711" s="19">
        <f t="shared" ca="1" si="235"/>
        <v>1495.4024523027438</v>
      </c>
      <c r="V711" s="19">
        <f t="shared" ca="1" si="236"/>
        <v>0</v>
      </c>
      <c r="W711" s="82">
        <f t="shared" ca="1" si="237"/>
        <v>1943.620920138889</v>
      </c>
      <c r="X711" s="19">
        <f t="shared" ca="1" si="238"/>
        <v>0</v>
      </c>
      <c r="Y711" s="19">
        <f t="shared" si="239"/>
        <v>0</v>
      </c>
      <c r="Z711" s="82">
        <f t="shared" ca="1" si="240"/>
        <v>1943.620920138889</v>
      </c>
      <c r="AA711" s="19">
        <f t="shared" ca="1" si="241"/>
        <v>0</v>
      </c>
    </row>
    <row r="712" spans="1:27" ht="12.75" customHeight="1" x14ac:dyDescent="0.2">
      <c r="A712">
        <v>1</v>
      </c>
      <c r="B712">
        <v>0</v>
      </c>
      <c r="C712">
        <f t="shared" ca="1" si="220"/>
        <v>3</v>
      </c>
      <c r="D712">
        <f t="shared" ca="1" si="221"/>
        <v>2</v>
      </c>
      <c r="E712">
        <f t="shared" ca="1" si="222"/>
        <v>1</v>
      </c>
      <c r="F712" s="61">
        <f t="shared" ca="1" si="223"/>
        <v>0.35901304948776958</v>
      </c>
      <c r="G712">
        <v>0</v>
      </c>
      <c r="H712">
        <v>0</v>
      </c>
      <c r="I712">
        <v>3</v>
      </c>
      <c r="J712" s="61">
        <f t="shared" ca="1" si="224"/>
        <v>0</v>
      </c>
      <c r="K712" s="61">
        <f t="shared" ca="1" si="225"/>
        <v>0</v>
      </c>
      <c r="L712" s="82">
        <f t="shared" ca="1" si="226"/>
        <v>33</v>
      </c>
      <c r="M712" s="16">
        <f t="shared" ca="1" si="227"/>
        <v>967</v>
      </c>
      <c r="N712" s="3">
        <f t="shared" ca="1" si="228"/>
        <v>6</v>
      </c>
      <c r="O712" s="19">
        <f t="shared" ca="1" si="229"/>
        <v>3.3239268932937667</v>
      </c>
      <c r="P712" s="19">
        <f t="shared" ca="1" si="230"/>
        <v>33.239268932937669</v>
      </c>
      <c r="Q712" s="19">
        <f t="shared" ca="1" si="231"/>
        <v>33.239268932937669</v>
      </c>
      <c r="R712" s="19">
        <f t="shared" ca="1" si="232"/>
        <v>3.3239268932937671</v>
      </c>
      <c r="S712" s="19">
        <f t="shared" ca="1" si="233"/>
        <v>3.3239268932937667</v>
      </c>
      <c r="T712" s="19">
        <f t="shared" ca="1" si="234"/>
        <v>0</v>
      </c>
      <c r="U712" s="19">
        <f t="shared" ca="1" si="235"/>
        <v>1484.4024523027438</v>
      </c>
      <c r="V712" s="19">
        <f t="shared" ca="1" si="236"/>
        <v>0</v>
      </c>
      <c r="W712" s="82">
        <f t="shared" ca="1" si="237"/>
        <v>1457.7156901041667</v>
      </c>
      <c r="X712" s="19">
        <f t="shared" ca="1" si="238"/>
        <v>0</v>
      </c>
      <c r="Y712" s="19">
        <f t="shared" si="239"/>
        <v>0</v>
      </c>
      <c r="Z712" s="82">
        <f t="shared" ca="1" si="240"/>
        <v>1457.7156901041667</v>
      </c>
      <c r="AA712" s="19">
        <f t="shared" ca="1" si="241"/>
        <v>0</v>
      </c>
    </row>
    <row r="713" spans="1:27" ht="12.75" customHeight="1" x14ac:dyDescent="0.2">
      <c r="A713">
        <v>1</v>
      </c>
      <c r="B713">
        <v>0</v>
      </c>
      <c r="C713">
        <f t="shared" ca="1" si="220"/>
        <v>3</v>
      </c>
      <c r="D713">
        <f t="shared" ca="1" si="221"/>
        <v>2</v>
      </c>
      <c r="E713">
        <f t="shared" ca="1" si="222"/>
        <v>1</v>
      </c>
      <c r="F713" s="61">
        <f t="shared" ca="1" si="223"/>
        <v>0.35901304948776958</v>
      </c>
      <c r="G713">
        <v>0</v>
      </c>
      <c r="H713">
        <v>0</v>
      </c>
      <c r="I713">
        <v>2</v>
      </c>
      <c r="J713" s="61">
        <f t="shared" ca="1" si="224"/>
        <v>4.5124999999999998E-2</v>
      </c>
      <c r="K713" s="61">
        <f t="shared" ca="1" si="225"/>
        <v>1.6200463858135603E-2</v>
      </c>
      <c r="L713" s="82">
        <f t="shared" ca="1" si="226"/>
        <v>22</v>
      </c>
      <c r="M713" s="16">
        <f t="shared" ca="1" si="227"/>
        <v>978</v>
      </c>
      <c r="N713" s="3">
        <f t="shared" ca="1" si="228"/>
        <v>6</v>
      </c>
      <c r="O713" s="19">
        <f t="shared" ca="1" si="229"/>
        <v>3.3239268932937667</v>
      </c>
      <c r="P713" s="19">
        <f t="shared" ca="1" si="230"/>
        <v>33.239268932937669</v>
      </c>
      <c r="Q713" s="19">
        <f t="shared" ca="1" si="231"/>
        <v>33.239268932937669</v>
      </c>
      <c r="R713" s="19">
        <f t="shared" ca="1" si="232"/>
        <v>3.3239268932937671</v>
      </c>
      <c r="S713" s="19">
        <f t="shared" ca="1" si="233"/>
        <v>3.3239268932937667</v>
      </c>
      <c r="T713" s="19">
        <f t="shared" ca="1" si="234"/>
        <v>5.3849157501890621E-2</v>
      </c>
      <c r="U713" s="19">
        <f t="shared" ca="1" si="235"/>
        <v>1473.4024523027438</v>
      </c>
      <c r="V713" s="19">
        <f t="shared" ca="1" si="236"/>
        <v>23.869803177018966</v>
      </c>
      <c r="W713" s="82">
        <f t="shared" ca="1" si="237"/>
        <v>971.8104600694445</v>
      </c>
      <c r="X713" s="19">
        <f t="shared" ca="1" si="238"/>
        <v>15.743780235313167</v>
      </c>
      <c r="Y713" s="19">
        <f t="shared" si="239"/>
        <v>0</v>
      </c>
      <c r="Z713" s="82">
        <f t="shared" ca="1" si="240"/>
        <v>971.8104600694445</v>
      </c>
      <c r="AA713" s="19">
        <f t="shared" ca="1" si="241"/>
        <v>15.743780235313167</v>
      </c>
    </row>
    <row r="714" spans="1:27" ht="12.75" customHeight="1" x14ac:dyDescent="0.2">
      <c r="A714">
        <v>1</v>
      </c>
      <c r="B714">
        <v>0</v>
      </c>
      <c r="C714">
        <f t="shared" ca="1" si="220"/>
        <v>3</v>
      </c>
      <c r="D714">
        <f t="shared" ca="1" si="221"/>
        <v>2</v>
      </c>
      <c r="E714">
        <f t="shared" ca="1" si="222"/>
        <v>1</v>
      </c>
      <c r="F714" s="61">
        <f t="shared" ca="1" si="223"/>
        <v>0.35901304948776958</v>
      </c>
      <c r="G714">
        <v>0</v>
      </c>
      <c r="H714">
        <v>0</v>
      </c>
      <c r="I714">
        <v>1</v>
      </c>
      <c r="J714" s="61">
        <f t="shared" ca="1" si="224"/>
        <v>4.7500000000000042E-3</v>
      </c>
      <c r="K714" s="61">
        <f t="shared" ca="1" si="225"/>
        <v>1.7053119850669071E-3</v>
      </c>
      <c r="L714" s="82">
        <f t="shared" ca="1" si="226"/>
        <v>11</v>
      </c>
      <c r="M714" s="16">
        <f t="shared" ca="1" si="227"/>
        <v>989</v>
      </c>
      <c r="N714" s="3">
        <f t="shared" ca="1" si="228"/>
        <v>6</v>
      </c>
      <c r="O714" s="19">
        <f t="shared" ca="1" si="229"/>
        <v>3.3239268932937667</v>
      </c>
      <c r="P714" s="19">
        <f t="shared" ca="1" si="230"/>
        <v>33.239268932937669</v>
      </c>
      <c r="Q714" s="19">
        <f t="shared" ca="1" si="231"/>
        <v>33.239268932937669</v>
      </c>
      <c r="R714" s="19">
        <f t="shared" ca="1" si="232"/>
        <v>3.3239268932937671</v>
      </c>
      <c r="S714" s="19">
        <f t="shared" ca="1" si="233"/>
        <v>3.3239268932937667</v>
      </c>
      <c r="T714" s="19">
        <f t="shared" ca="1" si="234"/>
        <v>5.668332368620071E-3</v>
      </c>
      <c r="U714" s="19">
        <f t="shared" ca="1" si="235"/>
        <v>1462.4024523027438</v>
      </c>
      <c r="V714" s="19">
        <f t="shared" ca="1" si="236"/>
        <v>2.493852428903105</v>
      </c>
      <c r="W714" s="82">
        <f t="shared" ca="1" si="237"/>
        <v>485.90523003472225</v>
      </c>
      <c r="X714" s="19">
        <f t="shared" ca="1" si="238"/>
        <v>0.82862001238490435</v>
      </c>
      <c r="Y714" s="19">
        <f t="shared" si="239"/>
        <v>0</v>
      </c>
      <c r="Z714" s="82">
        <f t="shared" ca="1" si="240"/>
        <v>485.90523003472225</v>
      </c>
      <c r="AA714" s="19">
        <f t="shared" ca="1" si="241"/>
        <v>0.82862001238490435</v>
      </c>
    </row>
    <row r="715" spans="1:27" ht="12.75" customHeight="1" x14ac:dyDescent="0.2">
      <c r="A715">
        <v>1</v>
      </c>
      <c r="B715">
        <v>0</v>
      </c>
      <c r="C715">
        <f t="shared" ca="1" si="220"/>
        <v>3</v>
      </c>
      <c r="D715">
        <f t="shared" ca="1" si="221"/>
        <v>2</v>
      </c>
      <c r="E715">
        <f t="shared" ca="1" si="222"/>
        <v>1</v>
      </c>
      <c r="F715" s="61">
        <f t="shared" ca="1" si="223"/>
        <v>0.35901304948776958</v>
      </c>
      <c r="G715">
        <v>0</v>
      </c>
      <c r="H715">
        <v>0</v>
      </c>
      <c r="I715">
        <v>0</v>
      </c>
      <c r="J715" s="61">
        <f t="shared" ca="1" si="224"/>
        <v>1.2500000000000022E-4</v>
      </c>
      <c r="K715" s="61">
        <f t="shared" ca="1" si="225"/>
        <v>4.4876631185971276E-5</v>
      </c>
      <c r="L715" s="82">
        <f t="shared" ca="1" si="226"/>
        <v>0</v>
      </c>
      <c r="M715" s="16">
        <f t="shared" ca="1" si="227"/>
        <v>1000</v>
      </c>
      <c r="N715" s="3">
        <f t="shared" ca="1" si="228"/>
        <v>6</v>
      </c>
      <c r="O715" s="19">
        <f t="shared" ca="1" si="229"/>
        <v>3.3239268932937667</v>
      </c>
      <c r="P715" s="19">
        <f t="shared" ca="1" si="230"/>
        <v>33.239268932937669</v>
      </c>
      <c r="Q715" s="19">
        <f t="shared" ca="1" si="231"/>
        <v>33.239268932937669</v>
      </c>
      <c r="R715" s="19">
        <f t="shared" ca="1" si="232"/>
        <v>3.3239268932937671</v>
      </c>
      <c r="S715" s="19">
        <f t="shared" ca="1" si="233"/>
        <v>3.3239268932937667</v>
      </c>
      <c r="T715" s="19">
        <f t="shared" ca="1" si="234"/>
        <v>1.4916664127947568E-4</v>
      </c>
      <c r="U715" s="19">
        <f t="shared" ca="1" si="235"/>
        <v>1451.4024523027438</v>
      </c>
      <c r="V715" s="19">
        <f t="shared" ca="1" si="236"/>
        <v>6.5134052554404492E-2</v>
      </c>
      <c r="W715" s="82">
        <f t="shared" ca="1" si="237"/>
        <v>0</v>
      </c>
      <c r="X715" s="19">
        <f t="shared" ca="1" si="238"/>
        <v>0</v>
      </c>
      <c r="Y715" s="19">
        <f t="shared" si="239"/>
        <v>0</v>
      </c>
      <c r="Z715" s="82">
        <f t="shared" ca="1" si="240"/>
        <v>0</v>
      </c>
      <c r="AA715" s="19">
        <f t="shared" ca="1" si="241"/>
        <v>0</v>
      </c>
    </row>
    <row r="716" spans="1:27" ht="12.75" customHeight="1" x14ac:dyDescent="0.2">
      <c r="A716">
        <v>1</v>
      </c>
      <c r="B716">
        <v>1</v>
      </c>
      <c r="C716">
        <f t="shared" ca="1" si="220"/>
        <v>4</v>
      </c>
      <c r="D716">
        <f t="shared" ca="1" si="221"/>
        <v>3</v>
      </c>
      <c r="E716">
        <f t="shared" ca="1" si="222"/>
        <v>1</v>
      </c>
      <c r="F716" s="61">
        <f t="shared" ca="1" si="223"/>
        <v>0.10723766413271038</v>
      </c>
      <c r="G716">
        <v>1</v>
      </c>
      <c r="H716">
        <v>1</v>
      </c>
      <c r="I716">
        <v>7</v>
      </c>
      <c r="J716" s="61">
        <f t="shared" ca="1" si="224"/>
        <v>0</v>
      </c>
      <c r="K716" s="61">
        <f t="shared" ca="1" si="225"/>
        <v>0</v>
      </c>
      <c r="L716" s="82">
        <f t="shared" ca="1" si="226"/>
        <v>399</v>
      </c>
      <c r="M716" s="16">
        <f t="shared" ca="1" si="227"/>
        <v>601</v>
      </c>
      <c r="N716" s="3">
        <f t="shared" ca="1" si="228"/>
        <v>4</v>
      </c>
      <c r="O716" s="19">
        <f t="shared" ca="1" si="229"/>
        <v>2.3453053758100548</v>
      </c>
      <c r="P716" s="19">
        <f t="shared" ca="1" si="230"/>
        <v>23.453053758100552</v>
      </c>
      <c r="Q716" s="19">
        <f t="shared" ca="1" si="231"/>
        <v>23.453053758100552</v>
      </c>
      <c r="R716" s="19">
        <f t="shared" ca="1" si="232"/>
        <v>2.3453053758100553</v>
      </c>
      <c r="S716" s="19">
        <f t="shared" ca="1" si="233"/>
        <v>2.3453053758100548</v>
      </c>
      <c r="T716" s="19">
        <f t="shared" ca="1" si="234"/>
        <v>0</v>
      </c>
      <c r="U716" s="19">
        <f t="shared" ca="1" si="235"/>
        <v>1478.9587218163997</v>
      </c>
      <c r="V716" s="19">
        <f t="shared" ca="1" si="236"/>
        <v>0</v>
      </c>
      <c r="W716" s="82">
        <f t="shared" ca="1" si="237"/>
        <v>5718.7981307870377</v>
      </c>
      <c r="X716" s="19">
        <f t="shared" ca="1" si="238"/>
        <v>0</v>
      </c>
      <c r="Y716" s="19">
        <f t="shared" si="239"/>
        <v>0</v>
      </c>
      <c r="Z716" s="82">
        <f t="shared" ca="1" si="240"/>
        <v>5718.7981307870377</v>
      </c>
      <c r="AA716" s="19">
        <f t="shared" ca="1" si="241"/>
        <v>0</v>
      </c>
    </row>
    <row r="717" spans="1:27" ht="12.75" customHeight="1" x14ac:dyDescent="0.2">
      <c r="A717">
        <v>1</v>
      </c>
      <c r="B717">
        <v>1</v>
      </c>
      <c r="C717">
        <f t="shared" ca="1" si="220"/>
        <v>4</v>
      </c>
      <c r="D717">
        <f t="shared" ca="1" si="221"/>
        <v>3</v>
      </c>
      <c r="E717">
        <f t="shared" ca="1" si="222"/>
        <v>1</v>
      </c>
      <c r="F717" s="61">
        <f t="shared" ca="1" si="223"/>
        <v>0.10723766413271038</v>
      </c>
      <c r="G717">
        <v>1</v>
      </c>
      <c r="H717">
        <v>1</v>
      </c>
      <c r="I717">
        <v>6</v>
      </c>
      <c r="J717" s="61">
        <f t="shared" ca="1" si="224"/>
        <v>0</v>
      </c>
      <c r="K717" s="61">
        <f t="shared" ca="1" si="225"/>
        <v>0</v>
      </c>
      <c r="L717" s="82">
        <f t="shared" ca="1" si="226"/>
        <v>388</v>
      </c>
      <c r="M717" s="16">
        <f t="shared" ca="1" si="227"/>
        <v>612</v>
      </c>
      <c r="N717" s="3">
        <f t="shared" ca="1" si="228"/>
        <v>4</v>
      </c>
      <c r="O717" s="19">
        <f t="shared" ca="1" si="229"/>
        <v>2.3453053758100548</v>
      </c>
      <c r="P717" s="19">
        <f t="shared" ca="1" si="230"/>
        <v>23.453053758100552</v>
      </c>
      <c r="Q717" s="19">
        <f t="shared" ca="1" si="231"/>
        <v>23.453053758100552</v>
      </c>
      <c r="R717" s="19">
        <f t="shared" ca="1" si="232"/>
        <v>2.3453053758100553</v>
      </c>
      <c r="S717" s="19">
        <f t="shared" ca="1" si="233"/>
        <v>2.3453053758100548</v>
      </c>
      <c r="T717" s="19">
        <f t="shared" ca="1" si="234"/>
        <v>0</v>
      </c>
      <c r="U717" s="19">
        <f t="shared" ca="1" si="235"/>
        <v>1467.9587218163997</v>
      </c>
      <c r="V717" s="19">
        <f t="shared" ca="1" si="236"/>
        <v>0</v>
      </c>
      <c r="W717" s="82">
        <f t="shared" ca="1" si="237"/>
        <v>5232.8929007523147</v>
      </c>
      <c r="X717" s="19">
        <f t="shared" ca="1" si="238"/>
        <v>0</v>
      </c>
      <c r="Y717" s="19">
        <f t="shared" si="239"/>
        <v>0</v>
      </c>
      <c r="Z717" s="82">
        <f t="shared" ca="1" si="240"/>
        <v>5232.8929007523147</v>
      </c>
      <c r="AA717" s="19">
        <f t="shared" ca="1" si="241"/>
        <v>0</v>
      </c>
    </row>
    <row r="718" spans="1:27" ht="12.75" customHeight="1" x14ac:dyDescent="0.2">
      <c r="A718">
        <v>1</v>
      </c>
      <c r="B718">
        <v>1</v>
      </c>
      <c r="C718">
        <f t="shared" ca="1" si="220"/>
        <v>4</v>
      </c>
      <c r="D718">
        <f t="shared" ca="1" si="221"/>
        <v>3</v>
      </c>
      <c r="E718">
        <f t="shared" ca="1" si="222"/>
        <v>1</v>
      </c>
      <c r="F718" s="61">
        <f t="shared" ca="1" si="223"/>
        <v>0.10723766413271038</v>
      </c>
      <c r="G718">
        <v>1</v>
      </c>
      <c r="H718">
        <v>1</v>
      </c>
      <c r="I718">
        <v>5</v>
      </c>
      <c r="J718" s="61">
        <f t="shared" ca="1" si="224"/>
        <v>0</v>
      </c>
      <c r="K718" s="61">
        <f t="shared" ca="1" si="225"/>
        <v>0</v>
      </c>
      <c r="L718" s="82">
        <f t="shared" ca="1" si="226"/>
        <v>377</v>
      </c>
      <c r="M718" s="16">
        <f t="shared" ca="1" si="227"/>
        <v>623</v>
      </c>
      <c r="N718" s="3">
        <f t="shared" ca="1" si="228"/>
        <v>4</v>
      </c>
      <c r="O718" s="19">
        <f t="shared" ca="1" si="229"/>
        <v>2.3453053758100548</v>
      </c>
      <c r="P718" s="19">
        <f t="shared" ca="1" si="230"/>
        <v>23.453053758100552</v>
      </c>
      <c r="Q718" s="19">
        <f t="shared" ca="1" si="231"/>
        <v>23.453053758100552</v>
      </c>
      <c r="R718" s="19">
        <f t="shared" ca="1" si="232"/>
        <v>2.3453053758100553</v>
      </c>
      <c r="S718" s="19">
        <f t="shared" ca="1" si="233"/>
        <v>2.3453053758100548</v>
      </c>
      <c r="T718" s="19">
        <f t="shared" ca="1" si="234"/>
        <v>0</v>
      </c>
      <c r="U718" s="19">
        <f t="shared" ca="1" si="235"/>
        <v>1456.9587218163997</v>
      </c>
      <c r="V718" s="19">
        <f t="shared" ca="1" si="236"/>
        <v>0</v>
      </c>
      <c r="W718" s="82">
        <f t="shared" ca="1" si="237"/>
        <v>4746.9876707175936</v>
      </c>
      <c r="X718" s="19">
        <f t="shared" ca="1" si="238"/>
        <v>0</v>
      </c>
      <c r="Y718" s="19">
        <f t="shared" si="239"/>
        <v>0</v>
      </c>
      <c r="Z718" s="82">
        <f t="shared" ca="1" si="240"/>
        <v>4746.9876707175936</v>
      </c>
      <c r="AA718" s="19">
        <f t="shared" ca="1" si="241"/>
        <v>0</v>
      </c>
    </row>
    <row r="719" spans="1:27" ht="12.75" customHeight="1" x14ac:dyDescent="0.2">
      <c r="A719">
        <v>1</v>
      </c>
      <c r="B719">
        <v>1</v>
      </c>
      <c r="C719">
        <f t="shared" ca="1" si="220"/>
        <v>4</v>
      </c>
      <c r="D719">
        <f t="shared" ca="1" si="221"/>
        <v>3</v>
      </c>
      <c r="E719">
        <f t="shared" ca="1" si="222"/>
        <v>1</v>
      </c>
      <c r="F719" s="61">
        <f t="shared" ca="1" si="223"/>
        <v>0.10723766413271038</v>
      </c>
      <c r="G719">
        <v>1</v>
      </c>
      <c r="H719">
        <v>1</v>
      </c>
      <c r="I719">
        <v>4</v>
      </c>
      <c r="J719" s="61">
        <f t="shared" ca="1" si="224"/>
        <v>0</v>
      </c>
      <c r="K719" s="61">
        <f t="shared" ca="1" si="225"/>
        <v>0</v>
      </c>
      <c r="L719" s="82">
        <f t="shared" ca="1" si="226"/>
        <v>366</v>
      </c>
      <c r="M719" s="16">
        <f t="shared" ca="1" si="227"/>
        <v>634</v>
      </c>
      <c r="N719" s="3">
        <f t="shared" ca="1" si="228"/>
        <v>4</v>
      </c>
      <c r="O719" s="19">
        <f t="shared" ca="1" si="229"/>
        <v>2.3453053758100548</v>
      </c>
      <c r="P719" s="19">
        <f t="shared" ca="1" si="230"/>
        <v>23.453053758100552</v>
      </c>
      <c r="Q719" s="19">
        <f t="shared" ca="1" si="231"/>
        <v>23.453053758100552</v>
      </c>
      <c r="R719" s="19">
        <f t="shared" ca="1" si="232"/>
        <v>2.3453053758100553</v>
      </c>
      <c r="S719" s="19">
        <f t="shared" ca="1" si="233"/>
        <v>2.3453053758100548</v>
      </c>
      <c r="T719" s="19">
        <f t="shared" ca="1" si="234"/>
        <v>0</v>
      </c>
      <c r="U719" s="19">
        <f t="shared" ca="1" si="235"/>
        <v>1445.9587218163997</v>
      </c>
      <c r="V719" s="19">
        <f t="shared" ca="1" si="236"/>
        <v>0</v>
      </c>
      <c r="W719" s="82">
        <f t="shared" ca="1" si="237"/>
        <v>4261.0824406828706</v>
      </c>
      <c r="X719" s="19">
        <f t="shared" ca="1" si="238"/>
        <v>0</v>
      </c>
      <c r="Y719" s="19">
        <f t="shared" si="239"/>
        <v>0</v>
      </c>
      <c r="Z719" s="82">
        <f t="shared" ca="1" si="240"/>
        <v>4261.0824406828706</v>
      </c>
      <c r="AA719" s="19">
        <f t="shared" ca="1" si="241"/>
        <v>0</v>
      </c>
    </row>
    <row r="720" spans="1:27" ht="12.75" customHeight="1" x14ac:dyDescent="0.2">
      <c r="A720">
        <v>1</v>
      </c>
      <c r="B720">
        <v>1</v>
      </c>
      <c r="C720">
        <f t="shared" ca="1" si="220"/>
        <v>4</v>
      </c>
      <c r="D720">
        <f t="shared" ca="1" si="221"/>
        <v>3</v>
      </c>
      <c r="E720">
        <f t="shared" ca="1" si="222"/>
        <v>1</v>
      </c>
      <c r="F720" s="61">
        <f t="shared" ca="1" si="223"/>
        <v>0.10723766413271038</v>
      </c>
      <c r="G720">
        <v>1</v>
      </c>
      <c r="H720">
        <v>1</v>
      </c>
      <c r="I720">
        <v>3</v>
      </c>
      <c r="J720" s="61">
        <f t="shared" ca="1" si="224"/>
        <v>0</v>
      </c>
      <c r="K720" s="61">
        <f t="shared" ca="1" si="225"/>
        <v>0</v>
      </c>
      <c r="L720" s="82">
        <f t="shared" ca="1" si="226"/>
        <v>355</v>
      </c>
      <c r="M720" s="16">
        <f t="shared" ca="1" si="227"/>
        <v>645</v>
      </c>
      <c r="N720" s="3">
        <f t="shared" ca="1" si="228"/>
        <v>4</v>
      </c>
      <c r="O720" s="19">
        <f t="shared" ca="1" si="229"/>
        <v>2.3453053758100548</v>
      </c>
      <c r="P720" s="19">
        <f t="shared" ca="1" si="230"/>
        <v>23.453053758100552</v>
      </c>
      <c r="Q720" s="19">
        <f t="shared" ca="1" si="231"/>
        <v>23.453053758100552</v>
      </c>
      <c r="R720" s="19">
        <f t="shared" ca="1" si="232"/>
        <v>2.3453053758100553</v>
      </c>
      <c r="S720" s="19">
        <f t="shared" ca="1" si="233"/>
        <v>2.3453053758100548</v>
      </c>
      <c r="T720" s="19">
        <f t="shared" ca="1" si="234"/>
        <v>0</v>
      </c>
      <c r="U720" s="19">
        <f t="shared" ca="1" si="235"/>
        <v>1434.9587218163997</v>
      </c>
      <c r="V720" s="19">
        <f t="shared" ca="1" si="236"/>
        <v>0</v>
      </c>
      <c r="W720" s="82">
        <f t="shared" ca="1" si="237"/>
        <v>3775.1772106481485</v>
      </c>
      <c r="X720" s="19">
        <f t="shared" ca="1" si="238"/>
        <v>0</v>
      </c>
      <c r="Y720" s="19">
        <f t="shared" si="239"/>
        <v>0</v>
      </c>
      <c r="Z720" s="82">
        <f t="shared" ca="1" si="240"/>
        <v>3775.1772106481485</v>
      </c>
      <c r="AA720" s="19">
        <f t="shared" ca="1" si="241"/>
        <v>0</v>
      </c>
    </row>
    <row r="721" spans="1:27" ht="12.75" customHeight="1" x14ac:dyDescent="0.2">
      <c r="A721">
        <v>1</v>
      </c>
      <c r="B721">
        <v>1</v>
      </c>
      <c r="C721">
        <f t="shared" ca="1" si="220"/>
        <v>4</v>
      </c>
      <c r="D721">
        <f t="shared" ca="1" si="221"/>
        <v>3</v>
      </c>
      <c r="E721">
        <f t="shared" ca="1" si="222"/>
        <v>1</v>
      </c>
      <c r="F721" s="61">
        <f t="shared" ca="1" si="223"/>
        <v>0.10723766413271038</v>
      </c>
      <c r="G721">
        <v>1</v>
      </c>
      <c r="H721">
        <v>1</v>
      </c>
      <c r="I721">
        <v>2</v>
      </c>
      <c r="J721" s="61">
        <f t="shared" ca="1" si="224"/>
        <v>0</v>
      </c>
      <c r="K721" s="61">
        <f t="shared" ca="1" si="225"/>
        <v>0</v>
      </c>
      <c r="L721" s="82">
        <f t="shared" ca="1" si="226"/>
        <v>344</v>
      </c>
      <c r="M721" s="16">
        <f t="shared" ca="1" si="227"/>
        <v>656</v>
      </c>
      <c r="N721" s="3">
        <f t="shared" ca="1" si="228"/>
        <v>4</v>
      </c>
      <c r="O721" s="19">
        <f t="shared" ca="1" si="229"/>
        <v>2.3453053758100548</v>
      </c>
      <c r="P721" s="19">
        <f t="shared" ca="1" si="230"/>
        <v>23.453053758100552</v>
      </c>
      <c r="Q721" s="19">
        <f t="shared" ca="1" si="231"/>
        <v>23.453053758100552</v>
      </c>
      <c r="R721" s="19">
        <f t="shared" ca="1" si="232"/>
        <v>2.3453053758100553</v>
      </c>
      <c r="S721" s="19">
        <f t="shared" ca="1" si="233"/>
        <v>2.3453053758100548</v>
      </c>
      <c r="T721" s="19">
        <f t="shared" ca="1" si="234"/>
        <v>0</v>
      </c>
      <c r="U721" s="19">
        <f t="shared" ca="1" si="235"/>
        <v>1423.9587218163997</v>
      </c>
      <c r="V721" s="19">
        <f t="shared" ca="1" si="236"/>
        <v>0</v>
      </c>
      <c r="W721" s="82">
        <f t="shared" ca="1" si="237"/>
        <v>3289.2719806134264</v>
      </c>
      <c r="X721" s="19">
        <f t="shared" ca="1" si="238"/>
        <v>0</v>
      </c>
      <c r="Y721" s="19">
        <f t="shared" si="239"/>
        <v>0</v>
      </c>
      <c r="Z721" s="82">
        <f t="shared" ca="1" si="240"/>
        <v>3289.2719806134264</v>
      </c>
      <c r="AA721" s="19">
        <f t="shared" ca="1" si="241"/>
        <v>0</v>
      </c>
    </row>
    <row r="722" spans="1:27" ht="12.75" customHeight="1" x14ac:dyDescent="0.2">
      <c r="A722">
        <v>1</v>
      </c>
      <c r="B722">
        <v>1</v>
      </c>
      <c r="C722">
        <f t="shared" ca="1" si="220"/>
        <v>4</v>
      </c>
      <c r="D722">
        <f t="shared" ca="1" si="221"/>
        <v>3</v>
      </c>
      <c r="E722">
        <f t="shared" ca="1" si="222"/>
        <v>1</v>
      </c>
      <c r="F722" s="61">
        <f t="shared" ca="1" si="223"/>
        <v>0.10723766413271038</v>
      </c>
      <c r="G722">
        <v>1</v>
      </c>
      <c r="H722">
        <v>1</v>
      </c>
      <c r="I722">
        <v>1</v>
      </c>
      <c r="J722" s="61">
        <f t="shared" ca="1" si="224"/>
        <v>0</v>
      </c>
      <c r="K722" s="61">
        <f t="shared" ca="1" si="225"/>
        <v>0</v>
      </c>
      <c r="L722" s="82">
        <f t="shared" ca="1" si="226"/>
        <v>333</v>
      </c>
      <c r="M722" s="16">
        <f t="shared" ca="1" si="227"/>
        <v>667</v>
      </c>
      <c r="N722" s="3">
        <f t="shared" ca="1" si="228"/>
        <v>4</v>
      </c>
      <c r="O722" s="19">
        <f t="shared" ca="1" si="229"/>
        <v>2.3453053758100548</v>
      </c>
      <c r="P722" s="19">
        <f t="shared" ca="1" si="230"/>
        <v>23.453053758100552</v>
      </c>
      <c r="Q722" s="19">
        <f t="shared" ca="1" si="231"/>
        <v>23.453053758100552</v>
      </c>
      <c r="R722" s="19">
        <f t="shared" ca="1" si="232"/>
        <v>2.3453053758100553</v>
      </c>
      <c r="S722" s="19">
        <f t="shared" ca="1" si="233"/>
        <v>2.3453053758100548</v>
      </c>
      <c r="T722" s="19">
        <f t="shared" ca="1" si="234"/>
        <v>0</v>
      </c>
      <c r="U722" s="19">
        <f t="shared" ca="1" si="235"/>
        <v>1412.9587218163997</v>
      </c>
      <c r="V722" s="19">
        <f t="shared" ca="1" si="236"/>
        <v>0</v>
      </c>
      <c r="W722" s="82">
        <f t="shared" ca="1" si="237"/>
        <v>2803.3667505787039</v>
      </c>
      <c r="X722" s="19">
        <f t="shared" ca="1" si="238"/>
        <v>0</v>
      </c>
      <c r="Y722" s="19">
        <f t="shared" si="239"/>
        <v>0</v>
      </c>
      <c r="Z722" s="82">
        <f t="shared" ca="1" si="240"/>
        <v>2803.3667505787039</v>
      </c>
      <c r="AA722" s="19">
        <f t="shared" ca="1" si="241"/>
        <v>0</v>
      </c>
    </row>
    <row r="723" spans="1:27" ht="12.75" customHeight="1" x14ac:dyDescent="0.2">
      <c r="A723">
        <v>1</v>
      </c>
      <c r="B723">
        <v>1</v>
      </c>
      <c r="C723">
        <f t="shared" ca="1" si="220"/>
        <v>4</v>
      </c>
      <c r="D723">
        <f t="shared" ca="1" si="221"/>
        <v>3</v>
      </c>
      <c r="E723">
        <f t="shared" ca="1" si="222"/>
        <v>1</v>
      </c>
      <c r="F723" s="61">
        <f t="shared" ca="1" si="223"/>
        <v>0.10723766413271038</v>
      </c>
      <c r="G723">
        <v>1</v>
      </c>
      <c r="H723">
        <v>1</v>
      </c>
      <c r="I723">
        <v>0</v>
      </c>
      <c r="J723" s="61">
        <f t="shared" ca="1" si="224"/>
        <v>0</v>
      </c>
      <c r="K723" s="61">
        <f t="shared" ca="1" si="225"/>
        <v>0</v>
      </c>
      <c r="L723" s="82">
        <f t="shared" ca="1" si="226"/>
        <v>322</v>
      </c>
      <c r="M723" s="16">
        <f t="shared" ca="1" si="227"/>
        <v>678</v>
      </c>
      <c r="N723" s="3">
        <f t="shared" ca="1" si="228"/>
        <v>4</v>
      </c>
      <c r="O723" s="19">
        <f t="shared" ca="1" si="229"/>
        <v>2.3453053758100548</v>
      </c>
      <c r="P723" s="19">
        <f t="shared" ca="1" si="230"/>
        <v>23.453053758100552</v>
      </c>
      <c r="Q723" s="19">
        <f t="shared" ca="1" si="231"/>
        <v>23.453053758100552</v>
      </c>
      <c r="R723" s="19">
        <f t="shared" ca="1" si="232"/>
        <v>2.3453053758100553</v>
      </c>
      <c r="S723" s="19">
        <f t="shared" ca="1" si="233"/>
        <v>2.3453053758100548</v>
      </c>
      <c r="T723" s="19">
        <f t="shared" ca="1" si="234"/>
        <v>0</v>
      </c>
      <c r="U723" s="19">
        <f t="shared" ca="1" si="235"/>
        <v>1401.9587218163997</v>
      </c>
      <c r="V723" s="19">
        <f t="shared" ca="1" si="236"/>
        <v>0</v>
      </c>
      <c r="W723" s="82">
        <f t="shared" ca="1" si="237"/>
        <v>2317.4615205439818</v>
      </c>
      <c r="X723" s="19">
        <f t="shared" ca="1" si="238"/>
        <v>0</v>
      </c>
      <c r="Y723" s="19">
        <f t="shared" si="239"/>
        <v>0</v>
      </c>
      <c r="Z723" s="82">
        <f t="shared" ca="1" si="240"/>
        <v>2317.4615205439818</v>
      </c>
      <c r="AA723" s="19">
        <f t="shared" ca="1" si="241"/>
        <v>0</v>
      </c>
    </row>
    <row r="724" spans="1:27" ht="12.75" customHeight="1" x14ac:dyDescent="0.2">
      <c r="A724">
        <v>1</v>
      </c>
      <c r="B724">
        <v>1</v>
      </c>
      <c r="C724">
        <f t="shared" ca="1" si="220"/>
        <v>4</v>
      </c>
      <c r="D724">
        <f t="shared" ca="1" si="221"/>
        <v>3</v>
      </c>
      <c r="E724">
        <f t="shared" ca="1" si="222"/>
        <v>1</v>
      </c>
      <c r="F724" s="61">
        <f t="shared" ca="1" si="223"/>
        <v>0.10723766413271038</v>
      </c>
      <c r="G724">
        <v>1</v>
      </c>
      <c r="H724">
        <v>0</v>
      </c>
      <c r="I724">
        <v>7</v>
      </c>
      <c r="J724" s="61">
        <f t="shared" ca="1" si="224"/>
        <v>0</v>
      </c>
      <c r="K724" s="61">
        <f t="shared" ca="1" si="225"/>
        <v>0</v>
      </c>
      <c r="L724" s="82">
        <f t="shared" ca="1" si="226"/>
        <v>238</v>
      </c>
      <c r="M724" s="16">
        <f t="shared" ca="1" si="227"/>
        <v>762</v>
      </c>
      <c r="N724" s="3">
        <f t="shared" ca="1" si="228"/>
        <v>5</v>
      </c>
      <c r="O724" s="19">
        <f t="shared" ca="1" si="229"/>
        <v>2.8178718937399587</v>
      </c>
      <c r="P724" s="19">
        <f t="shared" ca="1" si="230"/>
        <v>25.815886347750073</v>
      </c>
      <c r="Q724" s="19">
        <f t="shared" ca="1" si="231"/>
        <v>23.453053758100552</v>
      </c>
      <c r="R724" s="19">
        <f t="shared" ca="1" si="232"/>
        <v>2.4634470052925312</v>
      </c>
      <c r="S724" s="19">
        <f t="shared" ca="1" si="233"/>
        <v>2.8178718937399587</v>
      </c>
      <c r="T724" s="19">
        <f t="shared" ca="1" si="234"/>
        <v>0</v>
      </c>
      <c r="U724" s="19">
        <f t="shared" ca="1" si="235"/>
        <v>1497.3251747165598</v>
      </c>
      <c r="V724" s="19">
        <f t="shared" ca="1" si="236"/>
        <v>0</v>
      </c>
      <c r="W724" s="82">
        <f t="shared" ca="1" si="237"/>
        <v>5718.7981307870377</v>
      </c>
      <c r="X724" s="19">
        <f t="shared" ca="1" si="238"/>
        <v>0</v>
      </c>
      <c r="Y724" s="19">
        <f t="shared" si="239"/>
        <v>0</v>
      </c>
      <c r="Z724" s="82">
        <f t="shared" ca="1" si="240"/>
        <v>5718.7981307870377</v>
      </c>
      <c r="AA724" s="19">
        <f t="shared" ca="1" si="241"/>
        <v>0</v>
      </c>
    </row>
    <row r="725" spans="1:27" ht="12.75" customHeight="1" x14ac:dyDescent="0.2">
      <c r="A725">
        <v>1</v>
      </c>
      <c r="B725">
        <v>1</v>
      </c>
      <c r="C725">
        <f t="shared" ca="1" si="220"/>
        <v>4</v>
      </c>
      <c r="D725">
        <f t="shared" ca="1" si="221"/>
        <v>3</v>
      </c>
      <c r="E725">
        <f t="shared" ca="1" si="222"/>
        <v>1</v>
      </c>
      <c r="F725" s="61">
        <f t="shared" ca="1" si="223"/>
        <v>0.10723766413271038</v>
      </c>
      <c r="G725">
        <v>1</v>
      </c>
      <c r="H725">
        <v>0</v>
      </c>
      <c r="I725">
        <v>6</v>
      </c>
      <c r="J725" s="61">
        <f t="shared" ca="1" si="224"/>
        <v>0</v>
      </c>
      <c r="K725" s="61">
        <f t="shared" ca="1" si="225"/>
        <v>0</v>
      </c>
      <c r="L725" s="82">
        <f t="shared" ca="1" si="226"/>
        <v>227</v>
      </c>
      <c r="M725" s="16">
        <f t="shared" ca="1" si="227"/>
        <v>773</v>
      </c>
      <c r="N725" s="3">
        <f t="shared" ca="1" si="228"/>
        <v>5</v>
      </c>
      <c r="O725" s="19">
        <f t="shared" ca="1" si="229"/>
        <v>2.8178718937399587</v>
      </c>
      <c r="P725" s="19">
        <f t="shared" ca="1" si="230"/>
        <v>28.178718937399587</v>
      </c>
      <c r="Q725" s="19">
        <f t="shared" ca="1" si="231"/>
        <v>26.288452865679979</v>
      </c>
      <c r="R725" s="19">
        <f t="shared" ca="1" si="232"/>
        <v>2.7233585901539783</v>
      </c>
      <c r="S725" s="19">
        <f t="shared" ca="1" si="233"/>
        <v>2.8178718937399587</v>
      </c>
      <c r="T725" s="19">
        <f t="shared" ca="1" si="234"/>
        <v>0</v>
      </c>
      <c r="U725" s="19">
        <f t="shared" ca="1" si="235"/>
        <v>1486.3251747165598</v>
      </c>
      <c r="V725" s="19">
        <f t="shared" ca="1" si="236"/>
        <v>0</v>
      </c>
      <c r="W725" s="82">
        <f t="shared" ca="1" si="237"/>
        <v>5232.8929007523147</v>
      </c>
      <c r="X725" s="19">
        <f t="shared" ca="1" si="238"/>
        <v>0</v>
      </c>
      <c r="Y725" s="19">
        <f t="shared" si="239"/>
        <v>0</v>
      </c>
      <c r="Z725" s="82">
        <f t="shared" ca="1" si="240"/>
        <v>5232.8929007523147</v>
      </c>
      <c r="AA725" s="19">
        <f t="shared" ca="1" si="241"/>
        <v>0</v>
      </c>
    </row>
    <row r="726" spans="1:27" ht="12.75" customHeight="1" x14ac:dyDescent="0.2">
      <c r="A726">
        <v>1</v>
      </c>
      <c r="B726">
        <v>1</v>
      </c>
      <c r="C726">
        <f t="shared" ca="1" si="220"/>
        <v>4</v>
      </c>
      <c r="D726">
        <f t="shared" ca="1" si="221"/>
        <v>3</v>
      </c>
      <c r="E726">
        <f t="shared" ca="1" si="222"/>
        <v>1</v>
      </c>
      <c r="F726" s="61">
        <f t="shared" ca="1" si="223"/>
        <v>0.10723766413271038</v>
      </c>
      <c r="G726">
        <v>1</v>
      </c>
      <c r="H726">
        <v>0</v>
      </c>
      <c r="I726">
        <v>5</v>
      </c>
      <c r="J726" s="61">
        <f t="shared" ca="1" si="224"/>
        <v>0</v>
      </c>
      <c r="K726" s="61">
        <f t="shared" ca="1" si="225"/>
        <v>0</v>
      </c>
      <c r="L726" s="82">
        <f t="shared" ca="1" si="226"/>
        <v>216</v>
      </c>
      <c r="M726" s="16">
        <f t="shared" ca="1" si="227"/>
        <v>784</v>
      </c>
      <c r="N726" s="3">
        <f t="shared" ca="1" si="228"/>
        <v>5</v>
      </c>
      <c r="O726" s="19">
        <f t="shared" ca="1" si="229"/>
        <v>2.8178718937399587</v>
      </c>
      <c r="P726" s="19">
        <f t="shared" ca="1" si="230"/>
        <v>28.178718937399587</v>
      </c>
      <c r="Q726" s="19">
        <f t="shared" ca="1" si="231"/>
        <v>28.178718937399587</v>
      </c>
      <c r="R726" s="19">
        <f t="shared" ca="1" si="232"/>
        <v>2.8178718937399587</v>
      </c>
      <c r="S726" s="19">
        <f t="shared" ca="1" si="233"/>
        <v>2.8178718937399587</v>
      </c>
      <c r="T726" s="19">
        <f t="shared" ca="1" si="234"/>
        <v>0</v>
      </c>
      <c r="U726" s="19">
        <f t="shared" ca="1" si="235"/>
        <v>1475.3251747165598</v>
      </c>
      <c r="V726" s="19">
        <f t="shared" ca="1" si="236"/>
        <v>0</v>
      </c>
      <c r="W726" s="82">
        <f t="shared" ca="1" si="237"/>
        <v>4746.9876707175936</v>
      </c>
      <c r="X726" s="19">
        <f t="shared" ca="1" si="238"/>
        <v>0</v>
      </c>
      <c r="Y726" s="19">
        <f t="shared" si="239"/>
        <v>0</v>
      </c>
      <c r="Z726" s="82">
        <f t="shared" ca="1" si="240"/>
        <v>4746.9876707175936</v>
      </c>
      <c r="AA726" s="19">
        <f t="shared" ca="1" si="241"/>
        <v>0</v>
      </c>
    </row>
    <row r="727" spans="1:27" ht="12.75" customHeight="1" x14ac:dyDescent="0.2">
      <c r="A727">
        <v>1</v>
      </c>
      <c r="B727">
        <v>1</v>
      </c>
      <c r="C727">
        <f t="shared" ca="1" si="220"/>
        <v>4</v>
      </c>
      <c r="D727">
        <f t="shared" ca="1" si="221"/>
        <v>3</v>
      </c>
      <c r="E727">
        <f t="shared" ca="1" si="222"/>
        <v>1</v>
      </c>
      <c r="F727" s="61">
        <f t="shared" ca="1" si="223"/>
        <v>0.10723766413271038</v>
      </c>
      <c r="G727">
        <v>1</v>
      </c>
      <c r="H727">
        <v>0</v>
      </c>
      <c r="I727">
        <v>4</v>
      </c>
      <c r="J727" s="61">
        <f t="shared" ca="1" si="224"/>
        <v>0</v>
      </c>
      <c r="K727" s="61">
        <f t="shared" ca="1" si="225"/>
        <v>0</v>
      </c>
      <c r="L727" s="82">
        <f t="shared" ca="1" si="226"/>
        <v>205</v>
      </c>
      <c r="M727" s="16">
        <f t="shared" ca="1" si="227"/>
        <v>795</v>
      </c>
      <c r="N727" s="3">
        <f t="shared" ca="1" si="228"/>
        <v>5</v>
      </c>
      <c r="O727" s="19">
        <f t="shared" ca="1" si="229"/>
        <v>2.8178718937399587</v>
      </c>
      <c r="P727" s="19">
        <f t="shared" ca="1" si="230"/>
        <v>28.178718937399587</v>
      </c>
      <c r="Q727" s="19">
        <f t="shared" ca="1" si="231"/>
        <v>28.178718937399587</v>
      </c>
      <c r="R727" s="19">
        <f t="shared" ca="1" si="232"/>
        <v>2.8178718937399587</v>
      </c>
      <c r="S727" s="19">
        <f t="shared" ca="1" si="233"/>
        <v>2.8178718937399587</v>
      </c>
      <c r="T727" s="19">
        <f t="shared" ca="1" si="234"/>
        <v>0</v>
      </c>
      <c r="U727" s="19">
        <f t="shared" ca="1" si="235"/>
        <v>1464.3251747165598</v>
      </c>
      <c r="V727" s="19">
        <f t="shared" ca="1" si="236"/>
        <v>0</v>
      </c>
      <c r="W727" s="82">
        <f t="shared" ca="1" si="237"/>
        <v>4261.0824406828706</v>
      </c>
      <c r="X727" s="19">
        <f t="shared" ca="1" si="238"/>
        <v>0</v>
      </c>
      <c r="Y727" s="19">
        <f t="shared" si="239"/>
        <v>0</v>
      </c>
      <c r="Z727" s="82">
        <f t="shared" ca="1" si="240"/>
        <v>4261.0824406828706</v>
      </c>
      <c r="AA727" s="19">
        <f t="shared" ca="1" si="241"/>
        <v>0</v>
      </c>
    </row>
    <row r="728" spans="1:27" ht="12.75" customHeight="1" x14ac:dyDescent="0.2">
      <c r="A728">
        <v>1</v>
      </c>
      <c r="B728">
        <v>1</v>
      </c>
      <c r="C728">
        <f t="shared" ca="1" si="220"/>
        <v>4</v>
      </c>
      <c r="D728">
        <f t="shared" ca="1" si="221"/>
        <v>3</v>
      </c>
      <c r="E728">
        <f t="shared" ca="1" si="222"/>
        <v>1</v>
      </c>
      <c r="F728" s="61">
        <f t="shared" ca="1" si="223"/>
        <v>0.10723766413271038</v>
      </c>
      <c r="G728">
        <v>1</v>
      </c>
      <c r="H728">
        <v>0</v>
      </c>
      <c r="I728">
        <v>3</v>
      </c>
      <c r="J728" s="61">
        <f t="shared" ca="1" si="224"/>
        <v>0.81450624999999988</v>
      </c>
      <c r="K728" s="61">
        <f t="shared" ca="1" si="225"/>
        <v>8.7345747671493418E-2</v>
      </c>
      <c r="L728" s="82">
        <f t="shared" ca="1" si="226"/>
        <v>194</v>
      </c>
      <c r="M728" s="16">
        <f t="shared" ca="1" si="227"/>
        <v>806</v>
      </c>
      <c r="N728" s="3">
        <f t="shared" ca="1" si="228"/>
        <v>5</v>
      </c>
      <c r="O728" s="19">
        <f t="shared" ca="1" si="229"/>
        <v>2.8178718937399587</v>
      </c>
      <c r="P728" s="19">
        <f t="shared" ca="1" si="230"/>
        <v>28.178718937399587</v>
      </c>
      <c r="Q728" s="19">
        <f t="shared" ca="1" si="231"/>
        <v>28.178718937399587</v>
      </c>
      <c r="R728" s="19">
        <f t="shared" ca="1" si="232"/>
        <v>2.8178718937399587</v>
      </c>
      <c r="S728" s="19">
        <f t="shared" ca="1" si="233"/>
        <v>2.8178718937399587</v>
      </c>
      <c r="T728" s="19">
        <f t="shared" ca="1" si="234"/>
        <v>0.24612912740120374</v>
      </c>
      <c r="U728" s="19">
        <f t="shared" ca="1" si="235"/>
        <v>1453.3251747165598</v>
      </c>
      <c r="V728" s="19">
        <f t="shared" ca="1" si="236"/>
        <v>126.94177399542171</v>
      </c>
      <c r="W728" s="82">
        <f t="shared" ca="1" si="237"/>
        <v>3775.1772106481485</v>
      </c>
      <c r="X728" s="19">
        <f t="shared" ca="1" si="238"/>
        <v>329.74567605644552</v>
      </c>
      <c r="Y728" s="19">
        <f t="shared" si="239"/>
        <v>0</v>
      </c>
      <c r="Z728" s="82">
        <f t="shared" ca="1" si="240"/>
        <v>3775.1772106481485</v>
      </c>
      <c r="AA728" s="19">
        <f t="shared" ca="1" si="241"/>
        <v>329.74567605644552</v>
      </c>
    </row>
    <row r="729" spans="1:27" ht="12.75" customHeight="1" x14ac:dyDescent="0.2">
      <c r="A729">
        <v>1</v>
      </c>
      <c r="B729">
        <v>1</v>
      </c>
      <c r="C729">
        <f t="shared" ca="1" si="220"/>
        <v>4</v>
      </c>
      <c r="D729">
        <f t="shared" ca="1" si="221"/>
        <v>3</v>
      </c>
      <c r="E729">
        <f t="shared" ca="1" si="222"/>
        <v>1</v>
      </c>
      <c r="F729" s="61">
        <f t="shared" ca="1" si="223"/>
        <v>0.10723766413271038</v>
      </c>
      <c r="G729">
        <v>1</v>
      </c>
      <c r="H729">
        <v>0</v>
      </c>
      <c r="I729">
        <v>2</v>
      </c>
      <c r="J729" s="61">
        <f t="shared" ca="1" si="224"/>
        <v>0.12860625000000012</v>
      </c>
      <c r="K729" s="61">
        <f t="shared" ca="1" si="225"/>
        <v>1.3791433842867396E-2</v>
      </c>
      <c r="L729" s="82">
        <f t="shared" ca="1" si="226"/>
        <v>183</v>
      </c>
      <c r="M729" s="16">
        <f t="shared" ca="1" si="227"/>
        <v>817</v>
      </c>
      <c r="N729" s="3">
        <f t="shared" ca="1" si="228"/>
        <v>5</v>
      </c>
      <c r="O729" s="19">
        <f t="shared" ca="1" si="229"/>
        <v>2.8178718937399587</v>
      </c>
      <c r="P729" s="19">
        <f t="shared" ca="1" si="230"/>
        <v>28.178718937399587</v>
      </c>
      <c r="Q729" s="19">
        <f t="shared" ca="1" si="231"/>
        <v>28.178718937399587</v>
      </c>
      <c r="R729" s="19">
        <f t="shared" ca="1" si="232"/>
        <v>2.8178718937399587</v>
      </c>
      <c r="S729" s="19">
        <f t="shared" ca="1" si="233"/>
        <v>2.8178718937399587</v>
      </c>
      <c r="T729" s="19">
        <f t="shared" ca="1" si="234"/>
        <v>3.8862493800190107E-2</v>
      </c>
      <c r="U729" s="19">
        <f t="shared" ca="1" si="235"/>
        <v>1442.3251747165598</v>
      </c>
      <c r="V729" s="19">
        <f t="shared" ca="1" si="236"/>
        <v>19.891732227005594</v>
      </c>
      <c r="W729" s="82">
        <f t="shared" ca="1" si="237"/>
        <v>3289.2719806134264</v>
      </c>
      <c r="X729" s="19">
        <f t="shared" ca="1" si="238"/>
        <v>45.363776911827479</v>
      </c>
      <c r="Y729" s="19">
        <f t="shared" si="239"/>
        <v>0</v>
      </c>
      <c r="Z729" s="82">
        <f t="shared" ca="1" si="240"/>
        <v>3289.2719806134264</v>
      </c>
      <c r="AA729" s="19">
        <f t="shared" ca="1" si="241"/>
        <v>45.363776911827479</v>
      </c>
    </row>
    <row r="730" spans="1:27" ht="12.75" customHeight="1" x14ac:dyDescent="0.2">
      <c r="A730">
        <v>1</v>
      </c>
      <c r="B730">
        <v>1</v>
      </c>
      <c r="C730">
        <f t="shared" ca="1" si="220"/>
        <v>4</v>
      </c>
      <c r="D730">
        <f t="shared" ca="1" si="221"/>
        <v>3</v>
      </c>
      <c r="E730">
        <f t="shared" ca="1" si="222"/>
        <v>1</v>
      </c>
      <c r="F730" s="61">
        <f t="shared" ca="1" si="223"/>
        <v>0.10723766413271038</v>
      </c>
      <c r="G730">
        <v>1</v>
      </c>
      <c r="H730">
        <v>0</v>
      </c>
      <c r="I730">
        <v>1</v>
      </c>
      <c r="J730" s="61">
        <f t="shared" ca="1" si="224"/>
        <v>6.7687500000000109E-3</v>
      </c>
      <c r="K730" s="61">
        <f t="shared" ca="1" si="225"/>
        <v>7.258649390982846E-4</v>
      </c>
      <c r="L730" s="82">
        <f t="shared" ca="1" si="226"/>
        <v>172</v>
      </c>
      <c r="M730" s="16">
        <f t="shared" ca="1" si="227"/>
        <v>828</v>
      </c>
      <c r="N730" s="3">
        <f t="shared" ca="1" si="228"/>
        <v>5</v>
      </c>
      <c r="O730" s="19">
        <f t="shared" ca="1" si="229"/>
        <v>2.8178718937399587</v>
      </c>
      <c r="P730" s="19">
        <f t="shared" ca="1" si="230"/>
        <v>28.178718937399587</v>
      </c>
      <c r="Q730" s="19">
        <f t="shared" ca="1" si="231"/>
        <v>28.178718937399587</v>
      </c>
      <c r="R730" s="19">
        <f t="shared" ca="1" si="232"/>
        <v>2.8178718937399587</v>
      </c>
      <c r="S730" s="19">
        <f t="shared" ca="1" si="233"/>
        <v>2.8178718937399587</v>
      </c>
      <c r="T730" s="19">
        <f t="shared" ca="1" si="234"/>
        <v>2.0453944105363231E-3</v>
      </c>
      <c r="U730" s="19">
        <f t="shared" ca="1" si="235"/>
        <v>1431.3251747165598</v>
      </c>
      <c r="V730" s="19">
        <f t="shared" ca="1" si="236"/>
        <v>1.0389487607754773</v>
      </c>
      <c r="W730" s="82">
        <f t="shared" ca="1" si="237"/>
        <v>2803.3667505787039</v>
      </c>
      <c r="X730" s="19">
        <f t="shared" ca="1" si="238"/>
        <v>2.0348656356789667</v>
      </c>
      <c r="Y730" s="19">
        <f t="shared" si="239"/>
        <v>0</v>
      </c>
      <c r="Z730" s="82">
        <f t="shared" ca="1" si="240"/>
        <v>2803.3667505787039</v>
      </c>
      <c r="AA730" s="19">
        <f t="shared" ca="1" si="241"/>
        <v>2.0348656356789667</v>
      </c>
    </row>
    <row r="731" spans="1:27" ht="12.75" customHeight="1" x14ac:dyDescent="0.2">
      <c r="A731">
        <v>1</v>
      </c>
      <c r="B731">
        <v>1</v>
      </c>
      <c r="C731">
        <f t="shared" ca="1" si="220"/>
        <v>4</v>
      </c>
      <c r="D731">
        <f t="shared" ca="1" si="221"/>
        <v>3</v>
      </c>
      <c r="E731">
        <f t="shared" ca="1" si="222"/>
        <v>1</v>
      </c>
      <c r="F731" s="61">
        <f t="shared" ca="1" si="223"/>
        <v>0.10723766413271038</v>
      </c>
      <c r="G731">
        <v>1</v>
      </c>
      <c r="H731">
        <v>0</v>
      </c>
      <c r="I731">
        <v>0</v>
      </c>
      <c r="J731" s="61">
        <f t="shared" ca="1" si="224"/>
        <v>1.1875000000000031E-4</v>
      </c>
      <c r="K731" s="61">
        <f t="shared" ca="1" si="225"/>
        <v>1.2734472615759391E-5</v>
      </c>
      <c r="L731" s="82">
        <f t="shared" ca="1" si="226"/>
        <v>161</v>
      </c>
      <c r="M731" s="16">
        <f t="shared" ca="1" si="227"/>
        <v>839</v>
      </c>
      <c r="N731" s="3">
        <f t="shared" ca="1" si="228"/>
        <v>5</v>
      </c>
      <c r="O731" s="19">
        <f t="shared" ca="1" si="229"/>
        <v>2.8178718937399587</v>
      </c>
      <c r="P731" s="19">
        <f t="shared" ca="1" si="230"/>
        <v>28.178718937399587</v>
      </c>
      <c r="Q731" s="19">
        <f t="shared" ca="1" si="231"/>
        <v>28.178718937399587</v>
      </c>
      <c r="R731" s="19">
        <f t="shared" ca="1" si="232"/>
        <v>2.8178718937399587</v>
      </c>
      <c r="S731" s="19">
        <f t="shared" ca="1" si="233"/>
        <v>2.8178718937399587</v>
      </c>
      <c r="T731" s="19">
        <f t="shared" ca="1" si="234"/>
        <v>3.5884112465549559E-5</v>
      </c>
      <c r="U731" s="19">
        <f t="shared" ca="1" si="235"/>
        <v>1420.3251747165598</v>
      </c>
      <c r="V731" s="19">
        <f t="shared" ca="1" si="236"/>
        <v>1.8087092042901702E-2</v>
      </c>
      <c r="W731" s="82">
        <f t="shared" ca="1" si="237"/>
        <v>2317.4615205439818</v>
      </c>
      <c r="X731" s="19">
        <f t="shared" ca="1" si="238"/>
        <v>2.9511650271443455E-2</v>
      </c>
      <c r="Y731" s="19">
        <f t="shared" si="239"/>
        <v>0</v>
      </c>
      <c r="Z731" s="82">
        <f t="shared" ca="1" si="240"/>
        <v>2317.4615205439818</v>
      </c>
      <c r="AA731" s="19">
        <f t="shared" ca="1" si="241"/>
        <v>2.9511650271443455E-2</v>
      </c>
    </row>
    <row r="732" spans="1:27" ht="12.75" customHeight="1" x14ac:dyDescent="0.2">
      <c r="A732">
        <v>1</v>
      </c>
      <c r="B732">
        <v>1</v>
      </c>
      <c r="C732">
        <f t="shared" ca="1" si="220"/>
        <v>4</v>
      </c>
      <c r="D732">
        <f t="shared" ca="1" si="221"/>
        <v>3</v>
      </c>
      <c r="E732">
        <f t="shared" ca="1" si="222"/>
        <v>1</v>
      </c>
      <c r="F732" s="61">
        <f t="shared" ca="1" si="223"/>
        <v>0.10723766413271038</v>
      </c>
      <c r="G732">
        <v>0</v>
      </c>
      <c r="H732">
        <v>1</v>
      </c>
      <c r="I732">
        <v>7</v>
      </c>
      <c r="J732" s="61">
        <f t="shared" ca="1" si="224"/>
        <v>0</v>
      </c>
      <c r="K732" s="61">
        <f t="shared" ca="1" si="225"/>
        <v>0</v>
      </c>
      <c r="L732" s="82">
        <f t="shared" ca="1" si="226"/>
        <v>238</v>
      </c>
      <c r="M732" s="16">
        <f t="shared" ca="1" si="227"/>
        <v>762</v>
      </c>
      <c r="N732" s="3">
        <f t="shared" ca="1" si="228"/>
        <v>5</v>
      </c>
      <c r="O732" s="19">
        <f t="shared" ca="1" si="229"/>
        <v>2.8178718937399587</v>
      </c>
      <c r="P732" s="19">
        <f t="shared" ca="1" si="230"/>
        <v>25.815886347750073</v>
      </c>
      <c r="Q732" s="19">
        <f t="shared" ca="1" si="231"/>
        <v>23.453053758100552</v>
      </c>
      <c r="R732" s="19">
        <f t="shared" ca="1" si="232"/>
        <v>2.4634470052925312</v>
      </c>
      <c r="S732" s="19">
        <f t="shared" ca="1" si="233"/>
        <v>2.8178718937399587</v>
      </c>
      <c r="T732" s="19">
        <f t="shared" ca="1" si="234"/>
        <v>0</v>
      </c>
      <c r="U732" s="19">
        <f t="shared" ca="1" si="235"/>
        <v>1497.3251747165598</v>
      </c>
      <c r="V732" s="19">
        <f t="shared" ca="1" si="236"/>
        <v>0</v>
      </c>
      <c r="W732" s="82">
        <f t="shared" ca="1" si="237"/>
        <v>3401.3366102430559</v>
      </c>
      <c r="X732" s="19">
        <f t="shared" ca="1" si="238"/>
        <v>0</v>
      </c>
      <c r="Y732" s="19">
        <f t="shared" si="239"/>
        <v>0</v>
      </c>
      <c r="Z732" s="82">
        <f t="shared" ca="1" si="240"/>
        <v>3401.3366102430559</v>
      </c>
      <c r="AA732" s="19">
        <f t="shared" ca="1" si="241"/>
        <v>0</v>
      </c>
    </row>
    <row r="733" spans="1:27" ht="12.75" customHeight="1" x14ac:dyDescent="0.2">
      <c r="A733">
        <v>1</v>
      </c>
      <c r="B733">
        <v>1</v>
      </c>
      <c r="C733">
        <f t="shared" ca="1" si="220"/>
        <v>4</v>
      </c>
      <c r="D733">
        <f t="shared" ca="1" si="221"/>
        <v>3</v>
      </c>
      <c r="E733">
        <f t="shared" ca="1" si="222"/>
        <v>1</v>
      </c>
      <c r="F733" s="61">
        <f t="shared" ca="1" si="223"/>
        <v>0.10723766413271038</v>
      </c>
      <c r="G733">
        <v>0</v>
      </c>
      <c r="H733">
        <v>1</v>
      </c>
      <c r="I733">
        <v>6</v>
      </c>
      <c r="J733" s="61">
        <f t="shared" ca="1" si="224"/>
        <v>0</v>
      </c>
      <c r="K733" s="61">
        <f t="shared" ca="1" si="225"/>
        <v>0</v>
      </c>
      <c r="L733" s="82">
        <f t="shared" ca="1" si="226"/>
        <v>227</v>
      </c>
      <c r="M733" s="16">
        <f t="shared" ca="1" si="227"/>
        <v>773</v>
      </c>
      <c r="N733" s="3">
        <f t="shared" ca="1" si="228"/>
        <v>5</v>
      </c>
      <c r="O733" s="19">
        <f t="shared" ca="1" si="229"/>
        <v>2.8178718937399587</v>
      </c>
      <c r="P733" s="19">
        <f t="shared" ca="1" si="230"/>
        <v>28.178718937399587</v>
      </c>
      <c r="Q733" s="19">
        <f t="shared" ca="1" si="231"/>
        <v>26.288452865679979</v>
      </c>
      <c r="R733" s="19">
        <f t="shared" ca="1" si="232"/>
        <v>2.7233585901539783</v>
      </c>
      <c r="S733" s="19">
        <f t="shared" ca="1" si="233"/>
        <v>2.8178718937399587</v>
      </c>
      <c r="T733" s="19">
        <f t="shared" ca="1" si="234"/>
        <v>0</v>
      </c>
      <c r="U733" s="19">
        <f t="shared" ca="1" si="235"/>
        <v>1486.3251747165598</v>
      </c>
      <c r="V733" s="19">
        <f t="shared" ca="1" si="236"/>
        <v>0</v>
      </c>
      <c r="W733" s="82">
        <f t="shared" ca="1" si="237"/>
        <v>2915.4313802083334</v>
      </c>
      <c r="X733" s="19">
        <f t="shared" ca="1" si="238"/>
        <v>0</v>
      </c>
      <c r="Y733" s="19">
        <f t="shared" si="239"/>
        <v>0</v>
      </c>
      <c r="Z733" s="82">
        <f t="shared" ca="1" si="240"/>
        <v>2915.4313802083334</v>
      </c>
      <c r="AA733" s="19">
        <f t="shared" ca="1" si="241"/>
        <v>0</v>
      </c>
    </row>
    <row r="734" spans="1:27" ht="12.75" customHeight="1" x14ac:dyDescent="0.2">
      <c r="A734">
        <v>1</v>
      </c>
      <c r="B734">
        <v>1</v>
      </c>
      <c r="C734">
        <f t="shared" ca="1" si="220"/>
        <v>4</v>
      </c>
      <c r="D734">
        <f t="shared" ca="1" si="221"/>
        <v>3</v>
      </c>
      <c r="E734">
        <f t="shared" ca="1" si="222"/>
        <v>1</v>
      </c>
      <c r="F734" s="61">
        <f t="shared" ca="1" si="223"/>
        <v>0.10723766413271038</v>
      </c>
      <c r="G734">
        <v>0</v>
      </c>
      <c r="H734">
        <v>1</v>
      </c>
      <c r="I734">
        <v>5</v>
      </c>
      <c r="J734" s="61">
        <f t="shared" ca="1" si="224"/>
        <v>0</v>
      </c>
      <c r="K734" s="61">
        <f t="shared" ca="1" si="225"/>
        <v>0</v>
      </c>
      <c r="L734" s="82">
        <f t="shared" ca="1" si="226"/>
        <v>216</v>
      </c>
      <c r="M734" s="16">
        <f t="shared" ca="1" si="227"/>
        <v>784</v>
      </c>
      <c r="N734" s="3">
        <f t="shared" ca="1" si="228"/>
        <v>5</v>
      </c>
      <c r="O734" s="19">
        <f t="shared" ca="1" si="229"/>
        <v>2.8178718937399587</v>
      </c>
      <c r="P734" s="19">
        <f t="shared" ca="1" si="230"/>
        <v>28.178718937399587</v>
      </c>
      <c r="Q734" s="19">
        <f t="shared" ca="1" si="231"/>
        <v>28.178718937399587</v>
      </c>
      <c r="R734" s="19">
        <f t="shared" ca="1" si="232"/>
        <v>2.8178718937399587</v>
      </c>
      <c r="S734" s="19">
        <f t="shared" ca="1" si="233"/>
        <v>2.8178718937399587</v>
      </c>
      <c r="T734" s="19">
        <f t="shared" ca="1" si="234"/>
        <v>0</v>
      </c>
      <c r="U734" s="19">
        <f t="shared" ca="1" si="235"/>
        <v>1475.3251747165598</v>
      </c>
      <c r="V734" s="19">
        <f t="shared" ca="1" si="236"/>
        <v>0</v>
      </c>
      <c r="W734" s="82">
        <f t="shared" ca="1" si="237"/>
        <v>2429.5261501736113</v>
      </c>
      <c r="X734" s="19">
        <f t="shared" ca="1" si="238"/>
        <v>0</v>
      </c>
      <c r="Y734" s="19">
        <f t="shared" si="239"/>
        <v>0</v>
      </c>
      <c r="Z734" s="82">
        <f t="shared" ca="1" si="240"/>
        <v>2429.5261501736113</v>
      </c>
      <c r="AA734" s="19">
        <f t="shared" ca="1" si="241"/>
        <v>0</v>
      </c>
    </row>
    <row r="735" spans="1:27" ht="12.75" customHeight="1" x14ac:dyDescent="0.2">
      <c r="A735">
        <v>1</v>
      </c>
      <c r="B735">
        <v>1</v>
      </c>
      <c r="C735">
        <f t="shared" ca="1" si="220"/>
        <v>4</v>
      </c>
      <c r="D735">
        <f t="shared" ca="1" si="221"/>
        <v>3</v>
      </c>
      <c r="E735">
        <f t="shared" ca="1" si="222"/>
        <v>1</v>
      </c>
      <c r="F735" s="61">
        <f t="shared" ca="1" si="223"/>
        <v>0.10723766413271038</v>
      </c>
      <c r="G735">
        <v>0</v>
      </c>
      <c r="H735">
        <v>1</v>
      </c>
      <c r="I735">
        <v>4</v>
      </c>
      <c r="J735" s="61">
        <f t="shared" ca="1" si="224"/>
        <v>0</v>
      </c>
      <c r="K735" s="61">
        <f t="shared" ca="1" si="225"/>
        <v>0</v>
      </c>
      <c r="L735" s="82">
        <f t="shared" ca="1" si="226"/>
        <v>205</v>
      </c>
      <c r="M735" s="16">
        <f t="shared" ca="1" si="227"/>
        <v>795</v>
      </c>
      <c r="N735" s="3">
        <f t="shared" ca="1" si="228"/>
        <v>5</v>
      </c>
      <c r="O735" s="19">
        <f t="shared" ca="1" si="229"/>
        <v>2.8178718937399587</v>
      </c>
      <c r="P735" s="19">
        <f t="shared" ca="1" si="230"/>
        <v>28.178718937399587</v>
      </c>
      <c r="Q735" s="19">
        <f t="shared" ca="1" si="231"/>
        <v>28.178718937399587</v>
      </c>
      <c r="R735" s="19">
        <f t="shared" ca="1" si="232"/>
        <v>2.8178718937399587</v>
      </c>
      <c r="S735" s="19">
        <f t="shared" ca="1" si="233"/>
        <v>2.8178718937399587</v>
      </c>
      <c r="T735" s="19">
        <f t="shared" ca="1" si="234"/>
        <v>0</v>
      </c>
      <c r="U735" s="19">
        <f t="shared" ca="1" si="235"/>
        <v>1464.3251747165598</v>
      </c>
      <c r="V735" s="19">
        <f t="shared" ca="1" si="236"/>
        <v>0</v>
      </c>
      <c r="W735" s="82">
        <f t="shared" ca="1" si="237"/>
        <v>1943.620920138889</v>
      </c>
      <c r="X735" s="19">
        <f t="shared" ca="1" si="238"/>
        <v>0</v>
      </c>
      <c r="Y735" s="19">
        <f t="shared" si="239"/>
        <v>0</v>
      </c>
      <c r="Z735" s="82">
        <f t="shared" ca="1" si="240"/>
        <v>1943.620920138889</v>
      </c>
      <c r="AA735" s="19">
        <f t="shared" ca="1" si="241"/>
        <v>0</v>
      </c>
    </row>
    <row r="736" spans="1:27" ht="12.75" customHeight="1" x14ac:dyDescent="0.2">
      <c r="A736">
        <v>1</v>
      </c>
      <c r="B736">
        <v>1</v>
      </c>
      <c r="C736">
        <f t="shared" ca="1" si="220"/>
        <v>4</v>
      </c>
      <c r="D736">
        <f t="shared" ca="1" si="221"/>
        <v>3</v>
      </c>
      <c r="E736">
        <f t="shared" ca="1" si="222"/>
        <v>1</v>
      </c>
      <c r="F736" s="61">
        <f t="shared" ca="1" si="223"/>
        <v>0.10723766413271038</v>
      </c>
      <c r="G736">
        <v>0</v>
      </c>
      <c r="H736">
        <v>1</v>
      </c>
      <c r="I736">
        <v>3</v>
      </c>
      <c r="J736" s="61">
        <f t="shared" ca="1" si="224"/>
        <v>0</v>
      </c>
      <c r="K736" s="61">
        <f t="shared" ca="1" si="225"/>
        <v>0</v>
      </c>
      <c r="L736" s="82">
        <f t="shared" ca="1" si="226"/>
        <v>194</v>
      </c>
      <c r="M736" s="16">
        <f t="shared" ca="1" si="227"/>
        <v>806</v>
      </c>
      <c r="N736" s="3">
        <f t="shared" ca="1" si="228"/>
        <v>5</v>
      </c>
      <c r="O736" s="19">
        <f t="shared" ca="1" si="229"/>
        <v>2.8178718937399587</v>
      </c>
      <c r="P736" s="19">
        <f t="shared" ca="1" si="230"/>
        <v>28.178718937399587</v>
      </c>
      <c r="Q736" s="19">
        <f t="shared" ca="1" si="231"/>
        <v>28.178718937399587</v>
      </c>
      <c r="R736" s="19">
        <f t="shared" ca="1" si="232"/>
        <v>2.8178718937399587</v>
      </c>
      <c r="S736" s="19">
        <f t="shared" ca="1" si="233"/>
        <v>2.8178718937399587</v>
      </c>
      <c r="T736" s="19">
        <f t="shared" ca="1" si="234"/>
        <v>0</v>
      </c>
      <c r="U736" s="19">
        <f t="shared" ca="1" si="235"/>
        <v>1453.3251747165598</v>
      </c>
      <c r="V736" s="19">
        <f t="shared" ca="1" si="236"/>
        <v>0</v>
      </c>
      <c r="W736" s="82">
        <f t="shared" ca="1" si="237"/>
        <v>1457.7156901041667</v>
      </c>
      <c r="X736" s="19">
        <f t="shared" ca="1" si="238"/>
        <v>0</v>
      </c>
      <c r="Y736" s="19">
        <f t="shared" si="239"/>
        <v>0</v>
      </c>
      <c r="Z736" s="82">
        <f t="shared" ca="1" si="240"/>
        <v>1457.7156901041667</v>
      </c>
      <c r="AA736" s="19">
        <f t="shared" ca="1" si="241"/>
        <v>0</v>
      </c>
    </row>
    <row r="737" spans="1:27" ht="12.75" customHeight="1" x14ac:dyDescent="0.2">
      <c r="A737">
        <v>1</v>
      </c>
      <c r="B737">
        <v>1</v>
      </c>
      <c r="C737">
        <f t="shared" ca="1" si="220"/>
        <v>4</v>
      </c>
      <c r="D737">
        <f t="shared" ca="1" si="221"/>
        <v>3</v>
      </c>
      <c r="E737">
        <f t="shared" ca="1" si="222"/>
        <v>1</v>
      </c>
      <c r="F737" s="61">
        <f t="shared" ca="1" si="223"/>
        <v>0.10723766413271038</v>
      </c>
      <c r="G737">
        <v>0</v>
      </c>
      <c r="H737">
        <v>1</v>
      </c>
      <c r="I737">
        <v>2</v>
      </c>
      <c r="J737" s="61">
        <f t="shared" ca="1" si="224"/>
        <v>0</v>
      </c>
      <c r="K737" s="61">
        <f t="shared" ca="1" si="225"/>
        <v>0</v>
      </c>
      <c r="L737" s="82">
        <f t="shared" ca="1" si="226"/>
        <v>183</v>
      </c>
      <c r="M737" s="16">
        <f t="shared" ca="1" si="227"/>
        <v>817</v>
      </c>
      <c r="N737" s="3">
        <f t="shared" ca="1" si="228"/>
        <v>5</v>
      </c>
      <c r="O737" s="19">
        <f t="shared" ca="1" si="229"/>
        <v>2.8178718937399587</v>
      </c>
      <c r="P737" s="19">
        <f t="shared" ca="1" si="230"/>
        <v>28.178718937399587</v>
      </c>
      <c r="Q737" s="19">
        <f t="shared" ca="1" si="231"/>
        <v>28.178718937399587</v>
      </c>
      <c r="R737" s="19">
        <f t="shared" ca="1" si="232"/>
        <v>2.8178718937399587</v>
      </c>
      <c r="S737" s="19">
        <f t="shared" ca="1" si="233"/>
        <v>2.8178718937399587</v>
      </c>
      <c r="T737" s="19">
        <f t="shared" ca="1" si="234"/>
        <v>0</v>
      </c>
      <c r="U737" s="19">
        <f t="shared" ca="1" si="235"/>
        <v>1442.3251747165598</v>
      </c>
      <c r="V737" s="19">
        <f t="shared" ca="1" si="236"/>
        <v>0</v>
      </c>
      <c r="W737" s="82">
        <f t="shared" ca="1" si="237"/>
        <v>971.8104600694445</v>
      </c>
      <c r="X737" s="19">
        <f t="shared" ca="1" si="238"/>
        <v>0</v>
      </c>
      <c r="Y737" s="19">
        <f t="shared" si="239"/>
        <v>0</v>
      </c>
      <c r="Z737" s="82">
        <f t="shared" ca="1" si="240"/>
        <v>971.8104600694445</v>
      </c>
      <c r="AA737" s="19">
        <f t="shared" ca="1" si="241"/>
        <v>0</v>
      </c>
    </row>
    <row r="738" spans="1:27" ht="12.75" customHeight="1" x14ac:dyDescent="0.2">
      <c r="A738">
        <v>1</v>
      </c>
      <c r="B738">
        <v>1</v>
      </c>
      <c r="C738">
        <f t="shared" ca="1" si="220"/>
        <v>4</v>
      </c>
      <c r="D738">
        <f t="shared" ca="1" si="221"/>
        <v>3</v>
      </c>
      <c r="E738">
        <f t="shared" ca="1" si="222"/>
        <v>1</v>
      </c>
      <c r="F738" s="61">
        <f t="shared" ca="1" si="223"/>
        <v>0.10723766413271038</v>
      </c>
      <c r="G738">
        <v>0</v>
      </c>
      <c r="H738">
        <v>1</v>
      </c>
      <c r="I738">
        <v>1</v>
      </c>
      <c r="J738" s="61">
        <f t="shared" ca="1" si="224"/>
        <v>0</v>
      </c>
      <c r="K738" s="61">
        <f t="shared" ca="1" si="225"/>
        <v>0</v>
      </c>
      <c r="L738" s="82">
        <f t="shared" ca="1" si="226"/>
        <v>172</v>
      </c>
      <c r="M738" s="16">
        <f t="shared" ca="1" si="227"/>
        <v>828</v>
      </c>
      <c r="N738" s="3">
        <f t="shared" ca="1" si="228"/>
        <v>5</v>
      </c>
      <c r="O738" s="19">
        <f t="shared" ca="1" si="229"/>
        <v>2.8178718937399587</v>
      </c>
      <c r="P738" s="19">
        <f t="shared" ca="1" si="230"/>
        <v>28.178718937399587</v>
      </c>
      <c r="Q738" s="19">
        <f t="shared" ca="1" si="231"/>
        <v>28.178718937399587</v>
      </c>
      <c r="R738" s="19">
        <f t="shared" ca="1" si="232"/>
        <v>2.8178718937399587</v>
      </c>
      <c r="S738" s="19">
        <f t="shared" ca="1" si="233"/>
        <v>2.8178718937399587</v>
      </c>
      <c r="T738" s="19">
        <f t="shared" ca="1" si="234"/>
        <v>0</v>
      </c>
      <c r="U738" s="19">
        <f t="shared" ca="1" si="235"/>
        <v>1431.3251747165598</v>
      </c>
      <c r="V738" s="19">
        <f t="shared" ca="1" si="236"/>
        <v>0</v>
      </c>
      <c r="W738" s="82">
        <f t="shared" ca="1" si="237"/>
        <v>485.90523003472225</v>
      </c>
      <c r="X738" s="19">
        <f t="shared" ca="1" si="238"/>
        <v>0</v>
      </c>
      <c r="Y738" s="19">
        <f t="shared" si="239"/>
        <v>0</v>
      </c>
      <c r="Z738" s="82">
        <f t="shared" ca="1" si="240"/>
        <v>485.90523003472225</v>
      </c>
      <c r="AA738" s="19">
        <f t="shared" ca="1" si="241"/>
        <v>0</v>
      </c>
    </row>
    <row r="739" spans="1:27" ht="12.75" customHeight="1" x14ac:dyDescent="0.2">
      <c r="A739">
        <v>1</v>
      </c>
      <c r="B739">
        <v>1</v>
      </c>
      <c r="C739">
        <f t="shared" ca="1" si="220"/>
        <v>4</v>
      </c>
      <c r="D739">
        <f t="shared" ca="1" si="221"/>
        <v>3</v>
      </c>
      <c r="E739">
        <f t="shared" ca="1" si="222"/>
        <v>1</v>
      </c>
      <c r="F739" s="61">
        <f t="shared" ca="1" si="223"/>
        <v>0.10723766413271038</v>
      </c>
      <c r="G739">
        <v>0</v>
      </c>
      <c r="H739">
        <v>1</v>
      </c>
      <c r="I739">
        <v>0</v>
      </c>
      <c r="J739" s="61">
        <f t="shared" ca="1" si="224"/>
        <v>0</v>
      </c>
      <c r="K739" s="61">
        <f t="shared" ca="1" si="225"/>
        <v>0</v>
      </c>
      <c r="L739" s="82">
        <f t="shared" ca="1" si="226"/>
        <v>161</v>
      </c>
      <c r="M739" s="16">
        <f t="shared" ca="1" si="227"/>
        <v>839</v>
      </c>
      <c r="N739" s="3">
        <f t="shared" ca="1" si="228"/>
        <v>5</v>
      </c>
      <c r="O739" s="19">
        <f t="shared" ca="1" si="229"/>
        <v>2.8178718937399587</v>
      </c>
      <c r="P739" s="19">
        <f t="shared" ca="1" si="230"/>
        <v>28.178718937399587</v>
      </c>
      <c r="Q739" s="19">
        <f t="shared" ca="1" si="231"/>
        <v>28.178718937399587</v>
      </c>
      <c r="R739" s="19">
        <f t="shared" ca="1" si="232"/>
        <v>2.8178718937399587</v>
      </c>
      <c r="S739" s="19">
        <f t="shared" ca="1" si="233"/>
        <v>2.8178718937399587</v>
      </c>
      <c r="T739" s="19">
        <f t="shared" ca="1" si="234"/>
        <v>0</v>
      </c>
      <c r="U739" s="19">
        <f t="shared" ca="1" si="235"/>
        <v>1420.3251747165598</v>
      </c>
      <c r="V739" s="19">
        <f t="shared" ca="1" si="236"/>
        <v>0</v>
      </c>
      <c r="W739" s="82">
        <f t="shared" ca="1" si="237"/>
        <v>0</v>
      </c>
      <c r="X739" s="19">
        <f t="shared" ca="1" si="238"/>
        <v>0</v>
      </c>
      <c r="Y739" s="19">
        <f t="shared" si="239"/>
        <v>0</v>
      </c>
      <c r="Z739" s="82">
        <f t="shared" ca="1" si="240"/>
        <v>0</v>
      </c>
      <c r="AA739" s="19">
        <f t="shared" ca="1" si="241"/>
        <v>0</v>
      </c>
    </row>
    <row r="740" spans="1:27" ht="12.75" customHeight="1" x14ac:dyDescent="0.2">
      <c r="A740">
        <v>1</v>
      </c>
      <c r="B740">
        <v>1</v>
      </c>
      <c r="C740">
        <f t="shared" ca="1" si="220"/>
        <v>4</v>
      </c>
      <c r="D740">
        <f t="shared" ca="1" si="221"/>
        <v>3</v>
      </c>
      <c r="E740">
        <f t="shared" ca="1" si="222"/>
        <v>1</v>
      </c>
      <c r="F740" s="61">
        <f t="shared" ca="1" si="223"/>
        <v>0.10723766413271038</v>
      </c>
      <c r="G740">
        <v>0</v>
      </c>
      <c r="H740">
        <v>0</v>
      </c>
      <c r="I740">
        <v>7</v>
      </c>
      <c r="J740" s="61">
        <f t="shared" ca="1" si="224"/>
        <v>0</v>
      </c>
      <c r="K740" s="61">
        <f t="shared" ca="1" si="225"/>
        <v>0</v>
      </c>
      <c r="L740" s="82">
        <f t="shared" ca="1" si="226"/>
        <v>77</v>
      </c>
      <c r="M740" s="16">
        <f t="shared" ca="1" si="227"/>
        <v>923</v>
      </c>
      <c r="N740" s="3">
        <f t="shared" ca="1" si="228"/>
        <v>5</v>
      </c>
      <c r="O740" s="19">
        <f t="shared" ca="1" si="229"/>
        <v>2.8178718937399587</v>
      </c>
      <c r="P740" s="19">
        <f t="shared" ca="1" si="230"/>
        <v>28.178718937399587</v>
      </c>
      <c r="Q740" s="19">
        <f t="shared" ca="1" si="231"/>
        <v>28.178718937399587</v>
      </c>
      <c r="R740" s="19">
        <f t="shared" ca="1" si="232"/>
        <v>2.8178718937399587</v>
      </c>
      <c r="S740" s="19">
        <f t="shared" ca="1" si="233"/>
        <v>2.8178718937399587</v>
      </c>
      <c r="T740" s="19">
        <f t="shared" ca="1" si="234"/>
        <v>0</v>
      </c>
      <c r="U740" s="19">
        <f t="shared" ca="1" si="235"/>
        <v>1336.3251747165598</v>
      </c>
      <c r="V740" s="19">
        <f t="shared" ca="1" si="236"/>
        <v>0</v>
      </c>
      <c r="W740" s="82">
        <f t="shared" ca="1" si="237"/>
        <v>3401.3366102430559</v>
      </c>
      <c r="X740" s="19">
        <f t="shared" ca="1" si="238"/>
        <v>0</v>
      </c>
      <c r="Y740" s="19">
        <f t="shared" si="239"/>
        <v>0</v>
      </c>
      <c r="Z740" s="82">
        <f t="shared" ca="1" si="240"/>
        <v>3401.3366102430559</v>
      </c>
      <c r="AA740" s="19">
        <f t="shared" ca="1" si="241"/>
        <v>0</v>
      </c>
    </row>
    <row r="741" spans="1:27" ht="12.75" customHeight="1" x14ac:dyDescent="0.2">
      <c r="A741">
        <v>1</v>
      </c>
      <c r="B741">
        <v>1</v>
      </c>
      <c r="C741">
        <f t="shared" ca="1" si="220"/>
        <v>4</v>
      </c>
      <c r="D741">
        <f t="shared" ca="1" si="221"/>
        <v>3</v>
      </c>
      <c r="E741">
        <f t="shared" ca="1" si="222"/>
        <v>1</v>
      </c>
      <c r="F741" s="61">
        <f t="shared" ca="1" si="223"/>
        <v>0.10723766413271038</v>
      </c>
      <c r="G741">
        <v>0</v>
      </c>
      <c r="H741">
        <v>0</v>
      </c>
      <c r="I741">
        <v>6</v>
      </c>
      <c r="J741" s="61">
        <f t="shared" ca="1" si="224"/>
        <v>0</v>
      </c>
      <c r="K741" s="61">
        <f t="shared" ca="1" si="225"/>
        <v>0</v>
      </c>
      <c r="L741" s="82">
        <f t="shared" ca="1" si="226"/>
        <v>66</v>
      </c>
      <c r="M741" s="16">
        <f t="shared" ca="1" si="227"/>
        <v>934</v>
      </c>
      <c r="N741" s="3">
        <f t="shared" ca="1" si="228"/>
        <v>5</v>
      </c>
      <c r="O741" s="19">
        <f t="shared" ca="1" si="229"/>
        <v>2.8178718937399587</v>
      </c>
      <c r="P741" s="19">
        <f t="shared" ca="1" si="230"/>
        <v>28.178718937399587</v>
      </c>
      <c r="Q741" s="19">
        <f t="shared" ca="1" si="231"/>
        <v>28.178718937399587</v>
      </c>
      <c r="R741" s="19">
        <f t="shared" ca="1" si="232"/>
        <v>2.8178718937399587</v>
      </c>
      <c r="S741" s="19">
        <f t="shared" ca="1" si="233"/>
        <v>2.8178718937399587</v>
      </c>
      <c r="T741" s="19">
        <f t="shared" ca="1" si="234"/>
        <v>0</v>
      </c>
      <c r="U741" s="19">
        <f t="shared" ca="1" si="235"/>
        <v>1325.3251747165598</v>
      </c>
      <c r="V741" s="19">
        <f t="shared" ca="1" si="236"/>
        <v>0</v>
      </c>
      <c r="W741" s="82">
        <f t="shared" ca="1" si="237"/>
        <v>2915.4313802083334</v>
      </c>
      <c r="X741" s="19">
        <f t="shared" ca="1" si="238"/>
        <v>0</v>
      </c>
      <c r="Y741" s="19">
        <f t="shared" si="239"/>
        <v>0</v>
      </c>
      <c r="Z741" s="82">
        <f t="shared" ca="1" si="240"/>
        <v>2915.4313802083334</v>
      </c>
      <c r="AA741" s="19">
        <f t="shared" ca="1" si="241"/>
        <v>0</v>
      </c>
    </row>
    <row r="742" spans="1:27" ht="12.75" customHeight="1" x14ac:dyDescent="0.2">
      <c r="A742">
        <v>1</v>
      </c>
      <c r="B742">
        <v>1</v>
      </c>
      <c r="C742">
        <f t="shared" ca="1" si="220"/>
        <v>4</v>
      </c>
      <c r="D742">
        <f t="shared" ca="1" si="221"/>
        <v>3</v>
      </c>
      <c r="E742">
        <f t="shared" ca="1" si="222"/>
        <v>1</v>
      </c>
      <c r="F742" s="61">
        <f t="shared" ca="1" si="223"/>
        <v>0.10723766413271038</v>
      </c>
      <c r="G742">
        <v>0</v>
      </c>
      <c r="H742">
        <v>0</v>
      </c>
      <c r="I742">
        <v>5</v>
      </c>
      <c r="J742" s="61">
        <f t="shared" ca="1" si="224"/>
        <v>0</v>
      </c>
      <c r="K742" s="61">
        <f t="shared" ca="1" si="225"/>
        <v>0</v>
      </c>
      <c r="L742" s="82">
        <f t="shared" ca="1" si="226"/>
        <v>55</v>
      </c>
      <c r="M742" s="16">
        <f t="shared" ca="1" si="227"/>
        <v>945</v>
      </c>
      <c r="N742" s="3">
        <f t="shared" ca="1" si="228"/>
        <v>5</v>
      </c>
      <c r="O742" s="19">
        <f t="shared" ca="1" si="229"/>
        <v>2.8178718937399587</v>
      </c>
      <c r="P742" s="19">
        <f t="shared" ca="1" si="230"/>
        <v>28.178718937399587</v>
      </c>
      <c r="Q742" s="19">
        <f t="shared" ca="1" si="231"/>
        <v>28.178718937399587</v>
      </c>
      <c r="R742" s="19">
        <f t="shared" ca="1" si="232"/>
        <v>2.8178718937399587</v>
      </c>
      <c r="S742" s="19">
        <f t="shared" ca="1" si="233"/>
        <v>2.8178718937399587</v>
      </c>
      <c r="T742" s="19">
        <f t="shared" ca="1" si="234"/>
        <v>0</v>
      </c>
      <c r="U742" s="19">
        <f t="shared" ca="1" si="235"/>
        <v>1314.3251747165598</v>
      </c>
      <c r="V742" s="19">
        <f t="shared" ca="1" si="236"/>
        <v>0</v>
      </c>
      <c r="W742" s="82">
        <f t="shared" ca="1" si="237"/>
        <v>2429.5261501736113</v>
      </c>
      <c r="X742" s="19">
        <f t="shared" ca="1" si="238"/>
        <v>0</v>
      </c>
      <c r="Y742" s="19">
        <f t="shared" si="239"/>
        <v>0</v>
      </c>
      <c r="Z742" s="82">
        <f t="shared" ca="1" si="240"/>
        <v>2429.5261501736113</v>
      </c>
      <c r="AA742" s="19">
        <f t="shared" ca="1" si="241"/>
        <v>0</v>
      </c>
    </row>
    <row r="743" spans="1:27" ht="12.75" customHeight="1" x14ac:dyDescent="0.2">
      <c r="A743">
        <v>1</v>
      </c>
      <c r="B743">
        <v>1</v>
      </c>
      <c r="C743">
        <f t="shared" ca="1" si="220"/>
        <v>4</v>
      </c>
      <c r="D743">
        <f t="shared" ca="1" si="221"/>
        <v>3</v>
      </c>
      <c r="E743">
        <f t="shared" ca="1" si="222"/>
        <v>1</v>
      </c>
      <c r="F743" s="61">
        <f t="shared" ca="1" si="223"/>
        <v>0.10723766413271038</v>
      </c>
      <c r="G743">
        <v>0</v>
      </c>
      <c r="H743">
        <v>0</v>
      </c>
      <c r="I743">
        <v>4</v>
      </c>
      <c r="J743" s="61">
        <f t="shared" ca="1" si="224"/>
        <v>0</v>
      </c>
      <c r="K743" s="61">
        <f t="shared" ca="1" si="225"/>
        <v>0</v>
      </c>
      <c r="L743" s="82">
        <f t="shared" ca="1" si="226"/>
        <v>44</v>
      </c>
      <c r="M743" s="16">
        <f t="shared" ca="1" si="227"/>
        <v>956</v>
      </c>
      <c r="N743" s="3">
        <f t="shared" ca="1" si="228"/>
        <v>6</v>
      </c>
      <c r="O743" s="19">
        <f t="shared" ca="1" si="229"/>
        <v>3.3239268932937667</v>
      </c>
      <c r="P743" s="19">
        <f t="shared" ca="1" si="230"/>
        <v>33.239268932937669</v>
      </c>
      <c r="Q743" s="19">
        <f t="shared" ca="1" si="231"/>
        <v>28.178718937399587</v>
      </c>
      <c r="R743" s="19">
        <f t="shared" ca="1" si="232"/>
        <v>3.0708993935168629</v>
      </c>
      <c r="S743" s="19">
        <f t="shared" ca="1" si="233"/>
        <v>3.3239268932937667</v>
      </c>
      <c r="T743" s="19">
        <f t="shared" ca="1" si="234"/>
        <v>0</v>
      </c>
      <c r="U743" s="19">
        <f t="shared" ca="1" si="235"/>
        <v>1495.4024523027438</v>
      </c>
      <c r="V743" s="19">
        <f t="shared" ca="1" si="236"/>
        <v>0</v>
      </c>
      <c r="W743" s="82">
        <f t="shared" ca="1" si="237"/>
        <v>1943.620920138889</v>
      </c>
      <c r="X743" s="19">
        <f t="shared" ca="1" si="238"/>
        <v>0</v>
      </c>
      <c r="Y743" s="19">
        <f t="shared" si="239"/>
        <v>0</v>
      </c>
      <c r="Z743" s="82">
        <f t="shared" ca="1" si="240"/>
        <v>1943.620920138889</v>
      </c>
      <c r="AA743" s="19">
        <f t="shared" ca="1" si="241"/>
        <v>0</v>
      </c>
    </row>
    <row r="744" spans="1:27" ht="12.75" customHeight="1" x14ac:dyDescent="0.2">
      <c r="A744">
        <v>1</v>
      </c>
      <c r="B744">
        <v>1</v>
      </c>
      <c r="C744">
        <f t="shared" ca="1" si="220"/>
        <v>4</v>
      </c>
      <c r="D744">
        <f t="shared" ca="1" si="221"/>
        <v>3</v>
      </c>
      <c r="E744">
        <f t="shared" ca="1" si="222"/>
        <v>1</v>
      </c>
      <c r="F744" s="61">
        <f t="shared" ca="1" si="223"/>
        <v>0.10723766413271038</v>
      </c>
      <c r="G744">
        <v>0</v>
      </c>
      <c r="H744">
        <v>0</v>
      </c>
      <c r="I744">
        <v>3</v>
      </c>
      <c r="J744" s="61">
        <f t="shared" ca="1" si="224"/>
        <v>4.2868749999999997E-2</v>
      </c>
      <c r="K744" s="61">
        <f t="shared" ca="1" si="225"/>
        <v>4.5971446142891274E-3</v>
      </c>
      <c r="L744" s="82">
        <f t="shared" ca="1" si="226"/>
        <v>33</v>
      </c>
      <c r="M744" s="16">
        <f t="shared" ca="1" si="227"/>
        <v>967</v>
      </c>
      <c r="N744" s="3">
        <f t="shared" ca="1" si="228"/>
        <v>6</v>
      </c>
      <c r="O744" s="19">
        <f t="shared" ca="1" si="229"/>
        <v>3.3239268932937667</v>
      </c>
      <c r="P744" s="19">
        <f t="shared" ca="1" si="230"/>
        <v>33.239268932937669</v>
      </c>
      <c r="Q744" s="19">
        <f t="shared" ca="1" si="231"/>
        <v>33.239268932937669</v>
      </c>
      <c r="R744" s="19">
        <f t="shared" ca="1" si="232"/>
        <v>3.3239268932937671</v>
      </c>
      <c r="S744" s="19">
        <f t="shared" ca="1" si="233"/>
        <v>3.3239268932937667</v>
      </c>
      <c r="T744" s="19">
        <f t="shared" ca="1" si="234"/>
        <v>1.5280572615796231E-2</v>
      </c>
      <c r="U744" s="19">
        <f t="shared" ca="1" si="235"/>
        <v>1484.4024523027438</v>
      </c>
      <c r="V744" s="19">
        <f t="shared" ca="1" si="236"/>
        <v>6.824012739041132</v>
      </c>
      <c r="W744" s="82">
        <f t="shared" ca="1" si="237"/>
        <v>1457.7156901041667</v>
      </c>
      <c r="X744" s="19">
        <f t="shared" ca="1" si="238"/>
        <v>6.7013298339271286</v>
      </c>
      <c r="Y744" s="19">
        <f t="shared" si="239"/>
        <v>0</v>
      </c>
      <c r="Z744" s="82">
        <f t="shared" ca="1" si="240"/>
        <v>1457.7156901041667</v>
      </c>
      <c r="AA744" s="19">
        <f t="shared" ca="1" si="241"/>
        <v>6.7013298339271286</v>
      </c>
    </row>
    <row r="745" spans="1:27" ht="12.75" customHeight="1" x14ac:dyDescent="0.2">
      <c r="A745">
        <v>1</v>
      </c>
      <c r="B745">
        <v>1</v>
      </c>
      <c r="C745">
        <f t="shared" ca="1" si="220"/>
        <v>4</v>
      </c>
      <c r="D745">
        <f t="shared" ca="1" si="221"/>
        <v>3</v>
      </c>
      <c r="E745">
        <f t="shared" ca="1" si="222"/>
        <v>1</v>
      </c>
      <c r="F745" s="61">
        <f t="shared" ca="1" si="223"/>
        <v>0.10723766413271038</v>
      </c>
      <c r="G745">
        <v>0</v>
      </c>
      <c r="H745">
        <v>0</v>
      </c>
      <c r="I745">
        <v>2</v>
      </c>
      <c r="J745" s="61">
        <f t="shared" ca="1" si="224"/>
        <v>6.7687500000000074E-3</v>
      </c>
      <c r="K745" s="61">
        <f t="shared" ca="1" si="225"/>
        <v>7.2586493909828416E-4</v>
      </c>
      <c r="L745" s="82">
        <f t="shared" ca="1" si="226"/>
        <v>22</v>
      </c>
      <c r="M745" s="16">
        <f t="shared" ca="1" si="227"/>
        <v>978</v>
      </c>
      <c r="N745" s="3">
        <f t="shared" ca="1" si="228"/>
        <v>6</v>
      </c>
      <c r="O745" s="19">
        <f t="shared" ca="1" si="229"/>
        <v>3.3239268932937667</v>
      </c>
      <c r="P745" s="19">
        <f t="shared" ca="1" si="230"/>
        <v>33.239268932937669</v>
      </c>
      <c r="Q745" s="19">
        <f t="shared" ca="1" si="231"/>
        <v>33.239268932937669</v>
      </c>
      <c r="R745" s="19">
        <f t="shared" ca="1" si="232"/>
        <v>3.3239268932937671</v>
      </c>
      <c r="S745" s="19">
        <f t="shared" ca="1" si="233"/>
        <v>3.3239268932937667</v>
      </c>
      <c r="T745" s="19">
        <f t="shared" ca="1" si="234"/>
        <v>2.4127219919678287E-3</v>
      </c>
      <c r="U745" s="19">
        <f t="shared" ca="1" si="235"/>
        <v>1473.4024523027438</v>
      </c>
      <c r="V745" s="19">
        <f t="shared" ca="1" si="236"/>
        <v>1.0694911813079937</v>
      </c>
      <c r="W745" s="82">
        <f t="shared" ca="1" si="237"/>
        <v>971.8104600694445</v>
      </c>
      <c r="X745" s="19">
        <f t="shared" ca="1" si="238"/>
        <v>0.70540314041338281</v>
      </c>
      <c r="Y745" s="19">
        <f t="shared" si="239"/>
        <v>0</v>
      </c>
      <c r="Z745" s="82">
        <f t="shared" ca="1" si="240"/>
        <v>971.8104600694445</v>
      </c>
      <c r="AA745" s="19">
        <f t="shared" ca="1" si="241"/>
        <v>0.70540314041338281</v>
      </c>
    </row>
    <row r="746" spans="1:27" ht="12.75" customHeight="1" x14ac:dyDescent="0.2">
      <c r="A746">
        <v>1</v>
      </c>
      <c r="B746">
        <v>1</v>
      </c>
      <c r="C746">
        <f t="shared" ca="1" si="220"/>
        <v>4</v>
      </c>
      <c r="D746">
        <f t="shared" ca="1" si="221"/>
        <v>3</v>
      </c>
      <c r="E746">
        <f t="shared" ca="1" si="222"/>
        <v>1</v>
      </c>
      <c r="F746" s="61">
        <f t="shared" ca="1" si="223"/>
        <v>0.10723766413271038</v>
      </c>
      <c r="G746">
        <v>0</v>
      </c>
      <c r="H746">
        <v>0</v>
      </c>
      <c r="I746">
        <v>1</v>
      </c>
      <c r="J746" s="61">
        <f t="shared" ca="1" si="224"/>
        <v>3.5625000000000061E-4</v>
      </c>
      <c r="K746" s="61">
        <f t="shared" ca="1" si="225"/>
        <v>3.820341784727814E-5</v>
      </c>
      <c r="L746" s="82">
        <f t="shared" ca="1" si="226"/>
        <v>11</v>
      </c>
      <c r="M746" s="16">
        <f t="shared" ca="1" si="227"/>
        <v>989</v>
      </c>
      <c r="N746" s="3">
        <f t="shared" ca="1" si="228"/>
        <v>6</v>
      </c>
      <c r="O746" s="19">
        <f t="shared" ca="1" si="229"/>
        <v>3.3239268932937667</v>
      </c>
      <c r="P746" s="19">
        <f t="shared" ca="1" si="230"/>
        <v>33.239268932937669</v>
      </c>
      <c r="Q746" s="19">
        <f t="shared" ca="1" si="231"/>
        <v>33.239268932937669</v>
      </c>
      <c r="R746" s="19">
        <f t="shared" ca="1" si="232"/>
        <v>3.3239268932937671</v>
      </c>
      <c r="S746" s="19">
        <f t="shared" ca="1" si="233"/>
        <v>3.3239268932937667</v>
      </c>
      <c r="T746" s="19">
        <f t="shared" ca="1" si="234"/>
        <v>1.2698536799830688E-4</v>
      </c>
      <c r="U746" s="19">
        <f t="shared" ca="1" si="235"/>
        <v>1462.4024523027438</v>
      </c>
      <c r="V746" s="19">
        <f t="shared" ca="1" si="236"/>
        <v>5.5868771946205958E-2</v>
      </c>
      <c r="W746" s="82">
        <f t="shared" ca="1" si="237"/>
        <v>485.90523003472225</v>
      </c>
      <c r="X746" s="19">
        <f t="shared" ca="1" si="238"/>
        <v>1.8563240537194298E-2</v>
      </c>
      <c r="Y746" s="19">
        <f t="shared" si="239"/>
        <v>0</v>
      </c>
      <c r="Z746" s="82">
        <f t="shared" ca="1" si="240"/>
        <v>485.90523003472225</v>
      </c>
      <c r="AA746" s="19">
        <f t="shared" ca="1" si="241"/>
        <v>1.8563240537194298E-2</v>
      </c>
    </row>
    <row r="747" spans="1:27" ht="12.75" customHeight="1" x14ac:dyDescent="0.2">
      <c r="A747">
        <v>1</v>
      </c>
      <c r="B747">
        <v>1</v>
      </c>
      <c r="C747">
        <f t="shared" ca="1" si="220"/>
        <v>4</v>
      </c>
      <c r="D747">
        <f t="shared" ca="1" si="221"/>
        <v>3</v>
      </c>
      <c r="E747">
        <f t="shared" ca="1" si="222"/>
        <v>1</v>
      </c>
      <c r="F747" s="61">
        <f t="shared" ca="1" si="223"/>
        <v>0.10723766413271038</v>
      </c>
      <c r="G747">
        <v>0</v>
      </c>
      <c r="H747">
        <v>0</v>
      </c>
      <c r="I747">
        <v>0</v>
      </c>
      <c r="J747" s="61">
        <f t="shared" ca="1" si="224"/>
        <v>6.2500000000000164E-6</v>
      </c>
      <c r="K747" s="61">
        <f t="shared" ca="1" si="225"/>
        <v>6.702354008294416E-7</v>
      </c>
      <c r="L747" s="82">
        <f t="shared" ca="1" si="226"/>
        <v>0</v>
      </c>
      <c r="M747" s="16">
        <f t="shared" ca="1" si="227"/>
        <v>1000</v>
      </c>
      <c r="N747" s="3">
        <f t="shared" ca="1" si="228"/>
        <v>6</v>
      </c>
      <c r="O747" s="19">
        <f t="shared" ca="1" si="229"/>
        <v>3.3239268932937667</v>
      </c>
      <c r="P747" s="19">
        <f t="shared" ca="1" si="230"/>
        <v>33.239268932937669</v>
      </c>
      <c r="Q747" s="19">
        <f t="shared" ca="1" si="231"/>
        <v>33.239268932937669</v>
      </c>
      <c r="R747" s="19">
        <f t="shared" ca="1" si="232"/>
        <v>3.3239268932937671</v>
      </c>
      <c r="S747" s="19">
        <f t="shared" ca="1" si="233"/>
        <v>3.3239268932937667</v>
      </c>
      <c r="T747" s="19">
        <f t="shared" ca="1" si="234"/>
        <v>2.2278134736545084E-6</v>
      </c>
      <c r="U747" s="19">
        <f t="shared" ca="1" si="235"/>
        <v>1451.4024523027438</v>
      </c>
      <c r="V747" s="19">
        <f t="shared" ca="1" si="236"/>
        <v>9.7278130438396393E-4</v>
      </c>
      <c r="W747" s="82">
        <f t="shared" ca="1" si="237"/>
        <v>0</v>
      </c>
      <c r="X747" s="19">
        <f t="shared" ca="1" si="238"/>
        <v>0</v>
      </c>
      <c r="Y747" s="19">
        <f t="shared" si="239"/>
        <v>0</v>
      </c>
      <c r="Z747" s="82">
        <f t="shared" ca="1" si="240"/>
        <v>0</v>
      </c>
      <c r="AA747" s="19">
        <f t="shared" ca="1" si="241"/>
        <v>0</v>
      </c>
    </row>
    <row r="748" spans="1:27" ht="12.75" customHeight="1" x14ac:dyDescent="0.2">
      <c r="A748">
        <v>1</v>
      </c>
      <c r="B748">
        <v>2</v>
      </c>
      <c r="C748">
        <f t="shared" ref="C748:C811" ca="1" si="242">MIN(8, 1+$B$545+$B$544+A748+B748)</f>
        <v>5</v>
      </c>
      <c r="D748">
        <f t="shared" ref="D748:D811" ca="1" si="243">C748-(1+$B$545)</f>
        <v>4</v>
      </c>
      <c r="E748">
        <f t="shared" ref="E748:E811" ca="1" si="244">MIN(A748, C748-(1+$B$545+$B$544))</f>
        <v>1</v>
      </c>
      <c r="F748" s="61">
        <f t="shared" ref="F748:F811" ca="1" si="245">IF(A748=3, Set2QA, IF(A748=2, (1-Set2QA)*Set2TA + (1-Set2QA)*(1-Set2TA)*(1-Set2DA)*Set2AM3*Set2AM33, IF(A748=1, (1-Set2QA)*(1-Set2TA)*Set2DA + (1-Set2QA)*(1-Set2TA)*(1-Set2DA)*Set2AM3*Set2AM32, (1-Set2QA)*(1-Set2TA)*(1-Set2DA)*(1-Set2AM3)))) * IF($B$544+$B$545&gt;0, IF(B748=3, Set2QA, IF(B748=2, (1-Set2QA)*Set2TA, IF(B748=1, (1-Set2QA)*(1-Set2TA)*Set2DA, (1-Set2QA)*(1-Set2TA)*(1-Set2DA)))), IF(B748=0, 1, 0))</f>
        <v>1.9427113067519999E-2</v>
      </c>
      <c r="G748">
        <v>1</v>
      </c>
      <c r="H748">
        <v>1</v>
      </c>
      <c r="I748">
        <v>7</v>
      </c>
      <c r="J748" s="61">
        <f t="shared" ref="J748:J811" ca="1" si="246">POWER(95%,G748)*POWER(5%, 1-G748) * IF($B$545=0, IF(H748=0, 1, 0), POWER(Set2WSHitRate,H748)*POWER(1-Set2WSHitRate, 1-H748)) * IF(I748&lt;=D748, POWER(Set2WSHitRate, I748)*POWER(1-Set2WSHitRate, D748-I748)*COMBIN(D748,I748), 0)</f>
        <v>0</v>
      </c>
      <c r="K748" s="61">
        <f t="shared" ref="K748:K811" ca="1" si="247">F748*J748</f>
        <v>0</v>
      </c>
      <c r="L748" s="82">
        <f t="shared" ref="L748:L811" ca="1" si="248">MAX((G748+H748)*Set2WSTP + I748*$B$541, Set2SaveTP)</f>
        <v>399</v>
      </c>
      <c r="M748" s="16">
        <f t="shared" ref="M748:M811" ca="1" si="249">MAX(Set2MinTP-(L748+Set2Regain), 0)</f>
        <v>601</v>
      </c>
      <c r="N748" s="3">
        <f t="shared" ref="N748:N811" ca="1" si="250">CEILING(M748/Set2MeleeTP, 1)</f>
        <v>4</v>
      </c>
      <c r="O748" s="19">
        <f t="shared" ref="O748:O811" ca="1" si="251">VLOOKUP(N748, AvgRoundsSet2, 2)</f>
        <v>2.3453053758100548</v>
      </c>
      <c r="P748" s="19">
        <f t="shared" ref="P748:P811" ca="1" si="252">VLOOKUP(CEILING(MAX(M748-1, 0)/Set2MeleeTP, 1), AvgRoundsSet2, 2) + VLOOKUP(CEILING(MAX(M748-2, 0)/Set2MeleeTP, 1), AvgRoundsSet2, 2) + VLOOKUP(CEILING(MAX(M748-3, 0)/Set2MeleeTP, 1), AvgRoundsSet2, 2) + VLOOKUP(CEILING(MAX(M748-4, 0)/Set2MeleeTP, 1), AvgRoundsSet2, 2) + VLOOKUP(CEILING(MAX(M748-5, 0)/Set2MeleeTP, 1), AvgRoundsSet2, 2) + VLOOKUP(CEILING(MAX(M748-6, 0)/Set2MeleeTP, 1), AvgRoundsSet2, 2) + VLOOKUP(CEILING(MAX(M748-7, 0)/Set2MeleeTP, 1), AvgRoundsSet2, 2) + VLOOKUP(CEILING(MAX(M748-8, 0)/Set2MeleeTP, 1), AvgRoundsSet2, 2) + VLOOKUP(CEILING(MAX(M748-9, 0)/Set2MeleeTP, 1), AvgRoundsSet2, 2) + VLOOKUP(CEILING(MAX(M748-10, 0)/Set2MeleeTP, 1), AvgRoundsSet2, 2)</f>
        <v>23.453053758100552</v>
      </c>
      <c r="Q748" s="19">
        <f t="shared" ref="Q748:Q811" ca="1" si="253">VLOOKUP(CEILING(MAX(M748-11, 0)/Set2MeleeTP, 1), AvgRoundsSet2, 2) + VLOOKUP(CEILING(MAX(M748-12, 0)/Set2MeleeTP, 1), AvgRoundsSet2, 2) + VLOOKUP(CEILING(MAX(M748-13, 0)/Set2MeleeTP, 1), AvgRoundsSet2, 2) + VLOOKUP(CEILING(MAX(M748-14, 0)/Set2MeleeTP, 1), AvgRoundsSet2, 2) + VLOOKUP(CEILING(MAX(M748-15, 0)/Set2MeleeTP, 1), AvgRoundsSet2, 2) + VLOOKUP(CEILING(MAX(M748-16, 0)/Set2MeleeTP, 1), AvgRoundsSet2, 2) + VLOOKUP(CEILING(MAX(M748-17, 0)/Set2MeleeTP, 1), AvgRoundsSet2, 2) + VLOOKUP(CEILING(MAX(M748-18, 0)/Set2MeleeTP, 1), AvgRoundsSet2, 2) + VLOOKUP(CEILING(MAX(M748-19, 0)/Set2MeleeTP, 1), AvgRoundsSet2, 2) + VLOOKUP(CEILING(MAX(M748-20, 0)/Set2MeleeTP, 1), AvgRoundsSet2, 2)</f>
        <v>23.453053758100552</v>
      </c>
      <c r="R748" s="19">
        <f t="shared" ref="R748:R811" ca="1" si="254">(P748+Q748)/20</f>
        <v>2.3453053758100553</v>
      </c>
      <c r="S748" s="19">
        <f t="shared" ref="S748:S811" ca="1" si="255">R748*Set2ConserveTP + O748*(1-Set2ConserveTP)</f>
        <v>2.3453053758100548</v>
      </c>
      <c r="T748" s="19">
        <f t="shared" ref="T748:T811" ca="1" si="256">K748*S748</f>
        <v>0</v>
      </c>
      <c r="U748" s="19">
        <f t="shared" ref="U748:U811" ca="1" si="257">MIN(L748+(S748+Set2OverTP)*AvgHitsPerRound2*Set2MeleeTP + Set2Regain + 10.5*Set2ConserveTP, 3000)</f>
        <v>1478.9587218163997</v>
      </c>
      <c r="V748" s="19">
        <f t="shared" ref="V748:V811" ca="1" si="258">U748*K748</f>
        <v>0</v>
      </c>
      <c r="W748" s="82">
        <f t="shared" ref="W748:W811" ca="1" si="259">G748*$K$547*((1-$L$547)*$L$551 + $L$547*$M$551*$M$547) + H748*$K$550*((1-$L$550)*$L$552 + $L$550*$M$552*$M$548) + I748*$K$548*((1-$L$548)*$L$551 + $L$548*$M$551*$M$548) + E748*$K$549*$L$549*$M$547</f>
        <v>5718.7981307870377</v>
      </c>
      <c r="X748" s="19">
        <f t="shared" ref="X748:X811" ca="1" si="260">K748*W748</f>
        <v>0</v>
      </c>
      <c r="Y748" s="19">
        <f t="shared" ref="Y748:Y811" si="261">IF($B$547=1, (VLOOKUP(C748, IF($B$548=10%,Souleater10,Souleater12), 6, 0) * $B$549), 0)</f>
        <v>0</v>
      </c>
      <c r="Z748" s="82">
        <f t="shared" ref="Z748:Z811" ca="1" si="262">Y748+W748</f>
        <v>5718.7981307870377</v>
      </c>
      <c r="AA748" s="19">
        <f t="shared" ref="AA748:AA811" ca="1" si="263">Z748*K748</f>
        <v>0</v>
      </c>
    </row>
    <row r="749" spans="1:27" ht="12.75" customHeight="1" x14ac:dyDescent="0.2">
      <c r="A749">
        <v>1</v>
      </c>
      <c r="B749">
        <v>2</v>
      </c>
      <c r="C749">
        <f t="shared" ca="1" si="242"/>
        <v>5</v>
      </c>
      <c r="D749">
        <f t="shared" ca="1" si="243"/>
        <v>4</v>
      </c>
      <c r="E749">
        <f t="shared" ca="1" si="244"/>
        <v>1</v>
      </c>
      <c r="F749" s="61">
        <f t="shared" ca="1" si="245"/>
        <v>1.9427113067519999E-2</v>
      </c>
      <c r="G749">
        <v>1</v>
      </c>
      <c r="H749">
        <v>1</v>
      </c>
      <c r="I749">
        <v>6</v>
      </c>
      <c r="J749" s="61">
        <f t="shared" ca="1" si="246"/>
        <v>0</v>
      </c>
      <c r="K749" s="61">
        <f t="shared" ca="1" si="247"/>
        <v>0</v>
      </c>
      <c r="L749" s="82">
        <f t="shared" ca="1" si="248"/>
        <v>388</v>
      </c>
      <c r="M749" s="16">
        <f t="shared" ca="1" si="249"/>
        <v>612</v>
      </c>
      <c r="N749" s="3">
        <f t="shared" ca="1" si="250"/>
        <v>4</v>
      </c>
      <c r="O749" s="19">
        <f t="shared" ca="1" si="251"/>
        <v>2.3453053758100548</v>
      </c>
      <c r="P749" s="19">
        <f t="shared" ca="1" si="252"/>
        <v>23.453053758100552</v>
      </c>
      <c r="Q749" s="19">
        <f t="shared" ca="1" si="253"/>
        <v>23.453053758100552</v>
      </c>
      <c r="R749" s="19">
        <f t="shared" ca="1" si="254"/>
        <v>2.3453053758100553</v>
      </c>
      <c r="S749" s="19">
        <f t="shared" ca="1" si="255"/>
        <v>2.3453053758100548</v>
      </c>
      <c r="T749" s="19">
        <f t="shared" ca="1" si="256"/>
        <v>0</v>
      </c>
      <c r="U749" s="19">
        <f t="shared" ca="1" si="257"/>
        <v>1467.9587218163997</v>
      </c>
      <c r="V749" s="19">
        <f t="shared" ca="1" si="258"/>
        <v>0</v>
      </c>
      <c r="W749" s="82">
        <f t="shared" ca="1" si="259"/>
        <v>5232.8929007523147</v>
      </c>
      <c r="X749" s="19">
        <f t="shared" ca="1" si="260"/>
        <v>0</v>
      </c>
      <c r="Y749" s="19">
        <f t="shared" si="261"/>
        <v>0</v>
      </c>
      <c r="Z749" s="82">
        <f t="shared" ca="1" si="262"/>
        <v>5232.8929007523147</v>
      </c>
      <c r="AA749" s="19">
        <f t="shared" ca="1" si="263"/>
        <v>0</v>
      </c>
    </row>
    <row r="750" spans="1:27" ht="12.75" customHeight="1" x14ac:dyDescent="0.2">
      <c r="A750">
        <v>1</v>
      </c>
      <c r="B750">
        <v>2</v>
      </c>
      <c r="C750">
        <f t="shared" ca="1" si="242"/>
        <v>5</v>
      </c>
      <c r="D750">
        <f t="shared" ca="1" si="243"/>
        <v>4</v>
      </c>
      <c r="E750">
        <f t="shared" ca="1" si="244"/>
        <v>1</v>
      </c>
      <c r="F750" s="61">
        <f t="shared" ca="1" si="245"/>
        <v>1.9427113067519999E-2</v>
      </c>
      <c r="G750">
        <v>1</v>
      </c>
      <c r="H750">
        <v>1</v>
      </c>
      <c r="I750">
        <v>5</v>
      </c>
      <c r="J750" s="61">
        <f t="shared" ca="1" si="246"/>
        <v>0</v>
      </c>
      <c r="K750" s="61">
        <f t="shared" ca="1" si="247"/>
        <v>0</v>
      </c>
      <c r="L750" s="82">
        <f t="shared" ca="1" si="248"/>
        <v>377</v>
      </c>
      <c r="M750" s="16">
        <f t="shared" ca="1" si="249"/>
        <v>623</v>
      </c>
      <c r="N750" s="3">
        <f t="shared" ca="1" si="250"/>
        <v>4</v>
      </c>
      <c r="O750" s="19">
        <f t="shared" ca="1" si="251"/>
        <v>2.3453053758100548</v>
      </c>
      <c r="P750" s="19">
        <f t="shared" ca="1" si="252"/>
        <v>23.453053758100552</v>
      </c>
      <c r="Q750" s="19">
        <f t="shared" ca="1" si="253"/>
        <v>23.453053758100552</v>
      </c>
      <c r="R750" s="19">
        <f t="shared" ca="1" si="254"/>
        <v>2.3453053758100553</v>
      </c>
      <c r="S750" s="19">
        <f t="shared" ca="1" si="255"/>
        <v>2.3453053758100548</v>
      </c>
      <c r="T750" s="19">
        <f t="shared" ca="1" si="256"/>
        <v>0</v>
      </c>
      <c r="U750" s="19">
        <f t="shared" ca="1" si="257"/>
        <v>1456.9587218163997</v>
      </c>
      <c r="V750" s="19">
        <f t="shared" ca="1" si="258"/>
        <v>0</v>
      </c>
      <c r="W750" s="82">
        <f t="shared" ca="1" si="259"/>
        <v>4746.9876707175936</v>
      </c>
      <c r="X750" s="19">
        <f t="shared" ca="1" si="260"/>
        <v>0</v>
      </c>
      <c r="Y750" s="19">
        <f t="shared" si="261"/>
        <v>0</v>
      </c>
      <c r="Z750" s="82">
        <f t="shared" ca="1" si="262"/>
        <v>4746.9876707175936</v>
      </c>
      <c r="AA750" s="19">
        <f t="shared" ca="1" si="263"/>
        <v>0</v>
      </c>
    </row>
    <row r="751" spans="1:27" ht="12.75" customHeight="1" x14ac:dyDescent="0.2">
      <c r="A751">
        <v>1</v>
      </c>
      <c r="B751">
        <v>2</v>
      </c>
      <c r="C751">
        <f t="shared" ca="1" si="242"/>
        <v>5</v>
      </c>
      <c r="D751">
        <f t="shared" ca="1" si="243"/>
        <v>4</v>
      </c>
      <c r="E751">
        <f t="shared" ca="1" si="244"/>
        <v>1</v>
      </c>
      <c r="F751" s="61">
        <f t="shared" ca="1" si="245"/>
        <v>1.9427113067519999E-2</v>
      </c>
      <c r="G751">
        <v>1</v>
      </c>
      <c r="H751">
        <v>1</v>
      </c>
      <c r="I751">
        <v>4</v>
      </c>
      <c r="J751" s="61">
        <f t="shared" ca="1" si="246"/>
        <v>0</v>
      </c>
      <c r="K751" s="61">
        <f t="shared" ca="1" si="247"/>
        <v>0</v>
      </c>
      <c r="L751" s="82">
        <f t="shared" ca="1" si="248"/>
        <v>366</v>
      </c>
      <c r="M751" s="16">
        <f t="shared" ca="1" si="249"/>
        <v>634</v>
      </c>
      <c r="N751" s="3">
        <f t="shared" ca="1" si="250"/>
        <v>4</v>
      </c>
      <c r="O751" s="19">
        <f t="shared" ca="1" si="251"/>
        <v>2.3453053758100548</v>
      </c>
      <c r="P751" s="19">
        <f t="shared" ca="1" si="252"/>
        <v>23.453053758100552</v>
      </c>
      <c r="Q751" s="19">
        <f t="shared" ca="1" si="253"/>
        <v>23.453053758100552</v>
      </c>
      <c r="R751" s="19">
        <f t="shared" ca="1" si="254"/>
        <v>2.3453053758100553</v>
      </c>
      <c r="S751" s="19">
        <f t="shared" ca="1" si="255"/>
        <v>2.3453053758100548</v>
      </c>
      <c r="T751" s="19">
        <f t="shared" ca="1" si="256"/>
        <v>0</v>
      </c>
      <c r="U751" s="19">
        <f t="shared" ca="1" si="257"/>
        <v>1445.9587218163997</v>
      </c>
      <c r="V751" s="19">
        <f t="shared" ca="1" si="258"/>
        <v>0</v>
      </c>
      <c r="W751" s="82">
        <f t="shared" ca="1" si="259"/>
        <v>4261.0824406828706</v>
      </c>
      <c r="X751" s="19">
        <f t="shared" ca="1" si="260"/>
        <v>0</v>
      </c>
      <c r="Y751" s="19">
        <f t="shared" si="261"/>
        <v>0</v>
      </c>
      <c r="Z751" s="82">
        <f t="shared" ca="1" si="262"/>
        <v>4261.0824406828706</v>
      </c>
      <c r="AA751" s="19">
        <f t="shared" ca="1" si="263"/>
        <v>0</v>
      </c>
    </row>
    <row r="752" spans="1:27" ht="12.75" customHeight="1" x14ac:dyDescent="0.2">
      <c r="A752">
        <v>1</v>
      </c>
      <c r="B752">
        <v>2</v>
      </c>
      <c r="C752">
        <f t="shared" ca="1" si="242"/>
        <v>5</v>
      </c>
      <c r="D752">
        <f t="shared" ca="1" si="243"/>
        <v>4</v>
      </c>
      <c r="E752">
        <f t="shared" ca="1" si="244"/>
        <v>1</v>
      </c>
      <c r="F752" s="61">
        <f t="shared" ca="1" si="245"/>
        <v>1.9427113067519999E-2</v>
      </c>
      <c r="G752">
        <v>1</v>
      </c>
      <c r="H752">
        <v>1</v>
      </c>
      <c r="I752">
        <v>3</v>
      </c>
      <c r="J752" s="61">
        <f t="shared" ca="1" si="246"/>
        <v>0</v>
      </c>
      <c r="K752" s="61">
        <f t="shared" ca="1" si="247"/>
        <v>0</v>
      </c>
      <c r="L752" s="82">
        <f t="shared" ca="1" si="248"/>
        <v>355</v>
      </c>
      <c r="M752" s="16">
        <f t="shared" ca="1" si="249"/>
        <v>645</v>
      </c>
      <c r="N752" s="3">
        <f t="shared" ca="1" si="250"/>
        <v>4</v>
      </c>
      <c r="O752" s="19">
        <f t="shared" ca="1" si="251"/>
        <v>2.3453053758100548</v>
      </c>
      <c r="P752" s="19">
        <f t="shared" ca="1" si="252"/>
        <v>23.453053758100552</v>
      </c>
      <c r="Q752" s="19">
        <f t="shared" ca="1" si="253"/>
        <v>23.453053758100552</v>
      </c>
      <c r="R752" s="19">
        <f t="shared" ca="1" si="254"/>
        <v>2.3453053758100553</v>
      </c>
      <c r="S752" s="19">
        <f t="shared" ca="1" si="255"/>
        <v>2.3453053758100548</v>
      </c>
      <c r="T752" s="19">
        <f t="shared" ca="1" si="256"/>
        <v>0</v>
      </c>
      <c r="U752" s="19">
        <f t="shared" ca="1" si="257"/>
        <v>1434.9587218163997</v>
      </c>
      <c r="V752" s="19">
        <f t="shared" ca="1" si="258"/>
        <v>0</v>
      </c>
      <c r="W752" s="82">
        <f t="shared" ca="1" si="259"/>
        <v>3775.1772106481485</v>
      </c>
      <c r="X752" s="19">
        <f t="shared" ca="1" si="260"/>
        <v>0</v>
      </c>
      <c r="Y752" s="19">
        <f t="shared" si="261"/>
        <v>0</v>
      </c>
      <c r="Z752" s="82">
        <f t="shared" ca="1" si="262"/>
        <v>3775.1772106481485</v>
      </c>
      <c r="AA752" s="19">
        <f t="shared" ca="1" si="263"/>
        <v>0</v>
      </c>
    </row>
    <row r="753" spans="1:27" ht="12.75" customHeight="1" x14ac:dyDescent="0.2">
      <c r="A753">
        <v>1</v>
      </c>
      <c r="B753">
        <v>2</v>
      </c>
      <c r="C753">
        <f t="shared" ca="1" si="242"/>
        <v>5</v>
      </c>
      <c r="D753">
        <f t="shared" ca="1" si="243"/>
        <v>4</v>
      </c>
      <c r="E753">
        <f t="shared" ca="1" si="244"/>
        <v>1</v>
      </c>
      <c r="F753" s="61">
        <f t="shared" ca="1" si="245"/>
        <v>1.9427113067519999E-2</v>
      </c>
      <c r="G753">
        <v>1</v>
      </c>
      <c r="H753">
        <v>1</v>
      </c>
      <c r="I753">
        <v>2</v>
      </c>
      <c r="J753" s="61">
        <f t="shared" ca="1" si="246"/>
        <v>0</v>
      </c>
      <c r="K753" s="61">
        <f t="shared" ca="1" si="247"/>
        <v>0</v>
      </c>
      <c r="L753" s="82">
        <f t="shared" ca="1" si="248"/>
        <v>344</v>
      </c>
      <c r="M753" s="16">
        <f t="shared" ca="1" si="249"/>
        <v>656</v>
      </c>
      <c r="N753" s="3">
        <f t="shared" ca="1" si="250"/>
        <v>4</v>
      </c>
      <c r="O753" s="19">
        <f t="shared" ca="1" si="251"/>
        <v>2.3453053758100548</v>
      </c>
      <c r="P753" s="19">
        <f t="shared" ca="1" si="252"/>
        <v>23.453053758100552</v>
      </c>
      <c r="Q753" s="19">
        <f t="shared" ca="1" si="253"/>
        <v>23.453053758100552</v>
      </c>
      <c r="R753" s="19">
        <f t="shared" ca="1" si="254"/>
        <v>2.3453053758100553</v>
      </c>
      <c r="S753" s="19">
        <f t="shared" ca="1" si="255"/>
        <v>2.3453053758100548</v>
      </c>
      <c r="T753" s="19">
        <f t="shared" ca="1" si="256"/>
        <v>0</v>
      </c>
      <c r="U753" s="19">
        <f t="shared" ca="1" si="257"/>
        <v>1423.9587218163997</v>
      </c>
      <c r="V753" s="19">
        <f t="shared" ca="1" si="258"/>
        <v>0</v>
      </c>
      <c r="W753" s="82">
        <f t="shared" ca="1" si="259"/>
        <v>3289.2719806134264</v>
      </c>
      <c r="X753" s="19">
        <f t="shared" ca="1" si="260"/>
        <v>0</v>
      </c>
      <c r="Y753" s="19">
        <f t="shared" si="261"/>
        <v>0</v>
      </c>
      <c r="Z753" s="82">
        <f t="shared" ca="1" si="262"/>
        <v>3289.2719806134264</v>
      </c>
      <c r="AA753" s="19">
        <f t="shared" ca="1" si="263"/>
        <v>0</v>
      </c>
    </row>
    <row r="754" spans="1:27" ht="12.75" customHeight="1" x14ac:dyDescent="0.2">
      <c r="A754">
        <v>1</v>
      </c>
      <c r="B754">
        <v>2</v>
      </c>
      <c r="C754">
        <f t="shared" ca="1" si="242"/>
        <v>5</v>
      </c>
      <c r="D754">
        <f t="shared" ca="1" si="243"/>
        <v>4</v>
      </c>
      <c r="E754">
        <f t="shared" ca="1" si="244"/>
        <v>1</v>
      </c>
      <c r="F754" s="61">
        <f t="shared" ca="1" si="245"/>
        <v>1.9427113067519999E-2</v>
      </c>
      <c r="G754">
        <v>1</v>
      </c>
      <c r="H754">
        <v>1</v>
      </c>
      <c r="I754">
        <v>1</v>
      </c>
      <c r="J754" s="61">
        <f t="shared" ca="1" si="246"/>
        <v>0</v>
      </c>
      <c r="K754" s="61">
        <f t="shared" ca="1" si="247"/>
        <v>0</v>
      </c>
      <c r="L754" s="82">
        <f t="shared" ca="1" si="248"/>
        <v>333</v>
      </c>
      <c r="M754" s="16">
        <f t="shared" ca="1" si="249"/>
        <v>667</v>
      </c>
      <c r="N754" s="3">
        <f t="shared" ca="1" si="250"/>
        <v>4</v>
      </c>
      <c r="O754" s="19">
        <f t="shared" ca="1" si="251"/>
        <v>2.3453053758100548</v>
      </c>
      <c r="P754" s="19">
        <f t="shared" ca="1" si="252"/>
        <v>23.453053758100552</v>
      </c>
      <c r="Q754" s="19">
        <f t="shared" ca="1" si="253"/>
        <v>23.453053758100552</v>
      </c>
      <c r="R754" s="19">
        <f t="shared" ca="1" si="254"/>
        <v>2.3453053758100553</v>
      </c>
      <c r="S754" s="19">
        <f t="shared" ca="1" si="255"/>
        <v>2.3453053758100548</v>
      </c>
      <c r="T754" s="19">
        <f t="shared" ca="1" si="256"/>
        <v>0</v>
      </c>
      <c r="U754" s="19">
        <f t="shared" ca="1" si="257"/>
        <v>1412.9587218163997</v>
      </c>
      <c r="V754" s="19">
        <f t="shared" ca="1" si="258"/>
        <v>0</v>
      </c>
      <c r="W754" s="82">
        <f t="shared" ca="1" si="259"/>
        <v>2803.3667505787039</v>
      </c>
      <c r="X754" s="19">
        <f t="shared" ca="1" si="260"/>
        <v>0</v>
      </c>
      <c r="Y754" s="19">
        <f t="shared" si="261"/>
        <v>0</v>
      </c>
      <c r="Z754" s="82">
        <f t="shared" ca="1" si="262"/>
        <v>2803.3667505787039</v>
      </c>
      <c r="AA754" s="19">
        <f t="shared" ca="1" si="263"/>
        <v>0</v>
      </c>
    </row>
    <row r="755" spans="1:27" ht="12.75" customHeight="1" x14ac:dyDescent="0.2">
      <c r="A755">
        <v>1</v>
      </c>
      <c r="B755">
        <v>2</v>
      </c>
      <c r="C755">
        <f t="shared" ca="1" si="242"/>
        <v>5</v>
      </c>
      <c r="D755">
        <f t="shared" ca="1" si="243"/>
        <v>4</v>
      </c>
      <c r="E755">
        <f t="shared" ca="1" si="244"/>
        <v>1</v>
      </c>
      <c r="F755" s="61">
        <f t="shared" ca="1" si="245"/>
        <v>1.9427113067519999E-2</v>
      </c>
      <c r="G755">
        <v>1</v>
      </c>
      <c r="H755">
        <v>1</v>
      </c>
      <c r="I755">
        <v>0</v>
      </c>
      <c r="J755" s="61">
        <f t="shared" ca="1" si="246"/>
        <v>0</v>
      </c>
      <c r="K755" s="61">
        <f t="shared" ca="1" si="247"/>
        <v>0</v>
      </c>
      <c r="L755" s="82">
        <f t="shared" ca="1" si="248"/>
        <v>322</v>
      </c>
      <c r="M755" s="16">
        <f t="shared" ca="1" si="249"/>
        <v>678</v>
      </c>
      <c r="N755" s="3">
        <f t="shared" ca="1" si="250"/>
        <v>4</v>
      </c>
      <c r="O755" s="19">
        <f t="shared" ca="1" si="251"/>
        <v>2.3453053758100548</v>
      </c>
      <c r="P755" s="19">
        <f t="shared" ca="1" si="252"/>
        <v>23.453053758100552</v>
      </c>
      <c r="Q755" s="19">
        <f t="shared" ca="1" si="253"/>
        <v>23.453053758100552</v>
      </c>
      <c r="R755" s="19">
        <f t="shared" ca="1" si="254"/>
        <v>2.3453053758100553</v>
      </c>
      <c r="S755" s="19">
        <f t="shared" ca="1" si="255"/>
        <v>2.3453053758100548</v>
      </c>
      <c r="T755" s="19">
        <f t="shared" ca="1" si="256"/>
        <v>0</v>
      </c>
      <c r="U755" s="19">
        <f t="shared" ca="1" si="257"/>
        <v>1401.9587218163997</v>
      </c>
      <c r="V755" s="19">
        <f t="shared" ca="1" si="258"/>
        <v>0</v>
      </c>
      <c r="W755" s="82">
        <f t="shared" ca="1" si="259"/>
        <v>2317.4615205439818</v>
      </c>
      <c r="X755" s="19">
        <f t="shared" ca="1" si="260"/>
        <v>0</v>
      </c>
      <c r="Y755" s="19">
        <f t="shared" si="261"/>
        <v>0</v>
      </c>
      <c r="Z755" s="82">
        <f t="shared" ca="1" si="262"/>
        <v>2317.4615205439818</v>
      </c>
      <c r="AA755" s="19">
        <f t="shared" ca="1" si="263"/>
        <v>0</v>
      </c>
    </row>
    <row r="756" spans="1:27" ht="12.75" customHeight="1" x14ac:dyDescent="0.2">
      <c r="A756">
        <v>1</v>
      </c>
      <c r="B756">
        <v>2</v>
      </c>
      <c r="C756">
        <f t="shared" ca="1" si="242"/>
        <v>5</v>
      </c>
      <c r="D756">
        <f t="shared" ca="1" si="243"/>
        <v>4</v>
      </c>
      <c r="E756">
        <f t="shared" ca="1" si="244"/>
        <v>1</v>
      </c>
      <c r="F756" s="61">
        <f t="shared" ca="1" si="245"/>
        <v>1.9427113067519999E-2</v>
      </c>
      <c r="G756">
        <v>1</v>
      </c>
      <c r="H756">
        <v>0</v>
      </c>
      <c r="I756">
        <v>7</v>
      </c>
      <c r="J756" s="61">
        <f t="shared" ca="1" si="246"/>
        <v>0</v>
      </c>
      <c r="K756" s="61">
        <f t="shared" ca="1" si="247"/>
        <v>0</v>
      </c>
      <c r="L756" s="82">
        <f t="shared" ca="1" si="248"/>
        <v>238</v>
      </c>
      <c r="M756" s="16">
        <f t="shared" ca="1" si="249"/>
        <v>762</v>
      </c>
      <c r="N756" s="3">
        <f t="shared" ca="1" si="250"/>
        <v>5</v>
      </c>
      <c r="O756" s="19">
        <f t="shared" ca="1" si="251"/>
        <v>2.8178718937399587</v>
      </c>
      <c r="P756" s="19">
        <f t="shared" ca="1" si="252"/>
        <v>25.815886347750073</v>
      </c>
      <c r="Q756" s="19">
        <f t="shared" ca="1" si="253"/>
        <v>23.453053758100552</v>
      </c>
      <c r="R756" s="19">
        <f t="shared" ca="1" si="254"/>
        <v>2.4634470052925312</v>
      </c>
      <c r="S756" s="19">
        <f t="shared" ca="1" si="255"/>
        <v>2.8178718937399587</v>
      </c>
      <c r="T756" s="19">
        <f t="shared" ca="1" si="256"/>
        <v>0</v>
      </c>
      <c r="U756" s="19">
        <f t="shared" ca="1" si="257"/>
        <v>1497.3251747165598</v>
      </c>
      <c r="V756" s="19">
        <f t="shared" ca="1" si="258"/>
        <v>0</v>
      </c>
      <c r="W756" s="82">
        <f t="shared" ca="1" si="259"/>
        <v>5718.7981307870377</v>
      </c>
      <c r="X756" s="19">
        <f t="shared" ca="1" si="260"/>
        <v>0</v>
      </c>
      <c r="Y756" s="19">
        <f t="shared" si="261"/>
        <v>0</v>
      </c>
      <c r="Z756" s="82">
        <f t="shared" ca="1" si="262"/>
        <v>5718.7981307870377</v>
      </c>
      <c r="AA756" s="19">
        <f t="shared" ca="1" si="263"/>
        <v>0</v>
      </c>
    </row>
    <row r="757" spans="1:27" ht="12.75" customHeight="1" x14ac:dyDescent="0.2">
      <c r="A757">
        <v>1</v>
      </c>
      <c r="B757">
        <v>2</v>
      </c>
      <c r="C757">
        <f t="shared" ca="1" si="242"/>
        <v>5</v>
      </c>
      <c r="D757">
        <f t="shared" ca="1" si="243"/>
        <v>4</v>
      </c>
      <c r="E757">
        <f t="shared" ca="1" si="244"/>
        <v>1</v>
      </c>
      <c r="F757" s="61">
        <f t="shared" ca="1" si="245"/>
        <v>1.9427113067519999E-2</v>
      </c>
      <c r="G757">
        <v>1</v>
      </c>
      <c r="H757">
        <v>0</v>
      </c>
      <c r="I757">
        <v>6</v>
      </c>
      <c r="J757" s="61">
        <f t="shared" ca="1" si="246"/>
        <v>0</v>
      </c>
      <c r="K757" s="61">
        <f t="shared" ca="1" si="247"/>
        <v>0</v>
      </c>
      <c r="L757" s="82">
        <f t="shared" ca="1" si="248"/>
        <v>227</v>
      </c>
      <c r="M757" s="16">
        <f t="shared" ca="1" si="249"/>
        <v>773</v>
      </c>
      <c r="N757" s="3">
        <f t="shared" ca="1" si="250"/>
        <v>5</v>
      </c>
      <c r="O757" s="19">
        <f t="shared" ca="1" si="251"/>
        <v>2.8178718937399587</v>
      </c>
      <c r="P757" s="19">
        <f t="shared" ca="1" si="252"/>
        <v>28.178718937399587</v>
      </c>
      <c r="Q757" s="19">
        <f t="shared" ca="1" si="253"/>
        <v>26.288452865679979</v>
      </c>
      <c r="R757" s="19">
        <f t="shared" ca="1" si="254"/>
        <v>2.7233585901539783</v>
      </c>
      <c r="S757" s="19">
        <f t="shared" ca="1" si="255"/>
        <v>2.8178718937399587</v>
      </c>
      <c r="T757" s="19">
        <f t="shared" ca="1" si="256"/>
        <v>0</v>
      </c>
      <c r="U757" s="19">
        <f t="shared" ca="1" si="257"/>
        <v>1486.3251747165598</v>
      </c>
      <c r="V757" s="19">
        <f t="shared" ca="1" si="258"/>
        <v>0</v>
      </c>
      <c r="W757" s="82">
        <f t="shared" ca="1" si="259"/>
        <v>5232.8929007523147</v>
      </c>
      <c r="X757" s="19">
        <f t="shared" ca="1" si="260"/>
        <v>0</v>
      </c>
      <c r="Y757" s="19">
        <f t="shared" si="261"/>
        <v>0</v>
      </c>
      <c r="Z757" s="82">
        <f t="shared" ca="1" si="262"/>
        <v>5232.8929007523147</v>
      </c>
      <c r="AA757" s="19">
        <f t="shared" ca="1" si="263"/>
        <v>0</v>
      </c>
    </row>
    <row r="758" spans="1:27" ht="12.75" customHeight="1" x14ac:dyDescent="0.2">
      <c r="A758">
        <v>1</v>
      </c>
      <c r="B758">
        <v>2</v>
      </c>
      <c r="C758">
        <f t="shared" ca="1" si="242"/>
        <v>5</v>
      </c>
      <c r="D758">
        <f t="shared" ca="1" si="243"/>
        <v>4</v>
      </c>
      <c r="E758">
        <f t="shared" ca="1" si="244"/>
        <v>1</v>
      </c>
      <c r="F758" s="61">
        <f t="shared" ca="1" si="245"/>
        <v>1.9427113067519999E-2</v>
      </c>
      <c r="G758">
        <v>1</v>
      </c>
      <c r="H758">
        <v>0</v>
      </c>
      <c r="I758">
        <v>5</v>
      </c>
      <c r="J758" s="61">
        <f t="shared" ca="1" si="246"/>
        <v>0</v>
      </c>
      <c r="K758" s="61">
        <f t="shared" ca="1" si="247"/>
        <v>0</v>
      </c>
      <c r="L758" s="82">
        <f t="shared" ca="1" si="248"/>
        <v>216</v>
      </c>
      <c r="M758" s="16">
        <f t="shared" ca="1" si="249"/>
        <v>784</v>
      </c>
      <c r="N758" s="3">
        <f t="shared" ca="1" si="250"/>
        <v>5</v>
      </c>
      <c r="O758" s="19">
        <f t="shared" ca="1" si="251"/>
        <v>2.8178718937399587</v>
      </c>
      <c r="P758" s="19">
        <f t="shared" ca="1" si="252"/>
        <v>28.178718937399587</v>
      </c>
      <c r="Q758" s="19">
        <f t="shared" ca="1" si="253"/>
        <v>28.178718937399587</v>
      </c>
      <c r="R758" s="19">
        <f t="shared" ca="1" si="254"/>
        <v>2.8178718937399587</v>
      </c>
      <c r="S758" s="19">
        <f t="shared" ca="1" si="255"/>
        <v>2.8178718937399587</v>
      </c>
      <c r="T758" s="19">
        <f t="shared" ca="1" si="256"/>
        <v>0</v>
      </c>
      <c r="U758" s="19">
        <f t="shared" ca="1" si="257"/>
        <v>1475.3251747165598</v>
      </c>
      <c r="V758" s="19">
        <f t="shared" ca="1" si="258"/>
        <v>0</v>
      </c>
      <c r="W758" s="82">
        <f t="shared" ca="1" si="259"/>
        <v>4746.9876707175936</v>
      </c>
      <c r="X758" s="19">
        <f t="shared" ca="1" si="260"/>
        <v>0</v>
      </c>
      <c r="Y758" s="19">
        <f t="shared" si="261"/>
        <v>0</v>
      </c>
      <c r="Z758" s="82">
        <f t="shared" ca="1" si="262"/>
        <v>4746.9876707175936</v>
      </c>
      <c r="AA758" s="19">
        <f t="shared" ca="1" si="263"/>
        <v>0</v>
      </c>
    </row>
    <row r="759" spans="1:27" ht="12.75" customHeight="1" x14ac:dyDescent="0.2">
      <c r="A759">
        <v>1</v>
      </c>
      <c r="B759">
        <v>2</v>
      </c>
      <c r="C759">
        <f t="shared" ca="1" si="242"/>
        <v>5</v>
      </c>
      <c r="D759">
        <f t="shared" ca="1" si="243"/>
        <v>4</v>
      </c>
      <c r="E759">
        <f t="shared" ca="1" si="244"/>
        <v>1</v>
      </c>
      <c r="F759" s="61">
        <f t="shared" ca="1" si="245"/>
        <v>1.9427113067519999E-2</v>
      </c>
      <c r="G759">
        <v>1</v>
      </c>
      <c r="H759">
        <v>0</v>
      </c>
      <c r="I759">
        <v>4</v>
      </c>
      <c r="J759" s="61">
        <f t="shared" ca="1" si="246"/>
        <v>0.77378093749999999</v>
      </c>
      <c r="K759" s="61">
        <f t="shared" ca="1" si="247"/>
        <v>1.5032329762304125E-2</v>
      </c>
      <c r="L759" s="82">
        <f t="shared" ca="1" si="248"/>
        <v>205</v>
      </c>
      <c r="M759" s="16">
        <f t="shared" ca="1" si="249"/>
        <v>795</v>
      </c>
      <c r="N759" s="3">
        <f t="shared" ca="1" si="250"/>
        <v>5</v>
      </c>
      <c r="O759" s="19">
        <f t="shared" ca="1" si="251"/>
        <v>2.8178718937399587</v>
      </c>
      <c r="P759" s="19">
        <f t="shared" ca="1" si="252"/>
        <v>28.178718937399587</v>
      </c>
      <c r="Q759" s="19">
        <f t="shared" ca="1" si="253"/>
        <v>28.178718937399587</v>
      </c>
      <c r="R759" s="19">
        <f t="shared" ca="1" si="254"/>
        <v>2.8178718937399587</v>
      </c>
      <c r="S759" s="19">
        <f t="shared" ca="1" si="255"/>
        <v>2.8178718937399587</v>
      </c>
      <c r="T759" s="19">
        <f t="shared" ca="1" si="256"/>
        <v>4.2359179534627471E-2</v>
      </c>
      <c r="U759" s="19">
        <f t="shared" ca="1" si="257"/>
        <v>1464.3251747165598</v>
      </c>
      <c r="V759" s="19">
        <f t="shared" ca="1" si="258"/>
        <v>22.01221890558293</v>
      </c>
      <c r="W759" s="82">
        <f t="shared" ca="1" si="259"/>
        <v>4261.0824406828706</v>
      </c>
      <c r="X759" s="19">
        <f t="shared" ca="1" si="260"/>
        <v>64.053996392708612</v>
      </c>
      <c r="Y759" s="19">
        <f t="shared" si="261"/>
        <v>0</v>
      </c>
      <c r="Z759" s="82">
        <f t="shared" ca="1" si="262"/>
        <v>4261.0824406828706</v>
      </c>
      <c r="AA759" s="19">
        <f t="shared" ca="1" si="263"/>
        <v>64.053996392708612</v>
      </c>
    </row>
    <row r="760" spans="1:27" ht="12.75" customHeight="1" x14ac:dyDescent="0.2">
      <c r="A760">
        <v>1</v>
      </c>
      <c r="B760">
        <v>2</v>
      </c>
      <c r="C760">
        <f t="shared" ca="1" si="242"/>
        <v>5</v>
      </c>
      <c r="D760">
        <f t="shared" ca="1" si="243"/>
        <v>4</v>
      </c>
      <c r="E760">
        <f t="shared" ca="1" si="244"/>
        <v>1</v>
      </c>
      <c r="F760" s="61">
        <f t="shared" ca="1" si="245"/>
        <v>1.9427113067519999E-2</v>
      </c>
      <c r="G760">
        <v>1</v>
      </c>
      <c r="H760">
        <v>0</v>
      </c>
      <c r="I760">
        <v>3</v>
      </c>
      <c r="J760" s="61">
        <f t="shared" ca="1" si="246"/>
        <v>0.16290125000000011</v>
      </c>
      <c r="K760" s="61">
        <f t="shared" ca="1" si="247"/>
        <v>3.1647010025903444E-3</v>
      </c>
      <c r="L760" s="82">
        <f t="shared" ca="1" si="248"/>
        <v>194</v>
      </c>
      <c r="M760" s="16">
        <f t="shared" ca="1" si="249"/>
        <v>806</v>
      </c>
      <c r="N760" s="3">
        <f t="shared" ca="1" si="250"/>
        <v>5</v>
      </c>
      <c r="O760" s="19">
        <f t="shared" ca="1" si="251"/>
        <v>2.8178718937399587</v>
      </c>
      <c r="P760" s="19">
        <f t="shared" ca="1" si="252"/>
        <v>28.178718937399587</v>
      </c>
      <c r="Q760" s="19">
        <f t="shared" ca="1" si="253"/>
        <v>28.178718937399587</v>
      </c>
      <c r="R760" s="19">
        <f t="shared" ca="1" si="254"/>
        <v>2.8178718937399587</v>
      </c>
      <c r="S760" s="19">
        <f t="shared" ca="1" si="255"/>
        <v>2.8178718937399587</v>
      </c>
      <c r="T760" s="19">
        <f t="shared" ca="1" si="256"/>
        <v>8.9177220072899997E-3</v>
      </c>
      <c r="U760" s="19">
        <f t="shared" ca="1" si="257"/>
        <v>1453.3251747165598</v>
      </c>
      <c r="V760" s="19">
        <f t="shared" ca="1" si="258"/>
        <v>4.5993396375152846</v>
      </c>
      <c r="W760" s="82">
        <f t="shared" ca="1" si="259"/>
        <v>3775.1772106481485</v>
      </c>
      <c r="X760" s="19">
        <f t="shared" ca="1" si="260"/>
        <v>11.947307103494415</v>
      </c>
      <c r="Y760" s="19">
        <f t="shared" si="261"/>
        <v>0</v>
      </c>
      <c r="Z760" s="82">
        <f t="shared" ca="1" si="262"/>
        <v>3775.1772106481485</v>
      </c>
      <c r="AA760" s="19">
        <f t="shared" ca="1" si="263"/>
        <v>11.947307103494415</v>
      </c>
    </row>
    <row r="761" spans="1:27" ht="12.75" customHeight="1" x14ac:dyDescent="0.2">
      <c r="A761">
        <v>1</v>
      </c>
      <c r="B761">
        <v>2</v>
      </c>
      <c r="C761">
        <f t="shared" ca="1" si="242"/>
        <v>5</v>
      </c>
      <c r="D761">
        <f t="shared" ca="1" si="243"/>
        <v>4</v>
      </c>
      <c r="E761">
        <f t="shared" ca="1" si="244"/>
        <v>1</v>
      </c>
      <c r="F761" s="61">
        <f t="shared" ca="1" si="245"/>
        <v>1.9427113067519999E-2</v>
      </c>
      <c r="G761">
        <v>1</v>
      </c>
      <c r="H761">
        <v>0</v>
      </c>
      <c r="I761">
        <v>2</v>
      </c>
      <c r="J761" s="61">
        <f t="shared" ca="1" si="246"/>
        <v>1.2860625000000021E-2</v>
      </c>
      <c r="K761" s="61">
        <f t="shared" ca="1" si="247"/>
        <v>2.498448159939748E-4</v>
      </c>
      <c r="L761" s="82">
        <f t="shared" ca="1" si="248"/>
        <v>183</v>
      </c>
      <c r="M761" s="16">
        <f t="shared" ca="1" si="249"/>
        <v>817</v>
      </c>
      <c r="N761" s="3">
        <f t="shared" ca="1" si="250"/>
        <v>5</v>
      </c>
      <c r="O761" s="19">
        <f t="shared" ca="1" si="251"/>
        <v>2.8178718937399587</v>
      </c>
      <c r="P761" s="19">
        <f t="shared" ca="1" si="252"/>
        <v>28.178718937399587</v>
      </c>
      <c r="Q761" s="19">
        <f t="shared" ca="1" si="253"/>
        <v>28.178718937399587</v>
      </c>
      <c r="R761" s="19">
        <f t="shared" ca="1" si="254"/>
        <v>2.8178718937399587</v>
      </c>
      <c r="S761" s="19">
        <f t="shared" ca="1" si="255"/>
        <v>2.8178718937399587</v>
      </c>
      <c r="T761" s="19">
        <f t="shared" ca="1" si="256"/>
        <v>7.0403068478605329E-4</v>
      </c>
      <c r="U761" s="19">
        <f t="shared" ca="1" si="257"/>
        <v>1442.3251747165598</v>
      </c>
      <c r="V761" s="19">
        <f t="shared" ca="1" si="258"/>
        <v>0.36035746788053641</v>
      </c>
      <c r="W761" s="82">
        <f t="shared" ca="1" si="259"/>
        <v>3289.2719806134264</v>
      </c>
      <c r="X761" s="19">
        <f t="shared" ca="1" si="260"/>
        <v>0.82180755275049855</v>
      </c>
      <c r="Y761" s="19">
        <f t="shared" si="261"/>
        <v>0</v>
      </c>
      <c r="Z761" s="82">
        <f t="shared" ca="1" si="262"/>
        <v>3289.2719806134264</v>
      </c>
      <c r="AA761" s="19">
        <f t="shared" ca="1" si="263"/>
        <v>0.82180755275049855</v>
      </c>
    </row>
    <row r="762" spans="1:27" ht="12.75" customHeight="1" x14ac:dyDescent="0.2">
      <c r="A762">
        <v>1</v>
      </c>
      <c r="B762">
        <v>2</v>
      </c>
      <c r="C762">
        <f t="shared" ca="1" si="242"/>
        <v>5</v>
      </c>
      <c r="D762">
        <f t="shared" ca="1" si="243"/>
        <v>4</v>
      </c>
      <c r="E762">
        <f t="shared" ca="1" si="244"/>
        <v>1</v>
      </c>
      <c r="F762" s="61">
        <f t="shared" ca="1" si="245"/>
        <v>1.9427113067519999E-2</v>
      </c>
      <c r="G762">
        <v>1</v>
      </c>
      <c r="H762">
        <v>0</v>
      </c>
      <c r="I762">
        <v>1</v>
      </c>
      <c r="J762" s="61">
        <f t="shared" ca="1" si="246"/>
        <v>4.5125000000000118E-4</v>
      </c>
      <c r="K762" s="61">
        <f t="shared" ca="1" si="247"/>
        <v>8.7664847717184226E-6</v>
      </c>
      <c r="L762" s="82">
        <f t="shared" ca="1" si="248"/>
        <v>172</v>
      </c>
      <c r="M762" s="16">
        <f t="shared" ca="1" si="249"/>
        <v>828</v>
      </c>
      <c r="N762" s="3">
        <f t="shared" ca="1" si="250"/>
        <v>5</v>
      </c>
      <c r="O762" s="19">
        <f t="shared" ca="1" si="251"/>
        <v>2.8178718937399587</v>
      </c>
      <c r="P762" s="19">
        <f t="shared" ca="1" si="252"/>
        <v>28.178718937399587</v>
      </c>
      <c r="Q762" s="19">
        <f t="shared" ca="1" si="253"/>
        <v>28.178718937399587</v>
      </c>
      <c r="R762" s="19">
        <f t="shared" ca="1" si="254"/>
        <v>2.8178718937399587</v>
      </c>
      <c r="S762" s="19">
        <f t="shared" ca="1" si="255"/>
        <v>2.8178718937399587</v>
      </c>
      <c r="T762" s="19">
        <f t="shared" ca="1" si="256"/>
        <v>2.4702831045124703E-5</v>
      </c>
      <c r="U762" s="19">
        <f t="shared" ca="1" si="257"/>
        <v>1431.3251747165598</v>
      </c>
      <c r="V762" s="19">
        <f t="shared" ca="1" si="258"/>
        <v>1.2547690347529932E-2</v>
      </c>
      <c r="W762" s="82">
        <f t="shared" ca="1" si="259"/>
        <v>2803.3667505787039</v>
      </c>
      <c r="X762" s="19">
        <f t="shared" ca="1" si="260"/>
        <v>2.4575671928489966E-2</v>
      </c>
      <c r="Y762" s="19">
        <f t="shared" si="261"/>
        <v>0</v>
      </c>
      <c r="Z762" s="82">
        <f t="shared" ca="1" si="262"/>
        <v>2803.3667505787039</v>
      </c>
      <c r="AA762" s="19">
        <f t="shared" ca="1" si="263"/>
        <v>2.4575671928489966E-2</v>
      </c>
    </row>
    <row r="763" spans="1:27" ht="12.75" customHeight="1" x14ac:dyDescent="0.2">
      <c r="A763">
        <v>1</v>
      </c>
      <c r="B763">
        <v>2</v>
      </c>
      <c r="C763">
        <f t="shared" ca="1" si="242"/>
        <v>5</v>
      </c>
      <c r="D763">
        <f t="shared" ca="1" si="243"/>
        <v>4</v>
      </c>
      <c r="E763">
        <f t="shared" ca="1" si="244"/>
        <v>1</v>
      </c>
      <c r="F763" s="61">
        <f t="shared" ca="1" si="245"/>
        <v>1.9427113067519999E-2</v>
      </c>
      <c r="G763">
        <v>1</v>
      </c>
      <c r="H763">
        <v>0</v>
      </c>
      <c r="I763">
        <v>0</v>
      </c>
      <c r="J763" s="61">
        <f t="shared" ca="1" si="246"/>
        <v>5.9375000000000207E-6</v>
      </c>
      <c r="K763" s="61">
        <f t="shared" ca="1" si="247"/>
        <v>1.153484838384004E-7</v>
      </c>
      <c r="L763" s="82">
        <f t="shared" ca="1" si="248"/>
        <v>161</v>
      </c>
      <c r="M763" s="16">
        <f t="shared" ca="1" si="249"/>
        <v>839</v>
      </c>
      <c r="N763" s="3">
        <f t="shared" ca="1" si="250"/>
        <v>5</v>
      </c>
      <c r="O763" s="19">
        <f t="shared" ca="1" si="251"/>
        <v>2.8178718937399587</v>
      </c>
      <c r="P763" s="19">
        <f t="shared" ca="1" si="252"/>
        <v>28.178718937399587</v>
      </c>
      <c r="Q763" s="19">
        <f t="shared" ca="1" si="253"/>
        <v>28.178718937399587</v>
      </c>
      <c r="R763" s="19">
        <f t="shared" ca="1" si="254"/>
        <v>2.8178718937399587</v>
      </c>
      <c r="S763" s="19">
        <f t="shared" ca="1" si="255"/>
        <v>2.8178718937399587</v>
      </c>
      <c r="T763" s="19">
        <f t="shared" ca="1" si="256"/>
        <v>3.2503725059374636E-7</v>
      </c>
      <c r="U763" s="19">
        <f t="shared" ca="1" si="257"/>
        <v>1420.3251747165598</v>
      </c>
      <c r="V763" s="19">
        <f t="shared" ca="1" si="258"/>
        <v>1.6383235546106633E-4</v>
      </c>
      <c r="W763" s="82">
        <f t="shared" ca="1" si="259"/>
        <v>2317.4615205439818</v>
      </c>
      <c r="X763" s="19">
        <f t="shared" ca="1" si="260"/>
        <v>2.6731567274858228E-4</v>
      </c>
      <c r="Y763" s="19">
        <f t="shared" si="261"/>
        <v>0</v>
      </c>
      <c r="Z763" s="82">
        <f t="shared" ca="1" si="262"/>
        <v>2317.4615205439818</v>
      </c>
      <c r="AA763" s="19">
        <f t="shared" ca="1" si="263"/>
        <v>2.6731567274858228E-4</v>
      </c>
    </row>
    <row r="764" spans="1:27" ht="12.75" customHeight="1" x14ac:dyDescent="0.2">
      <c r="A764">
        <v>1</v>
      </c>
      <c r="B764">
        <v>2</v>
      </c>
      <c r="C764">
        <f t="shared" ca="1" si="242"/>
        <v>5</v>
      </c>
      <c r="D764">
        <f t="shared" ca="1" si="243"/>
        <v>4</v>
      </c>
      <c r="E764">
        <f t="shared" ca="1" si="244"/>
        <v>1</v>
      </c>
      <c r="F764" s="61">
        <f t="shared" ca="1" si="245"/>
        <v>1.9427113067519999E-2</v>
      </c>
      <c r="G764">
        <v>0</v>
      </c>
      <c r="H764">
        <v>1</v>
      </c>
      <c r="I764">
        <v>7</v>
      </c>
      <c r="J764" s="61">
        <f t="shared" ca="1" si="246"/>
        <v>0</v>
      </c>
      <c r="K764" s="61">
        <f t="shared" ca="1" si="247"/>
        <v>0</v>
      </c>
      <c r="L764" s="82">
        <f t="shared" ca="1" si="248"/>
        <v>238</v>
      </c>
      <c r="M764" s="16">
        <f t="shared" ca="1" si="249"/>
        <v>762</v>
      </c>
      <c r="N764" s="3">
        <f t="shared" ca="1" si="250"/>
        <v>5</v>
      </c>
      <c r="O764" s="19">
        <f t="shared" ca="1" si="251"/>
        <v>2.8178718937399587</v>
      </c>
      <c r="P764" s="19">
        <f t="shared" ca="1" si="252"/>
        <v>25.815886347750073</v>
      </c>
      <c r="Q764" s="19">
        <f t="shared" ca="1" si="253"/>
        <v>23.453053758100552</v>
      </c>
      <c r="R764" s="19">
        <f t="shared" ca="1" si="254"/>
        <v>2.4634470052925312</v>
      </c>
      <c r="S764" s="19">
        <f t="shared" ca="1" si="255"/>
        <v>2.8178718937399587</v>
      </c>
      <c r="T764" s="19">
        <f t="shared" ca="1" si="256"/>
        <v>0</v>
      </c>
      <c r="U764" s="19">
        <f t="shared" ca="1" si="257"/>
        <v>1497.3251747165598</v>
      </c>
      <c r="V764" s="19">
        <f t="shared" ca="1" si="258"/>
        <v>0</v>
      </c>
      <c r="W764" s="82">
        <f t="shared" ca="1" si="259"/>
        <v>3401.3366102430559</v>
      </c>
      <c r="X764" s="19">
        <f t="shared" ca="1" si="260"/>
        <v>0</v>
      </c>
      <c r="Y764" s="19">
        <f t="shared" si="261"/>
        <v>0</v>
      </c>
      <c r="Z764" s="82">
        <f t="shared" ca="1" si="262"/>
        <v>3401.3366102430559</v>
      </c>
      <c r="AA764" s="19">
        <f t="shared" ca="1" si="263"/>
        <v>0</v>
      </c>
    </row>
    <row r="765" spans="1:27" ht="12.75" customHeight="1" x14ac:dyDescent="0.2">
      <c r="A765">
        <v>1</v>
      </c>
      <c r="B765">
        <v>2</v>
      </c>
      <c r="C765">
        <f t="shared" ca="1" si="242"/>
        <v>5</v>
      </c>
      <c r="D765">
        <f t="shared" ca="1" si="243"/>
        <v>4</v>
      </c>
      <c r="E765">
        <f t="shared" ca="1" si="244"/>
        <v>1</v>
      </c>
      <c r="F765" s="61">
        <f t="shared" ca="1" si="245"/>
        <v>1.9427113067519999E-2</v>
      </c>
      <c r="G765">
        <v>0</v>
      </c>
      <c r="H765">
        <v>1</v>
      </c>
      <c r="I765">
        <v>6</v>
      </c>
      <c r="J765" s="61">
        <f t="shared" ca="1" si="246"/>
        <v>0</v>
      </c>
      <c r="K765" s="61">
        <f t="shared" ca="1" si="247"/>
        <v>0</v>
      </c>
      <c r="L765" s="82">
        <f t="shared" ca="1" si="248"/>
        <v>227</v>
      </c>
      <c r="M765" s="16">
        <f t="shared" ca="1" si="249"/>
        <v>773</v>
      </c>
      <c r="N765" s="3">
        <f t="shared" ca="1" si="250"/>
        <v>5</v>
      </c>
      <c r="O765" s="19">
        <f t="shared" ca="1" si="251"/>
        <v>2.8178718937399587</v>
      </c>
      <c r="P765" s="19">
        <f t="shared" ca="1" si="252"/>
        <v>28.178718937399587</v>
      </c>
      <c r="Q765" s="19">
        <f t="shared" ca="1" si="253"/>
        <v>26.288452865679979</v>
      </c>
      <c r="R765" s="19">
        <f t="shared" ca="1" si="254"/>
        <v>2.7233585901539783</v>
      </c>
      <c r="S765" s="19">
        <f t="shared" ca="1" si="255"/>
        <v>2.8178718937399587</v>
      </c>
      <c r="T765" s="19">
        <f t="shared" ca="1" si="256"/>
        <v>0</v>
      </c>
      <c r="U765" s="19">
        <f t="shared" ca="1" si="257"/>
        <v>1486.3251747165598</v>
      </c>
      <c r="V765" s="19">
        <f t="shared" ca="1" si="258"/>
        <v>0</v>
      </c>
      <c r="W765" s="82">
        <f t="shared" ca="1" si="259"/>
        <v>2915.4313802083334</v>
      </c>
      <c r="X765" s="19">
        <f t="shared" ca="1" si="260"/>
        <v>0</v>
      </c>
      <c r="Y765" s="19">
        <f t="shared" si="261"/>
        <v>0</v>
      </c>
      <c r="Z765" s="82">
        <f t="shared" ca="1" si="262"/>
        <v>2915.4313802083334</v>
      </c>
      <c r="AA765" s="19">
        <f t="shared" ca="1" si="263"/>
        <v>0</v>
      </c>
    </row>
    <row r="766" spans="1:27" ht="12.75" customHeight="1" x14ac:dyDescent="0.2">
      <c r="A766">
        <v>1</v>
      </c>
      <c r="B766">
        <v>2</v>
      </c>
      <c r="C766">
        <f t="shared" ca="1" si="242"/>
        <v>5</v>
      </c>
      <c r="D766">
        <f t="shared" ca="1" si="243"/>
        <v>4</v>
      </c>
      <c r="E766">
        <f t="shared" ca="1" si="244"/>
        <v>1</v>
      </c>
      <c r="F766" s="61">
        <f t="shared" ca="1" si="245"/>
        <v>1.9427113067519999E-2</v>
      </c>
      <c r="G766">
        <v>0</v>
      </c>
      <c r="H766">
        <v>1</v>
      </c>
      <c r="I766">
        <v>5</v>
      </c>
      <c r="J766" s="61">
        <f t="shared" ca="1" si="246"/>
        <v>0</v>
      </c>
      <c r="K766" s="61">
        <f t="shared" ca="1" si="247"/>
        <v>0</v>
      </c>
      <c r="L766" s="82">
        <f t="shared" ca="1" si="248"/>
        <v>216</v>
      </c>
      <c r="M766" s="16">
        <f t="shared" ca="1" si="249"/>
        <v>784</v>
      </c>
      <c r="N766" s="3">
        <f t="shared" ca="1" si="250"/>
        <v>5</v>
      </c>
      <c r="O766" s="19">
        <f t="shared" ca="1" si="251"/>
        <v>2.8178718937399587</v>
      </c>
      <c r="P766" s="19">
        <f t="shared" ca="1" si="252"/>
        <v>28.178718937399587</v>
      </c>
      <c r="Q766" s="19">
        <f t="shared" ca="1" si="253"/>
        <v>28.178718937399587</v>
      </c>
      <c r="R766" s="19">
        <f t="shared" ca="1" si="254"/>
        <v>2.8178718937399587</v>
      </c>
      <c r="S766" s="19">
        <f t="shared" ca="1" si="255"/>
        <v>2.8178718937399587</v>
      </c>
      <c r="T766" s="19">
        <f t="shared" ca="1" si="256"/>
        <v>0</v>
      </c>
      <c r="U766" s="19">
        <f t="shared" ca="1" si="257"/>
        <v>1475.3251747165598</v>
      </c>
      <c r="V766" s="19">
        <f t="shared" ca="1" si="258"/>
        <v>0</v>
      </c>
      <c r="W766" s="82">
        <f t="shared" ca="1" si="259"/>
        <v>2429.5261501736113</v>
      </c>
      <c r="X766" s="19">
        <f t="shared" ca="1" si="260"/>
        <v>0</v>
      </c>
      <c r="Y766" s="19">
        <f t="shared" si="261"/>
        <v>0</v>
      </c>
      <c r="Z766" s="82">
        <f t="shared" ca="1" si="262"/>
        <v>2429.5261501736113</v>
      </c>
      <c r="AA766" s="19">
        <f t="shared" ca="1" si="263"/>
        <v>0</v>
      </c>
    </row>
    <row r="767" spans="1:27" ht="12.75" customHeight="1" x14ac:dyDescent="0.2">
      <c r="A767">
        <v>1</v>
      </c>
      <c r="B767">
        <v>2</v>
      </c>
      <c r="C767">
        <f t="shared" ca="1" si="242"/>
        <v>5</v>
      </c>
      <c r="D767">
        <f t="shared" ca="1" si="243"/>
        <v>4</v>
      </c>
      <c r="E767">
        <f t="shared" ca="1" si="244"/>
        <v>1</v>
      </c>
      <c r="F767" s="61">
        <f t="shared" ca="1" si="245"/>
        <v>1.9427113067519999E-2</v>
      </c>
      <c r="G767">
        <v>0</v>
      </c>
      <c r="H767">
        <v>1</v>
      </c>
      <c r="I767">
        <v>4</v>
      </c>
      <c r="J767" s="61">
        <f t="shared" ca="1" si="246"/>
        <v>0</v>
      </c>
      <c r="K767" s="61">
        <f t="shared" ca="1" si="247"/>
        <v>0</v>
      </c>
      <c r="L767" s="82">
        <f t="shared" ca="1" si="248"/>
        <v>205</v>
      </c>
      <c r="M767" s="16">
        <f t="shared" ca="1" si="249"/>
        <v>795</v>
      </c>
      <c r="N767" s="3">
        <f t="shared" ca="1" si="250"/>
        <v>5</v>
      </c>
      <c r="O767" s="19">
        <f t="shared" ca="1" si="251"/>
        <v>2.8178718937399587</v>
      </c>
      <c r="P767" s="19">
        <f t="shared" ca="1" si="252"/>
        <v>28.178718937399587</v>
      </c>
      <c r="Q767" s="19">
        <f t="shared" ca="1" si="253"/>
        <v>28.178718937399587</v>
      </c>
      <c r="R767" s="19">
        <f t="shared" ca="1" si="254"/>
        <v>2.8178718937399587</v>
      </c>
      <c r="S767" s="19">
        <f t="shared" ca="1" si="255"/>
        <v>2.8178718937399587</v>
      </c>
      <c r="T767" s="19">
        <f t="shared" ca="1" si="256"/>
        <v>0</v>
      </c>
      <c r="U767" s="19">
        <f t="shared" ca="1" si="257"/>
        <v>1464.3251747165598</v>
      </c>
      <c r="V767" s="19">
        <f t="shared" ca="1" si="258"/>
        <v>0</v>
      </c>
      <c r="W767" s="82">
        <f t="shared" ca="1" si="259"/>
        <v>1943.620920138889</v>
      </c>
      <c r="X767" s="19">
        <f t="shared" ca="1" si="260"/>
        <v>0</v>
      </c>
      <c r="Y767" s="19">
        <f t="shared" si="261"/>
        <v>0</v>
      </c>
      <c r="Z767" s="82">
        <f t="shared" ca="1" si="262"/>
        <v>1943.620920138889</v>
      </c>
      <c r="AA767" s="19">
        <f t="shared" ca="1" si="263"/>
        <v>0</v>
      </c>
    </row>
    <row r="768" spans="1:27" ht="12.75" customHeight="1" x14ac:dyDescent="0.2">
      <c r="A768">
        <v>1</v>
      </c>
      <c r="B768">
        <v>2</v>
      </c>
      <c r="C768">
        <f t="shared" ca="1" si="242"/>
        <v>5</v>
      </c>
      <c r="D768">
        <f t="shared" ca="1" si="243"/>
        <v>4</v>
      </c>
      <c r="E768">
        <f t="shared" ca="1" si="244"/>
        <v>1</v>
      </c>
      <c r="F768" s="61">
        <f t="shared" ca="1" si="245"/>
        <v>1.9427113067519999E-2</v>
      </c>
      <c r="G768">
        <v>0</v>
      </c>
      <c r="H768">
        <v>1</v>
      </c>
      <c r="I768">
        <v>3</v>
      </c>
      <c r="J768" s="61">
        <f t="shared" ca="1" si="246"/>
        <v>0</v>
      </c>
      <c r="K768" s="61">
        <f t="shared" ca="1" si="247"/>
        <v>0</v>
      </c>
      <c r="L768" s="82">
        <f t="shared" ca="1" si="248"/>
        <v>194</v>
      </c>
      <c r="M768" s="16">
        <f t="shared" ca="1" si="249"/>
        <v>806</v>
      </c>
      <c r="N768" s="3">
        <f t="shared" ca="1" si="250"/>
        <v>5</v>
      </c>
      <c r="O768" s="19">
        <f t="shared" ca="1" si="251"/>
        <v>2.8178718937399587</v>
      </c>
      <c r="P768" s="19">
        <f t="shared" ca="1" si="252"/>
        <v>28.178718937399587</v>
      </c>
      <c r="Q768" s="19">
        <f t="shared" ca="1" si="253"/>
        <v>28.178718937399587</v>
      </c>
      <c r="R768" s="19">
        <f t="shared" ca="1" si="254"/>
        <v>2.8178718937399587</v>
      </c>
      <c r="S768" s="19">
        <f t="shared" ca="1" si="255"/>
        <v>2.8178718937399587</v>
      </c>
      <c r="T768" s="19">
        <f t="shared" ca="1" si="256"/>
        <v>0</v>
      </c>
      <c r="U768" s="19">
        <f t="shared" ca="1" si="257"/>
        <v>1453.3251747165598</v>
      </c>
      <c r="V768" s="19">
        <f t="shared" ca="1" si="258"/>
        <v>0</v>
      </c>
      <c r="W768" s="82">
        <f t="shared" ca="1" si="259"/>
        <v>1457.7156901041667</v>
      </c>
      <c r="X768" s="19">
        <f t="shared" ca="1" si="260"/>
        <v>0</v>
      </c>
      <c r="Y768" s="19">
        <f t="shared" si="261"/>
        <v>0</v>
      </c>
      <c r="Z768" s="82">
        <f t="shared" ca="1" si="262"/>
        <v>1457.7156901041667</v>
      </c>
      <c r="AA768" s="19">
        <f t="shared" ca="1" si="263"/>
        <v>0</v>
      </c>
    </row>
    <row r="769" spans="1:27" ht="12.75" customHeight="1" x14ac:dyDescent="0.2">
      <c r="A769">
        <v>1</v>
      </c>
      <c r="B769">
        <v>2</v>
      </c>
      <c r="C769">
        <f t="shared" ca="1" si="242"/>
        <v>5</v>
      </c>
      <c r="D769">
        <f t="shared" ca="1" si="243"/>
        <v>4</v>
      </c>
      <c r="E769">
        <f t="shared" ca="1" si="244"/>
        <v>1</v>
      </c>
      <c r="F769" s="61">
        <f t="shared" ca="1" si="245"/>
        <v>1.9427113067519999E-2</v>
      </c>
      <c r="G769">
        <v>0</v>
      </c>
      <c r="H769">
        <v>1</v>
      </c>
      <c r="I769">
        <v>2</v>
      </c>
      <c r="J769" s="61">
        <f t="shared" ca="1" si="246"/>
        <v>0</v>
      </c>
      <c r="K769" s="61">
        <f t="shared" ca="1" si="247"/>
        <v>0</v>
      </c>
      <c r="L769" s="82">
        <f t="shared" ca="1" si="248"/>
        <v>183</v>
      </c>
      <c r="M769" s="16">
        <f t="shared" ca="1" si="249"/>
        <v>817</v>
      </c>
      <c r="N769" s="3">
        <f t="shared" ca="1" si="250"/>
        <v>5</v>
      </c>
      <c r="O769" s="19">
        <f t="shared" ca="1" si="251"/>
        <v>2.8178718937399587</v>
      </c>
      <c r="P769" s="19">
        <f t="shared" ca="1" si="252"/>
        <v>28.178718937399587</v>
      </c>
      <c r="Q769" s="19">
        <f t="shared" ca="1" si="253"/>
        <v>28.178718937399587</v>
      </c>
      <c r="R769" s="19">
        <f t="shared" ca="1" si="254"/>
        <v>2.8178718937399587</v>
      </c>
      <c r="S769" s="19">
        <f t="shared" ca="1" si="255"/>
        <v>2.8178718937399587</v>
      </c>
      <c r="T769" s="19">
        <f t="shared" ca="1" si="256"/>
        <v>0</v>
      </c>
      <c r="U769" s="19">
        <f t="shared" ca="1" si="257"/>
        <v>1442.3251747165598</v>
      </c>
      <c r="V769" s="19">
        <f t="shared" ca="1" si="258"/>
        <v>0</v>
      </c>
      <c r="W769" s="82">
        <f t="shared" ca="1" si="259"/>
        <v>971.8104600694445</v>
      </c>
      <c r="X769" s="19">
        <f t="shared" ca="1" si="260"/>
        <v>0</v>
      </c>
      <c r="Y769" s="19">
        <f t="shared" si="261"/>
        <v>0</v>
      </c>
      <c r="Z769" s="82">
        <f t="shared" ca="1" si="262"/>
        <v>971.8104600694445</v>
      </c>
      <c r="AA769" s="19">
        <f t="shared" ca="1" si="263"/>
        <v>0</v>
      </c>
    </row>
    <row r="770" spans="1:27" ht="12.75" customHeight="1" x14ac:dyDescent="0.2">
      <c r="A770">
        <v>1</v>
      </c>
      <c r="B770">
        <v>2</v>
      </c>
      <c r="C770">
        <f t="shared" ca="1" si="242"/>
        <v>5</v>
      </c>
      <c r="D770">
        <f t="shared" ca="1" si="243"/>
        <v>4</v>
      </c>
      <c r="E770">
        <f t="shared" ca="1" si="244"/>
        <v>1</v>
      </c>
      <c r="F770" s="61">
        <f t="shared" ca="1" si="245"/>
        <v>1.9427113067519999E-2</v>
      </c>
      <c r="G770">
        <v>0</v>
      </c>
      <c r="H770">
        <v>1</v>
      </c>
      <c r="I770">
        <v>1</v>
      </c>
      <c r="J770" s="61">
        <f t="shared" ca="1" si="246"/>
        <v>0</v>
      </c>
      <c r="K770" s="61">
        <f t="shared" ca="1" si="247"/>
        <v>0</v>
      </c>
      <c r="L770" s="82">
        <f t="shared" ca="1" si="248"/>
        <v>172</v>
      </c>
      <c r="M770" s="16">
        <f t="shared" ca="1" si="249"/>
        <v>828</v>
      </c>
      <c r="N770" s="3">
        <f t="shared" ca="1" si="250"/>
        <v>5</v>
      </c>
      <c r="O770" s="19">
        <f t="shared" ca="1" si="251"/>
        <v>2.8178718937399587</v>
      </c>
      <c r="P770" s="19">
        <f t="shared" ca="1" si="252"/>
        <v>28.178718937399587</v>
      </c>
      <c r="Q770" s="19">
        <f t="shared" ca="1" si="253"/>
        <v>28.178718937399587</v>
      </c>
      <c r="R770" s="19">
        <f t="shared" ca="1" si="254"/>
        <v>2.8178718937399587</v>
      </c>
      <c r="S770" s="19">
        <f t="shared" ca="1" si="255"/>
        <v>2.8178718937399587</v>
      </c>
      <c r="T770" s="19">
        <f t="shared" ca="1" si="256"/>
        <v>0</v>
      </c>
      <c r="U770" s="19">
        <f t="shared" ca="1" si="257"/>
        <v>1431.3251747165598</v>
      </c>
      <c r="V770" s="19">
        <f t="shared" ca="1" si="258"/>
        <v>0</v>
      </c>
      <c r="W770" s="82">
        <f t="shared" ca="1" si="259"/>
        <v>485.90523003472225</v>
      </c>
      <c r="X770" s="19">
        <f t="shared" ca="1" si="260"/>
        <v>0</v>
      </c>
      <c r="Y770" s="19">
        <f t="shared" si="261"/>
        <v>0</v>
      </c>
      <c r="Z770" s="82">
        <f t="shared" ca="1" si="262"/>
        <v>485.90523003472225</v>
      </c>
      <c r="AA770" s="19">
        <f t="shared" ca="1" si="263"/>
        <v>0</v>
      </c>
    </row>
    <row r="771" spans="1:27" ht="12.75" customHeight="1" x14ac:dyDescent="0.2">
      <c r="A771">
        <v>1</v>
      </c>
      <c r="B771">
        <v>2</v>
      </c>
      <c r="C771">
        <f t="shared" ca="1" si="242"/>
        <v>5</v>
      </c>
      <c r="D771">
        <f t="shared" ca="1" si="243"/>
        <v>4</v>
      </c>
      <c r="E771">
        <f t="shared" ca="1" si="244"/>
        <v>1</v>
      </c>
      <c r="F771" s="61">
        <f t="shared" ca="1" si="245"/>
        <v>1.9427113067519999E-2</v>
      </c>
      <c r="G771">
        <v>0</v>
      </c>
      <c r="H771">
        <v>1</v>
      </c>
      <c r="I771">
        <v>0</v>
      </c>
      <c r="J771" s="61">
        <f t="shared" ca="1" si="246"/>
        <v>0</v>
      </c>
      <c r="K771" s="61">
        <f t="shared" ca="1" si="247"/>
        <v>0</v>
      </c>
      <c r="L771" s="82">
        <f t="shared" ca="1" si="248"/>
        <v>161</v>
      </c>
      <c r="M771" s="16">
        <f t="shared" ca="1" si="249"/>
        <v>839</v>
      </c>
      <c r="N771" s="3">
        <f t="shared" ca="1" si="250"/>
        <v>5</v>
      </c>
      <c r="O771" s="19">
        <f t="shared" ca="1" si="251"/>
        <v>2.8178718937399587</v>
      </c>
      <c r="P771" s="19">
        <f t="shared" ca="1" si="252"/>
        <v>28.178718937399587</v>
      </c>
      <c r="Q771" s="19">
        <f t="shared" ca="1" si="253"/>
        <v>28.178718937399587</v>
      </c>
      <c r="R771" s="19">
        <f t="shared" ca="1" si="254"/>
        <v>2.8178718937399587</v>
      </c>
      <c r="S771" s="19">
        <f t="shared" ca="1" si="255"/>
        <v>2.8178718937399587</v>
      </c>
      <c r="T771" s="19">
        <f t="shared" ca="1" si="256"/>
        <v>0</v>
      </c>
      <c r="U771" s="19">
        <f t="shared" ca="1" si="257"/>
        <v>1420.3251747165598</v>
      </c>
      <c r="V771" s="19">
        <f t="shared" ca="1" si="258"/>
        <v>0</v>
      </c>
      <c r="W771" s="82">
        <f t="shared" ca="1" si="259"/>
        <v>0</v>
      </c>
      <c r="X771" s="19">
        <f t="shared" ca="1" si="260"/>
        <v>0</v>
      </c>
      <c r="Y771" s="19">
        <f t="shared" si="261"/>
        <v>0</v>
      </c>
      <c r="Z771" s="82">
        <f t="shared" ca="1" si="262"/>
        <v>0</v>
      </c>
      <c r="AA771" s="19">
        <f t="shared" ca="1" si="263"/>
        <v>0</v>
      </c>
    </row>
    <row r="772" spans="1:27" ht="12.75" customHeight="1" x14ac:dyDescent="0.2">
      <c r="A772">
        <v>1</v>
      </c>
      <c r="B772">
        <v>2</v>
      </c>
      <c r="C772">
        <f t="shared" ca="1" si="242"/>
        <v>5</v>
      </c>
      <c r="D772">
        <f t="shared" ca="1" si="243"/>
        <v>4</v>
      </c>
      <c r="E772">
        <f t="shared" ca="1" si="244"/>
        <v>1</v>
      </c>
      <c r="F772" s="61">
        <f t="shared" ca="1" si="245"/>
        <v>1.9427113067519999E-2</v>
      </c>
      <c r="G772">
        <v>0</v>
      </c>
      <c r="H772">
        <v>0</v>
      </c>
      <c r="I772">
        <v>7</v>
      </c>
      <c r="J772" s="61">
        <f t="shared" ca="1" si="246"/>
        <v>0</v>
      </c>
      <c r="K772" s="61">
        <f t="shared" ca="1" si="247"/>
        <v>0</v>
      </c>
      <c r="L772" s="82">
        <f t="shared" ca="1" si="248"/>
        <v>77</v>
      </c>
      <c r="M772" s="16">
        <f t="shared" ca="1" si="249"/>
        <v>923</v>
      </c>
      <c r="N772" s="3">
        <f t="shared" ca="1" si="250"/>
        <v>5</v>
      </c>
      <c r="O772" s="19">
        <f t="shared" ca="1" si="251"/>
        <v>2.8178718937399587</v>
      </c>
      <c r="P772" s="19">
        <f t="shared" ca="1" si="252"/>
        <v>28.178718937399587</v>
      </c>
      <c r="Q772" s="19">
        <f t="shared" ca="1" si="253"/>
        <v>28.178718937399587</v>
      </c>
      <c r="R772" s="19">
        <f t="shared" ca="1" si="254"/>
        <v>2.8178718937399587</v>
      </c>
      <c r="S772" s="19">
        <f t="shared" ca="1" si="255"/>
        <v>2.8178718937399587</v>
      </c>
      <c r="T772" s="19">
        <f t="shared" ca="1" si="256"/>
        <v>0</v>
      </c>
      <c r="U772" s="19">
        <f t="shared" ca="1" si="257"/>
        <v>1336.3251747165598</v>
      </c>
      <c r="V772" s="19">
        <f t="shared" ca="1" si="258"/>
        <v>0</v>
      </c>
      <c r="W772" s="82">
        <f t="shared" ca="1" si="259"/>
        <v>3401.3366102430559</v>
      </c>
      <c r="X772" s="19">
        <f t="shared" ca="1" si="260"/>
        <v>0</v>
      </c>
      <c r="Y772" s="19">
        <f t="shared" si="261"/>
        <v>0</v>
      </c>
      <c r="Z772" s="82">
        <f t="shared" ca="1" si="262"/>
        <v>3401.3366102430559</v>
      </c>
      <c r="AA772" s="19">
        <f t="shared" ca="1" si="263"/>
        <v>0</v>
      </c>
    </row>
    <row r="773" spans="1:27" ht="12.75" customHeight="1" x14ac:dyDescent="0.2">
      <c r="A773">
        <v>1</v>
      </c>
      <c r="B773">
        <v>2</v>
      </c>
      <c r="C773">
        <f t="shared" ca="1" si="242"/>
        <v>5</v>
      </c>
      <c r="D773">
        <f t="shared" ca="1" si="243"/>
        <v>4</v>
      </c>
      <c r="E773">
        <f t="shared" ca="1" si="244"/>
        <v>1</v>
      </c>
      <c r="F773" s="61">
        <f t="shared" ca="1" si="245"/>
        <v>1.9427113067519999E-2</v>
      </c>
      <c r="G773">
        <v>0</v>
      </c>
      <c r="H773">
        <v>0</v>
      </c>
      <c r="I773">
        <v>6</v>
      </c>
      <c r="J773" s="61">
        <f t="shared" ca="1" si="246"/>
        <v>0</v>
      </c>
      <c r="K773" s="61">
        <f t="shared" ca="1" si="247"/>
        <v>0</v>
      </c>
      <c r="L773" s="82">
        <f t="shared" ca="1" si="248"/>
        <v>66</v>
      </c>
      <c r="M773" s="16">
        <f t="shared" ca="1" si="249"/>
        <v>934</v>
      </c>
      <c r="N773" s="3">
        <f t="shared" ca="1" si="250"/>
        <v>5</v>
      </c>
      <c r="O773" s="19">
        <f t="shared" ca="1" si="251"/>
        <v>2.8178718937399587</v>
      </c>
      <c r="P773" s="19">
        <f t="shared" ca="1" si="252"/>
        <v>28.178718937399587</v>
      </c>
      <c r="Q773" s="19">
        <f t="shared" ca="1" si="253"/>
        <v>28.178718937399587</v>
      </c>
      <c r="R773" s="19">
        <f t="shared" ca="1" si="254"/>
        <v>2.8178718937399587</v>
      </c>
      <c r="S773" s="19">
        <f t="shared" ca="1" si="255"/>
        <v>2.8178718937399587</v>
      </c>
      <c r="T773" s="19">
        <f t="shared" ca="1" si="256"/>
        <v>0</v>
      </c>
      <c r="U773" s="19">
        <f t="shared" ca="1" si="257"/>
        <v>1325.3251747165598</v>
      </c>
      <c r="V773" s="19">
        <f t="shared" ca="1" si="258"/>
        <v>0</v>
      </c>
      <c r="W773" s="82">
        <f t="shared" ca="1" si="259"/>
        <v>2915.4313802083334</v>
      </c>
      <c r="X773" s="19">
        <f t="shared" ca="1" si="260"/>
        <v>0</v>
      </c>
      <c r="Y773" s="19">
        <f t="shared" si="261"/>
        <v>0</v>
      </c>
      <c r="Z773" s="82">
        <f t="shared" ca="1" si="262"/>
        <v>2915.4313802083334</v>
      </c>
      <c r="AA773" s="19">
        <f t="shared" ca="1" si="263"/>
        <v>0</v>
      </c>
    </row>
    <row r="774" spans="1:27" ht="12.75" customHeight="1" x14ac:dyDescent="0.2">
      <c r="A774">
        <v>1</v>
      </c>
      <c r="B774">
        <v>2</v>
      </c>
      <c r="C774">
        <f t="shared" ca="1" si="242"/>
        <v>5</v>
      </c>
      <c r="D774">
        <f t="shared" ca="1" si="243"/>
        <v>4</v>
      </c>
      <c r="E774">
        <f t="shared" ca="1" si="244"/>
        <v>1</v>
      </c>
      <c r="F774" s="61">
        <f t="shared" ca="1" si="245"/>
        <v>1.9427113067519999E-2</v>
      </c>
      <c r="G774">
        <v>0</v>
      </c>
      <c r="H774">
        <v>0</v>
      </c>
      <c r="I774">
        <v>5</v>
      </c>
      <c r="J774" s="61">
        <f t="shared" ca="1" si="246"/>
        <v>0</v>
      </c>
      <c r="K774" s="61">
        <f t="shared" ca="1" si="247"/>
        <v>0</v>
      </c>
      <c r="L774" s="82">
        <f t="shared" ca="1" si="248"/>
        <v>55</v>
      </c>
      <c r="M774" s="16">
        <f t="shared" ca="1" si="249"/>
        <v>945</v>
      </c>
      <c r="N774" s="3">
        <f t="shared" ca="1" si="250"/>
        <v>5</v>
      </c>
      <c r="O774" s="19">
        <f t="shared" ca="1" si="251"/>
        <v>2.8178718937399587</v>
      </c>
      <c r="P774" s="19">
        <f t="shared" ca="1" si="252"/>
        <v>28.178718937399587</v>
      </c>
      <c r="Q774" s="19">
        <f t="shared" ca="1" si="253"/>
        <v>28.178718937399587</v>
      </c>
      <c r="R774" s="19">
        <f t="shared" ca="1" si="254"/>
        <v>2.8178718937399587</v>
      </c>
      <c r="S774" s="19">
        <f t="shared" ca="1" si="255"/>
        <v>2.8178718937399587</v>
      </c>
      <c r="T774" s="19">
        <f t="shared" ca="1" si="256"/>
        <v>0</v>
      </c>
      <c r="U774" s="19">
        <f t="shared" ca="1" si="257"/>
        <v>1314.3251747165598</v>
      </c>
      <c r="V774" s="19">
        <f t="shared" ca="1" si="258"/>
        <v>0</v>
      </c>
      <c r="W774" s="82">
        <f t="shared" ca="1" si="259"/>
        <v>2429.5261501736113</v>
      </c>
      <c r="X774" s="19">
        <f t="shared" ca="1" si="260"/>
        <v>0</v>
      </c>
      <c r="Y774" s="19">
        <f t="shared" si="261"/>
        <v>0</v>
      </c>
      <c r="Z774" s="82">
        <f t="shared" ca="1" si="262"/>
        <v>2429.5261501736113</v>
      </c>
      <c r="AA774" s="19">
        <f t="shared" ca="1" si="263"/>
        <v>0</v>
      </c>
    </row>
    <row r="775" spans="1:27" ht="12.75" customHeight="1" x14ac:dyDescent="0.2">
      <c r="A775">
        <v>1</v>
      </c>
      <c r="B775">
        <v>2</v>
      </c>
      <c r="C775">
        <f t="shared" ca="1" si="242"/>
        <v>5</v>
      </c>
      <c r="D775">
        <f t="shared" ca="1" si="243"/>
        <v>4</v>
      </c>
      <c r="E775">
        <f t="shared" ca="1" si="244"/>
        <v>1</v>
      </c>
      <c r="F775" s="61">
        <f t="shared" ca="1" si="245"/>
        <v>1.9427113067519999E-2</v>
      </c>
      <c r="G775">
        <v>0</v>
      </c>
      <c r="H775">
        <v>0</v>
      </c>
      <c r="I775">
        <v>4</v>
      </c>
      <c r="J775" s="61">
        <f t="shared" ca="1" si="246"/>
        <v>4.0725312499999999E-2</v>
      </c>
      <c r="K775" s="61">
        <f t="shared" ca="1" si="247"/>
        <v>7.9117525064758556E-4</v>
      </c>
      <c r="L775" s="82">
        <f t="shared" ca="1" si="248"/>
        <v>44</v>
      </c>
      <c r="M775" s="16">
        <f t="shared" ca="1" si="249"/>
        <v>956</v>
      </c>
      <c r="N775" s="3">
        <f t="shared" ca="1" si="250"/>
        <v>6</v>
      </c>
      <c r="O775" s="19">
        <f t="shared" ca="1" si="251"/>
        <v>3.3239268932937667</v>
      </c>
      <c r="P775" s="19">
        <f t="shared" ca="1" si="252"/>
        <v>33.239268932937669</v>
      </c>
      <c r="Q775" s="19">
        <f t="shared" ca="1" si="253"/>
        <v>28.178718937399587</v>
      </c>
      <c r="R775" s="19">
        <f t="shared" ca="1" si="254"/>
        <v>3.0708993935168629</v>
      </c>
      <c r="S775" s="19">
        <f t="shared" ca="1" si="255"/>
        <v>3.3239268932937667</v>
      </c>
      <c r="T775" s="19">
        <f t="shared" ca="1" si="256"/>
        <v>2.6298086929359464E-3</v>
      </c>
      <c r="U775" s="19">
        <f t="shared" ca="1" si="257"/>
        <v>1495.4024523027438</v>
      </c>
      <c r="V775" s="19">
        <f t="shared" ca="1" si="258"/>
        <v>1.1831254100196373</v>
      </c>
      <c r="W775" s="82">
        <f t="shared" ca="1" si="259"/>
        <v>1943.620920138889</v>
      </c>
      <c r="X775" s="19">
        <f t="shared" ca="1" si="260"/>
        <v>1.5377447686547763</v>
      </c>
      <c r="Y775" s="19">
        <f t="shared" si="261"/>
        <v>0</v>
      </c>
      <c r="Z775" s="82">
        <f t="shared" ca="1" si="262"/>
        <v>1943.620920138889</v>
      </c>
      <c r="AA775" s="19">
        <f t="shared" ca="1" si="263"/>
        <v>1.5377447686547763</v>
      </c>
    </row>
    <row r="776" spans="1:27" ht="12.75" customHeight="1" x14ac:dyDescent="0.2">
      <c r="A776">
        <v>1</v>
      </c>
      <c r="B776">
        <v>2</v>
      </c>
      <c r="C776">
        <f t="shared" ca="1" si="242"/>
        <v>5</v>
      </c>
      <c r="D776">
        <f t="shared" ca="1" si="243"/>
        <v>4</v>
      </c>
      <c r="E776">
        <f t="shared" ca="1" si="244"/>
        <v>1</v>
      </c>
      <c r="F776" s="61">
        <f t="shared" ca="1" si="245"/>
        <v>1.9427113067519999E-2</v>
      </c>
      <c r="G776">
        <v>0</v>
      </c>
      <c r="H776">
        <v>0</v>
      </c>
      <c r="I776">
        <v>3</v>
      </c>
      <c r="J776" s="61">
        <f t="shared" ca="1" si="246"/>
        <v>8.5737500000000067E-3</v>
      </c>
      <c r="K776" s="61">
        <f t="shared" ca="1" si="247"/>
        <v>1.6656321066264973E-4</v>
      </c>
      <c r="L776" s="82">
        <f t="shared" ca="1" si="248"/>
        <v>33</v>
      </c>
      <c r="M776" s="16">
        <f t="shared" ca="1" si="249"/>
        <v>967</v>
      </c>
      <c r="N776" s="3">
        <f t="shared" ca="1" si="250"/>
        <v>6</v>
      </c>
      <c r="O776" s="19">
        <f t="shared" ca="1" si="251"/>
        <v>3.3239268932937667</v>
      </c>
      <c r="P776" s="19">
        <f t="shared" ca="1" si="252"/>
        <v>33.239268932937669</v>
      </c>
      <c r="Q776" s="19">
        <f t="shared" ca="1" si="253"/>
        <v>33.239268932937669</v>
      </c>
      <c r="R776" s="19">
        <f t="shared" ca="1" si="254"/>
        <v>3.3239268932937671</v>
      </c>
      <c r="S776" s="19">
        <f t="shared" ca="1" si="255"/>
        <v>3.3239268932937667</v>
      </c>
      <c r="T776" s="19">
        <f t="shared" ca="1" si="256"/>
        <v>5.5364393535493656E-4</v>
      </c>
      <c r="U776" s="19">
        <f t="shared" ca="1" si="257"/>
        <v>1484.4024523027438</v>
      </c>
      <c r="V776" s="19">
        <f t="shared" ca="1" si="258"/>
        <v>0.24724683837105577</v>
      </c>
      <c r="W776" s="82">
        <f t="shared" ca="1" si="259"/>
        <v>1457.7156901041667</v>
      </c>
      <c r="X776" s="19">
        <f t="shared" ca="1" si="260"/>
        <v>0.24280180557707015</v>
      </c>
      <c r="Y776" s="19">
        <f t="shared" si="261"/>
        <v>0</v>
      </c>
      <c r="Z776" s="82">
        <f t="shared" ca="1" si="262"/>
        <v>1457.7156901041667</v>
      </c>
      <c r="AA776" s="19">
        <f t="shared" ca="1" si="263"/>
        <v>0.24280180557707015</v>
      </c>
    </row>
    <row r="777" spans="1:27" ht="12.75" customHeight="1" x14ac:dyDescent="0.2">
      <c r="A777">
        <v>1</v>
      </c>
      <c r="B777">
        <v>2</v>
      </c>
      <c r="C777">
        <f t="shared" ca="1" si="242"/>
        <v>5</v>
      </c>
      <c r="D777">
        <f t="shared" ca="1" si="243"/>
        <v>4</v>
      </c>
      <c r="E777">
        <f t="shared" ca="1" si="244"/>
        <v>1</v>
      </c>
      <c r="F777" s="61">
        <f t="shared" ca="1" si="245"/>
        <v>1.9427113067519999E-2</v>
      </c>
      <c r="G777">
        <v>0</v>
      </c>
      <c r="H777">
        <v>0</v>
      </c>
      <c r="I777">
        <v>2</v>
      </c>
      <c r="J777" s="61">
        <f t="shared" ca="1" si="246"/>
        <v>6.7687500000000126E-4</v>
      </c>
      <c r="K777" s="61">
        <f t="shared" ca="1" si="247"/>
        <v>1.3149727157577625E-5</v>
      </c>
      <c r="L777" s="82">
        <f t="shared" ca="1" si="248"/>
        <v>22</v>
      </c>
      <c r="M777" s="16">
        <f t="shared" ca="1" si="249"/>
        <v>978</v>
      </c>
      <c r="N777" s="3">
        <f t="shared" ca="1" si="250"/>
        <v>6</v>
      </c>
      <c r="O777" s="19">
        <f t="shared" ca="1" si="251"/>
        <v>3.3239268932937667</v>
      </c>
      <c r="P777" s="19">
        <f t="shared" ca="1" si="252"/>
        <v>33.239268932937669</v>
      </c>
      <c r="Q777" s="19">
        <f t="shared" ca="1" si="253"/>
        <v>33.239268932937669</v>
      </c>
      <c r="R777" s="19">
        <f t="shared" ca="1" si="254"/>
        <v>3.3239268932937671</v>
      </c>
      <c r="S777" s="19">
        <f t="shared" ca="1" si="255"/>
        <v>3.3239268932937667</v>
      </c>
      <c r="T777" s="19">
        <f t="shared" ca="1" si="256"/>
        <v>4.3708731738547666E-5</v>
      </c>
      <c r="U777" s="19">
        <f t="shared" ca="1" si="257"/>
        <v>1473.4024523027438</v>
      </c>
      <c r="V777" s="19">
        <f t="shared" ca="1" si="258"/>
        <v>1.937484024108686E-2</v>
      </c>
      <c r="W777" s="82">
        <f t="shared" ca="1" si="259"/>
        <v>971.8104600694445</v>
      </c>
      <c r="X777" s="19">
        <f t="shared" ca="1" si="260"/>
        <v>1.277904239879318E-2</v>
      </c>
      <c r="Y777" s="19">
        <f t="shared" si="261"/>
        <v>0</v>
      </c>
      <c r="Z777" s="82">
        <f t="shared" ca="1" si="262"/>
        <v>971.8104600694445</v>
      </c>
      <c r="AA777" s="19">
        <f t="shared" ca="1" si="263"/>
        <v>1.277904239879318E-2</v>
      </c>
    </row>
    <row r="778" spans="1:27" ht="12.75" customHeight="1" x14ac:dyDescent="0.2">
      <c r="A778">
        <v>1</v>
      </c>
      <c r="B778">
        <v>2</v>
      </c>
      <c r="C778">
        <f t="shared" ca="1" si="242"/>
        <v>5</v>
      </c>
      <c r="D778">
        <f t="shared" ca="1" si="243"/>
        <v>4</v>
      </c>
      <c r="E778">
        <f t="shared" ca="1" si="244"/>
        <v>1</v>
      </c>
      <c r="F778" s="61">
        <f t="shared" ca="1" si="245"/>
        <v>1.9427113067519999E-2</v>
      </c>
      <c r="G778">
        <v>0</v>
      </c>
      <c r="H778">
        <v>0</v>
      </c>
      <c r="I778">
        <v>1</v>
      </c>
      <c r="J778" s="61">
        <f t="shared" ca="1" si="246"/>
        <v>2.3750000000000062E-5</v>
      </c>
      <c r="K778" s="61">
        <f t="shared" ca="1" si="247"/>
        <v>4.6139393535360122E-7</v>
      </c>
      <c r="L778" s="82">
        <f t="shared" ca="1" si="248"/>
        <v>11</v>
      </c>
      <c r="M778" s="16">
        <f t="shared" ca="1" si="249"/>
        <v>989</v>
      </c>
      <c r="N778" s="3">
        <f t="shared" ca="1" si="250"/>
        <v>6</v>
      </c>
      <c r="O778" s="19">
        <f t="shared" ca="1" si="251"/>
        <v>3.3239268932937667</v>
      </c>
      <c r="P778" s="19">
        <f t="shared" ca="1" si="252"/>
        <v>33.239268932937669</v>
      </c>
      <c r="Q778" s="19">
        <f t="shared" ca="1" si="253"/>
        <v>33.239268932937669</v>
      </c>
      <c r="R778" s="19">
        <f t="shared" ca="1" si="254"/>
        <v>3.3239268932937671</v>
      </c>
      <c r="S778" s="19">
        <f t="shared" ca="1" si="255"/>
        <v>3.3239268932937667</v>
      </c>
      <c r="T778" s="19">
        <f t="shared" ca="1" si="256"/>
        <v>1.5336397101244807E-6</v>
      </c>
      <c r="U778" s="19">
        <f t="shared" ca="1" si="257"/>
        <v>1462.4024523027438</v>
      </c>
      <c r="V778" s="19">
        <f t="shared" ca="1" si="258"/>
        <v>6.7474362253872001E-4</v>
      </c>
      <c r="W778" s="82">
        <f t="shared" ca="1" si="259"/>
        <v>485.90523003472225</v>
      </c>
      <c r="X778" s="19">
        <f t="shared" ca="1" si="260"/>
        <v>2.2419372629461736E-4</v>
      </c>
      <c r="Y778" s="19">
        <f t="shared" si="261"/>
        <v>0</v>
      </c>
      <c r="Z778" s="82">
        <f t="shared" ca="1" si="262"/>
        <v>485.90523003472225</v>
      </c>
      <c r="AA778" s="19">
        <f t="shared" ca="1" si="263"/>
        <v>2.2419372629461736E-4</v>
      </c>
    </row>
    <row r="779" spans="1:27" ht="12.75" customHeight="1" x14ac:dyDescent="0.2">
      <c r="A779">
        <v>1</v>
      </c>
      <c r="B779">
        <v>2</v>
      </c>
      <c r="C779">
        <f t="shared" ca="1" si="242"/>
        <v>5</v>
      </c>
      <c r="D779">
        <f t="shared" ca="1" si="243"/>
        <v>4</v>
      </c>
      <c r="E779">
        <f t="shared" ca="1" si="244"/>
        <v>1</v>
      </c>
      <c r="F779" s="61">
        <f t="shared" ca="1" si="245"/>
        <v>1.9427113067519999E-2</v>
      </c>
      <c r="G779">
        <v>0</v>
      </c>
      <c r="H779">
        <v>0</v>
      </c>
      <c r="I779">
        <v>0</v>
      </c>
      <c r="J779" s="61">
        <f t="shared" ca="1" si="246"/>
        <v>3.1250000000000114E-7</v>
      </c>
      <c r="K779" s="61">
        <f t="shared" ca="1" si="247"/>
        <v>6.0709728336000217E-9</v>
      </c>
      <c r="L779" s="82">
        <f t="shared" ca="1" si="248"/>
        <v>0</v>
      </c>
      <c r="M779" s="16">
        <f t="shared" ca="1" si="249"/>
        <v>1000</v>
      </c>
      <c r="N779" s="3">
        <f t="shared" ca="1" si="250"/>
        <v>6</v>
      </c>
      <c r="O779" s="19">
        <f t="shared" ca="1" si="251"/>
        <v>3.3239268932937667</v>
      </c>
      <c r="P779" s="19">
        <f t="shared" ca="1" si="252"/>
        <v>33.239268932937669</v>
      </c>
      <c r="Q779" s="19">
        <f t="shared" ca="1" si="253"/>
        <v>33.239268932937669</v>
      </c>
      <c r="R779" s="19">
        <f t="shared" ca="1" si="254"/>
        <v>3.3239268932937671</v>
      </c>
      <c r="S779" s="19">
        <f t="shared" ca="1" si="255"/>
        <v>3.3239268932937667</v>
      </c>
      <c r="T779" s="19">
        <f t="shared" ca="1" si="256"/>
        <v>2.0179469870058974E-8</v>
      </c>
      <c r="U779" s="19">
        <f t="shared" ca="1" si="257"/>
        <v>1451.4024523027438</v>
      </c>
      <c r="V779" s="19">
        <f t="shared" ca="1" si="258"/>
        <v>8.811424858550409E-6</v>
      </c>
      <c r="W779" s="82">
        <f t="shared" ca="1" si="259"/>
        <v>0</v>
      </c>
      <c r="X779" s="19">
        <f t="shared" ca="1" si="260"/>
        <v>0</v>
      </c>
      <c r="Y779" s="19">
        <f t="shared" si="261"/>
        <v>0</v>
      </c>
      <c r="Z779" s="82">
        <f t="shared" ca="1" si="262"/>
        <v>0</v>
      </c>
      <c r="AA779" s="19">
        <f t="shared" ca="1" si="263"/>
        <v>0</v>
      </c>
    </row>
    <row r="780" spans="1:27" ht="12.75" customHeight="1" x14ac:dyDescent="0.2">
      <c r="A780">
        <v>1</v>
      </c>
      <c r="B780">
        <v>3</v>
      </c>
      <c r="C780">
        <f t="shared" ca="1" si="242"/>
        <v>6</v>
      </c>
      <c r="D780">
        <f t="shared" ca="1" si="243"/>
        <v>5</v>
      </c>
      <c r="E780">
        <f t="shared" ca="1" si="244"/>
        <v>1</v>
      </c>
      <c r="F780" s="61">
        <f t="shared" ca="1" si="245"/>
        <v>1.5020963711999999E-2</v>
      </c>
      <c r="G780">
        <v>1</v>
      </c>
      <c r="H780">
        <v>1</v>
      </c>
      <c r="I780">
        <v>7</v>
      </c>
      <c r="J780" s="61">
        <f t="shared" ca="1" si="246"/>
        <v>0</v>
      </c>
      <c r="K780" s="61">
        <f t="shared" ca="1" si="247"/>
        <v>0</v>
      </c>
      <c r="L780" s="82">
        <f t="shared" ca="1" si="248"/>
        <v>399</v>
      </c>
      <c r="M780" s="16">
        <f t="shared" ca="1" si="249"/>
        <v>601</v>
      </c>
      <c r="N780" s="3">
        <f t="shared" ca="1" si="250"/>
        <v>4</v>
      </c>
      <c r="O780" s="19">
        <f t="shared" ca="1" si="251"/>
        <v>2.3453053758100548</v>
      </c>
      <c r="P780" s="19">
        <f t="shared" ca="1" si="252"/>
        <v>23.453053758100552</v>
      </c>
      <c r="Q780" s="19">
        <f t="shared" ca="1" si="253"/>
        <v>23.453053758100552</v>
      </c>
      <c r="R780" s="19">
        <f t="shared" ca="1" si="254"/>
        <v>2.3453053758100553</v>
      </c>
      <c r="S780" s="19">
        <f t="shared" ca="1" si="255"/>
        <v>2.3453053758100548</v>
      </c>
      <c r="T780" s="19">
        <f t="shared" ca="1" si="256"/>
        <v>0</v>
      </c>
      <c r="U780" s="19">
        <f t="shared" ca="1" si="257"/>
        <v>1478.9587218163997</v>
      </c>
      <c r="V780" s="19">
        <f t="shared" ca="1" si="258"/>
        <v>0</v>
      </c>
      <c r="W780" s="82">
        <f t="shared" ca="1" si="259"/>
        <v>5718.7981307870377</v>
      </c>
      <c r="X780" s="19">
        <f t="shared" ca="1" si="260"/>
        <v>0</v>
      </c>
      <c r="Y780" s="19">
        <f t="shared" si="261"/>
        <v>0</v>
      </c>
      <c r="Z780" s="82">
        <f t="shared" ca="1" si="262"/>
        <v>5718.7981307870377</v>
      </c>
      <c r="AA780" s="19">
        <f t="shared" ca="1" si="263"/>
        <v>0</v>
      </c>
    </row>
    <row r="781" spans="1:27" ht="12.75" customHeight="1" x14ac:dyDescent="0.2">
      <c r="A781">
        <v>1</v>
      </c>
      <c r="B781">
        <v>3</v>
      </c>
      <c r="C781">
        <f t="shared" ca="1" si="242"/>
        <v>6</v>
      </c>
      <c r="D781">
        <f t="shared" ca="1" si="243"/>
        <v>5</v>
      </c>
      <c r="E781">
        <f t="shared" ca="1" si="244"/>
        <v>1</v>
      </c>
      <c r="F781" s="61">
        <f t="shared" ca="1" si="245"/>
        <v>1.5020963711999999E-2</v>
      </c>
      <c r="G781">
        <v>1</v>
      </c>
      <c r="H781">
        <v>1</v>
      </c>
      <c r="I781">
        <v>6</v>
      </c>
      <c r="J781" s="61">
        <f t="shared" ca="1" si="246"/>
        <v>0</v>
      </c>
      <c r="K781" s="61">
        <f t="shared" ca="1" si="247"/>
        <v>0</v>
      </c>
      <c r="L781" s="82">
        <f t="shared" ca="1" si="248"/>
        <v>388</v>
      </c>
      <c r="M781" s="16">
        <f t="shared" ca="1" si="249"/>
        <v>612</v>
      </c>
      <c r="N781" s="3">
        <f t="shared" ca="1" si="250"/>
        <v>4</v>
      </c>
      <c r="O781" s="19">
        <f t="shared" ca="1" si="251"/>
        <v>2.3453053758100548</v>
      </c>
      <c r="P781" s="19">
        <f t="shared" ca="1" si="252"/>
        <v>23.453053758100552</v>
      </c>
      <c r="Q781" s="19">
        <f t="shared" ca="1" si="253"/>
        <v>23.453053758100552</v>
      </c>
      <c r="R781" s="19">
        <f t="shared" ca="1" si="254"/>
        <v>2.3453053758100553</v>
      </c>
      <c r="S781" s="19">
        <f t="shared" ca="1" si="255"/>
        <v>2.3453053758100548</v>
      </c>
      <c r="T781" s="19">
        <f t="shared" ca="1" si="256"/>
        <v>0</v>
      </c>
      <c r="U781" s="19">
        <f t="shared" ca="1" si="257"/>
        <v>1467.9587218163997</v>
      </c>
      <c r="V781" s="19">
        <f t="shared" ca="1" si="258"/>
        <v>0</v>
      </c>
      <c r="W781" s="82">
        <f t="shared" ca="1" si="259"/>
        <v>5232.8929007523147</v>
      </c>
      <c r="X781" s="19">
        <f t="shared" ca="1" si="260"/>
        <v>0</v>
      </c>
      <c r="Y781" s="19">
        <f t="shared" si="261"/>
        <v>0</v>
      </c>
      <c r="Z781" s="82">
        <f t="shared" ca="1" si="262"/>
        <v>5232.8929007523147</v>
      </c>
      <c r="AA781" s="19">
        <f t="shared" ca="1" si="263"/>
        <v>0</v>
      </c>
    </row>
    <row r="782" spans="1:27" ht="12.75" customHeight="1" x14ac:dyDescent="0.2">
      <c r="A782">
        <v>1</v>
      </c>
      <c r="B782">
        <v>3</v>
      </c>
      <c r="C782">
        <f t="shared" ca="1" si="242"/>
        <v>6</v>
      </c>
      <c r="D782">
        <f t="shared" ca="1" si="243"/>
        <v>5</v>
      </c>
      <c r="E782">
        <f t="shared" ca="1" si="244"/>
        <v>1</v>
      </c>
      <c r="F782" s="61">
        <f t="shared" ca="1" si="245"/>
        <v>1.5020963711999999E-2</v>
      </c>
      <c r="G782">
        <v>1</v>
      </c>
      <c r="H782">
        <v>1</v>
      </c>
      <c r="I782">
        <v>5</v>
      </c>
      <c r="J782" s="61">
        <f t="shared" ca="1" si="246"/>
        <v>0</v>
      </c>
      <c r="K782" s="61">
        <f t="shared" ca="1" si="247"/>
        <v>0</v>
      </c>
      <c r="L782" s="82">
        <f t="shared" ca="1" si="248"/>
        <v>377</v>
      </c>
      <c r="M782" s="16">
        <f t="shared" ca="1" si="249"/>
        <v>623</v>
      </c>
      <c r="N782" s="3">
        <f t="shared" ca="1" si="250"/>
        <v>4</v>
      </c>
      <c r="O782" s="19">
        <f t="shared" ca="1" si="251"/>
        <v>2.3453053758100548</v>
      </c>
      <c r="P782" s="19">
        <f t="shared" ca="1" si="252"/>
        <v>23.453053758100552</v>
      </c>
      <c r="Q782" s="19">
        <f t="shared" ca="1" si="253"/>
        <v>23.453053758100552</v>
      </c>
      <c r="R782" s="19">
        <f t="shared" ca="1" si="254"/>
        <v>2.3453053758100553</v>
      </c>
      <c r="S782" s="19">
        <f t="shared" ca="1" si="255"/>
        <v>2.3453053758100548</v>
      </c>
      <c r="T782" s="19">
        <f t="shared" ca="1" si="256"/>
        <v>0</v>
      </c>
      <c r="U782" s="19">
        <f t="shared" ca="1" si="257"/>
        <v>1456.9587218163997</v>
      </c>
      <c r="V782" s="19">
        <f t="shared" ca="1" si="258"/>
        <v>0</v>
      </c>
      <c r="W782" s="82">
        <f t="shared" ca="1" si="259"/>
        <v>4746.9876707175936</v>
      </c>
      <c r="X782" s="19">
        <f t="shared" ca="1" si="260"/>
        <v>0</v>
      </c>
      <c r="Y782" s="19">
        <f t="shared" si="261"/>
        <v>0</v>
      </c>
      <c r="Z782" s="82">
        <f t="shared" ca="1" si="262"/>
        <v>4746.9876707175936</v>
      </c>
      <c r="AA782" s="19">
        <f t="shared" ca="1" si="263"/>
        <v>0</v>
      </c>
    </row>
    <row r="783" spans="1:27" ht="12.75" customHeight="1" x14ac:dyDescent="0.2">
      <c r="A783">
        <v>1</v>
      </c>
      <c r="B783">
        <v>3</v>
      </c>
      <c r="C783">
        <f t="shared" ca="1" si="242"/>
        <v>6</v>
      </c>
      <c r="D783">
        <f t="shared" ca="1" si="243"/>
        <v>5</v>
      </c>
      <c r="E783">
        <f t="shared" ca="1" si="244"/>
        <v>1</v>
      </c>
      <c r="F783" s="61">
        <f t="shared" ca="1" si="245"/>
        <v>1.5020963711999999E-2</v>
      </c>
      <c r="G783">
        <v>1</v>
      </c>
      <c r="H783">
        <v>1</v>
      </c>
      <c r="I783">
        <v>4</v>
      </c>
      <c r="J783" s="61">
        <f t="shared" ca="1" si="246"/>
        <v>0</v>
      </c>
      <c r="K783" s="61">
        <f t="shared" ca="1" si="247"/>
        <v>0</v>
      </c>
      <c r="L783" s="82">
        <f t="shared" ca="1" si="248"/>
        <v>366</v>
      </c>
      <c r="M783" s="16">
        <f t="shared" ca="1" si="249"/>
        <v>634</v>
      </c>
      <c r="N783" s="3">
        <f t="shared" ca="1" si="250"/>
        <v>4</v>
      </c>
      <c r="O783" s="19">
        <f t="shared" ca="1" si="251"/>
        <v>2.3453053758100548</v>
      </c>
      <c r="P783" s="19">
        <f t="shared" ca="1" si="252"/>
        <v>23.453053758100552</v>
      </c>
      <c r="Q783" s="19">
        <f t="shared" ca="1" si="253"/>
        <v>23.453053758100552</v>
      </c>
      <c r="R783" s="19">
        <f t="shared" ca="1" si="254"/>
        <v>2.3453053758100553</v>
      </c>
      <c r="S783" s="19">
        <f t="shared" ca="1" si="255"/>
        <v>2.3453053758100548</v>
      </c>
      <c r="T783" s="19">
        <f t="shared" ca="1" si="256"/>
        <v>0</v>
      </c>
      <c r="U783" s="19">
        <f t="shared" ca="1" si="257"/>
        <v>1445.9587218163997</v>
      </c>
      <c r="V783" s="19">
        <f t="shared" ca="1" si="258"/>
        <v>0</v>
      </c>
      <c r="W783" s="82">
        <f t="shared" ca="1" si="259"/>
        <v>4261.0824406828706</v>
      </c>
      <c r="X783" s="19">
        <f t="shared" ca="1" si="260"/>
        <v>0</v>
      </c>
      <c r="Y783" s="19">
        <f t="shared" si="261"/>
        <v>0</v>
      </c>
      <c r="Z783" s="82">
        <f t="shared" ca="1" si="262"/>
        <v>4261.0824406828706</v>
      </c>
      <c r="AA783" s="19">
        <f t="shared" ca="1" si="263"/>
        <v>0</v>
      </c>
    </row>
    <row r="784" spans="1:27" ht="12.75" customHeight="1" x14ac:dyDescent="0.2">
      <c r="A784">
        <v>1</v>
      </c>
      <c r="B784">
        <v>3</v>
      </c>
      <c r="C784">
        <f t="shared" ca="1" si="242"/>
        <v>6</v>
      </c>
      <c r="D784">
        <f t="shared" ca="1" si="243"/>
        <v>5</v>
      </c>
      <c r="E784">
        <f t="shared" ca="1" si="244"/>
        <v>1</v>
      </c>
      <c r="F784" s="61">
        <f t="shared" ca="1" si="245"/>
        <v>1.5020963711999999E-2</v>
      </c>
      <c r="G784">
        <v>1</v>
      </c>
      <c r="H784">
        <v>1</v>
      </c>
      <c r="I784">
        <v>3</v>
      </c>
      <c r="J784" s="61">
        <f t="shared" ca="1" si="246"/>
        <v>0</v>
      </c>
      <c r="K784" s="61">
        <f t="shared" ca="1" si="247"/>
        <v>0</v>
      </c>
      <c r="L784" s="82">
        <f t="shared" ca="1" si="248"/>
        <v>355</v>
      </c>
      <c r="M784" s="16">
        <f t="shared" ca="1" si="249"/>
        <v>645</v>
      </c>
      <c r="N784" s="3">
        <f t="shared" ca="1" si="250"/>
        <v>4</v>
      </c>
      <c r="O784" s="19">
        <f t="shared" ca="1" si="251"/>
        <v>2.3453053758100548</v>
      </c>
      <c r="P784" s="19">
        <f t="shared" ca="1" si="252"/>
        <v>23.453053758100552</v>
      </c>
      <c r="Q784" s="19">
        <f t="shared" ca="1" si="253"/>
        <v>23.453053758100552</v>
      </c>
      <c r="R784" s="19">
        <f t="shared" ca="1" si="254"/>
        <v>2.3453053758100553</v>
      </c>
      <c r="S784" s="19">
        <f t="shared" ca="1" si="255"/>
        <v>2.3453053758100548</v>
      </c>
      <c r="T784" s="19">
        <f t="shared" ca="1" si="256"/>
        <v>0</v>
      </c>
      <c r="U784" s="19">
        <f t="shared" ca="1" si="257"/>
        <v>1434.9587218163997</v>
      </c>
      <c r="V784" s="19">
        <f t="shared" ca="1" si="258"/>
        <v>0</v>
      </c>
      <c r="W784" s="82">
        <f t="shared" ca="1" si="259"/>
        <v>3775.1772106481485</v>
      </c>
      <c r="X784" s="19">
        <f t="shared" ca="1" si="260"/>
        <v>0</v>
      </c>
      <c r="Y784" s="19">
        <f t="shared" si="261"/>
        <v>0</v>
      </c>
      <c r="Z784" s="82">
        <f t="shared" ca="1" si="262"/>
        <v>3775.1772106481485</v>
      </c>
      <c r="AA784" s="19">
        <f t="shared" ca="1" si="263"/>
        <v>0</v>
      </c>
    </row>
    <row r="785" spans="1:27" ht="12.75" customHeight="1" x14ac:dyDescent="0.2">
      <c r="A785">
        <v>1</v>
      </c>
      <c r="B785">
        <v>3</v>
      </c>
      <c r="C785">
        <f t="shared" ca="1" si="242"/>
        <v>6</v>
      </c>
      <c r="D785">
        <f t="shared" ca="1" si="243"/>
        <v>5</v>
      </c>
      <c r="E785">
        <f t="shared" ca="1" si="244"/>
        <v>1</v>
      </c>
      <c r="F785" s="61">
        <f t="shared" ca="1" si="245"/>
        <v>1.5020963711999999E-2</v>
      </c>
      <c r="G785">
        <v>1</v>
      </c>
      <c r="H785">
        <v>1</v>
      </c>
      <c r="I785">
        <v>2</v>
      </c>
      <c r="J785" s="61">
        <f t="shared" ca="1" si="246"/>
        <v>0</v>
      </c>
      <c r="K785" s="61">
        <f t="shared" ca="1" si="247"/>
        <v>0</v>
      </c>
      <c r="L785" s="82">
        <f t="shared" ca="1" si="248"/>
        <v>344</v>
      </c>
      <c r="M785" s="16">
        <f t="shared" ca="1" si="249"/>
        <v>656</v>
      </c>
      <c r="N785" s="3">
        <f t="shared" ca="1" si="250"/>
        <v>4</v>
      </c>
      <c r="O785" s="19">
        <f t="shared" ca="1" si="251"/>
        <v>2.3453053758100548</v>
      </c>
      <c r="P785" s="19">
        <f t="shared" ca="1" si="252"/>
        <v>23.453053758100552</v>
      </c>
      <c r="Q785" s="19">
        <f t="shared" ca="1" si="253"/>
        <v>23.453053758100552</v>
      </c>
      <c r="R785" s="19">
        <f t="shared" ca="1" si="254"/>
        <v>2.3453053758100553</v>
      </c>
      <c r="S785" s="19">
        <f t="shared" ca="1" si="255"/>
        <v>2.3453053758100548</v>
      </c>
      <c r="T785" s="19">
        <f t="shared" ca="1" si="256"/>
        <v>0</v>
      </c>
      <c r="U785" s="19">
        <f t="shared" ca="1" si="257"/>
        <v>1423.9587218163997</v>
      </c>
      <c r="V785" s="19">
        <f t="shared" ca="1" si="258"/>
        <v>0</v>
      </c>
      <c r="W785" s="82">
        <f t="shared" ca="1" si="259"/>
        <v>3289.2719806134264</v>
      </c>
      <c r="X785" s="19">
        <f t="shared" ca="1" si="260"/>
        <v>0</v>
      </c>
      <c r="Y785" s="19">
        <f t="shared" si="261"/>
        <v>0</v>
      </c>
      <c r="Z785" s="82">
        <f t="shared" ca="1" si="262"/>
        <v>3289.2719806134264</v>
      </c>
      <c r="AA785" s="19">
        <f t="shared" ca="1" si="263"/>
        <v>0</v>
      </c>
    </row>
    <row r="786" spans="1:27" ht="12.75" customHeight="1" x14ac:dyDescent="0.2">
      <c r="A786">
        <v>1</v>
      </c>
      <c r="B786">
        <v>3</v>
      </c>
      <c r="C786">
        <f t="shared" ca="1" si="242"/>
        <v>6</v>
      </c>
      <c r="D786">
        <f t="shared" ca="1" si="243"/>
        <v>5</v>
      </c>
      <c r="E786">
        <f t="shared" ca="1" si="244"/>
        <v>1</v>
      </c>
      <c r="F786" s="61">
        <f t="shared" ca="1" si="245"/>
        <v>1.5020963711999999E-2</v>
      </c>
      <c r="G786">
        <v>1</v>
      </c>
      <c r="H786">
        <v>1</v>
      </c>
      <c r="I786">
        <v>1</v>
      </c>
      <c r="J786" s="61">
        <f t="shared" ca="1" si="246"/>
        <v>0</v>
      </c>
      <c r="K786" s="61">
        <f t="shared" ca="1" si="247"/>
        <v>0</v>
      </c>
      <c r="L786" s="82">
        <f t="shared" ca="1" si="248"/>
        <v>333</v>
      </c>
      <c r="M786" s="16">
        <f t="shared" ca="1" si="249"/>
        <v>667</v>
      </c>
      <c r="N786" s="3">
        <f t="shared" ca="1" si="250"/>
        <v>4</v>
      </c>
      <c r="O786" s="19">
        <f t="shared" ca="1" si="251"/>
        <v>2.3453053758100548</v>
      </c>
      <c r="P786" s="19">
        <f t="shared" ca="1" si="252"/>
        <v>23.453053758100552</v>
      </c>
      <c r="Q786" s="19">
        <f t="shared" ca="1" si="253"/>
        <v>23.453053758100552</v>
      </c>
      <c r="R786" s="19">
        <f t="shared" ca="1" si="254"/>
        <v>2.3453053758100553</v>
      </c>
      <c r="S786" s="19">
        <f t="shared" ca="1" si="255"/>
        <v>2.3453053758100548</v>
      </c>
      <c r="T786" s="19">
        <f t="shared" ca="1" si="256"/>
        <v>0</v>
      </c>
      <c r="U786" s="19">
        <f t="shared" ca="1" si="257"/>
        <v>1412.9587218163997</v>
      </c>
      <c r="V786" s="19">
        <f t="shared" ca="1" si="258"/>
        <v>0</v>
      </c>
      <c r="W786" s="82">
        <f t="shared" ca="1" si="259"/>
        <v>2803.3667505787039</v>
      </c>
      <c r="X786" s="19">
        <f t="shared" ca="1" si="260"/>
        <v>0</v>
      </c>
      <c r="Y786" s="19">
        <f t="shared" si="261"/>
        <v>0</v>
      </c>
      <c r="Z786" s="82">
        <f t="shared" ca="1" si="262"/>
        <v>2803.3667505787039</v>
      </c>
      <c r="AA786" s="19">
        <f t="shared" ca="1" si="263"/>
        <v>0</v>
      </c>
    </row>
    <row r="787" spans="1:27" ht="12.75" customHeight="1" x14ac:dyDescent="0.2">
      <c r="A787">
        <v>1</v>
      </c>
      <c r="B787">
        <v>3</v>
      </c>
      <c r="C787">
        <f t="shared" ca="1" si="242"/>
        <v>6</v>
      </c>
      <c r="D787">
        <f t="shared" ca="1" si="243"/>
        <v>5</v>
      </c>
      <c r="E787">
        <f t="shared" ca="1" si="244"/>
        <v>1</v>
      </c>
      <c r="F787" s="61">
        <f t="shared" ca="1" si="245"/>
        <v>1.5020963711999999E-2</v>
      </c>
      <c r="G787">
        <v>1</v>
      </c>
      <c r="H787">
        <v>1</v>
      </c>
      <c r="I787">
        <v>0</v>
      </c>
      <c r="J787" s="61">
        <f t="shared" ca="1" si="246"/>
        <v>0</v>
      </c>
      <c r="K787" s="61">
        <f t="shared" ca="1" si="247"/>
        <v>0</v>
      </c>
      <c r="L787" s="82">
        <f t="shared" ca="1" si="248"/>
        <v>322</v>
      </c>
      <c r="M787" s="16">
        <f t="shared" ca="1" si="249"/>
        <v>678</v>
      </c>
      <c r="N787" s="3">
        <f t="shared" ca="1" si="250"/>
        <v>4</v>
      </c>
      <c r="O787" s="19">
        <f t="shared" ca="1" si="251"/>
        <v>2.3453053758100548</v>
      </c>
      <c r="P787" s="19">
        <f t="shared" ca="1" si="252"/>
        <v>23.453053758100552</v>
      </c>
      <c r="Q787" s="19">
        <f t="shared" ca="1" si="253"/>
        <v>23.453053758100552</v>
      </c>
      <c r="R787" s="19">
        <f t="shared" ca="1" si="254"/>
        <v>2.3453053758100553</v>
      </c>
      <c r="S787" s="19">
        <f t="shared" ca="1" si="255"/>
        <v>2.3453053758100548</v>
      </c>
      <c r="T787" s="19">
        <f t="shared" ca="1" si="256"/>
        <v>0</v>
      </c>
      <c r="U787" s="19">
        <f t="shared" ca="1" si="257"/>
        <v>1401.9587218163997</v>
      </c>
      <c r="V787" s="19">
        <f t="shared" ca="1" si="258"/>
        <v>0</v>
      </c>
      <c r="W787" s="82">
        <f t="shared" ca="1" si="259"/>
        <v>2317.4615205439818</v>
      </c>
      <c r="X787" s="19">
        <f t="shared" ca="1" si="260"/>
        <v>0</v>
      </c>
      <c r="Y787" s="19">
        <f t="shared" si="261"/>
        <v>0</v>
      </c>
      <c r="Z787" s="82">
        <f t="shared" ca="1" si="262"/>
        <v>2317.4615205439818</v>
      </c>
      <c r="AA787" s="19">
        <f t="shared" ca="1" si="263"/>
        <v>0</v>
      </c>
    </row>
    <row r="788" spans="1:27" ht="12.75" customHeight="1" x14ac:dyDescent="0.2">
      <c r="A788">
        <v>1</v>
      </c>
      <c r="B788">
        <v>3</v>
      </c>
      <c r="C788">
        <f t="shared" ca="1" si="242"/>
        <v>6</v>
      </c>
      <c r="D788">
        <f t="shared" ca="1" si="243"/>
        <v>5</v>
      </c>
      <c r="E788">
        <f t="shared" ca="1" si="244"/>
        <v>1</v>
      </c>
      <c r="F788" s="61">
        <f t="shared" ca="1" si="245"/>
        <v>1.5020963711999999E-2</v>
      </c>
      <c r="G788">
        <v>1</v>
      </c>
      <c r="H788">
        <v>0</v>
      </c>
      <c r="I788">
        <v>7</v>
      </c>
      <c r="J788" s="61">
        <f t="shared" ca="1" si="246"/>
        <v>0</v>
      </c>
      <c r="K788" s="61">
        <f t="shared" ca="1" si="247"/>
        <v>0</v>
      </c>
      <c r="L788" s="82">
        <f t="shared" ca="1" si="248"/>
        <v>238</v>
      </c>
      <c r="M788" s="16">
        <f t="shared" ca="1" si="249"/>
        <v>762</v>
      </c>
      <c r="N788" s="3">
        <f t="shared" ca="1" si="250"/>
        <v>5</v>
      </c>
      <c r="O788" s="19">
        <f t="shared" ca="1" si="251"/>
        <v>2.8178718937399587</v>
      </c>
      <c r="P788" s="19">
        <f t="shared" ca="1" si="252"/>
        <v>25.815886347750073</v>
      </c>
      <c r="Q788" s="19">
        <f t="shared" ca="1" si="253"/>
        <v>23.453053758100552</v>
      </c>
      <c r="R788" s="19">
        <f t="shared" ca="1" si="254"/>
        <v>2.4634470052925312</v>
      </c>
      <c r="S788" s="19">
        <f t="shared" ca="1" si="255"/>
        <v>2.8178718937399587</v>
      </c>
      <c r="T788" s="19">
        <f t="shared" ca="1" si="256"/>
        <v>0</v>
      </c>
      <c r="U788" s="19">
        <f t="shared" ca="1" si="257"/>
        <v>1497.3251747165598</v>
      </c>
      <c r="V788" s="19">
        <f t="shared" ca="1" si="258"/>
        <v>0</v>
      </c>
      <c r="W788" s="82">
        <f t="shared" ca="1" si="259"/>
        <v>5718.7981307870377</v>
      </c>
      <c r="X788" s="19">
        <f t="shared" ca="1" si="260"/>
        <v>0</v>
      </c>
      <c r="Y788" s="19">
        <f t="shared" si="261"/>
        <v>0</v>
      </c>
      <c r="Z788" s="82">
        <f t="shared" ca="1" si="262"/>
        <v>5718.7981307870377</v>
      </c>
      <c r="AA788" s="19">
        <f t="shared" ca="1" si="263"/>
        <v>0</v>
      </c>
    </row>
    <row r="789" spans="1:27" ht="12.75" customHeight="1" x14ac:dyDescent="0.2">
      <c r="A789">
        <v>1</v>
      </c>
      <c r="B789">
        <v>3</v>
      </c>
      <c r="C789">
        <f t="shared" ca="1" si="242"/>
        <v>6</v>
      </c>
      <c r="D789">
        <f t="shared" ca="1" si="243"/>
        <v>5</v>
      </c>
      <c r="E789">
        <f t="shared" ca="1" si="244"/>
        <v>1</v>
      </c>
      <c r="F789" s="61">
        <f t="shared" ca="1" si="245"/>
        <v>1.5020963711999999E-2</v>
      </c>
      <c r="G789">
        <v>1</v>
      </c>
      <c r="H789">
        <v>0</v>
      </c>
      <c r="I789">
        <v>6</v>
      </c>
      <c r="J789" s="61">
        <f t="shared" ca="1" si="246"/>
        <v>0</v>
      </c>
      <c r="K789" s="61">
        <f t="shared" ca="1" si="247"/>
        <v>0</v>
      </c>
      <c r="L789" s="82">
        <f t="shared" ca="1" si="248"/>
        <v>227</v>
      </c>
      <c r="M789" s="16">
        <f t="shared" ca="1" si="249"/>
        <v>773</v>
      </c>
      <c r="N789" s="3">
        <f t="shared" ca="1" si="250"/>
        <v>5</v>
      </c>
      <c r="O789" s="19">
        <f t="shared" ca="1" si="251"/>
        <v>2.8178718937399587</v>
      </c>
      <c r="P789" s="19">
        <f t="shared" ca="1" si="252"/>
        <v>28.178718937399587</v>
      </c>
      <c r="Q789" s="19">
        <f t="shared" ca="1" si="253"/>
        <v>26.288452865679979</v>
      </c>
      <c r="R789" s="19">
        <f t="shared" ca="1" si="254"/>
        <v>2.7233585901539783</v>
      </c>
      <c r="S789" s="19">
        <f t="shared" ca="1" si="255"/>
        <v>2.8178718937399587</v>
      </c>
      <c r="T789" s="19">
        <f t="shared" ca="1" si="256"/>
        <v>0</v>
      </c>
      <c r="U789" s="19">
        <f t="shared" ca="1" si="257"/>
        <v>1486.3251747165598</v>
      </c>
      <c r="V789" s="19">
        <f t="shared" ca="1" si="258"/>
        <v>0</v>
      </c>
      <c r="W789" s="82">
        <f t="shared" ca="1" si="259"/>
        <v>5232.8929007523147</v>
      </c>
      <c r="X789" s="19">
        <f t="shared" ca="1" si="260"/>
        <v>0</v>
      </c>
      <c r="Y789" s="19">
        <f t="shared" si="261"/>
        <v>0</v>
      </c>
      <c r="Z789" s="82">
        <f t="shared" ca="1" si="262"/>
        <v>5232.8929007523147</v>
      </c>
      <c r="AA789" s="19">
        <f t="shared" ca="1" si="263"/>
        <v>0</v>
      </c>
    </row>
    <row r="790" spans="1:27" ht="12.75" customHeight="1" x14ac:dyDescent="0.2">
      <c r="A790">
        <v>1</v>
      </c>
      <c r="B790">
        <v>3</v>
      </c>
      <c r="C790">
        <f t="shared" ca="1" si="242"/>
        <v>6</v>
      </c>
      <c r="D790">
        <f t="shared" ca="1" si="243"/>
        <v>5</v>
      </c>
      <c r="E790">
        <f t="shared" ca="1" si="244"/>
        <v>1</v>
      </c>
      <c r="F790" s="61">
        <f t="shared" ca="1" si="245"/>
        <v>1.5020963711999999E-2</v>
      </c>
      <c r="G790">
        <v>1</v>
      </c>
      <c r="H790">
        <v>0</v>
      </c>
      <c r="I790">
        <v>5</v>
      </c>
      <c r="J790" s="61">
        <f t="shared" ca="1" si="246"/>
        <v>0.73509189062499991</v>
      </c>
      <c r="K790" s="61">
        <f t="shared" ca="1" si="247"/>
        <v>1.1041788614063595E-2</v>
      </c>
      <c r="L790" s="82">
        <f t="shared" ca="1" si="248"/>
        <v>216</v>
      </c>
      <c r="M790" s="16">
        <f t="shared" ca="1" si="249"/>
        <v>784</v>
      </c>
      <c r="N790" s="3">
        <f t="shared" ca="1" si="250"/>
        <v>5</v>
      </c>
      <c r="O790" s="19">
        <f t="shared" ca="1" si="251"/>
        <v>2.8178718937399587</v>
      </c>
      <c r="P790" s="19">
        <f t="shared" ca="1" si="252"/>
        <v>28.178718937399587</v>
      </c>
      <c r="Q790" s="19">
        <f t="shared" ca="1" si="253"/>
        <v>28.178718937399587</v>
      </c>
      <c r="R790" s="19">
        <f t="shared" ca="1" si="254"/>
        <v>2.8178718937399587</v>
      </c>
      <c r="S790" s="19">
        <f t="shared" ca="1" si="255"/>
        <v>2.8178718937399587</v>
      </c>
      <c r="T790" s="19">
        <f t="shared" ca="1" si="256"/>
        <v>3.1114345792187699E-2</v>
      </c>
      <c r="U790" s="19">
        <f t="shared" ca="1" si="257"/>
        <v>1475.3251747165598</v>
      </c>
      <c r="V790" s="19">
        <f t="shared" ca="1" si="258"/>
        <v>16.290228716226693</v>
      </c>
      <c r="W790" s="82">
        <f t="shared" ca="1" si="259"/>
        <v>4746.9876707175936</v>
      </c>
      <c r="X790" s="19">
        <f t="shared" ca="1" si="260"/>
        <v>52.41523441362979</v>
      </c>
      <c r="Y790" s="19">
        <f t="shared" si="261"/>
        <v>0</v>
      </c>
      <c r="Z790" s="82">
        <f t="shared" ca="1" si="262"/>
        <v>4746.9876707175936</v>
      </c>
      <c r="AA790" s="19">
        <f t="shared" ca="1" si="263"/>
        <v>52.41523441362979</v>
      </c>
    </row>
    <row r="791" spans="1:27" ht="12.75" customHeight="1" x14ac:dyDescent="0.2">
      <c r="A791">
        <v>1</v>
      </c>
      <c r="B791">
        <v>3</v>
      </c>
      <c r="C791">
        <f t="shared" ca="1" si="242"/>
        <v>6</v>
      </c>
      <c r="D791">
        <f t="shared" ca="1" si="243"/>
        <v>5</v>
      </c>
      <c r="E791">
        <f t="shared" ca="1" si="244"/>
        <v>1</v>
      </c>
      <c r="F791" s="61">
        <f t="shared" ca="1" si="245"/>
        <v>1.5020963711999999E-2</v>
      </c>
      <c r="G791">
        <v>1</v>
      </c>
      <c r="H791">
        <v>0</v>
      </c>
      <c r="I791">
        <v>4</v>
      </c>
      <c r="J791" s="61">
        <f t="shared" ca="1" si="246"/>
        <v>0.19344523437500014</v>
      </c>
      <c r="K791" s="61">
        <f t="shared" ca="1" si="247"/>
        <v>2.9057338458062117E-3</v>
      </c>
      <c r="L791" s="82">
        <f t="shared" ca="1" si="248"/>
        <v>205</v>
      </c>
      <c r="M791" s="16">
        <f t="shared" ca="1" si="249"/>
        <v>795</v>
      </c>
      <c r="N791" s="3">
        <f t="shared" ca="1" si="250"/>
        <v>5</v>
      </c>
      <c r="O791" s="19">
        <f t="shared" ca="1" si="251"/>
        <v>2.8178718937399587</v>
      </c>
      <c r="P791" s="19">
        <f t="shared" ca="1" si="252"/>
        <v>28.178718937399587</v>
      </c>
      <c r="Q791" s="19">
        <f t="shared" ca="1" si="253"/>
        <v>28.178718937399587</v>
      </c>
      <c r="R791" s="19">
        <f t="shared" ca="1" si="254"/>
        <v>2.8178718937399587</v>
      </c>
      <c r="S791" s="19">
        <f t="shared" ca="1" si="255"/>
        <v>2.8178718937399587</v>
      </c>
      <c r="T791" s="19">
        <f t="shared" ca="1" si="256"/>
        <v>8.1879857347862423E-3</v>
      </c>
      <c r="U791" s="19">
        <f t="shared" ca="1" si="257"/>
        <v>1464.3251747165598</v>
      </c>
      <c r="V791" s="19">
        <f t="shared" ca="1" si="258"/>
        <v>4.2549392214400026</v>
      </c>
      <c r="W791" s="82">
        <f t="shared" ca="1" si="259"/>
        <v>4261.0824406828706</v>
      </c>
      <c r="X791" s="19">
        <f t="shared" ca="1" si="260"/>
        <v>12.381571467662756</v>
      </c>
      <c r="Y791" s="19">
        <f t="shared" si="261"/>
        <v>0</v>
      </c>
      <c r="Z791" s="82">
        <f t="shared" ca="1" si="262"/>
        <v>4261.0824406828706</v>
      </c>
      <c r="AA791" s="19">
        <f t="shared" ca="1" si="263"/>
        <v>12.381571467662756</v>
      </c>
    </row>
    <row r="792" spans="1:27" ht="12.75" customHeight="1" x14ac:dyDescent="0.2">
      <c r="A792">
        <v>1</v>
      </c>
      <c r="B792">
        <v>3</v>
      </c>
      <c r="C792">
        <f t="shared" ca="1" si="242"/>
        <v>6</v>
      </c>
      <c r="D792">
        <f t="shared" ca="1" si="243"/>
        <v>5</v>
      </c>
      <c r="E792">
        <f t="shared" ca="1" si="244"/>
        <v>1</v>
      </c>
      <c r="F792" s="61">
        <f t="shared" ca="1" si="245"/>
        <v>1.5020963711999999E-2</v>
      </c>
      <c r="G792">
        <v>1</v>
      </c>
      <c r="H792">
        <v>0</v>
      </c>
      <c r="I792">
        <v>3</v>
      </c>
      <c r="J792" s="61">
        <f t="shared" ca="1" si="246"/>
        <v>2.0362656250000031E-2</v>
      </c>
      <c r="K792" s="61">
        <f t="shared" ca="1" si="247"/>
        <v>3.0586672061118044E-4</v>
      </c>
      <c r="L792" s="82">
        <f t="shared" ca="1" si="248"/>
        <v>194</v>
      </c>
      <c r="M792" s="16">
        <f t="shared" ca="1" si="249"/>
        <v>806</v>
      </c>
      <c r="N792" s="3">
        <f t="shared" ca="1" si="250"/>
        <v>5</v>
      </c>
      <c r="O792" s="19">
        <f t="shared" ca="1" si="251"/>
        <v>2.8178718937399587</v>
      </c>
      <c r="P792" s="19">
        <f t="shared" ca="1" si="252"/>
        <v>28.178718937399587</v>
      </c>
      <c r="Q792" s="19">
        <f t="shared" ca="1" si="253"/>
        <v>28.178718937399587</v>
      </c>
      <c r="R792" s="19">
        <f t="shared" ca="1" si="254"/>
        <v>2.8178718937399587</v>
      </c>
      <c r="S792" s="19">
        <f t="shared" ca="1" si="255"/>
        <v>2.8178718937399587</v>
      </c>
      <c r="T792" s="19">
        <f t="shared" ca="1" si="256"/>
        <v>8.6189323524065787E-4</v>
      </c>
      <c r="U792" s="19">
        <f t="shared" ca="1" si="257"/>
        <v>1453.3251747165598</v>
      </c>
      <c r="V792" s="19">
        <f t="shared" ca="1" si="258"/>
        <v>0.44452380517222501</v>
      </c>
      <c r="W792" s="82">
        <f t="shared" ca="1" si="259"/>
        <v>3775.1772106481485</v>
      </c>
      <c r="X792" s="19">
        <f t="shared" ca="1" si="260"/>
        <v>1.1547010731470126</v>
      </c>
      <c r="Y792" s="19">
        <f t="shared" si="261"/>
        <v>0</v>
      </c>
      <c r="Z792" s="82">
        <f t="shared" ca="1" si="262"/>
        <v>3775.1772106481485</v>
      </c>
      <c r="AA792" s="19">
        <f t="shared" ca="1" si="263"/>
        <v>1.1547010731470126</v>
      </c>
    </row>
    <row r="793" spans="1:27" ht="12.75" customHeight="1" x14ac:dyDescent="0.2">
      <c r="A793">
        <v>1</v>
      </c>
      <c r="B793">
        <v>3</v>
      </c>
      <c r="C793">
        <f t="shared" ca="1" si="242"/>
        <v>6</v>
      </c>
      <c r="D793">
        <f t="shared" ca="1" si="243"/>
        <v>5</v>
      </c>
      <c r="E793">
        <f t="shared" ca="1" si="244"/>
        <v>1</v>
      </c>
      <c r="F793" s="61">
        <f t="shared" ca="1" si="245"/>
        <v>1.5020963711999999E-2</v>
      </c>
      <c r="G793">
        <v>1</v>
      </c>
      <c r="H793">
        <v>0</v>
      </c>
      <c r="I793">
        <v>2</v>
      </c>
      <c r="J793" s="61">
        <f t="shared" ca="1" si="246"/>
        <v>1.0717187500000028E-3</v>
      </c>
      <c r="K793" s="61">
        <f t="shared" ca="1" si="247"/>
        <v>1.6098248453220041E-5</v>
      </c>
      <c r="L793" s="82">
        <f t="shared" ca="1" si="248"/>
        <v>183</v>
      </c>
      <c r="M793" s="16">
        <f t="shared" ca="1" si="249"/>
        <v>817</v>
      </c>
      <c r="N793" s="3">
        <f t="shared" ca="1" si="250"/>
        <v>5</v>
      </c>
      <c r="O793" s="19">
        <f t="shared" ca="1" si="251"/>
        <v>2.8178718937399587</v>
      </c>
      <c r="P793" s="19">
        <f t="shared" ca="1" si="252"/>
        <v>28.178718937399587</v>
      </c>
      <c r="Q793" s="19">
        <f t="shared" ca="1" si="253"/>
        <v>28.178718937399587</v>
      </c>
      <c r="R793" s="19">
        <f t="shared" ca="1" si="254"/>
        <v>2.8178718937399587</v>
      </c>
      <c r="S793" s="19">
        <f t="shared" ca="1" si="255"/>
        <v>2.8178718937399587</v>
      </c>
      <c r="T793" s="19">
        <f t="shared" ca="1" si="256"/>
        <v>4.5362801854771516E-5</v>
      </c>
      <c r="U793" s="19">
        <f t="shared" ca="1" si="257"/>
        <v>1442.3251747165598</v>
      </c>
      <c r="V793" s="19">
        <f t="shared" ca="1" si="258"/>
        <v>2.3218909012921184E-2</v>
      </c>
      <c r="W793" s="82">
        <f t="shared" ca="1" si="259"/>
        <v>3289.2719806134264</v>
      </c>
      <c r="X793" s="19">
        <f t="shared" ca="1" si="260"/>
        <v>5.2951517574130115E-2</v>
      </c>
      <c r="Y793" s="19">
        <f t="shared" si="261"/>
        <v>0</v>
      </c>
      <c r="Z793" s="82">
        <f t="shared" ca="1" si="262"/>
        <v>3289.2719806134264</v>
      </c>
      <c r="AA793" s="19">
        <f t="shared" ca="1" si="263"/>
        <v>5.2951517574130115E-2</v>
      </c>
    </row>
    <row r="794" spans="1:27" ht="12.75" customHeight="1" x14ac:dyDescent="0.2">
      <c r="A794">
        <v>1</v>
      </c>
      <c r="B794">
        <v>3</v>
      </c>
      <c r="C794">
        <f t="shared" ca="1" si="242"/>
        <v>6</v>
      </c>
      <c r="D794">
        <f t="shared" ca="1" si="243"/>
        <v>5</v>
      </c>
      <c r="E794">
        <f t="shared" ca="1" si="244"/>
        <v>1</v>
      </c>
      <c r="F794" s="61">
        <f t="shared" ca="1" si="245"/>
        <v>1.5020963711999999E-2</v>
      </c>
      <c r="G794">
        <v>1</v>
      </c>
      <c r="H794">
        <v>0</v>
      </c>
      <c r="I794">
        <v>1</v>
      </c>
      <c r="J794" s="61">
        <f t="shared" ca="1" si="246"/>
        <v>2.8203125000000098E-5</v>
      </c>
      <c r="K794" s="61">
        <f t="shared" ca="1" si="247"/>
        <v>4.2363811719000145E-7</v>
      </c>
      <c r="L794" s="82">
        <f t="shared" ca="1" si="248"/>
        <v>172</v>
      </c>
      <c r="M794" s="16">
        <f t="shared" ca="1" si="249"/>
        <v>828</v>
      </c>
      <c r="N794" s="3">
        <f t="shared" ca="1" si="250"/>
        <v>5</v>
      </c>
      <c r="O794" s="19">
        <f t="shared" ca="1" si="251"/>
        <v>2.8178718937399587</v>
      </c>
      <c r="P794" s="19">
        <f t="shared" ca="1" si="252"/>
        <v>28.178718937399587</v>
      </c>
      <c r="Q794" s="19">
        <f t="shared" ca="1" si="253"/>
        <v>28.178718937399587</v>
      </c>
      <c r="R794" s="19">
        <f t="shared" ca="1" si="254"/>
        <v>2.8178718937399587</v>
      </c>
      <c r="S794" s="19">
        <f t="shared" ca="1" si="255"/>
        <v>2.8178718937399587</v>
      </c>
      <c r="T794" s="19">
        <f t="shared" ca="1" si="256"/>
        <v>1.1937579435466199E-6</v>
      </c>
      <c r="U794" s="19">
        <f t="shared" ca="1" si="257"/>
        <v>1431.3251747165598</v>
      </c>
      <c r="V794" s="19">
        <f t="shared" ca="1" si="258"/>
        <v>6.0636390210357322E-4</v>
      </c>
      <c r="W794" s="82">
        <f t="shared" ca="1" si="259"/>
        <v>2803.3667505787039</v>
      </c>
      <c r="X794" s="19">
        <f t="shared" ca="1" si="260"/>
        <v>1.1876130120082144E-3</v>
      </c>
      <c r="Y794" s="19">
        <f t="shared" si="261"/>
        <v>0</v>
      </c>
      <c r="Z794" s="82">
        <f t="shared" ca="1" si="262"/>
        <v>2803.3667505787039</v>
      </c>
      <c r="AA794" s="19">
        <f t="shared" ca="1" si="263"/>
        <v>1.1876130120082144E-3</v>
      </c>
    </row>
    <row r="795" spans="1:27" ht="12.75" customHeight="1" x14ac:dyDescent="0.2">
      <c r="A795">
        <v>1</v>
      </c>
      <c r="B795">
        <v>3</v>
      </c>
      <c r="C795">
        <f t="shared" ca="1" si="242"/>
        <v>6</v>
      </c>
      <c r="D795">
        <f t="shared" ca="1" si="243"/>
        <v>5</v>
      </c>
      <c r="E795">
        <f t="shared" ca="1" si="244"/>
        <v>1</v>
      </c>
      <c r="F795" s="61">
        <f t="shared" ca="1" si="245"/>
        <v>1.5020963711999999E-2</v>
      </c>
      <c r="G795">
        <v>1</v>
      </c>
      <c r="H795">
        <v>0</v>
      </c>
      <c r="I795">
        <v>0</v>
      </c>
      <c r="J795" s="61">
        <f t="shared" ca="1" si="246"/>
        <v>2.9687500000000134E-7</v>
      </c>
      <c r="K795" s="61">
        <f t="shared" ca="1" si="247"/>
        <v>4.45934860200002E-9</v>
      </c>
      <c r="L795" s="82">
        <f t="shared" ca="1" si="248"/>
        <v>161</v>
      </c>
      <c r="M795" s="16">
        <f t="shared" ca="1" si="249"/>
        <v>839</v>
      </c>
      <c r="N795" s="3">
        <f t="shared" ca="1" si="250"/>
        <v>5</v>
      </c>
      <c r="O795" s="19">
        <f t="shared" ca="1" si="251"/>
        <v>2.8178718937399587</v>
      </c>
      <c r="P795" s="19">
        <f t="shared" ca="1" si="252"/>
        <v>28.178718937399587</v>
      </c>
      <c r="Q795" s="19">
        <f t="shared" ca="1" si="253"/>
        <v>28.178718937399587</v>
      </c>
      <c r="R795" s="19">
        <f t="shared" ca="1" si="254"/>
        <v>2.8178718937399587</v>
      </c>
      <c r="S795" s="19">
        <f t="shared" ca="1" si="255"/>
        <v>2.8178718937399587</v>
      </c>
      <c r="T795" s="19">
        <f t="shared" ca="1" si="256"/>
        <v>1.2565873089964434E-8</v>
      </c>
      <c r="U795" s="19">
        <f t="shared" ca="1" si="257"/>
        <v>1420.3251747165598</v>
      </c>
      <c r="V795" s="19">
        <f t="shared" ca="1" si="258"/>
        <v>6.3337250822577252E-6</v>
      </c>
      <c r="W795" s="82">
        <f t="shared" ca="1" si="259"/>
        <v>2317.4615205439818</v>
      </c>
      <c r="X795" s="19">
        <f t="shared" ca="1" si="260"/>
        <v>1.0334368791826646E-5</v>
      </c>
      <c r="Y795" s="19">
        <f t="shared" si="261"/>
        <v>0</v>
      </c>
      <c r="Z795" s="82">
        <f t="shared" ca="1" si="262"/>
        <v>2317.4615205439818</v>
      </c>
      <c r="AA795" s="19">
        <f t="shared" ca="1" si="263"/>
        <v>1.0334368791826646E-5</v>
      </c>
    </row>
    <row r="796" spans="1:27" ht="12.75" customHeight="1" x14ac:dyDescent="0.2">
      <c r="A796">
        <v>1</v>
      </c>
      <c r="B796">
        <v>3</v>
      </c>
      <c r="C796">
        <f t="shared" ca="1" si="242"/>
        <v>6</v>
      </c>
      <c r="D796">
        <f t="shared" ca="1" si="243"/>
        <v>5</v>
      </c>
      <c r="E796">
        <f t="shared" ca="1" si="244"/>
        <v>1</v>
      </c>
      <c r="F796" s="61">
        <f t="shared" ca="1" si="245"/>
        <v>1.5020963711999999E-2</v>
      </c>
      <c r="G796">
        <v>0</v>
      </c>
      <c r="H796">
        <v>1</v>
      </c>
      <c r="I796">
        <v>7</v>
      </c>
      <c r="J796" s="61">
        <f t="shared" ca="1" si="246"/>
        <v>0</v>
      </c>
      <c r="K796" s="61">
        <f t="shared" ca="1" si="247"/>
        <v>0</v>
      </c>
      <c r="L796" s="82">
        <f t="shared" ca="1" si="248"/>
        <v>238</v>
      </c>
      <c r="M796" s="16">
        <f t="shared" ca="1" si="249"/>
        <v>762</v>
      </c>
      <c r="N796" s="3">
        <f t="shared" ca="1" si="250"/>
        <v>5</v>
      </c>
      <c r="O796" s="19">
        <f t="shared" ca="1" si="251"/>
        <v>2.8178718937399587</v>
      </c>
      <c r="P796" s="19">
        <f t="shared" ca="1" si="252"/>
        <v>25.815886347750073</v>
      </c>
      <c r="Q796" s="19">
        <f t="shared" ca="1" si="253"/>
        <v>23.453053758100552</v>
      </c>
      <c r="R796" s="19">
        <f t="shared" ca="1" si="254"/>
        <v>2.4634470052925312</v>
      </c>
      <c r="S796" s="19">
        <f t="shared" ca="1" si="255"/>
        <v>2.8178718937399587</v>
      </c>
      <c r="T796" s="19">
        <f t="shared" ca="1" si="256"/>
        <v>0</v>
      </c>
      <c r="U796" s="19">
        <f t="shared" ca="1" si="257"/>
        <v>1497.3251747165598</v>
      </c>
      <c r="V796" s="19">
        <f t="shared" ca="1" si="258"/>
        <v>0</v>
      </c>
      <c r="W796" s="82">
        <f t="shared" ca="1" si="259"/>
        <v>3401.3366102430559</v>
      </c>
      <c r="X796" s="19">
        <f t="shared" ca="1" si="260"/>
        <v>0</v>
      </c>
      <c r="Y796" s="19">
        <f t="shared" si="261"/>
        <v>0</v>
      </c>
      <c r="Z796" s="82">
        <f t="shared" ca="1" si="262"/>
        <v>3401.3366102430559</v>
      </c>
      <c r="AA796" s="19">
        <f t="shared" ca="1" si="263"/>
        <v>0</v>
      </c>
    </row>
    <row r="797" spans="1:27" ht="12.75" customHeight="1" x14ac:dyDescent="0.2">
      <c r="A797">
        <v>1</v>
      </c>
      <c r="B797">
        <v>3</v>
      </c>
      <c r="C797">
        <f t="shared" ca="1" si="242"/>
        <v>6</v>
      </c>
      <c r="D797">
        <f t="shared" ca="1" si="243"/>
        <v>5</v>
      </c>
      <c r="E797">
        <f t="shared" ca="1" si="244"/>
        <v>1</v>
      </c>
      <c r="F797" s="61">
        <f t="shared" ca="1" si="245"/>
        <v>1.5020963711999999E-2</v>
      </c>
      <c r="G797">
        <v>0</v>
      </c>
      <c r="H797">
        <v>1</v>
      </c>
      <c r="I797">
        <v>6</v>
      </c>
      <c r="J797" s="61">
        <f t="shared" ca="1" si="246"/>
        <v>0</v>
      </c>
      <c r="K797" s="61">
        <f t="shared" ca="1" si="247"/>
        <v>0</v>
      </c>
      <c r="L797" s="82">
        <f t="shared" ca="1" si="248"/>
        <v>227</v>
      </c>
      <c r="M797" s="16">
        <f t="shared" ca="1" si="249"/>
        <v>773</v>
      </c>
      <c r="N797" s="3">
        <f t="shared" ca="1" si="250"/>
        <v>5</v>
      </c>
      <c r="O797" s="19">
        <f t="shared" ca="1" si="251"/>
        <v>2.8178718937399587</v>
      </c>
      <c r="P797" s="19">
        <f t="shared" ca="1" si="252"/>
        <v>28.178718937399587</v>
      </c>
      <c r="Q797" s="19">
        <f t="shared" ca="1" si="253"/>
        <v>26.288452865679979</v>
      </c>
      <c r="R797" s="19">
        <f t="shared" ca="1" si="254"/>
        <v>2.7233585901539783</v>
      </c>
      <c r="S797" s="19">
        <f t="shared" ca="1" si="255"/>
        <v>2.8178718937399587</v>
      </c>
      <c r="T797" s="19">
        <f t="shared" ca="1" si="256"/>
        <v>0</v>
      </c>
      <c r="U797" s="19">
        <f t="shared" ca="1" si="257"/>
        <v>1486.3251747165598</v>
      </c>
      <c r="V797" s="19">
        <f t="shared" ca="1" si="258"/>
        <v>0</v>
      </c>
      <c r="W797" s="82">
        <f t="shared" ca="1" si="259"/>
        <v>2915.4313802083334</v>
      </c>
      <c r="X797" s="19">
        <f t="shared" ca="1" si="260"/>
        <v>0</v>
      </c>
      <c r="Y797" s="19">
        <f t="shared" si="261"/>
        <v>0</v>
      </c>
      <c r="Z797" s="82">
        <f t="shared" ca="1" si="262"/>
        <v>2915.4313802083334</v>
      </c>
      <c r="AA797" s="19">
        <f t="shared" ca="1" si="263"/>
        <v>0</v>
      </c>
    </row>
    <row r="798" spans="1:27" ht="12.75" customHeight="1" x14ac:dyDescent="0.2">
      <c r="A798">
        <v>1</v>
      </c>
      <c r="B798">
        <v>3</v>
      </c>
      <c r="C798">
        <f t="shared" ca="1" si="242"/>
        <v>6</v>
      </c>
      <c r="D798">
        <f t="shared" ca="1" si="243"/>
        <v>5</v>
      </c>
      <c r="E798">
        <f t="shared" ca="1" si="244"/>
        <v>1</v>
      </c>
      <c r="F798" s="61">
        <f t="shared" ca="1" si="245"/>
        <v>1.5020963711999999E-2</v>
      </c>
      <c r="G798">
        <v>0</v>
      </c>
      <c r="H798">
        <v>1</v>
      </c>
      <c r="I798">
        <v>5</v>
      </c>
      <c r="J798" s="61">
        <f t="shared" ca="1" si="246"/>
        <v>0</v>
      </c>
      <c r="K798" s="61">
        <f t="shared" ca="1" si="247"/>
        <v>0</v>
      </c>
      <c r="L798" s="82">
        <f t="shared" ca="1" si="248"/>
        <v>216</v>
      </c>
      <c r="M798" s="16">
        <f t="shared" ca="1" si="249"/>
        <v>784</v>
      </c>
      <c r="N798" s="3">
        <f t="shared" ca="1" si="250"/>
        <v>5</v>
      </c>
      <c r="O798" s="19">
        <f t="shared" ca="1" si="251"/>
        <v>2.8178718937399587</v>
      </c>
      <c r="P798" s="19">
        <f t="shared" ca="1" si="252"/>
        <v>28.178718937399587</v>
      </c>
      <c r="Q798" s="19">
        <f t="shared" ca="1" si="253"/>
        <v>28.178718937399587</v>
      </c>
      <c r="R798" s="19">
        <f t="shared" ca="1" si="254"/>
        <v>2.8178718937399587</v>
      </c>
      <c r="S798" s="19">
        <f t="shared" ca="1" si="255"/>
        <v>2.8178718937399587</v>
      </c>
      <c r="T798" s="19">
        <f t="shared" ca="1" si="256"/>
        <v>0</v>
      </c>
      <c r="U798" s="19">
        <f t="shared" ca="1" si="257"/>
        <v>1475.3251747165598</v>
      </c>
      <c r="V798" s="19">
        <f t="shared" ca="1" si="258"/>
        <v>0</v>
      </c>
      <c r="W798" s="82">
        <f t="shared" ca="1" si="259"/>
        <v>2429.5261501736113</v>
      </c>
      <c r="X798" s="19">
        <f t="shared" ca="1" si="260"/>
        <v>0</v>
      </c>
      <c r="Y798" s="19">
        <f t="shared" si="261"/>
        <v>0</v>
      </c>
      <c r="Z798" s="82">
        <f t="shared" ca="1" si="262"/>
        <v>2429.5261501736113</v>
      </c>
      <c r="AA798" s="19">
        <f t="shared" ca="1" si="263"/>
        <v>0</v>
      </c>
    </row>
    <row r="799" spans="1:27" ht="12.75" customHeight="1" x14ac:dyDescent="0.2">
      <c r="A799">
        <v>1</v>
      </c>
      <c r="B799">
        <v>3</v>
      </c>
      <c r="C799">
        <f t="shared" ca="1" si="242"/>
        <v>6</v>
      </c>
      <c r="D799">
        <f t="shared" ca="1" si="243"/>
        <v>5</v>
      </c>
      <c r="E799">
        <f t="shared" ca="1" si="244"/>
        <v>1</v>
      </c>
      <c r="F799" s="61">
        <f t="shared" ca="1" si="245"/>
        <v>1.5020963711999999E-2</v>
      </c>
      <c r="G799">
        <v>0</v>
      </c>
      <c r="H799">
        <v>1</v>
      </c>
      <c r="I799">
        <v>4</v>
      </c>
      <c r="J799" s="61">
        <f t="shared" ca="1" si="246"/>
        <v>0</v>
      </c>
      <c r="K799" s="61">
        <f t="shared" ca="1" si="247"/>
        <v>0</v>
      </c>
      <c r="L799" s="82">
        <f t="shared" ca="1" si="248"/>
        <v>205</v>
      </c>
      <c r="M799" s="16">
        <f t="shared" ca="1" si="249"/>
        <v>795</v>
      </c>
      <c r="N799" s="3">
        <f t="shared" ca="1" si="250"/>
        <v>5</v>
      </c>
      <c r="O799" s="19">
        <f t="shared" ca="1" si="251"/>
        <v>2.8178718937399587</v>
      </c>
      <c r="P799" s="19">
        <f t="shared" ca="1" si="252"/>
        <v>28.178718937399587</v>
      </c>
      <c r="Q799" s="19">
        <f t="shared" ca="1" si="253"/>
        <v>28.178718937399587</v>
      </c>
      <c r="R799" s="19">
        <f t="shared" ca="1" si="254"/>
        <v>2.8178718937399587</v>
      </c>
      <c r="S799" s="19">
        <f t="shared" ca="1" si="255"/>
        <v>2.8178718937399587</v>
      </c>
      <c r="T799" s="19">
        <f t="shared" ca="1" si="256"/>
        <v>0</v>
      </c>
      <c r="U799" s="19">
        <f t="shared" ca="1" si="257"/>
        <v>1464.3251747165598</v>
      </c>
      <c r="V799" s="19">
        <f t="shared" ca="1" si="258"/>
        <v>0</v>
      </c>
      <c r="W799" s="82">
        <f t="shared" ca="1" si="259"/>
        <v>1943.620920138889</v>
      </c>
      <c r="X799" s="19">
        <f t="shared" ca="1" si="260"/>
        <v>0</v>
      </c>
      <c r="Y799" s="19">
        <f t="shared" si="261"/>
        <v>0</v>
      </c>
      <c r="Z799" s="82">
        <f t="shared" ca="1" si="262"/>
        <v>1943.620920138889</v>
      </c>
      <c r="AA799" s="19">
        <f t="shared" ca="1" si="263"/>
        <v>0</v>
      </c>
    </row>
    <row r="800" spans="1:27" ht="12.75" customHeight="1" x14ac:dyDescent="0.2">
      <c r="A800">
        <v>1</v>
      </c>
      <c r="B800">
        <v>3</v>
      </c>
      <c r="C800">
        <f t="shared" ca="1" si="242"/>
        <v>6</v>
      </c>
      <c r="D800">
        <f t="shared" ca="1" si="243"/>
        <v>5</v>
      </c>
      <c r="E800">
        <f t="shared" ca="1" si="244"/>
        <v>1</v>
      </c>
      <c r="F800" s="61">
        <f t="shared" ca="1" si="245"/>
        <v>1.5020963711999999E-2</v>
      </c>
      <c r="G800">
        <v>0</v>
      </c>
      <c r="H800">
        <v>1</v>
      </c>
      <c r="I800">
        <v>3</v>
      </c>
      <c r="J800" s="61">
        <f t="shared" ca="1" si="246"/>
        <v>0</v>
      </c>
      <c r="K800" s="61">
        <f t="shared" ca="1" si="247"/>
        <v>0</v>
      </c>
      <c r="L800" s="82">
        <f t="shared" ca="1" si="248"/>
        <v>194</v>
      </c>
      <c r="M800" s="16">
        <f t="shared" ca="1" si="249"/>
        <v>806</v>
      </c>
      <c r="N800" s="3">
        <f t="shared" ca="1" si="250"/>
        <v>5</v>
      </c>
      <c r="O800" s="19">
        <f t="shared" ca="1" si="251"/>
        <v>2.8178718937399587</v>
      </c>
      <c r="P800" s="19">
        <f t="shared" ca="1" si="252"/>
        <v>28.178718937399587</v>
      </c>
      <c r="Q800" s="19">
        <f t="shared" ca="1" si="253"/>
        <v>28.178718937399587</v>
      </c>
      <c r="R800" s="19">
        <f t="shared" ca="1" si="254"/>
        <v>2.8178718937399587</v>
      </c>
      <c r="S800" s="19">
        <f t="shared" ca="1" si="255"/>
        <v>2.8178718937399587</v>
      </c>
      <c r="T800" s="19">
        <f t="shared" ca="1" si="256"/>
        <v>0</v>
      </c>
      <c r="U800" s="19">
        <f t="shared" ca="1" si="257"/>
        <v>1453.3251747165598</v>
      </c>
      <c r="V800" s="19">
        <f t="shared" ca="1" si="258"/>
        <v>0</v>
      </c>
      <c r="W800" s="82">
        <f t="shared" ca="1" si="259"/>
        <v>1457.7156901041667</v>
      </c>
      <c r="X800" s="19">
        <f t="shared" ca="1" si="260"/>
        <v>0</v>
      </c>
      <c r="Y800" s="19">
        <f t="shared" si="261"/>
        <v>0</v>
      </c>
      <c r="Z800" s="82">
        <f t="shared" ca="1" si="262"/>
        <v>1457.7156901041667</v>
      </c>
      <c r="AA800" s="19">
        <f t="shared" ca="1" si="263"/>
        <v>0</v>
      </c>
    </row>
    <row r="801" spans="1:27" ht="12.75" customHeight="1" x14ac:dyDescent="0.2">
      <c r="A801">
        <v>1</v>
      </c>
      <c r="B801">
        <v>3</v>
      </c>
      <c r="C801">
        <f t="shared" ca="1" si="242"/>
        <v>6</v>
      </c>
      <c r="D801">
        <f t="shared" ca="1" si="243"/>
        <v>5</v>
      </c>
      <c r="E801">
        <f t="shared" ca="1" si="244"/>
        <v>1</v>
      </c>
      <c r="F801" s="61">
        <f t="shared" ca="1" si="245"/>
        <v>1.5020963711999999E-2</v>
      </c>
      <c r="G801">
        <v>0</v>
      </c>
      <c r="H801">
        <v>1</v>
      </c>
      <c r="I801">
        <v>2</v>
      </c>
      <c r="J801" s="61">
        <f t="shared" ca="1" si="246"/>
        <v>0</v>
      </c>
      <c r="K801" s="61">
        <f t="shared" ca="1" si="247"/>
        <v>0</v>
      </c>
      <c r="L801" s="82">
        <f t="shared" ca="1" si="248"/>
        <v>183</v>
      </c>
      <c r="M801" s="16">
        <f t="shared" ca="1" si="249"/>
        <v>817</v>
      </c>
      <c r="N801" s="3">
        <f t="shared" ca="1" si="250"/>
        <v>5</v>
      </c>
      <c r="O801" s="19">
        <f t="shared" ca="1" si="251"/>
        <v>2.8178718937399587</v>
      </c>
      <c r="P801" s="19">
        <f t="shared" ca="1" si="252"/>
        <v>28.178718937399587</v>
      </c>
      <c r="Q801" s="19">
        <f t="shared" ca="1" si="253"/>
        <v>28.178718937399587</v>
      </c>
      <c r="R801" s="19">
        <f t="shared" ca="1" si="254"/>
        <v>2.8178718937399587</v>
      </c>
      <c r="S801" s="19">
        <f t="shared" ca="1" si="255"/>
        <v>2.8178718937399587</v>
      </c>
      <c r="T801" s="19">
        <f t="shared" ca="1" si="256"/>
        <v>0</v>
      </c>
      <c r="U801" s="19">
        <f t="shared" ca="1" si="257"/>
        <v>1442.3251747165598</v>
      </c>
      <c r="V801" s="19">
        <f t="shared" ca="1" si="258"/>
        <v>0</v>
      </c>
      <c r="W801" s="82">
        <f t="shared" ca="1" si="259"/>
        <v>971.8104600694445</v>
      </c>
      <c r="X801" s="19">
        <f t="shared" ca="1" si="260"/>
        <v>0</v>
      </c>
      <c r="Y801" s="19">
        <f t="shared" si="261"/>
        <v>0</v>
      </c>
      <c r="Z801" s="82">
        <f t="shared" ca="1" si="262"/>
        <v>971.8104600694445</v>
      </c>
      <c r="AA801" s="19">
        <f t="shared" ca="1" si="263"/>
        <v>0</v>
      </c>
    </row>
    <row r="802" spans="1:27" ht="12.75" customHeight="1" x14ac:dyDescent="0.2">
      <c r="A802">
        <v>1</v>
      </c>
      <c r="B802">
        <v>3</v>
      </c>
      <c r="C802">
        <f t="shared" ca="1" si="242"/>
        <v>6</v>
      </c>
      <c r="D802">
        <f t="shared" ca="1" si="243"/>
        <v>5</v>
      </c>
      <c r="E802">
        <f t="shared" ca="1" si="244"/>
        <v>1</v>
      </c>
      <c r="F802" s="61">
        <f t="shared" ca="1" si="245"/>
        <v>1.5020963711999999E-2</v>
      </c>
      <c r="G802">
        <v>0</v>
      </c>
      <c r="H802">
        <v>1</v>
      </c>
      <c r="I802">
        <v>1</v>
      </c>
      <c r="J802" s="61">
        <f t="shared" ca="1" si="246"/>
        <v>0</v>
      </c>
      <c r="K802" s="61">
        <f t="shared" ca="1" si="247"/>
        <v>0</v>
      </c>
      <c r="L802" s="82">
        <f t="shared" ca="1" si="248"/>
        <v>172</v>
      </c>
      <c r="M802" s="16">
        <f t="shared" ca="1" si="249"/>
        <v>828</v>
      </c>
      <c r="N802" s="3">
        <f t="shared" ca="1" si="250"/>
        <v>5</v>
      </c>
      <c r="O802" s="19">
        <f t="shared" ca="1" si="251"/>
        <v>2.8178718937399587</v>
      </c>
      <c r="P802" s="19">
        <f t="shared" ca="1" si="252"/>
        <v>28.178718937399587</v>
      </c>
      <c r="Q802" s="19">
        <f t="shared" ca="1" si="253"/>
        <v>28.178718937399587</v>
      </c>
      <c r="R802" s="19">
        <f t="shared" ca="1" si="254"/>
        <v>2.8178718937399587</v>
      </c>
      <c r="S802" s="19">
        <f t="shared" ca="1" si="255"/>
        <v>2.8178718937399587</v>
      </c>
      <c r="T802" s="19">
        <f t="shared" ca="1" si="256"/>
        <v>0</v>
      </c>
      <c r="U802" s="19">
        <f t="shared" ca="1" si="257"/>
        <v>1431.3251747165598</v>
      </c>
      <c r="V802" s="19">
        <f t="shared" ca="1" si="258"/>
        <v>0</v>
      </c>
      <c r="W802" s="82">
        <f t="shared" ca="1" si="259"/>
        <v>485.90523003472225</v>
      </c>
      <c r="X802" s="19">
        <f t="shared" ca="1" si="260"/>
        <v>0</v>
      </c>
      <c r="Y802" s="19">
        <f t="shared" si="261"/>
        <v>0</v>
      </c>
      <c r="Z802" s="82">
        <f t="shared" ca="1" si="262"/>
        <v>485.90523003472225</v>
      </c>
      <c r="AA802" s="19">
        <f t="shared" ca="1" si="263"/>
        <v>0</v>
      </c>
    </row>
    <row r="803" spans="1:27" ht="12.75" customHeight="1" x14ac:dyDescent="0.2">
      <c r="A803">
        <v>1</v>
      </c>
      <c r="B803">
        <v>3</v>
      </c>
      <c r="C803">
        <f t="shared" ca="1" si="242"/>
        <v>6</v>
      </c>
      <c r="D803">
        <f t="shared" ca="1" si="243"/>
        <v>5</v>
      </c>
      <c r="E803">
        <f t="shared" ca="1" si="244"/>
        <v>1</v>
      </c>
      <c r="F803" s="61">
        <f t="shared" ca="1" si="245"/>
        <v>1.5020963711999999E-2</v>
      </c>
      <c r="G803">
        <v>0</v>
      </c>
      <c r="H803">
        <v>1</v>
      </c>
      <c r="I803">
        <v>0</v>
      </c>
      <c r="J803" s="61">
        <f t="shared" ca="1" si="246"/>
        <v>0</v>
      </c>
      <c r="K803" s="61">
        <f t="shared" ca="1" si="247"/>
        <v>0</v>
      </c>
      <c r="L803" s="82">
        <f t="shared" ca="1" si="248"/>
        <v>161</v>
      </c>
      <c r="M803" s="16">
        <f t="shared" ca="1" si="249"/>
        <v>839</v>
      </c>
      <c r="N803" s="3">
        <f t="shared" ca="1" si="250"/>
        <v>5</v>
      </c>
      <c r="O803" s="19">
        <f t="shared" ca="1" si="251"/>
        <v>2.8178718937399587</v>
      </c>
      <c r="P803" s="19">
        <f t="shared" ca="1" si="252"/>
        <v>28.178718937399587</v>
      </c>
      <c r="Q803" s="19">
        <f t="shared" ca="1" si="253"/>
        <v>28.178718937399587</v>
      </c>
      <c r="R803" s="19">
        <f t="shared" ca="1" si="254"/>
        <v>2.8178718937399587</v>
      </c>
      <c r="S803" s="19">
        <f t="shared" ca="1" si="255"/>
        <v>2.8178718937399587</v>
      </c>
      <c r="T803" s="19">
        <f t="shared" ca="1" si="256"/>
        <v>0</v>
      </c>
      <c r="U803" s="19">
        <f t="shared" ca="1" si="257"/>
        <v>1420.3251747165598</v>
      </c>
      <c r="V803" s="19">
        <f t="shared" ca="1" si="258"/>
        <v>0</v>
      </c>
      <c r="W803" s="82">
        <f t="shared" ca="1" si="259"/>
        <v>0</v>
      </c>
      <c r="X803" s="19">
        <f t="shared" ca="1" si="260"/>
        <v>0</v>
      </c>
      <c r="Y803" s="19">
        <f t="shared" si="261"/>
        <v>0</v>
      </c>
      <c r="Z803" s="82">
        <f t="shared" ca="1" si="262"/>
        <v>0</v>
      </c>
      <c r="AA803" s="19">
        <f t="shared" ca="1" si="263"/>
        <v>0</v>
      </c>
    </row>
    <row r="804" spans="1:27" ht="12.75" customHeight="1" x14ac:dyDescent="0.2">
      <c r="A804">
        <v>1</v>
      </c>
      <c r="B804">
        <v>3</v>
      </c>
      <c r="C804">
        <f t="shared" ca="1" si="242"/>
        <v>6</v>
      </c>
      <c r="D804">
        <f t="shared" ca="1" si="243"/>
        <v>5</v>
      </c>
      <c r="E804">
        <f t="shared" ca="1" si="244"/>
        <v>1</v>
      </c>
      <c r="F804" s="61">
        <f t="shared" ca="1" si="245"/>
        <v>1.5020963711999999E-2</v>
      </c>
      <c r="G804">
        <v>0</v>
      </c>
      <c r="H804">
        <v>0</v>
      </c>
      <c r="I804">
        <v>7</v>
      </c>
      <c r="J804" s="61">
        <f t="shared" ca="1" si="246"/>
        <v>0</v>
      </c>
      <c r="K804" s="61">
        <f t="shared" ca="1" si="247"/>
        <v>0</v>
      </c>
      <c r="L804" s="82">
        <f t="shared" ca="1" si="248"/>
        <v>77</v>
      </c>
      <c r="M804" s="16">
        <f t="shared" ca="1" si="249"/>
        <v>923</v>
      </c>
      <c r="N804" s="3">
        <f t="shared" ca="1" si="250"/>
        <v>5</v>
      </c>
      <c r="O804" s="19">
        <f t="shared" ca="1" si="251"/>
        <v>2.8178718937399587</v>
      </c>
      <c r="P804" s="19">
        <f t="shared" ca="1" si="252"/>
        <v>28.178718937399587</v>
      </c>
      <c r="Q804" s="19">
        <f t="shared" ca="1" si="253"/>
        <v>28.178718937399587</v>
      </c>
      <c r="R804" s="19">
        <f t="shared" ca="1" si="254"/>
        <v>2.8178718937399587</v>
      </c>
      <c r="S804" s="19">
        <f t="shared" ca="1" si="255"/>
        <v>2.8178718937399587</v>
      </c>
      <c r="T804" s="19">
        <f t="shared" ca="1" si="256"/>
        <v>0</v>
      </c>
      <c r="U804" s="19">
        <f t="shared" ca="1" si="257"/>
        <v>1336.3251747165598</v>
      </c>
      <c r="V804" s="19">
        <f t="shared" ca="1" si="258"/>
        <v>0</v>
      </c>
      <c r="W804" s="82">
        <f t="shared" ca="1" si="259"/>
        <v>3401.3366102430559</v>
      </c>
      <c r="X804" s="19">
        <f t="shared" ca="1" si="260"/>
        <v>0</v>
      </c>
      <c r="Y804" s="19">
        <f t="shared" si="261"/>
        <v>0</v>
      </c>
      <c r="Z804" s="82">
        <f t="shared" ca="1" si="262"/>
        <v>3401.3366102430559</v>
      </c>
      <c r="AA804" s="19">
        <f t="shared" ca="1" si="263"/>
        <v>0</v>
      </c>
    </row>
    <row r="805" spans="1:27" ht="12.75" customHeight="1" x14ac:dyDescent="0.2">
      <c r="A805">
        <v>1</v>
      </c>
      <c r="B805">
        <v>3</v>
      </c>
      <c r="C805">
        <f t="shared" ca="1" si="242"/>
        <v>6</v>
      </c>
      <c r="D805">
        <f t="shared" ca="1" si="243"/>
        <v>5</v>
      </c>
      <c r="E805">
        <f t="shared" ca="1" si="244"/>
        <v>1</v>
      </c>
      <c r="F805" s="61">
        <f t="shared" ca="1" si="245"/>
        <v>1.5020963711999999E-2</v>
      </c>
      <c r="G805">
        <v>0</v>
      </c>
      <c r="H805">
        <v>0</v>
      </c>
      <c r="I805">
        <v>6</v>
      </c>
      <c r="J805" s="61">
        <f t="shared" ca="1" si="246"/>
        <v>0</v>
      </c>
      <c r="K805" s="61">
        <f t="shared" ca="1" si="247"/>
        <v>0</v>
      </c>
      <c r="L805" s="82">
        <f t="shared" ca="1" si="248"/>
        <v>66</v>
      </c>
      <c r="M805" s="16">
        <f t="shared" ca="1" si="249"/>
        <v>934</v>
      </c>
      <c r="N805" s="3">
        <f t="shared" ca="1" si="250"/>
        <v>5</v>
      </c>
      <c r="O805" s="19">
        <f t="shared" ca="1" si="251"/>
        <v>2.8178718937399587</v>
      </c>
      <c r="P805" s="19">
        <f t="shared" ca="1" si="252"/>
        <v>28.178718937399587</v>
      </c>
      <c r="Q805" s="19">
        <f t="shared" ca="1" si="253"/>
        <v>28.178718937399587</v>
      </c>
      <c r="R805" s="19">
        <f t="shared" ca="1" si="254"/>
        <v>2.8178718937399587</v>
      </c>
      <c r="S805" s="19">
        <f t="shared" ca="1" si="255"/>
        <v>2.8178718937399587</v>
      </c>
      <c r="T805" s="19">
        <f t="shared" ca="1" si="256"/>
        <v>0</v>
      </c>
      <c r="U805" s="19">
        <f t="shared" ca="1" si="257"/>
        <v>1325.3251747165598</v>
      </c>
      <c r="V805" s="19">
        <f t="shared" ca="1" si="258"/>
        <v>0</v>
      </c>
      <c r="W805" s="82">
        <f t="shared" ca="1" si="259"/>
        <v>2915.4313802083334</v>
      </c>
      <c r="X805" s="19">
        <f t="shared" ca="1" si="260"/>
        <v>0</v>
      </c>
      <c r="Y805" s="19">
        <f t="shared" si="261"/>
        <v>0</v>
      </c>
      <c r="Z805" s="82">
        <f t="shared" ca="1" si="262"/>
        <v>2915.4313802083334</v>
      </c>
      <c r="AA805" s="19">
        <f t="shared" ca="1" si="263"/>
        <v>0</v>
      </c>
    </row>
    <row r="806" spans="1:27" ht="12.75" customHeight="1" x14ac:dyDescent="0.2">
      <c r="A806">
        <v>1</v>
      </c>
      <c r="B806">
        <v>3</v>
      </c>
      <c r="C806">
        <f t="shared" ca="1" si="242"/>
        <v>6</v>
      </c>
      <c r="D806">
        <f t="shared" ca="1" si="243"/>
        <v>5</v>
      </c>
      <c r="E806">
        <f t="shared" ca="1" si="244"/>
        <v>1</v>
      </c>
      <c r="F806" s="61">
        <f t="shared" ca="1" si="245"/>
        <v>1.5020963711999999E-2</v>
      </c>
      <c r="G806">
        <v>0</v>
      </c>
      <c r="H806">
        <v>0</v>
      </c>
      <c r="I806">
        <v>5</v>
      </c>
      <c r="J806" s="61">
        <f t="shared" ca="1" si="246"/>
        <v>3.8689046875000001E-2</v>
      </c>
      <c r="K806" s="61">
        <f t="shared" ca="1" si="247"/>
        <v>5.8114676916124202E-4</v>
      </c>
      <c r="L806" s="82">
        <f t="shared" ca="1" si="248"/>
        <v>55</v>
      </c>
      <c r="M806" s="16">
        <f t="shared" ca="1" si="249"/>
        <v>945</v>
      </c>
      <c r="N806" s="3">
        <f t="shared" ca="1" si="250"/>
        <v>5</v>
      </c>
      <c r="O806" s="19">
        <f t="shared" ca="1" si="251"/>
        <v>2.8178718937399587</v>
      </c>
      <c r="P806" s="19">
        <f t="shared" ca="1" si="252"/>
        <v>28.178718937399587</v>
      </c>
      <c r="Q806" s="19">
        <f t="shared" ca="1" si="253"/>
        <v>28.178718937399587</v>
      </c>
      <c r="R806" s="19">
        <f t="shared" ca="1" si="254"/>
        <v>2.8178718937399587</v>
      </c>
      <c r="S806" s="19">
        <f t="shared" ca="1" si="255"/>
        <v>2.8178718937399587</v>
      </c>
      <c r="T806" s="19">
        <f t="shared" ca="1" si="256"/>
        <v>1.6375971469572478E-3</v>
      </c>
      <c r="U806" s="19">
        <f t="shared" ca="1" si="257"/>
        <v>1314.3251747165598</v>
      </c>
      <c r="V806" s="19">
        <f t="shared" ca="1" si="258"/>
        <v>0.76381582891381361</v>
      </c>
      <c r="W806" s="82">
        <f t="shared" ca="1" si="259"/>
        <v>2429.5261501736113</v>
      </c>
      <c r="X806" s="19">
        <f t="shared" ca="1" si="260"/>
        <v>1.4119112727661447</v>
      </c>
      <c r="Y806" s="19">
        <f t="shared" si="261"/>
        <v>0</v>
      </c>
      <c r="Z806" s="82">
        <f t="shared" ca="1" si="262"/>
        <v>2429.5261501736113</v>
      </c>
      <c r="AA806" s="19">
        <f t="shared" ca="1" si="263"/>
        <v>1.4119112727661447</v>
      </c>
    </row>
    <row r="807" spans="1:27" ht="12.75" customHeight="1" x14ac:dyDescent="0.2">
      <c r="A807">
        <v>1</v>
      </c>
      <c r="B807">
        <v>3</v>
      </c>
      <c r="C807">
        <f t="shared" ca="1" si="242"/>
        <v>6</v>
      </c>
      <c r="D807">
        <f t="shared" ca="1" si="243"/>
        <v>5</v>
      </c>
      <c r="E807">
        <f t="shared" ca="1" si="244"/>
        <v>1</v>
      </c>
      <c r="F807" s="61">
        <f t="shared" ca="1" si="245"/>
        <v>1.5020963711999999E-2</v>
      </c>
      <c r="G807">
        <v>0</v>
      </c>
      <c r="H807">
        <v>0</v>
      </c>
      <c r="I807">
        <v>4</v>
      </c>
      <c r="J807" s="61">
        <f t="shared" ca="1" si="246"/>
        <v>1.0181328125000009E-2</v>
      </c>
      <c r="K807" s="61">
        <f t="shared" ca="1" si="247"/>
        <v>1.5293336030559011E-4</v>
      </c>
      <c r="L807" s="82">
        <f t="shared" ca="1" si="248"/>
        <v>44</v>
      </c>
      <c r="M807" s="16">
        <f t="shared" ca="1" si="249"/>
        <v>956</v>
      </c>
      <c r="N807" s="3">
        <f t="shared" ca="1" si="250"/>
        <v>6</v>
      </c>
      <c r="O807" s="19">
        <f t="shared" ca="1" si="251"/>
        <v>3.3239268932937667</v>
      </c>
      <c r="P807" s="19">
        <f t="shared" ca="1" si="252"/>
        <v>33.239268932937669</v>
      </c>
      <c r="Q807" s="19">
        <f t="shared" ca="1" si="253"/>
        <v>28.178718937399587</v>
      </c>
      <c r="R807" s="19">
        <f t="shared" ca="1" si="254"/>
        <v>3.0708993935168629</v>
      </c>
      <c r="S807" s="19">
        <f t="shared" ca="1" si="255"/>
        <v>3.3239268932937667</v>
      </c>
      <c r="T807" s="19">
        <f t="shared" ca="1" si="256"/>
        <v>5.0833930920153635E-4</v>
      </c>
      <c r="U807" s="19">
        <f t="shared" ca="1" si="257"/>
        <v>1495.4024523027438</v>
      </c>
      <c r="V807" s="19">
        <f t="shared" ca="1" si="258"/>
        <v>0.22869692203987854</v>
      </c>
      <c r="W807" s="82">
        <f t="shared" ca="1" si="259"/>
        <v>1943.620920138889</v>
      </c>
      <c r="X807" s="19">
        <f t="shared" ca="1" si="260"/>
        <v>0.2972444784770833</v>
      </c>
      <c r="Y807" s="19">
        <f t="shared" si="261"/>
        <v>0</v>
      </c>
      <c r="Z807" s="82">
        <f t="shared" ca="1" si="262"/>
        <v>1943.620920138889</v>
      </c>
      <c r="AA807" s="19">
        <f t="shared" ca="1" si="263"/>
        <v>0.2972444784770833</v>
      </c>
    </row>
    <row r="808" spans="1:27" ht="12.75" customHeight="1" x14ac:dyDescent="0.2">
      <c r="A808">
        <v>1</v>
      </c>
      <c r="B808">
        <v>3</v>
      </c>
      <c r="C808">
        <f t="shared" ca="1" si="242"/>
        <v>6</v>
      </c>
      <c r="D808">
        <f t="shared" ca="1" si="243"/>
        <v>5</v>
      </c>
      <c r="E808">
        <f t="shared" ca="1" si="244"/>
        <v>1</v>
      </c>
      <c r="F808" s="61">
        <f t="shared" ca="1" si="245"/>
        <v>1.5020963711999999E-2</v>
      </c>
      <c r="G808">
        <v>0</v>
      </c>
      <c r="H808">
        <v>0</v>
      </c>
      <c r="I808">
        <v>3</v>
      </c>
      <c r="J808" s="61">
        <f t="shared" ca="1" si="246"/>
        <v>1.0717187500000017E-3</v>
      </c>
      <c r="K808" s="61">
        <f t="shared" ca="1" si="247"/>
        <v>1.6098248453220024E-5</v>
      </c>
      <c r="L808" s="82">
        <f t="shared" ca="1" si="248"/>
        <v>33</v>
      </c>
      <c r="M808" s="16">
        <f t="shared" ca="1" si="249"/>
        <v>967</v>
      </c>
      <c r="N808" s="3">
        <f t="shared" ca="1" si="250"/>
        <v>6</v>
      </c>
      <c r="O808" s="19">
        <f t="shared" ca="1" si="251"/>
        <v>3.3239268932937667</v>
      </c>
      <c r="P808" s="19">
        <f t="shared" ca="1" si="252"/>
        <v>33.239268932937669</v>
      </c>
      <c r="Q808" s="19">
        <f t="shared" ca="1" si="253"/>
        <v>33.239268932937669</v>
      </c>
      <c r="R808" s="19">
        <f t="shared" ca="1" si="254"/>
        <v>3.3239268932937671</v>
      </c>
      <c r="S808" s="19">
        <f t="shared" ca="1" si="255"/>
        <v>3.3239268932937667</v>
      </c>
      <c r="T808" s="19">
        <f t="shared" ca="1" si="256"/>
        <v>5.3509400968582819E-5</v>
      </c>
      <c r="U808" s="19">
        <f t="shared" ca="1" si="257"/>
        <v>1484.4024523027438</v>
      </c>
      <c r="V808" s="19">
        <f t="shared" ca="1" si="258"/>
        <v>2.3896279481738655E-2</v>
      </c>
      <c r="W808" s="82">
        <f t="shared" ca="1" si="259"/>
        <v>1457.7156901041667</v>
      </c>
      <c r="X808" s="19">
        <f t="shared" ca="1" si="260"/>
        <v>2.3466669353453963E-2</v>
      </c>
      <c r="Y808" s="19">
        <f t="shared" si="261"/>
        <v>0</v>
      </c>
      <c r="Z808" s="82">
        <f t="shared" ca="1" si="262"/>
        <v>1457.7156901041667</v>
      </c>
      <c r="AA808" s="19">
        <f t="shared" ca="1" si="263"/>
        <v>2.3466669353453963E-2</v>
      </c>
    </row>
    <row r="809" spans="1:27" ht="12.75" customHeight="1" x14ac:dyDescent="0.2">
      <c r="A809">
        <v>1</v>
      </c>
      <c r="B809">
        <v>3</v>
      </c>
      <c r="C809">
        <f t="shared" ca="1" si="242"/>
        <v>6</v>
      </c>
      <c r="D809">
        <f t="shared" ca="1" si="243"/>
        <v>5</v>
      </c>
      <c r="E809">
        <f t="shared" ca="1" si="244"/>
        <v>1</v>
      </c>
      <c r="F809" s="61">
        <f t="shared" ca="1" si="245"/>
        <v>1.5020963711999999E-2</v>
      </c>
      <c r="G809">
        <v>0</v>
      </c>
      <c r="H809">
        <v>0</v>
      </c>
      <c r="I809">
        <v>2</v>
      </c>
      <c r="J809" s="61">
        <f t="shared" ca="1" si="246"/>
        <v>5.6406250000000155E-5</v>
      </c>
      <c r="K809" s="61">
        <f t="shared" ca="1" si="247"/>
        <v>8.4727623438000227E-7</v>
      </c>
      <c r="L809" s="82">
        <f t="shared" ca="1" si="248"/>
        <v>22</v>
      </c>
      <c r="M809" s="16">
        <f t="shared" ca="1" si="249"/>
        <v>978</v>
      </c>
      <c r="N809" s="3">
        <f t="shared" ca="1" si="250"/>
        <v>6</v>
      </c>
      <c r="O809" s="19">
        <f t="shared" ca="1" si="251"/>
        <v>3.3239268932937667</v>
      </c>
      <c r="P809" s="19">
        <f t="shared" ca="1" si="252"/>
        <v>33.239268932937669</v>
      </c>
      <c r="Q809" s="19">
        <f t="shared" ca="1" si="253"/>
        <v>33.239268932937669</v>
      </c>
      <c r="R809" s="19">
        <f t="shared" ca="1" si="254"/>
        <v>3.3239268932937671</v>
      </c>
      <c r="S809" s="19">
        <f t="shared" ca="1" si="255"/>
        <v>3.3239268932937667</v>
      </c>
      <c r="T809" s="19">
        <f t="shared" ca="1" si="256"/>
        <v>2.8162842615043624E-6</v>
      </c>
      <c r="U809" s="19">
        <f t="shared" ca="1" si="257"/>
        <v>1473.4024523027438</v>
      </c>
      <c r="V809" s="19">
        <f t="shared" ca="1" si="258"/>
        <v>1.2483788815133296E-3</v>
      </c>
      <c r="W809" s="82">
        <f t="shared" ca="1" si="259"/>
        <v>971.8104600694445</v>
      </c>
      <c r="X809" s="19">
        <f t="shared" ca="1" si="260"/>
        <v>8.2339190713873645E-4</v>
      </c>
      <c r="Y809" s="19">
        <f t="shared" si="261"/>
        <v>0</v>
      </c>
      <c r="Z809" s="82">
        <f t="shared" ca="1" si="262"/>
        <v>971.8104600694445</v>
      </c>
      <c r="AA809" s="19">
        <f t="shared" ca="1" si="263"/>
        <v>8.2339190713873645E-4</v>
      </c>
    </row>
    <row r="810" spans="1:27" ht="12.75" customHeight="1" x14ac:dyDescent="0.2">
      <c r="A810">
        <v>1</v>
      </c>
      <c r="B810">
        <v>3</v>
      </c>
      <c r="C810">
        <f t="shared" ca="1" si="242"/>
        <v>6</v>
      </c>
      <c r="D810">
        <f t="shared" ca="1" si="243"/>
        <v>5</v>
      </c>
      <c r="E810">
        <f t="shared" ca="1" si="244"/>
        <v>1</v>
      </c>
      <c r="F810" s="61">
        <f t="shared" ca="1" si="245"/>
        <v>1.5020963711999999E-2</v>
      </c>
      <c r="G810">
        <v>0</v>
      </c>
      <c r="H810">
        <v>0</v>
      </c>
      <c r="I810">
        <v>1</v>
      </c>
      <c r="J810" s="61">
        <f t="shared" ca="1" si="246"/>
        <v>1.4843750000000054E-6</v>
      </c>
      <c r="K810" s="61">
        <f t="shared" ca="1" si="247"/>
        <v>2.2296743010000079E-8</v>
      </c>
      <c r="L810" s="82">
        <f t="shared" ca="1" si="248"/>
        <v>11</v>
      </c>
      <c r="M810" s="16">
        <f t="shared" ca="1" si="249"/>
        <v>989</v>
      </c>
      <c r="N810" s="3">
        <f t="shared" ca="1" si="250"/>
        <v>6</v>
      </c>
      <c r="O810" s="19">
        <f t="shared" ca="1" si="251"/>
        <v>3.3239268932937667</v>
      </c>
      <c r="P810" s="19">
        <f t="shared" ca="1" si="252"/>
        <v>33.239268932937669</v>
      </c>
      <c r="Q810" s="19">
        <f t="shared" ca="1" si="253"/>
        <v>33.239268932937669</v>
      </c>
      <c r="R810" s="19">
        <f t="shared" ca="1" si="254"/>
        <v>3.3239268932937671</v>
      </c>
      <c r="S810" s="19">
        <f t="shared" ca="1" si="255"/>
        <v>3.3239268932937667</v>
      </c>
      <c r="T810" s="19">
        <f t="shared" ca="1" si="256"/>
        <v>7.4112743723799068E-8</v>
      </c>
      <c r="U810" s="19">
        <f t="shared" ca="1" si="257"/>
        <v>1462.4024523027438</v>
      </c>
      <c r="V810" s="19">
        <f t="shared" ca="1" si="258"/>
        <v>3.2606811656188175E-5</v>
      </c>
      <c r="W810" s="82">
        <f t="shared" ca="1" si="259"/>
        <v>485.90523003472225</v>
      </c>
      <c r="X810" s="19">
        <f t="shared" ca="1" si="260"/>
        <v>1.0834104041299174E-5</v>
      </c>
      <c r="Y810" s="19">
        <f t="shared" si="261"/>
        <v>0</v>
      </c>
      <c r="Z810" s="82">
        <f t="shared" ca="1" si="262"/>
        <v>485.90523003472225</v>
      </c>
      <c r="AA810" s="19">
        <f t="shared" ca="1" si="263"/>
        <v>1.0834104041299174E-5</v>
      </c>
    </row>
    <row r="811" spans="1:27" ht="12.75" customHeight="1" x14ac:dyDescent="0.2">
      <c r="A811">
        <v>1</v>
      </c>
      <c r="B811">
        <v>3</v>
      </c>
      <c r="C811">
        <f t="shared" ca="1" si="242"/>
        <v>6</v>
      </c>
      <c r="D811">
        <f t="shared" ca="1" si="243"/>
        <v>5</v>
      </c>
      <c r="E811">
        <f t="shared" ca="1" si="244"/>
        <v>1</v>
      </c>
      <c r="F811" s="61">
        <f t="shared" ca="1" si="245"/>
        <v>1.5020963711999999E-2</v>
      </c>
      <c r="G811">
        <v>0</v>
      </c>
      <c r="H811">
        <v>0</v>
      </c>
      <c r="I811">
        <v>0</v>
      </c>
      <c r="J811" s="61">
        <f t="shared" ca="1" si="246"/>
        <v>1.5625000000000072E-8</v>
      </c>
      <c r="K811" s="61">
        <f t="shared" ca="1" si="247"/>
        <v>2.3470255800000105E-10</v>
      </c>
      <c r="L811" s="82">
        <f t="shared" ca="1" si="248"/>
        <v>0</v>
      </c>
      <c r="M811" s="16">
        <f t="shared" ca="1" si="249"/>
        <v>1000</v>
      </c>
      <c r="N811" s="3">
        <f t="shared" ca="1" si="250"/>
        <v>6</v>
      </c>
      <c r="O811" s="19">
        <f t="shared" ca="1" si="251"/>
        <v>3.3239268932937667</v>
      </c>
      <c r="P811" s="19">
        <f t="shared" ca="1" si="252"/>
        <v>33.239268932937669</v>
      </c>
      <c r="Q811" s="19">
        <f t="shared" ca="1" si="253"/>
        <v>33.239268932937669</v>
      </c>
      <c r="R811" s="19">
        <f t="shared" ca="1" si="254"/>
        <v>3.3239268932937671</v>
      </c>
      <c r="S811" s="19">
        <f t="shared" ca="1" si="255"/>
        <v>3.3239268932937667</v>
      </c>
      <c r="T811" s="19">
        <f t="shared" ca="1" si="256"/>
        <v>7.8013414446104358E-10</v>
      </c>
      <c r="U811" s="19">
        <f t="shared" ca="1" si="257"/>
        <v>1451.4024523027438</v>
      </c>
      <c r="V811" s="19">
        <f t="shared" ca="1" si="258"/>
        <v>3.4064786824292849E-7</v>
      </c>
      <c r="W811" s="82">
        <f t="shared" ca="1" si="259"/>
        <v>0</v>
      </c>
      <c r="X811" s="19">
        <f t="shared" ca="1" si="260"/>
        <v>0</v>
      </c>
      <c r="Y811" s="19">
        <f t="shared" si="261"/>
        <v>0</v>
      </c>
      <c r="Z811" s="82">
        <f t="shared" ca="1" si="262"/>
        <v>0</v>
      </c>
      <c r="AA811" s="19">
        <f t="shared" ca="1" si="263"/>
        <v>0</v>
      </c>
    </row>
    <row r="812" spans="1:27" ht="12.75" customHeight="1" x14ac:dyDescent="0.2">
      <c r="A812">
        <v>2</v>
      </c>
      <c r="B812">
        <v>0</v>
      </c>
      <c r="C812">
        <f t="shared" ref="C812:C875" ca="1" si="264">MIN(8, 1+$B$545+$B$544+A812+B812)</f>
        <v>4</v>
      </c>
      <c r="D812">
        <f t="shared" ref="D812:D875" ca="1" si="265">C812-(1+$B$545)</f>
        <v>3</v>
      </c>
      <c r="E812">
        <f t="shared" ref="E812:E875" ca="1" si="266">MIN(A812, C812-(1+$B$545+$B$544))</f>
        <v>2</v>
      </c>
      <c r="F812" s="61">
        <f t="shared" ref="F812:F875" ca="1" si="267">IF(A812=3, Set2QA, IF(A812=2, (1-Set2QA)*Set2TA + (1-Set2QA)*(1-Set2TA)*(1-Set2DA)*Set2AM3*Set2AM33, IF(A812=1, (1-Set2QA)*(1-Set2TA)*Set2DA + (1-Set2QA)*(1-Set2TA)*(1-Set2DA)*Set2AM3*Set2AM32, (1-Set2QA)*(1-Set2TA)*(1-Set2DA)*(1-Set2AM3)))) * IF($B$544+$B$545&gt;0, IF(B812=3, Set2QA, IF(B812=2, (1-Set2QA)*Set2TA, IF(B812=1, (1-Set2QA)*(1-Set2TA)*Set2DA, (1-Set2QA)*(1-Set2TA)*(1-Set2DA)))), IF(B812=0, 1, 0))</f>
        <v>0.13085086388183043</v>
      </c>
      <c r="G812">
        <v>1</v>
      </c>
      <c r="H812">
        <v>1</v>
      </c>
      <c r="I812">
        <v>7</v>
      </c>
      <c r="J812" s="61">
        <f t="shared" ref="J812:J875" ca="1" si="268">POWER(95%,G812)*POWER(5%, 1-G812) * IF($B$545=0, IF(H812=0, 1, 0), POWER(Set2WSHitRate,H812)*POWER(1-Set2WSHitRate, 1-H812)) * IF(I812&lt;=D812, POWER(Set2WSHitRate, I812)*POWER(1-Set2WSHitRate, D812-I812)*COMBIN(D812,I812), 0)</f>
        <v>0</v>
      </c>
      <c r="K812" s="61">
        <f t="shared" ref="K812:K875" ca="1" si="269">F812*J812</f>
        <v>0</v>
      </c>
      <c r="L812" s="82">
        <f t="shared" ref="L812:L875" ca="1" si="270">MAX((G812+H812)*Set2WSTP + I812*$B$541, Set2SaveTP)</f>
        <v>399</v>
      </c>
      <c r="M812" s="16">
        <f t="shared" ref="M812:M875" ca="1" si="271">MAX(Set2MinTP-(L812+Set2Regain), 0)</f>
        <v>601</v>
      </c>
      <c r="N812" s="3">
        <f t="shared" ref="N812:N875" ca="1" si="272">CEILING(M812/Set2MeleeTP, 1)</f>
        <v>4</v>
      </c>
      <c r="O812" s="19">
        <f t="shared" ref="O812:O875" ca="1" si="273">VLOOKUP(N812, AvgRoundsSet2, 2)</f>
        <v>2.3453053758100548</v>
      </c>
      <c r="P812" s="19">
        <f t="shared" ref="P812:P875" ca="1" si="274">VLOOKUP(CEILING(MAX(M812-1, 0)/Set2MeleeTP, 1), AvgRoundsSet2, 2) + VLOOKUP(CEILING(MAX(M812-2, 0)/Set2MeleeTP, 1), AvgRoundsSet2, 2) + VLOOKUP(CEILING(MAX(M812-3, 0)/Set2MeleeTP, 1), AvgRoundsSet2, 2) + VLOOKUP(CEILING(MAX(M812-4, 0)/Set2MeleeTP, 1), AvgRoundsSet2, 2) + VLOOKUP(CEILING(MAX(M812-5, 0)/Set2MeleeTP, 1), AvgRoundsSet2, 2) + VLOOKUP(CEILING(MAX(M812-6, 0)/Set2MeleeTP, 1), AvgRoundsSet2, 2) + VLOOKUP(CEILING(MAX(M812-7, 0)/Set2MeleeTP, 1), AvgRoundsSet2, 2) + VLOOKUP(CEILING(MAX(M812-8, 0)/Set2MeleeTP, 1), AvgRoundsSet2, 2) + VLOOKUP(CEILING(MAX(M812-9, 0)/Set2MeleeTP, 1), AvgRoundsSet2, 2) + VLOOKUP(CEILING(MAX(M812-10, 0)/Set2MeleeTP, 1), AvgRoundsSet2, 2)</f>
        <v>23.453053758100552</v>
      </c>
      <c r="Q812" s="19">
        <f t="shared" ref="Q812:Q875" ca="1" si="275">VLOOKUP(CEILING(MAX(M812-11, 0)/Set2MeleeTP, 1), AvgRoundsSet2, 2) + VLOOKUP(CEILING(MAX(M812-12, 0)/Set2MeleeTP, 1), AvgRoundsSet2, 2) + VLOOKUP(CEILING(MAX(M812-13, 0)/Set2MeleeTP, 1), AvgRoundsSet2, 2) + VLOOKUP(CEILING(MAX(M812-14, 0)/Set2MeleeTP, 1), AvgRoundsSet2, 2) + VLOOKUP(CEILING(MAX(M812-15, 0)/Set2MeleeTP, 1), AvgRoundsSet2, 2) + VLOOKUP(CEILING(MAX(M812-16, 0)/Set2MeleeTP, 1), AvgRoundsSet2, 2) + VLOOKUP(CEILING(MAX(M812-17, 0)/Set2MeleeTP, 1), AvgRoundsSet2, 2) + VLOOKUP(CEILING(MAX(M812-18, 0)/Set2MeleeTP, 1), AvgRoundsSet2, 2) + VLOOKUP(CEILING(MAX(M812-19, 0)/Set2MeleeTP, 1), AvgRoundsSet2, 2) + VLOOKUP(CEILING(MAX(M812-20, 0)/Set2MeleeTP, 1), AvgRoundsSet2, 2)</f>
        <v>23.453053758100552</v>
      </c>
      <c r="R812" s="19">
        <f t="shared" ref="R812:R875" ca="1" si="276">(P812+Q812)/20</f>
        <v>2.3453053758100553</v>
      </c>
      <c r="S812" s="19">
        <f t="shared" ref="S812:S875" ca="1" si="277">R812*Set2ConserveTP + O812*(1-Set2ConserveTP)</f>
        <v>2.3453053758100548</v>
      </c>
      <c r="T812" s="19">
        <f t="shared" ref="T812:T875" ca="1" si="278">K812*S812</f>
        <v>0</v>
      </c>
      <c r="U812" s="19">
        <f t="shared" ref="U812:U875" ca="1" si="279">MIN(L812+(S812+Set2OverTP)*AvgHitsPerRound2*Set2MeleeTP + Set2Regain + 10.5*Set2ConserveTP, 3000)</f>
        <v>1478.9587218163997</v>
      </c>
      <c r="V812" s="19">
        <f t="shared" ref="V812:V875" ca="1" si="280">U812*K812</f>
        <v>0</v>
      </c>
      <c r="W812" s="82">
        <f t="shared" ref="W812:W875" ca="1" si="281">G812*$K$547*((1-$L$547)*$L$551 + $L$547*$M$551*$M$547) + H812*$K$550*((1-$L$550)*$L$552 + $L$550*$M$552*$M$548) + I812*$K$548*((1-$L$548)*$L$551 + $L$548*$M$551*$M$548) + E812*$K$549*$L$549*$M$547</f>
        <v>5718.7981307870377</v>
      </c>
      <c r="X812" s="19">
        <f t="shared" ref="X812:X875" ca="1" si="282">K812*W812</f>
        <v>0</v>
      </c>
      <c r="Y812" s="19">
        <f t="shared" ref="Y812:Y875" si="283">IF($B$547=1, (VLOOKUP(C812, IF($B$548=10%,Souleater10,Souleater12), 6, 0) * $B$549), 0)</f>
        <v>0</v>
      </c>
      <c r="Z812" s="82">
        <f t="shared" ref="Z812:Z875" ca="1" si="284">Y812+W812</f>
        <v>5718.7981307870377</v>
      </c>
      <c r="AA812" s="19">
        <f t="shared" ref="AA812:AA875" ca="1" si="285">Z812*K812</f>
        <v>0</v>
      </c>
    </row>
    <row r="813" spans="1:27" ht="12.75" customHeight="1" x14ac:dyDescent="0.2">
      <c r="A813">
        <v>2</v>
      </c>
      <c r="B813">
        <v>0</v>
      </c>
      <c r="C813">
        <f t="shared" ca="1" si="264"/>
        <v>4</v>
      </c>
      <c r="D813">
        <f t="shared" ca="1" si="265"/>
        <v>3</v>
      </c>
      <c r="E813">
        <f t="shared" ca="1" si="266"/>
        <v>2</v>
      </c>
      <c r="F813" s="61">
        <f t="shared" ca="1" si="267"/>
        <v>0.13085086388183043</v>
      </c>
      <c r="G813">
        <v>1</v>
      </c>
      <c r="H813">
        <v>1</v>
      </c>
      <c r="I813">
        <v>6</v>
      </c>
      <c r="J813" s="61">
        <f t="shared" ca="1" si="268"/>
        <v>0</v>
      </c>
      <c r="K813" s="61">
        <f t="shared" ca="1" si="269"/>
        <v>0</v>
      </c>
      <c r="L813" s="82">
        <f t="shared" ca="1" si="270"/>
        <v>388</v>
      </c>
      <c r="M813" s="16">
        <f t="shared" ca="1" si="271"/>
        <v>612</v>
      </c>
      <c r="N813" s="3">
        <f t="shared" ca="1" si="272"/>
        <v>4</v>
      </c>
      <c r="O813" s="19">
        <f t="shared" ca="1" si="273"/>
        <v>2.3453053758100548</v>
      </c>
      <c r="P813" s="19">
        <f t="shared" ca="1" si="274"/>
        <v>23.453053758100552</v>
      </c>
      <c r="Q813" s="19">
        <f t="shared" ca="1" si="275"/>
        <v>23.453053758100552</v>
      </c>
      <c r="R813" s="19">
        <f t="shared" ca="1" si="276"/>
        <v>2.3453053758100553</v>
      </c>
      <c r="S813" s="19">
        <f t="shared" ca="1" si="277"/>
        <v>2.3453053758100548</v>
      </c>
      <c r="T813" s="19">
        <f t="shared" ca="1" si="278"/>
        <v>0</v>
      </c>
      <c r="U813" s="19">
        <f t="shared" ca="1" si="279"/>
        <v>1467.9587218163997</v>
      </c>
      <c r="V813" s="19">
        <f t="shared" ca="1" si="280"/>
        <v>0</v>
      </c>
      <c r="W813" s="82">
        <f t="shared" ca="1" si="281"/>
        <v>5232.8929007523147</v>
      </c>
      <c r="X813" s="19">
        <f t="shared" ca="1" si="282"/>
        <v>0</v>
      </c>
      <c r="Y813" s="19">
        <f t="shared" si="283"/>
        <v>0</v>
      </c>
      <c r="Z813" s="82">
        <f t="shared" ca="1" si="284"/>
        <v>5232.8929007523147</v>
      </c>
      <c r="AA813" s="19">
        <f t="shared" ca="1" si="285"/>
        <v>0</v>
      </c>
    </row>
    <row r="814" spans="1:27" ht="12.75" customHeight="1" x14ac:dyDescent="0.2">
      <c r="A814">
        <v>2</v>
      </c>
      <c r="B814">
        <v>0</v>
      </c>
      <c r="C814">
        <f t="shared" ca="1" si="264"/>
        <v>4</v>
      </c>
      <c r="D814">
        <f t="shared" ca="1" si="265"/>
        <v>3</v>
      </c>
      <c r="E814">
        <f t="shared" ca="1" si="266"/>
        <v>2</v>
      </c>
      <c r="F814" s="61">
        <f t="shared" ca="1" si="267"/>
        <v>0.13085086388183043</v>
      </c>
      <c r="G814">
        <v>1</v>
      </c>
      <c r="H814">
        <v>1</v>
      </c>
      <c r="I814">
        <v>5</v>
      </c>
      <c r="J814" s="61">
        <f t="shared" ca="1" si="268"/>
        <v>0</v>
      </c>
      <c r="K814" s="61">
        <f t="shared" ca="1" si="269"/>
        <v>0</v>
      </c>
      <c r="L814" s="82">
        <f t="shared" ca="1" si="270"/>
        <v>377</v>
      </c>
      <c r="M814" s="16">
        <f t="shared" ca="1" si="271"/>
        <v>623</v>
      </c>
      <c r="N814" s="3">
        <f t="shared" ca="1" si="272"/>
        <v>4</v>
      </c>
      <c r="O814" s="19">
        <f t="shared" ca="1" si="273"/>
        <v>2.3453053758100548</v>
      </c>
      <c r="P814" s="19">
        <f t="shared" ca="1" si="274"/>
        <v>23.453053758100552</v>
      </c>
      <c r="Q814" s="19">
        <f t="shared" ca="1" si="275"/>
        <v>23.453053758100552</v>
      </c>
      <c r="R814" s="19">
        <f t="shared" ca="1" si="276"/>
        <v>2.3453053758100553</v>
      </c>
      <c r="S814" s="19">
        <f t="shared" ca="1" si="277"/>
        <v>2.3453053758100548</v>
      </c>
      <c r="T814" s="19">
        <f t="shared" ca="1" si="278"/>
        <v>0</v>
      </c>
      <c r="U814" s="19">
        <f t="shared" ca="1" si="279"/>
        <v>1456.9587218163997</v>
      </c>
      <c r="V814" s="19">
        <f t="shared" ca="1" si="280"/>
        <v>0</v>
      </c>
      <c r="W814" s="82">
        <f t="shared" ca="1" si="281"/>
        <v>4746.9876707175936</v>
      </c>
      <c r="X814" s="19">
        <f t="shared" ca="1" si="282"/>
        <v>0</v>
      </c>
      <c r="Y814" s="19">
        <f t="shared" si="283"/>
        <v>0</v>
      </c>
      <c r="Z814" s="82">
        <f t="shared" ca="1" si="284"/>
        <v>4746.9876707175936</v>
      </c>
      <c r="AA814" s="19">
        <f t="shared" ca="1" si="285"/>
        <v>0</v>
      </c>
    </row>
    <row r="815" spans="1:27" ht="12.75" customHeight="1" x14ac:dyDescent="0.2">
      <c r="A815">
        <v>2</v>
      </c>
      <c r="B815">
        <v>0</v>
      </c>
      <c r="C815">
        <f t="shared" ca="1" si="264"/>
        <v>4</v>
      </c>
      <c r="D815">
        <f t="shared" ca="1" si="265"/>
        <v>3</v>
      </c>
      <c r="E815">
        <f t="shared" ca="1" si="266"/>
        <v>2</v>
      </c>
      <c r="F815" s="61">
        <f t="shared" ca="1" si="267"/>
        <v>0.13085086388183043</v>
      </c>
      <c r="G815">
        <v>1</v>
      </c>
      <c r="H815">
        <v>1</v>
      </c>
      <c r="I815">
        <v>4</v>
      </c>
      <c r="J815" s="61">
        <f t="shared" ca="1" si="268"/>
        <v>0</v>
      </c>
      <c r="K815" s="61">
        <f t="shared" ca="1" si="269"/>
        <v>0</v>
      </c>
      <c r="L815" s="82">
        <f t="shared" ca="1" si="270"/>
        <v>366</v>
      </c>
      <c r="M815" s="16">
        <f t="shared" ca="1" si="271"/>
        <v>634</v>
      </c>
      <c r="N815" s="3">
        <f t="shared" ca="1" si="272"/>
        <v>4</v>
      </c>
      <c r="O815" s="19">
        <f t="shared" ca="1" si="273"/>
        <v>2.3453053758100548</v>
      </c>
      <c r="P815" s="19">
        <f t="shared" ca="1" si="274"/>
        <v>23.453053758100552</v>
      </c>
      <c r="Q815" s="19">
        <f t="shared" ca="1" si="275"/>
        <v>23.453053758100552</v>
      </c>
      <c r="R815" s="19">
        <f t="shared" ca="1" si="276"/>
        <v>2.3453053758100553</v>
      </c>
      <c r="S815" s="19">
        <f t="shared" ca="1" si="277"/>
        <v>2.3453053758100548</v>
      </c>
      <c r="T815" s="19">
        <f t="shared" ca="1" si="278"/>
        <v>0</v>
      </c>
      <c r="U815" s="19">
        <f t="shared" ca="1" si="279"/>
        <v>1445.9587218163997</v>
      </c>
      <c r="V815" s="19">
        <f t="shared" ca="1" si="280"/>
        <v>0</v>
      </c>
      <c r="W815" s="82">
        <f t="shared" ca="1" si="281"/>
        <v>4261.0824406828706</v>
      </c>
      <c r="X815" s="19">
        <f t="shared" ca="1" si="282"/>
        <v>0</v>
      </c>
      <c r="Y815" s="19">
        <f t="shared" si="283"/>
        <v>0</v>
      </c>
      <c r="Z815" s="82">
        <f t="shared" ca="1" si="284"/>
        <v>4261.0824406828706</v>
      </c>
      <c r="AA815" s="19">
        <f t="shared" ca="1" si="285"/>
        <v>0</v>
      </c>
    </row>
    <row r="816" spans="1:27" ht="12.75" customHeight="1" x14ac:dyDescent="0.2">
      <c r="A816">
        <v>2</v>
      </c>
      <c r="B816">
        <v>0</v>
      </c>
      <c r="C816">
        <f t="shared" ca="1" si="264"/>
        <v>4</v>
      </c>
      <c r="D816">
        <f t="shared" ca="1" si="265"/>
        <v>3</v>
      </c>
      <c r="E816">
        <f t="shared" ca="1" si="266"/>
        <v>2</v>
      </c>
      <c r="F816" s="61">
        <f t="shared" ca="1" si="267"/>
        <v>0.13085086388183043</v>
      </c>
      <c r="G816">
        <v>1</v>
      </c>
      <c r="H816">
        <v>1</v>
      </c>
      <c r="I816">
        <v>3</v>
      </c>
      <c r="J816" s="61">
        <f t="shared" ca="1" si="268"/>
        <v>0</v>
      </c>
      <c r="K816" s="61">
        <f t="shared" ca="1" si="269"/>
        <v>0</v>
      </c>
      <c r="L816" s="82">
        <f t="shared" ca="1" si="270"/>
        <v>355</v>
      </c>
      <c r="M816" s="16">
        <f t="shared" ca="1" si="271"/>
        <v>645</v>
      </c>
      <c r="N816" s="3">
        <f t="shared" ca="1" si="272"/>
        <v>4</v>
      </c>
      <c r="O816" s="19">
        <f t="shared" ca="1" si="273"/>
        <v>2.3453053758100548</v>
      </c>
      <c r="P816" s="19">
        <f t="shared" ca="1" si="274"/>
        <v>23.453053758100552</v>
      </c>
      <c r="Q816" s="19">
        <f t="shared" ca="1" si="275"/>
        <v>23.453053758100552</v>
      </c>
      <c r="R816" s="19">
        <f t="shared" ca="1" si="276"/>
        <v>2.3453053758100553</v>
      </c>
      <c r="S816" s="19">
        <f t="shared" ca="1" si="277"/>
        <v>2.3453053758100548</v>
      </c>
      <c r="T816" s="19">
        <f t="shared" ca="1" si="278"/>
        <v>0</v>
      </c>
      <c r="U816" s="19">
        <f t="shared" ca="1" si="279"/>
        <v>1434.9587218163997</v>
      </c>
      <c r="V816" s="19">
        <f t="shared" ca="1" si="280"/>
        <v>0</v>
      </c>
      <c r="W816" s="82">
        <f t="shared" ca="1" si="281"/>
        <v>3775.1772106481485</v>
      </c>
      <c r="X816" s="19">
        <f t="shared" ca="1" si="282"/>
        <v>0</v>
      </c>
      <c r="Y816" s="19">
        <f t="shared" si="283"/>
        <v>0</v>
      </c>
      <c r="Z816" s="82">
        <f t="shared" ca="1" si="284"/>
        <v>3775.1772106481485</v>
      </c>
      <c r="AA816" s="19">
        <f t="shared" ca="1" si="285"/>
        <v>0</v>
      </c>
    </row>
    <row r="817" spans="1:27" ht="12.75" customHeight="1" x14ac:dyDescent="0.2">
      <c r="A817">
        <v>2</v>
      </c>
      <c r="B817">
        <v>0</v>
      </c>
      <c r="C817">
        <f t="shared" ca="1" si="264"/>
        <v>4</v>
      </c>
      <c r="D817">
        <f t="shared" ca="1" si="265"/>
        <v>3</v>
      </c>
      <c r="E817">
        <f t="shared" ca="1" si="266"/>
        <v>2</v>
      </c>
      <c r="F817" s="61">
        <f t="shared" ca="1" si="267"/>
        <v>0.13085086388183043</v>
      </c>
      <c r="G817">
        <v>1</v>
      </c>
      <c r="H817">
        <v>1</v>
      </c>
      <c r="I817">
        <v>2</v>
      </c>
      <c r="J817" s="61">
        <f t="shared" ca="1" si="268"/>
        <v>0</v>
      </c>
      <c r="K817" s="61">
        <f t="shared" ca="1" si="269"/>
        <v>0</v>
      </c>
      <c r="L817" s="82">
        <f t="shared" ca="1" si="270"/>
        <v>344</v>
      </c>
      <c r="M817" s="16">
        <f t="shared" ca="1" si="271"/>
        <v>656</v>
      </c>
      <c r="N817" s="3">
        <f t="shared" ca="1" si="272"/>
        <v>4</v>
      </c>
      <c r="O817" s="19">
        <f t="shared" ca="1" si="273"/>
        <v>2.3453053758100548</v>
      </c>
      <c r="P817" s="19">
        <f t="shared" ca="1" si="274"/>
        <v>23.453053758100552</v>
      </c>
      <c r="Q817" s="19">
        <f t="shared" ca="1" si="275"/>
        <v>23.453053758100552</v>
      </c>
      <c r="R817" s="19">
        <f t="shared" ca="1" si="276"/>
        <v>2.3453053758100553</v>
      </c>
      <c r="S817" s="19">
        <f t="shared" ca="1" si="277"/>
        <v>2.3453053758100548</v>
      </c>
      <c r="T817" s="19">
        <f t="shared" ca="1" si="278"/>
        <v>0</v>
      </c>
      <c r="U817" s="19">
        <f t="shared" ca="1" si="279"/>
        <v>1423.9587218163997</v>
      </c>
      <c r="V817" s="19">
        <f t="shared" ca="1" si="280"/>
        <v>0</v>
      </c>
      <c r="W817" s="82">
        <f t="shared" ca="1" si="281"/>
        <v>3289.2719806134264</v>
      </c>
      <c r="X817" s="19">
        <f t="shared" ca="1" si="282"/>
        <v>0</v>
      </c>
      <c r="Y817" s="19">
        <f t="shared" si="283"/>
        <v>0</v>
      </c>
      <c r="Z817" s="82">
        <f t="shared" ca="1" si="284"/>
        <v>3289.2719806134264</v>
      </c>
      <c r="AA817" s="19">
        <f t="shared" ca="1" si="285"/>
        <v>0</v>
      </c>
    </row>
    <row r="818" spans="1:27" ht="12.75" customHeight="1" x14ac:dyDescent="0.2">
      <c r="A818">
        <v>2</v>
      </c>
      <c r="B818">
        <v>0</v>
      </c>
      <c r="C818">
        <f t="shared" ca="1" si="264"/>
        <v>4</v>
      </c>
      <c r="D818">
        <f t="shared" ca="1" si="265"/>
        <v>3</v>
      </c>
      <c r="E818">
        <f t="shared" ca="1" si="266"/>
        <v>2</v>
      </c>
      <c r="F818" s="61">
        <f t="shared" ca="1" si="267"/>
        <v>0.13085086388183043</v>
      </c>
      <c r="G818">
        <v>1</v>
      </c>
      <c r="H818">
        <v>1</v>
      </c>
      <c r="I818">
        <v>1</v>
      </c>
      <c r="J818" s="61">
        <f t="shared" ca="1" si="268"/>
        <v>0</v>
      </c>
      <c r="K818" s="61">
        <f t="shared" ca="1" si="269"/>
        <v>0</v>
      </c>
      <c r="L818" s="82">
        <f t="shared" ca="1" si="270"/>
        <v>333</v>
      </c>
      <c r="M818" s="16">
        <f t="shared" ca="1" si="271"/>
        <v>667</v>
      </c>
      <c r="N818" s="3">
        <f t="shared" ca="1" si="272"/>
        <v>4</v>
      </c>
      <c r="O818" s="19">
        <f t="shared" ca="1" si="273"/>
        <v>2.3453053758100548</v>
      </c>
      <c r="P818" s="19">
        <f t="shared" ca="1" si="274"/>
        <v>23.453053758100552</v>
      </c>
      <c r="Q818" s="19">
        <f t="shared" ca="1" si="275"/>
        <v>23.453053758100552</v>
      </c>
      <c r="R818" s="19">
        <f t="shared" ca="1" si="276"/>
        <v>2.3453053758100553</v>
      </c>
      <c r="S818" s="19">
        <f t="shared" ca="1" si="277"/>
        <v>2.3453053758100548</v>
      </c>
      <c r="T818" s="19">
        <f t="shared" ca="1" si="278"/>
        <v>0</v>
      </c>
      <c r="U818" s="19">
        <f t="shared" ca="1" si="279"/>
        <v>1412.9587218163997</v>
      </c>
      <c r="V818" s="19">
        <f t="shared" ca="1" si="280"/>
        <v>0</v>
      </c>
      <c r="W818" s="82">
        <f t="shared" ca="1" si="281"/>
        <v>2803.3667505787039</v>
      </c>
      <c r="X818" s="19">
        <f t="shared" ca="1" si="282"/>
        <v>0</v>
      </c>
      <c r="Y818" s="19">
        <f t="shared" si="283"/>
        <v>0</v>
      </c>
      <c r="Z818" s="82">
        <f t="shared" ca="1" si="284"/>
        <v>2803.3667505787039</v>
      </c>
      <c r="AA818" s="19">
        <f t="shared" ca="1" si="285"/>
        <v>0</v>
      </c>
    </row>
    <row r="819" spans="1:27" ht="12.75" customHeight="1" x14ac:dyDescent="0.2">
      <c r="A819">
        <v>2</v>
      </c>
      <c r="B819">
        <v>0</v>
      </c>
      <c r="C819">
        <f t="shared" ca="1" si="264"/>
        <v>4</v>
      </c>
      <c r="D819">
        <f t="shared" ca="1" si="265"/>
        <v>3</v>
      </c>
      <c r="E819">
        <f t="shared" ca="1" si="266"/>
        <v>2</v>
      </c>
      <c r="F819" s="61">
        <f t="shared" ca="1" si="267"/>
        <v>0.13085086388183043</v>
      </c>
      <c r="G819">
        <v>1</v>
      </c>
      <c r="H819">
        <v>1</v>
      </c>
      <c r="I819">
        <v>0</v>
      </c>
      <c r="J819" s="61">
        <f t="shared" ca="1" si="268"/>
        <v>0</v>
      </c>
      <c r="K819" s="61">
        <f t="shared" ca="1" si="269"/>
        <v>0</v>
      </c>
      <c r="L819" s="82">
        <f t="shared" ca="1" si="270"/>
        <v>322</v>
      </c>
      <c r="M819" s="16">
        <f t="shared" ca="1" si="271"/>
        <v>678</v>
      </c>
      <c r="N819" s="3">
        <f t="shared" ca="1" si="272"/>
        <v>4</v>
      </c>
      <c r="O819" s="19">
        <f t="shared" ca="1" si="273"/>
        <v>2.3453053758100548</v>
      </c>
      <c r="P819" s="19">
        <f t="shared" ca="1" si="274"/>
        <v>23.453053758100552</v>
      </c>
      <c r="Q819" s="19">
        <f t="shared" ca="1" si="275"/>
        <v>23.453053758100552</v>
      </c>
      <c r="R819" s="19">
        <f t="shared" ca="1" si="276"/>
        <v>2.3453053758100553</v>
      </c>
      <c r="S819" s="19">
        <f t="shared" ca="1" si="277"/>
        <v>2.3453053758100548</v>
      </c>
      <c r="T819" s="19">
        <f t="shared" ca="1" si="278"/>
        <v>0</v>
      </c>
      <c r="U819" s="19">
        <f t="shared" ca="1" si="279"/>
        <v>1401.9587218163997</v>
      </c>
      <c r="V819" s="19">
        <f t="shared" ca="1" si="280"/>
        <v>0</v>
      </c>
      <c r="W819" s="82">
        <f t="shared" ca="1" si="281"/>
        <v>2317.4615205439818</v>
      </c>
      <c r="X819" s="19">
        <f t="shared" ca="1" si="282"/>
        <v>0</v>
      </c>
      <c r="Y819" s="19">
        <f t="shared" si="283"/>
        <v>0</v>
      </c>
      <c r="Z819" s="82">
        <f t="shared" ca="1" si="284"/>
        <v>2317.4615205439818</v>
      </c>
      <c r="AA819" s="19">
        <f t="shared" ca="1" si="285"/>
        <v>0</v>
      </c>
    </row>
    <row r="820" spans="1:27" ht="12.75" customHeight="1" x14ac:dyDescent="0.2">
      <c r="A820">
        <v>2</v>
      </c>
      <c r="B820">
        <v>0</v>
      </c>
      <c r="C820">
        <f t="shared" ca="1" si="264"/>
        <v>4</v>
      </c>
      <c r="D820">
        <f t="shared" ca="1" si="265"/>
        <v>3</v>
      </c>
      <c r="E820">
        <f t="shared" ca="1" si="266"/>
        <v>2</v>
      </c>
      <c r="F820" s="61">
        <f t="shared" ca="1" si="267"/>
        <v>0.13085086388183043</v>
      </c>
      <c r="G820">
        <v>1</v>
      </c>
      <c r="H820">
        <v>0</v>
      </c>
      <c r="I820">
        <v>7</v>
      </c>
      <c r="J820" s="61">
        <f t="shared" ca="1" si="268"/>
        <v>0</v>
      </c>
      <c r="K820" s="61">
        <f t="shared" ca="1" si="269"/>
        <v>0</v>
      </c>
      <c r="L820" s="82">
        <f t="shared" ca="1" si="270"/>
        <v>238</v>
      </c>
      <c r="M820" s="16">
        <f t="shared" ca="1" si="271"/>
        <v>762</v>
      </c>
      <c r="N820" s="3">
        <f t="shared" ca="1" si="272"/>
        <v>5</v>
      </c>
      <c r="O820" s="19">
        <f t="shared" ca="1" si="273"/>
        <v>2.8178718937399587</v>
      </c>
      <c r="P820" s="19">
        <f t="shared" ca="1" si="274"/>
        <v>25.815886347750073</v>
      </c>
      <c r="Q820" s="19">
        <f t="shared" ca="1" si="275"/>
        <v>23.453053758100552</v>
      </c>
      <c r="R820" s="19">
        <f t="shared" ca="1" si="276"/>
        <v>2.4634470052925312</v>
      </c>
      <c r="S820" s="19">
        <f t="shared" ca="1" si="277"/>
        <v>2.8178718937399587</v>
      </c>
      <c r="T820" s="19">
        <f t="shared" ca="1" si="278"/>
        <v>0</v>
      </c>
      <c r="U820" s="19">
        <f t="shared" ca="1" si="279"/>
        <v>1497.3251747165598</v>
      </c>
      <c r="V820" s="19">
        <f t="shared" ca="1" si="280"/>
        <v>0</v>
      </c>
      <c r="W820" s="82">
        <f t="shared" ca="1" si="281"/>
        <v>5718.7981307870377</v>
      </c>
      <c r="X820" s="19">
        <f t="shared" ca="1" si="282"/>
        <v>0</v>
      </c>
      <c r="Y820" s="19">
        <f t="shared" si="283"/>
        <v>0</v>
      </c>
      <c r="Z820" s="82">
        <f t="shared" ca="1" si="284"/>
        <v>5718.7981307870377</v>
      </c>
      <c r="AA820" s="19">
        <f t="shared" ca="1" si="285"/>
        <v>0</v>
      </c>
    </row>
    <row r="821" spans="1:27" ht="12.75" customHeight="1" x14ac:dyDescent="0.2">
      <c r="A821">
        <v>2</v>
      </c>
      <c r="B821">
        <v>0</v>
      </c>
      <c r="C821">
        <f t="shared" ca="1" si="264"/>
        <v>4</v>
      </c>
      <c r="D821">
        <f t="shared" ca="1" si="265"/>
        <v>3</v>
      </c>
      <c r="E821">
        <f t="shared" ca="1" si="266"/>
        <v>2</v>
      </c>
      <c r="F821" s="61">
        <f t="shared" ca="1" si="267"/>
        <v>0.13085086388183043</v>
      </c>
      <c r="G821">
        <v>1</v>
      </c>
      <c r="H821">
        <v>0</v>
      </c>
      <c r="I821">
        <v>6</v>
      </c>
      <c r="J821" s="61">
        <f t="shared" ca="1" si="268"/>
        <v>0</v>
      </c>
      <c r="K821" s="61">
        <f t="shared" ca="1" si="269"/>
        <v>0</v>
      </c>
      <c r="L821" s="82">
        <f t="shared" ca="1" si="270"/>
        <v>227</v>
      </c>
      <c r="M821" s="16">
        <f t="shared" ca="1" si="271"/>
        <v>773</v>
      </c>
      <c r="N821" s="3">
        <f t="shared" ca="1" si="272"/>
        <v>5</v>
      </c>
      <c r="O821" s="19">
        <f t="shared" ca="1" si="273"/>
        <v>2.8178718937399587</v>
      </c>
      <c r="P821" s="19">
        <f t="shared" ca="1" si="274"/>
        <v>28.178718937399587</v>
      </c>
      <c r="Q821" s="19">
        <f t="shared" ca="1" si="275"/>
        <v>26.288452865679979</v>
      </c>
      <c r="R821" s="19">
        <f t="shared" ca="1" si="276"/>
        <v>2.7233585901539783</v>
      </c>
      <c r="S821" s="19">
        <f t="shared" ca="1" si="277"/>
        <v>2.8178718937399587</v>
      </c>
      <c r="T821" s="19">
        <f t="shared" ca="1" si="278"/>
        <v>0</v>
      </c>
      <c r="U821" s="19">
        <f t="shared" ca="1" si="279"/>
        <v>1486.3251747165598</v>
      </c>
      <c r="V821" s="19">
        <f t="shared" ca="1" si="280"/>
        <v>0</v>
      </c>
      <c r="W821" s="82">
        <f t="shared" ca="1" si="281"/>
        <v>5232.8929007523147</v>
      </c>
      <c r="X821" s="19">
        <f t="shared" ca="1" si="282"/>
        <v>0</v>
      </c>
      <c r="Y821" s="19">
        <f t="shared" si="283"/>
        <v>0</v>
      </c>
      <c r="Z821" s="82">
        <f t="shared" ca="1" si="284"/>
        <v>5232.8929007523147</v>
      </c>
      <c r="AA821" s="19">
        <f t="shared" ca="1" si="285"/>
        <v>0</v>
      </c>
    </row>
    <row r="822" spans="1:27" ht="12.75" customHeight="1" x14ac:dyDescent="0.2">
      <c r="A822">
        <v>2</v>
      </c>
      <c r="B822">
        <v>0</v>
      </c>
      <c r="C822">
        <f t="shared" ca="1" si="264"/>
        <v>4</v>
      </c>
      <c r="D822">
        <f t="shared" ca="1" si="265"/>
        <v>3</v>
      </c>
      <c r="E822">
        <f t="shared" ca="1" si="266"/>
        <v>2</v>
      </c>
      <c r="F822" s="61">
        <f t="shared" ca="1" si="267"/>
        <v>0.13085086388183043</v>
      </c>
      <c r="G822">
        <v>1</v>
      </c>
      <c r="H822">
        <v>0</v>
      </c>
      <c r="I822">
        <v>5</v>
      </c>
      <c r="J822" s="61">
        <f t="shared" ca="1" si="268"/>
        <v>0</v>
      </c>
      <c r="K822" s="61">
        <f t="shared" ca="1" si="269"/>
        <v>0</v>
      </c>
      <c r="L822" s="82">
        <f t="shared" ca="1" si="270"/>
        <v>216</v>
      </c>
      <c r="M822" s="16">
        <f t="shared" ca="1" si="271"/>
        <v>784</v>
      </c>
      <c r="N822" s="3">
        <f t="shared" ca="1" si="272"/>
        <v>5</v>
      </c>
      <c r="O822" s="19">
        <f t="shared" ca="1" si="273"/>
        <v>2.8178718937399587</v>
      </c>
      <c r="P822" s="19">
        <f t="shared" ca="1" si="274"/>
        <v>28.178718937399587</v>
      </c>
      <c r="Q822" s="19">
        <f t="shared" ca="1" si="275"/>
        <v>28.178718937399587</v>
      </c>
      <c r="R822" s="19">
        <f t="shared" ca="1" si="276"/>
        <v>2.8178718937399587</v>
      </c>
      <c r="S822" s="19">
        <f t="shared" ca="1" si="277"/>
        <v>2.8178718937399587</v>
      </c>
      <c r="T822" s="19">
        <f t="shared" ca="1" si="278"/>
        <v>0</v>
      </c>
      <c r="U822" s="19">
        <f t="shared" ca="1" si="279"/>
        <v>1475.3251747165598</v>
      </c>
      <c r="V822" s="19">
        <f t="shared" ca="1" si="280"/>
        <v>0</v>
      </c>
      <c r="W822" s="82">
        <f t="shared" ca="1" si="281"/>
        <v>4746.9876707175936</v>
      </c>
      <c r="X822" s="19">
        <f t="shared" ca="1" si="282"/>
        <v>0</v>
      </c>
      <c r="Y822" s="19">
        <f t="shared" si="283"/>
        <v>0</v>
      </c>
      <c r="Z822" s="82">
        <f t="shared" ca="1" si="284"/>
        <v>4746.9876707175936</v>
      </c>
      <c r="AA822" s="19">
        <f t="shared" ca="1" si="285"/>
        <v>0</v>
      </c>
    </row>
    <row r="823" spans="1:27" ht="12.75" customHeight="1" x14ac:dyDescent="0.2">
      <c r="A823">
        <v>2</v>
      </c>
      <c r="B823">
        <v>0</v>
      </c>
      <c r="C823">
        <f t="shared" ca="1" si="264"/>
        <v>4</v>
      </c>
      <c r="D823">
        <f t="shared" ca="1" si="265"/>
        <v>3</v>
      </c>
      <c r="E823">
        <f t="shared" ca="1" si="266"/>
        <v>2</v>
      </c>
      <c r="F823" s="61">
        <f t="shared" ca="1" si="267"/>
        <v>0.13085086388183043</v>
      </c>
      <c r="G823">
        <v>1</v>
      </c>
      <c r="H823">
        <v>0</v>
      </c>
      <c r="I823">
        <v>4</v>
      </c>
      <c r="J823" s="61">
        <f t="shared" ca="1" si="268"/>
        <v>0</v>
      </c>
      <c r="K823" s="61">
        <f t="shared" ca="1" si="269"/>
        <v>0</v>
      </c>
      <c r="L823" s="82">
        <f t="shared" ca="1" si="270"/>
        <v>205</v>
      </c>
      <c r="M823" s="16">
        <f t="shared" ca="1" si="271"/>
        <v>795</v>
      </c>
      <c r="N823" s="3">
        <f t="shared" ca="1" si="272"/>
        <v>5</v>
      </c>
      <c r="O823" s="19">
        <f t="shared" ca="1" si="273"/>
        <v>2.8178718937399587</v>
      </c>
      <c r="P823" s="19">
        <f t="shared" ca="1" si="274"/>
        <v>28.178718937399587</v>
      </c>
      <c r="Q823" s="19">
        <f t="shared" ca="1" si="275"/>
        <v>28.178718937399587</v>
      </c>
      <c r="R823" s="19">
        <f t="shared" ca="1" si="276"/>
        <v>2.8178718937399587</v>
      </c>
      <c r="S823" s="19">
        <f t="shared" ca="1" si="277"/>
        <v>2.8178718937399587</v>
      </c>
      <c r="T823" s="19">
        <f t="shared" ca="1" si="278"/>
        <v>0</v>
      </c>
      <c r="U823" s="19">
        <f t="shared" ca="1" si="279"/>
        <v>1464.3251747165598</v>
      </c>
      <c r="V823" s="19">
        <f t="shared" ca="1" si="280"/>
        <v>0</v>
      </c>
      <c r="W823" s="82">
        <f t="shared" ca="1" si="281"/>
        <v>4261.0824406828706</v>
      </c>
      <c r="X823" s="19">
        <f t="shared" ca="1" si="282"/>
        <v>0</v>
      </c>
      <c r="Y823" s="19">
        <f t="shared" si="283"/>
        <v>0</v>
      </c>
      <c r="Z823" s="82">
        <f t="shared" ca="1" si="284"/>
        <v>4261.0824406828706</v>
      </c>
      <c r="AA823" s="19">
        <f t="shared" ca="1" si="285"/>
        <v>0</v>
      </c>
    </row>
    <row r="824" spans="1:27" ht="12.75" customHeight="1" x14ac:dyDescent="0.2">
      <c r="A824">
        <v>2</v>
      </c>
      <c r="B824">
        <v>0</v>
      </c>
      <c r="C824">
        <f t="shared" ca="1" si="264"/>
        <v>4</v>
      </c>
      <c r="D824">
        <f t="shared" ca="1" si="265"/>
        <v>3</v>
      </c>
      <c r="E824">
        <f t="shared" ca="1" si="266"/>
        <v>2</v>
      </c>
      <c r="F824" s="61">
        <f t="shared" ca="1" si="267"/>
        <v>0.13085086388183043</v>
      </c>
      <c r="G824">
        <v>1</v>
      </c>
      <c r="H824">
        <v>0</v>
      </c>
      <c r="I824">
        <v>3</v>
      </c>
      <c r="J824" s="61">
        <f t="shared" ca="1" si="268"/>
        <v>0.81450624999999988</v>
      </c>
      <c r="K824" s="61">
        <f t="shared" ca="1" si="269"/>
        <v>0.10657884644965013</v>
      </c>
      <c r="L824" s="82">
        <f t="shared" ca="1" si="270"/>
        <v>194</v>
      </c>
      <c r="M824" s="16">
        <f t="shared" ca="1" si="271"/>
        <v>806</v>
      </c>
      <c r="N824" s="3">
        <f t="shared" ca="1" si="272"/>
        <v>5</v>
      </c>
      <c r="O824" s="19">
        <f t="shared" ca="1" si="273"/>
        <v>2.8178718937399587</v>
      </c>
      <c r="P824" s="19">
        <f t="shared" ca="1" si="274"/>
        <v>28.178718937399587</v>
      </c>
      <c r="Q824" s="19">
        <f t="shared" ca="1" si="275"/>
        <v>28.178718937399587</v>
      </c>
      <c r="R824" s="19">
        <f t="shared" ca="1" si="276"/>
        <v>2.8178718937399587</v>
      </c>
      <c r="S824" s="19">
        <f t="shared" ca="1" si="277"/>
        <v>2.8178718937399587</v>
      </c>
      <c r="T824" s="19">
        <f t="shared" ca="1" si="278"/>
        <v>0.30032553587769589</v>
      </c>
      <c r="U824" s="19">
        <f t="shared" ca="1" si="279"/>
        <v>1453.3251747165598</v>
      </c>
      <c r="V824" s="19">
        <f t="shared" ca="1" si="280"/>
        <v>154.89372063752717</v>
      </c>
      <c r="W824" s="82">
        <f t="shared" ca="1" si="281"/>
        <v>3775.1772106481485</v>
      </c>
      <c r="X824" s="19">
        <f t="shared" ca="1" si="282"/>
        <v>402.35403225388751</v>
      </c>
      <c r="Y824" s="19">
        <f t="shared" si="283"/>
        <v>0</v>
      </c>
      <c r="Z824" s="82">
        <f t="shared" ca="1" si="284"/>
        <v>3775.1772106481485</v>
      </c>
      <c r="AA824" s="19">
        <f t="shared" ca="1" si="285"/>
        <v>402.35403225388751</v>
      </c>
    </row>
    <row r="825" spans="1:27" ht="12.75" customHeight="1" x14ac:dyDescent="0.2">
      <c r="A825">
        <v>2</v>
      </c>
      <c r="B825">
        <v>0</v>
      </c>
      <c r="C825">
        <f t="shared" ca="1" si="264"/>
        <v>4</v>
      </c>
      <c r="D825">
        <f t="shared" ca="1" si="265"/>
        <v>3</v>
      </c>
      <c r="E825">
        <f t="shared" ca="1" si="266"/>
        <v>2</v>
      </c>
      <c r="F825" s="61">
        <f t="shared" ca="1" si="267"/>
        <v>0.13085086388183043</v>
      </c>
      <c r="G825">
        <v>1</v>
      </c>
      <c r="H825">
        <v>0</v>
      </c>
      <c r="I825">
        <v>2</v>
      </c>
      <c r="J825" s="61">
        <f t="shared" ca="1" si="268"/>
        <v>0.12860625000000012</v>
      </c>
      <c r="K825" s="61">
        <f t="shared" ca="1" si="269"/>
        <v>1.6828238913102669E-2</v>
      </c>
      <c r="L825" s="82">
        <f t="shared" ca="1" si="270"/>
        <v>183</v>
      </c>
      <c r="M825" s="16">
        <f t="shared" ca="1" si="271"/>
        <v>817</v>
      </c>
      <c r="N825" s="3">
        <f t="shared" ca="1" si="272"/>
        <v>5</v>
      </c>
      <c r="O825" s="19">
        <f t="shared" ca="1" si="273"/>
        <v>2.8178718937399587</v>
      </c>
      <c r="P825" s="19">
        <f t="shared" ca="1" si="274"/>
        <v>28.178718937399587</v>
      </c>
      <c r="Q825" s="19">
        <f t="shared" ca="1" si="275"/>
        <v>28.178718937399587</v>
      </c>
      <c r="R825" s="19">
        <f t="shared" ca="1" si="276"/>
        <v>2.8178718937399587</v>
      </c>
      <c r="S825" s="19">
        <f t="shared" ca="1" si="277"/>
        <v>2.8178718937399587</v>
      </c>
      <c r="T825" s="19">
        <f t="shared" ca="1" si="278"/>
        <v>4.7419821454373082E-2</v>
      </c>
      <c r="U825" s="19">
        <f t="shared" ca="1" si="279"/>
        <v>1442.3251747165598</v>
      </c>
      <c r="V825" s="19">
        <f t="shared" ca="1" si="280"/>
        <v>24.271792630512817</v>
      </c>
      <c r="W825" s="82">
        <f t="shared" ca="1" si="281"/>
        <v>3289.2719806134264</v>
      </c>
      <c r="X825" s="19">
        <f t="shared" ca="1" si="282"/>
        <v>55.352654739937151</v>
      </c>
      <c r="Y825" s="19">
        <f t="shared" si="283"/>
        <v>0</v>
      </c>
      <c r="Z825" s="82">
        <f t="shared" ca="1" si="284"/>
        <v>3289.2719806134264</v>
      </c>
      <c r="AA825" s="19">
        <f t="shared" ca="1" si="285"/>
        <v>55.352654739937151</v>
      </c>
    </row>
    <row r="826" spans="1:27" ht="12.75" customHeight="1" x14ac:dyDescent="0.2">
      <c r="A826">
        <v>2</v>
      </c>
      <c r="B826">
        <v>0</v>
      </c>
      <c r="C826">
        <f t="shared" ca="1" si="264"/>
        <v>4</v>
      </c>
      <c r="D826">
        <f t="shared" ca="1" si="265"/>
        <v>3</v>
      </c>
      <c r="E826">
        <f t="shared" ca="1" si="266"/>
        <v>2</v>
      </c>
      <c r="F826" s="61">
        <f t="shared" ca="1" si="267"/>
        <v>0.13085086388183043</v>
      </c>
      <c r="G826">
        <v>1</v>
      </c>
      <c r="H826">
        <v>0</v>
      </c>
      <c r="I826">
        <v>1</v>
      </c>
      <c r="J826" s="61">
        <f t="shared" ca="1" si="268"/>
        <v>6.7687500000000109E-3</v>
      </c>
      <c r="K826" s="61">
        <f t="shared" ca="1" si="269"/>
        <v>8.8569678490014114E-4</v>
      </c>
      <c r="L826" s="82">
        <f t="shared" ca="1" si="270"/>
        <v>172</v>
      </c>
      <c r="M826" s="16">
        <f t="shared" ca="1" si="271"/>
        <v>828</v>
      </c>
      <c r="N826" s="3">
        <f t="shared" ca="1" si="272"/>
        <v>5</v>
      </c>
      <c r="O826" s="19">
        <f t="shared" ca="1" si="273"/>
        <v>2.8178718937399587</v>
      </c>
      <c r="P826" s="19">
        <f t="shared" ca="1" si="274"/>
        <v>28.178718937399587</v>
      </c>
      <c r="Q826" s="19">
        <f t="shared" ca="1" si="275"/>
        <v>28.178718937399587</v>
      </c>
      <c r="R826" s="19">
        <f t="shared" ca="1" si="276"/>
        <v>2.8178718937399587</v>
      </c>
      <c r="S826" s="19">
        <f t="shared" ca="1" si="277"/>
        <v>2.8178718937399587</v>
      </c>
      <c r="T826" s="19">
        <f t="shared" ca="1" si="278"/>
        <v>2.4957800765459536E-3</v>
      </c>
      <c r="U826" s="19">
        <f t="shared" ca="1" si="279"/>
        <v>1431.3251747165598</v>
      </c>
      <c r="V826" s="19">
        <f t="shared" ca="1" si="280"/>
        <v>1.2677201053930898</v>
      </c>
      <c r="W826" s="82">
        <f t="shared" ca="1" si="281"/>
        <v>2803.3667505787039</v>
      </c>
      <c r="X826" s="19">
        <f t="shared" ca="1" si="282"/>
        <v>2.482932917883514</v>
      </c>
      <c r="Y826" s="19">
        <f t="shared" si="283"/>
        <v>0</v>
      </c>
      <c r="Z826" s="82">
        <f t="shared" ca="1" si="284"/>
        <v>2803.3667505787039</v>
      </c>
      <c r="AA826" s="19">
        <f t="shared" ca="1" si="285"/>
        <v>2.482932917883514</v>
      </c>
    </row>
    <row r="827" spans="1:27" ht="12.75" customHeight="1" x14ac:dyDescent="0.2">
      <c r="A827">
        <v>2</v>
      </c>
      <c r="B827">
        <v>0</v>
      </c>
      <c r="C827">
        <f t="shared" ca="1" si="264"/>
        <v>4</v>
      </c>
      <c r="D827">
        <f t="shared" ca="1" si="265"/>
        <v>3</v>
      </c>
      <c r="E827">
        <f t="shared" ca="1" si="266"/>
        <v>2</v>
      </c>
      <c r="F827" s="61">
        <f t="shared" ca="1" si="267"/>
        <v>0.13085086388183043</v>
      </c>
      <c r="G827">
        <v>1</v>
      </c>
      <c r="H827">
        <v>0</v>
      </c>
      <c r="I827">
        <v>0</v>
      </c>
      <c r="J827" s="61">
        <f t="shared" ca="1" si="268"/>
        <v>1.1875000000000031E-4</v>
      </c>
      <c r="K827" s="61">
        <f t="shared" ca="1" si="269"/>
        <v>1.5538540085967403E-5</v>
      </c>
      <c r="L827" s="82">
        <f t="shared" ca="1" si="270"/>
        <v>161</v>
      </c>
      <c r="M827" s="16">
        <f t="shared" ca="1" si="271"/>
        <v>839</v>
      </c>
      <c r="N827" s="3">
        <f t="shared" ca="1" si="272"/>
        <v>5</v>
      </c>
      <c r="O827" s="19">
        <f t="shared" ca="1" si="273"/>
        <v>2.8178718937399587</v>
      </c>
      <c r="P827" s="19">
        <f t="shared" ca="1" si="274"/>
        <v>28.178718937399587</v>
      </c>
      <c r="Q827" s="19">
        <f t="shared" ca="1" si="275"/>
        <v>28.178718937399587</v>
      </c>
      <c r="R827" s="19">
        <f t="shared" ca="1" si="276"/>
        <v>2.8178718937399587</v>
      </c>
      <c r="S827" s="19">
        <f t="shared" ca="1" si="277"/>
        <v>2.8178718937399587</v>
      </c>
      <c r="T827" s="19">
        <f t="shared" ca="1" si="278"/>
        <v>4.3785615377999224E-5</v>
      </c>
      <c r="U827" s="19">
        <f t="shared" ca="1" si="279"/>
        <v>1420.3251747165598</v>
      </c>
      <c r="V827" s="19">
        <f t="shared" ca="1" si="280"/>
        <v>2.2069779662441918E-2</v>
      </c>
      <c r="W827" s="82">
        <f t="shared" ca="1" si="281"/>
        <v>2317.4615205439818</v>
      </c>
      <c r="X827" s="19">
        <f t="shared" ca="1" si="282"/>
        <v>3.6009968734659635E-2</v>
      </c>
      <c r="Y827" s="19">
        <f t="shared" si="283"/>
        <v>0</v>
      </c>
      <c r="Z827" s="82">
        <f t="shared" ca="1" si="284"/>
        <v>2317.4615205439818</v>
      </c>
      <c r="AA827" s="19">
        <f t="shared" ca="1" si="285"/>
        <v>3.6009968734659635E-2</v>
      </c>
    </row>
    <row r="828" spans="1:27" ht="12.75" customHeight="1" x14ac:dyDescent="0.2">
      <c r="A828">
        <v>2</v>
      </c>
      <c r="B828">
        <v>0</v>
      </c>
      <c r="C828">
        <f t="shared" ca="1" si="264"/>
        <v>4</v>
      </c>
      <c r="D828">
        <f t="shared" ca="1" si="265"/>
        <v>3</v>
      </c>
      <c r="E828">
        <f t="shared" ca="1" si="266"/>
        <v>2</v>
      </c>
      <c r="F828" s="61">
        <f t="shared" ca="1" si="267"/>
        <v>0.13085086388183043</v>
      </c>
      <c r="G828">
        <v>0</v>
      </c>
      <c r="H828">
        <v>1</v>
      </c>
      <c r="I828">
        <v>7</v>
      </c>
      <c r="J828" s="61">
        <f t="shared" ca="1" si="268"/>
        <v>0</v>
      </c>
      <c r="K828" s="61">
        <f t="shared" ca="1" si="269"/>
        <v>0</v>
      </c>
      <c r="L828" s="82">
        <f t="shared" ca="1" si="270"/>
        <v>238</v>
      </c>
      <c r="M828" s="16">
        <f t="shared" ca="1" si="271"/>
        <v>762</v>
      </c>
      <c r="N828" s="3">
        <f t="shared" ca="1" si="272"/>
        <v>5</v>
      </c>
      <c r="O828" s="19">
        <f t="shared" ca="1" si="273"/>
        <v>2.8178718937399587</v>
      </c>
      <c r="P828" s="19">
        <f t="shared" ca="1" si="274"/>
        <v>25.815886347750073</v>
      </c>
      <c r="Q828" s="19">
        <f t="shared" ca="1" si="275"/>
        <v>23.453053758100552</v>
      </c>
      <c r="R828" s="19">
        <f t="shared" ca="1" si="276"/>
        <v>2.4634470052925312</v>
      </c>
      <c r="S828" s="19">
        <f t="shared" ca="1" si="277"/>
        <v>2.8178718937399587</v>
      </c>
      <c r="T828" s="19">
        <f t="shared" ca="1" si="278"/>
        <v>0</v>
      </c>
      <c r="U828" s="19">
        <f t="shared" ca="1" si="279"/>
        <v>1497.3251747165598</v>
      </c>
      <c r="V828" s="19">
        <f t="shared" ca="1" si="280"/>
        <v>0</v>
      </c>
      <c r="W828" s="82">
        <f t="shared" ca="1" si="281"/>
        <v>3401.3366102430559</v>
      </c>
      <c r="X828" s="19">
        <f t="shared" ca="1" si="282"/>
        <v>0</v>
      </c>
      <c r="Y828" s="19">
        <f t="shared" si="283"/>
        <v>0</v>
      </c>
      <c r="Z828" s="82">
        <f t="shared" ca="1" si="284"/>
        <v>3401.3366102430559</v>
      </c>
      <c r="AA828" s="19">
        <f t="shared" ca="1" si="285"/>
        <v>0</v>
      </c>
    </row>
    <row r="829" spans="1:27" ht="12.75" customHeight="1" x14ac:dyDescent="0.2">
      <c r="A829">
        <v>2</v>
      </c>
      <c r="B829">
        <v>0</v>
      </c>
      <c r="C829">
        <f t="shared" ca="1" si="264"/>
        <v>4</v>
      </c>
      <c r="D829">
        <f t="shared" ca="1" si="265"/>
        <v>3</v>
      </c>
      <c r="E829">
        <f t="shared" ca="1" si="266"/>
        <v>2</v>
      </c>
      <c r="F829" s="61">
        <f t="shared" ca="1" si="267"/>
        <v>0.13085086388183043</v>
      </c>
      <c r="G829">
        <v>0</v>
      </c>
      <c r="H829">
        <v>1</v>
      </c>
      <c r="I829">
        <v>6</v>
      </c>
      <c r="J829" s="61">
        <f t="shared" ca="1" si="268"/>
        <v>0</v>
      </c>
      <c r="K829" s="61">
        <f t="shared" ca="1" si="269"/>
        <v>0</v>
      </c>
      <c r="L829" s="82">
        <f t="shared" ca="1" si="270"/>
        <v>227</v>
      </c>
      <c r="M829" s="16">
        <f t="shared" ca="1" si="271"/>
        <v>773</v>
      </c>
      <c r="N829" s="3">
        <f t="shared" ca="1" si="272"/>
        <v>5</v>
      </c>
      <c r="O829" s="19">
        <f t="shared" ca="1" si="273"/>
        <v>2.8178718937399587</v>
      </c>
      <c r="P829" s="19">
        <f t="shared" ca="1" si="274"/>
        <v>28.178718937399587</v>
      </c>
      <c r="Q829" s="19">
        <f t="shared" ca="1" si="275"/>
        <v>26.288452865679979</v>
      </c>
      <c r="R829" s="19">
        <f t="shared" ca="1" si="276"/>
        <v>2.7233585901539783</v>
      </c>
      <c r="S829" s="19">
        <f t="shared" ca="1" si="277"/>
        <v>2.8178718937399587</v>
      </c>
      <c r="T829" s="19">
        <f t="shared" ca="1" si="278"/>
        <v>0</v>
      </c>
      <c r="U829" s="19">
        <f t="shared" ca="1" si="279"/>
        <v>1486.3251747165598</v>
      </c>
      <c r="V829" s="19">
        <f t="shared" ca="1" si="280"/>
        <v>0</v>
      </c>
      <c r="W829" s="82">
        <f t="shared" ca="1" si="281"/>
        <v>2915.4313802083334</v>
      </c>
      <c r="X829" s="19">
        <f t="shared" ca="1" si="282"/>
        <v>0</v>
      </c>
      <c r="Y829" s="19">
        <f t="shared" si="283"/>
        <v>0</v>
      </c>
      <c r="Z829" s="82">
        <f t="shared" ca="1" si="284"/>
        <v>2915.4313802083334</v>
      </c>
      <c r="AA829" s="19">
        <f t="shared" ca="1" si="285"/>
        <v>0</v>
      </c>
    </row>
    <row r="830" spans="1:27" ht="12.75" customHeight="1" x14ac:dyDescent="0.2">
      <c r="A830">
        <v>2</v>
      </c>
      <c r="B830">
        <v>0</v>
      </c>
      <c r="C830">
        <f t="shared" ca="1" si="264"/>
        <v>4</v>
      </c>
      <c r="D830">
        <f t="shared" ca="1" si="265"/>
        <v>3</v>
      </c>
      <c r="E830">
        <f t="shared" ca="1" si="266"/>
        <v>2</v>
      </c>
      <c r="F830" s="61">
        <f t="shared" ca="1" si="267"/>
        <v>0.13085086388183043</v>
      </c>
      <c r="G830">
        <v>0</v>
      </c>
      <c r="H830">
        <v>1</v>
      </c>
      <c r="I830">
        <v>5</v>
      </c>
      <c r="J830" s="61">
        <f t="shared" ca="1" si="268"/>
        <v>0</v>
      </c>
      <c r="K830" s="61">
        <f t="shared" ca="1" si="269"/>
        <v>0</v>
      </c>
      <c r="L830" s="82">
        <f t="shared" ca="1" si="270"/>
        <v>216</v>
      </c>
      <c r="M830" s="16">
        <f t="shared" ca="1" si="271"/>
        <v>784</v>
      </c>
      <c r="N830" s="3">
        <f t="shared" ca="1" si="272"/>
        <v>5</v>
      </c>
      <c r="O830" s="19">
        <f t="shared" ca="1" si="273"/>
        <v>2.8178718937399587</v>
      </c>
      <c r="P830" s="19">
        <f t="shared" ca="1" si="274"/>
        <v>28.178718937399587</v>
      </c>
      <c r="Q830" s="19">
        <f t="shared" ca="1" si="275"/>
        <v>28.178718937399587</v>
      </c>
      <c r="R830" s="19">
        <f t="shared" ca="1" si="276"/>
        <v>2.8178718937399587</v>
      </c>
      <c r="S830" s="19">
        <f t="shared" ca="1" si="277"/>
        <v>2.8178718937399587</v>
      </c>
      <c r="T830" s="19">
        <f t="shared" ca="1" si="278"/>
        <v>0</v>
      </c>
      <c r="U830" s="19">
        <f t="shared" ca="1" si="279"/>
        <v>1475.3251747165598</v>
      </c>
      <c r="V830" s="19">
        <f t="shared" ca="1" si="280"/>
        <v>0</v>
      </c>
      <c r="W830" s="82">
        <f t="shared" ca="1" si="281"/>
        <v>2429.5261501736113</v>
      </c>
      <c r="X830" s="19">
        <f t="shared" ca="1" si="282"/>
        <v>0</v>
      </c>
      <c r="Y830" s="19">
        <f t="shared" si="283"/>
        <v>0</v>
      </c>
      <c r="Z830" s="82">
        <f t="shared" ca="1" si="284"/>
        <v>2429.5261501736113</v>
      </c>
      <c r="AA830" s="19">
        <f t="shared" ca="1" si="285"/>
        <v>0</v>
      </c>
    </row>
    <row r="831" spans="1:27" ht="12.75" customHeight="1" x14ac:dyDescent="0.2">
      <c r="A831">
        <v>2</v>
      </c>
      <c r="B831">
        <v>0</v>
      </c>
      <c r="C831">
        <f t="shared" ca="1" si="264"/>
        <v>4</v>
      </c>
      <c r="D831">
        <f t="shared" ca="1" si="265"/>
        <v>3</v>
      </c>
      <c r="E831">
        <f t="shared" ca="1" si="266"/>
        <v>2</v>
      </c>
      <c r="F831" s="61">
        <f t="shared" ca="1" si="267"/>
        <v>0.13085086388183043</v>
      </c>
      <c r="G831">
        <v>0</v>
      </c>
      <c r="H831">
        <v>1</v>
      </c>
      <c r="I831">
        <v>4</v>
      </c>
      <c r="J831" s="61">
        <f t="shared" ca="1" si="268"/>
        <v>0</v>
      </c>
      <c r="K831" s="61">
        <f t="shared" ca="1" si="269"/>
        <v>0</v>
      </c>
      <c r="L831" s="82">
        <f t="shared" ca="1" si="270"/>
        <v>205</v>
      </c>
      <c r="M831" s="16">
        <f t="shared" ca="1" si="271"/>
        <v>795</v>
      </c>
      <c r="N831" s="3">
        <f t="shared" ca="1" si="272"/>
        <v>5</v>
      </c>
      <c r="O831" s="19">
        <f t="shared" ca="1" si="273"/>
        <v>2.8178718937399587</v>
      </c>
      <c r="P831" s="19">
        <f t="shared" ca="1" si="274"/>
        <v>28.178718937399587</v>
      </c>
      <c r="Q831" s="19">
        <f t="shared" ca="1" si="275"/>
        <v>28.178718937399587</v>
      </c>
      <c r="R831" s="19">
        <f t="shared" ca="1" si="276"/>
        <v>2.8178718937399587</v>
      </c>
      <c r="S831" s="19">
        <f t="shared" ca="1" si="277"/>
        <v>2.8178718937399587</v>
      </c>
      <c r="T831" s="19">
        <f t="shared" ca="1" si="278"/>
        <v>0</v>
      </c>
      <c r="U831" s="19">
        <f t="shared" ca="1" si="279"/>
        <v>1464.3251747165598</v>
      </c>
      <c r="V831" s="19">
        <f t="shared" ca="1" si="280"/>
        <v>0</v>
      </c>
      <c r="W831" s="82">
        <f t="shared" ca="1" si="281"/>
        <v>1943.620920138889</v>
      </c>
      <c r="X831" s="19">
        <f t="shared" ca="1" si="282"/>
        <v>0</v>
      </c>
      <c r="Y831" s="19">
        <f t="shared" si="283"/>
        <v>0</v>
      </c>
      <c r="Z831" s="82">
        <f t="shared" ca="1" si="284"/>
        <v>1943.620920138889</v>
      </c>
      <c r="AA831" s="19">
        <f t="shared" ca="1" si="285"/>
        <v>0</v>
      </c>
    </row>
    <row r="832" spans="1:27" ht="12.75" customHeight="1" x14ac:dyDescent="0.2">
      <c r="A832">
        <v>2</v>
      </c>
      <c r="B832">
        <v>0</v>
      </c>
      <c r="C832">
        <f t="shared" ca="1" si="264"/>
        <v>4</v>
      </c>
      <c r="D832">
        <f t="shared" ca="1" si="265"/>
        <v>3</v>
      </c>
      <c r="E832">
        <f t="shared" ca="1" si="266"/>
        <v>2</v>
      </c>
      <c r="F832" s="61">
        <f t="shared" ca="1" si="267"/>
        <v>0.13085086388183043</v>
      </c>
      <c r="G832">
        <v>0</v>
      </c>
      <c r="H832">
        <v>1</v>
      </c>
      <c r="I832">
        <v>3</v>
      </c>
      <c r="J832" s="61">
        <f t="shared" ca="1" si="268"/>
        <v>0</v>
      </c>
      <c r="K832" s="61">
        <f t="shared" ca="1" si="269"/>
        <v>0</v>
      </c>
      <c r="L832" s="82">
        <f t="shared" ca="1" si="270"/>
        <v>194</v>
      </c>
      <c r="M832" s="16">
        <f t="shared" ca="1" si="271"/>
        <v>806</v>
      </c>
      <c r="N832" s="3">
        <f t="shared" ca="1" si="272"/>
        <v>5</v>
      </c>
      <c r="O832" s="19">
        <f t="shared" ca="1" si="273"/>
        <v>2.8178718937399587</v>
      </c>
      <c r="P832" s="19">
        <f t="shared" ca="1" si="274"/>
        <v>28.178718937399587</v>
      </c>
      <c r="Q832" s="19">
        <f t="shared" ca="1" si="275"/>
        <v>28.178718937399587</v>
      </c>
      <c r="R832" s="19">
        <f t="shared" ca="1" si="276"/>
        <v>2.8178718937399587</v>
      </c>
      <c r="S832" s="19">
        <f t="shared" ca="1" si="277"/>
        <v>2.8178718937399587</v>
      </c>
      <c r="T832" s="19">
        <f t="shared" ca="1" si="278"/>
        <v>0</v>
      </c>
      <c r="U832" s="19">
        <f t="shared" ca="1" si="279"/>
        <v>1453.3251747165598</v>
      </c>
      <c r="V832" s="19">
        <f t="shared" ca="1" si="280"/>
        <v>0</v>
      </c>
      <c r="W832" s="82">
        <f t="shared" ca="1" si="281"/>
        <v>1457.7156901041667</v>
      </c>
      <c r="X832" s="19">
        <f t="shared" ca="1" si="282"/>
        <v>0</v>
      </c>
      <c r="Y832" s="19">
        <f t="shared" si="283"/>
        <v>0</v>
      </c>
      <c r="Z832" s="82">
        <f t="shared" ca="1" si="284"/>
        <v>1457.7156901041667</v>
      </c>
      <c r="AA832" s="19">
        <f t="shared" ca="1" si="285"/>
        <v>0</v>
      </c>
    </row>
    <row r="833" spans="1:27" ht="12.75" customHeight="1" x14ac:dyDescent="0.2">
      <c r="A833">
        <v>2</v>
      </c>
      <c r="B833">
        <v>0</v>
      </c>
      <c r="C833">
        <f t="shared" ca="1" si="264"/>
        <v>4</v>
      </c>
      <c r="D833">
        <f t="shared" ca="1" si="265"/>
        <v>3</v>
      </c>
      <c r="E833">
        <f t="shared" ca="1" si="266"/>
        <v>2</v>
      </c>
      <c r="F833" s="61">
        <f t="shared" ca="1" si="267"/>
        <v>0.13085086388183043</v>
      </c>
      <c r="G833">
        <v>0</v>
      </c>
      <c r="H833">
        <v>1</v>
      </c>
      <c r="I833">
        <v>2</v>
      </c>
      <c r="J833" s="61">
        <f t="shared" ca="1" si="268"/>
        <v>0</v>
      </c>
      <c r="K833" s="61">
        <f t="shared" ca="1" si="269"/>
        <v>0</v>
      </c>
      <c r="L833" s="82">
        <f t="shared" ca="1" si="270"/>
        <v>183</v>
      </c>
      <c r="M833" s="16">
        <f t="shared" ca="1" si="271"/>
        <v>817</v>
      </c>
      <c r="N833" s="3">
        <f t="shared" ca="1" si="272"/>
        <v>5</v>
      </c>
      <c r="O833" s="19">
        <f t="shared" ca="1" si="273"/>
        <v>2.8178718937399587</v>
      </c>
      <c r="P833" s="19">
        <f t="shared" ca="1" si="274"/>
        <v>28.178718937399587</v>
      </c>
      <c r="Q833" s="19">
        <f t="shared" ca="1" si="275"/>
        <v>28.178718937399587</v>
      </c>
      <c r="R833" s="19">
        <f t="shared" ca="1" si="276"/>
        <v>2.8178718937399587</v>
      </c>
      <c r="S833" s="19">
        <f t="shared" ca="1" si="277"/>
        <v>2.8178718937399587</v>
      </c>
      <c r="T833" s="19">
        <f t="shared" ca="1" si="278"/>
        <v>0</v>
      </c>
      <c r="U833" s="19">
        <f t="shared" ca="1" si="279"/>
        <v>1442.3251747165598</v>
      </c>
      <c r="V833" s="19">
        <f t="shared" ca="1" si="280"/>
        <v>0</v>
      </c>
      <c r="W833" s="82">
        <f t="shared" ca="1" si="281"/>
        <v>971.8104600694445</v>
      </c>
      <c r="X833" s="19">
        <f t="shared" ca="1" si="282"/>
        <v>0</v>
      </c>
      <c r="Y833" s="19">
        <f t="shared" si="283"/>
        <v>0</v>
      </c>
      <c r="Z833" s="82">
        <f t="shared" ca="1" si="284"/>
        <v>971.8104600694445</v>
      </c>
      <c r="AA833" s="19">
        <f t="shared" ca="1" si="285"/>
        <v>0</v>
      </c>
    </row>
    <row r="834" spans="1:27" ht="12.75" customHeight="1" x14ac:dyDescent="0.2">
      <c r="A834">
        <v>2</v>
      </c>
      <c r="B834">
        <v>0</v>
      </c>
      <c r="C834">
        <f t="shared" ca="1" si="264"/>
        <v>4</v>
      </c>
      <c r="D834">
        <f t="shared" ca="1" si="265"/>
        <v>3</v>
      </c>
      <c r="E834">
        <f t="shared" ca="1" si="266"/>
        <v>2</v>
      </c>
      <c r="F834" s="61">
        <f t="shared" ca="1" si="267"/>
        <v>0.13085086388183043</v>
      </c>
      <c r="G834">
        <v>0</v>
      </c>
      <c r="H834">
        <v>1</v>
      </c>
      <c r="I834">
        <v>1</v>
      </c>
      <c r="J834" s="61">
        <f t="shared" ca="1" si="268"/>
        <v>0</v>
      </c>
      <c r="K834" s="61">
        <f t="shared" ca="1" si="269"/>
        <v>0</v>
      </c>
      <c r="L834" s="82">
        <f t="shared" ca="1" si="270"/>
        <v>172</v>
      </c>
      <c r="M834" s="16">
        <f t="shared" ca="1" si="271"/>
        <v>828</v>
      </c>
      <c r="N834" s="3">
        <f t="shared" ca="1" si="272"/>
        <v>5</v>
      </c>
      <c r="O834" s="19">
        <f t="shared" ca="1" si="273"/>
        <v>2.8178718937399587</v>
      </c>
      <c r="P834" s="19">
        <f t="shared" ca="1" si="274"/>
        <v>28.178718937399587</v>
      </c>
      <c r="Q834" s="19">
        <f t="shared" ca="1" si="275"/>
        <v>28.178718937399587</v>
      </c>
      <c r="R834" s="19">
        <f t="shared" ca="1" si="276"/>
        <v>2.8178718937399587</v>
      </c>
      <c r="S834" s="19">
        <f t="shared" ca="1" si="277"/>
        <v>2.8178718937399587</v>
      </c>
      <c r="T834" s="19">
        <f t="shared" ca="1" si="278"/>
        <v>0</v>
      </c>
      <c r="U834" s="19">
        <f t="shared" ca="1" si="279"/>
        <v>1431.3251747165598</v>
      </c>
      <c r="V834" s="19">
        <f t="shared" ca="1" si="280"/>
        <v>0</v>
      </c>
      <c r="W834" s="82">
        <f t="shared" ca="1" si="281"/>
        <v>485.90523003472225</v>
      </c>
      <c r="X834" s="19">
        <f t="shared" ca="1" si="282"/>
        <v>0</v>
      </c>
      <c r="Y834" s="19">
        <f t="shared" si="283"/>
        <v>0</v>
      </c>
      <c r="Z834" s="82">
        <f t="shared" ca="1" si="284"/>
        <v>485.90523003472225</v>
      </c>
      <c r="AA834" s="19">
        <f t="shared" ca="1" si="285"/>
        <v>0</v>
      </c>
    </row>
    <row r="835" spans="1:27" ht="12.75" customHeight="1" x14ac:dyDescent="0.2">
      <c r="A835">
        <v>2</v>
      </c>
      <c r="B835">
        <v>0</v>
      </c>
      <c r="C835">
        <f t="shared" ca="1" si="264"/>
        <v>4</v>
      </c>
      <c r="D835">
        <f t="shared" ca="1" si="265"/>
        <v>3</v>
      </c>
      <c r="E835">
        <f t="shared" ca="1" si="266"/>
        <v>2</v>
      </c>
      <c r="F835" s="61">
        <f t="shared" ca="1" si="267"/>
        <v>0.13085086388183043</v>
      </c>
      <c r="G835">
        <v>0</v>
      </c>
      <c r="H835">
        <v>1</v>
      </c>
      <c r="I835">
        <v>0</v>
      </c>
      <c r="J835" s="61">
        <f t="shared" ca="1" si="268"/>
        <v>0</v>
      </c>
      <c r="K835" s="61">
        <f t="shared" ca="1" si="269"/>
        <v>0</v>
      </c>
      <c r="L835" s="82">
        <f t="shared" ca="1" si="270"/>
        <v>161</v>
      </c>
      <c r="M835" s="16">
        <f t="shared" ca="1" si="271"/>
        <v>839</v>
      </c>
      <c r="N835" s="3">
        <f t="shared" ca="1" si="272"/>
        <v>5</v>
      </c>
      <c r="O835" s="19">
        <f t="shared" ca="1" si="273"/>
        <v>2.8178718937399587</v>
      </c>
      <c r="P835" s="19">
        <f t="shared" ca="1" si="274"/>
        <v>28.178718937399587</v>
      </c>
      <c r="Q835" s="19">
        <f t="shared" ca="1" si="275"/>
        <v>28.178718937399587</v>
      </c>
      <c r="R835" s="19">
        <f t="shared" ca="1" si="276"/>
        <v>2.8178718937399587</v>
      </c>
      <c r="S835" s="19">
        <f t="shared" ca="1" si="277"/>
        <v>2.8178718937399587</v>
      </c>
      <c r="T835" s="19">
        <f t="shared" ca="1" si="278"/>
        <v>0</v>
      </c>
      <c r="U835" s="19">
        <f t="shared" ca="1" si="279"/>
        <v>1420.3251747165598</v>
      </c>
      <c r="V835" s="19">
        <f t="shared" ca="1" si="280"/>
        <v>0</v>
      </c>
      <c r="W835" s="82">
        <f t="shared" ca="1" si="281"/>
        <v>0</v>
      </c>
      <c r="X835" s="19">
        <f t="shared" ca="1" si="282"/>
        <v>0</v>
      </c>
      <c r="Y835" s="19">
        <f t="shared" si="283"/>
        <v>0</v>
      </c>
      <c r="Z835" s="82">
        <f t="shared" ca="1" si="284"/>
        <v>0</v>
      </c>
      <c r="AA835" s="19">
        <f t="shared" ca="1" si="285"/>
        <v>0</v>
      </c>
    </row>
    <row r="836" spans="1:27" ht="12.75" customHeight="1" x14ac:dyDescent="0.2">
      <c r="A836">
        <v>2</v>
      </c>
      <c r="B836">
        <v>0</v>
      </c>
      <c r="C836">
        <f t="shared" ca="1" si="264"/>
        <v>4</v>
      </c>
      <c r="D836">
        <f t="shared" ca="1" si="265"/>
        <v>3</v>
      </c>
      <c r="E836">
        <f t="shared" ca="1" si="266"/>
        <v>2</v>
      </c>
      <c r="F836" s="61">
        <f t="shared" ca="1" si="267"/>
        <v>0.13085086388183043</v>
      </c>
      <c r="G836">
        <v>0</v>
      </c>
      <c r="H836">
        <v>0</v>
      </c>
      <c r="I836">
        <v>7</v>
      </c>
      <c r="J836" s="61">
        <f t="shared" ca="1" si="268"/>
        <v>0</v>
      </c>
      <c r="K836" s="61">
        <f t="shared" ca="1" si="269"/>
        <v>0</v>
      </c>
      <c r="L836" s="82">
        <f t="shared" ca="1" si="270"/>
        <v>77</v>
      </c>
      <c r="M836" s="16">
        <f t="shared" ca="1" si="271"/>
        <v>923</v>
      </c>
      <c r="N836" s="3">
        <f t="shared" ca="1" si="272"/>
        <v>5</v>
      </c>
      <c r="O836" s="19">
        <f t="shared" ca="1" si="273"/>
        <v>2.8178718937399587</v>
      </c>
      <c r="P836" s="19">
        <f t="shared" ca="1" si="274"/>
        <v>28.178718937399587</v>
      </c>
      <c r="Q836" s="19">
        <f t="shared" ca="1" si="275"/>
        <v>28.178718937399587</v>
      </c>
      <c r="R836" s="19">
        <f t="shared" ca="1" si="276"/>
        <v>2.8178718937399587</v>
      </c>
      <c r="S836" s="19">
        <f t="shared" ca="1" si="277"/>
        <v>2.8178718937399587</v>
      </c>
      <c r="T836" s="19">
        <f t="shared" ca="1" si="278"/>
        <v>0</v>
      </c>
      <c r="U836" s="19">
        <f t="shared" ca="1" si="279"/>
        <v>1336.3251747165598</v>
      </c>
      <c r="V836" s="19">
        <f t="shared" ca="1" si="280"/>
        <v>0</v>
      </c>
      <c r="W836" s="82">
        <f t="shared" ca="1" si="281"/>
        <v>3401.3366102430559</v>
      </c>
      <c r="X836" s="19">
        <f t="shared" ca="1" si="282"/>
        <v>0</v>
      </c>
      <c r="Y836" s="19">
        <f t="shared" si="283"/>
        <v>0</v>
      </c>
      <c r="Z836" s="82">
        <f t="shared" ca="1" si="284"/>
        <v>3401.3366102430559</v>
      </c>
      <c r="AA836" s="19">
        <f t="shared" ca="1" si="285"/>
        <v>0</v>
      </c>
    </row>
    <row r="837" spans="1:27" ht="12.75" customHeight="1" x14ac:dyDescent="0.2">
      <c r="A837">
        <v>2</v>
      </c>
      <c r="B837">
        <v>0</v>
      </c>
      <c r="C837">
        <f t="shared" ca="1" si="264"/>
        <v>4</v>
      </c>
      <c r="D837">
        <f t="shared" ca="1" si="265"/>
        <v>3</v>
      </c>
      <c r="E837">
        <f t="shared" ca="1" si="266"/>
        <v>2</v>
      </c>
      <c r="F837" s="61">
        <f t="shared" ca="1" si="267"/>
        <v>0.13085086388183043</v>
      </c>
      <c r="G837">
        <v>0</v>
      </c>
      <c r="H837">
        <v>0</v>
      </c>
      <c r="I837">
        <v>6</v>
      </c>
      <c r="J837" s="61">
        <f t="shared" ca="1" si="268"/>
        <v>0</v>
      </c>
      <c r="K837" s="61">
        <f t="shared" ca="1" si="269"/>
        <v>0</v>
      </c>
      <c r="L837" s="82">
        <f t="shared" ca="1" si="270"/>
        <v>66</v>
      </c>
      <c r="M837" s="16">
        <f t="shared" ca="1" si="271"/>
        <v>934</v>
      </c>
      <c r="N837" s="3">
        <f t="shared" ca="1" si="272"/>
        <v>5</v>
      </c>
      <c r="O837" s="19">
        <f t="shared" ca="1" si="273"/>
        <v>2.8178718937399587</v>
      </c>
      <c r="P837" s="19">
        <f t="shared" ca="1" si="274"/>
        <v>28.178718937399587</v>
      </c>
      <c r="Q837" s="19">
        <f t="shared" ca="1" si="275"/>
        <v>28.178718937399587</v>
      </c>
      <c r="R837" s="19">
        <f t="shared" ca="1" si="276"/>
        <v>2.8178718937399587</v>
      </c>
      <c r="S837" s="19">
        <f t="shared" ca="1" si="277"/>
        <v>2.8178718937399587</v>
      </c>
      <c r="T837" s="19">
        <f t="shared" ca="1" si="278"/>
        <v>0</v>
      </c>
      <c r="U837" s="19">
        <f t="shared" ca="1" si="279"/>
        <v>1325.3251747165598</v>
      </c>
      <c r="V837" s="19">
        <f t="shared" ca="1" si="280"/>
        <v>0</v>
      </c>
      <c r="W837" s="82">
        <f t="shared" ca="1" si="281"/>
        <v>2915.4313802083334</v>
      </c>
      <c r="X837" s="19">
        <f t="shared" ca="1" si="282"/>
        <v>0</v>
      </c>
      <c r="Y837" s="19">
        <f t="shared" si="283"/>
        <v>0</v>
      </c>
      <c r="Z837" s="82">
        <f t="shared" ca="1" si="284"/>
        <v>2915.4313802083334</v>
      </c>
      <c r="AA837" s="19">
        <f t="shared" ca="1" si="285"/>
        <v>0</v>
      </c>
    </row>
    <row r="838" spans="1:27" ht="12.75" customHeight="1" x14ac:dyDescent="0.2">
      <c r="A838">
        <v>2</v>
      </c>
      <c r="B838">
        <v>0</v>
      </c>
      <c r="C838">
        <f t="shared" ca="1" si="264"/>
        <v>4</v>
      </c>
      <c r="D838">
        <f t="shared" ca="1" si="265"/>
        <v>3</v>
      </c>
      <c r="E838">
        <f t="shared" ca="1" si="266"/>
        <v>2</v>
      </c>
      <c r="F838" s="61">
        <f t="shared" ca="1" si="267"/>
        <v>0.13085086388183043</v>
      </c>
      <c r="G838">
        <v>0</v>
      </c>
      <c r="H838">
        <v>0</v>
      </c>
      <c r="I838">
        <v>5</v>
      </c>
      <c r="J838" s="61">
        <f t="shared" ca="1" si="268"/>
        <v>0</v>
      </c>
      <c r="K838" s="61">
        <f t="shared" ca="1" si="269"/>
        <v>0</v>
      </c>
      <c r="L838" s="82">
        <f t="shared" ca="1" si="270"/>
        <v>55</v>
      </c>
      <c r="M838" s="16">
        <f t="shared" ca="1" si="271"/>
        <v>945</v>
      </c>
      <c r="N838" s="3">
        <f t="shared" ca="1" si="272"/>
        <v>5</v>
      </c>
      <c r="O838" s="19">
        <f t="shared" ca="1" si="273"/>
        <v>2.8178718937399587</v>
      </c>
      <c r="P838" s="19">
        <f t="shared" ca="1" si="274"/>
        <v>28.178718937399587</v>
      </c>
      <c r="Q838" s="19">
        <f t="shared" ca="1" si="275"/>
        <v>28.178718937399587</v>
      </c>
      <c r="R838" s="19">
        <f t="shared" ca="1" si="276"/>
        <v>2.8178718937399587</v>
      </c>
      <c r="S838" s="19">
        <f t="shared" ca="1" si="277"/>
        <v>2.8178718937399587</v>
      </c>
      <c r="T838" s="19">
        <f t="shared" ca="1" si="278"/>
        <v>0</v>
      </c>
      <c r="U838" s="19">
        <f t="shared" ca="1" si="279"/>
        <v>1314.3251747165598</v>
      </c>
      <c r="V838" s="19">
        <f t="shared" ca="1" si="280"/>
        <v>0</v>
      </c>
      <c r="W838" s="82">
        <f t="shared" ca="1" si="281"/>
        <v>2429.5261501736113</v>
      </c>
      <c r="X838" s="19">
        <f t="shared" ca="1" si="282"/>
        <v>0</v>
      </c>
      <c r="Y838" s="19">
        <f t="shared" si="283"/>
        <v>0</v>
      </c>
      <c r="Z838" s="82">
        <f t="shared" ca="1" si="284"/>
        <v>2429.5261501736113</v>
      </c>
      <c r="AA838" s="19">
        <f t="shared" ca="1" si="285"/>
        <v>0</v>
      </c>
    </row>
    <row r="839" spans="1:27" ht="12.75" customHeight="1" x14ac:dyDescent="0.2">
      <c r="A839">
        <v>2</v>
      </c>
      <c r="B839">
        <v>0</v>
      </c>
      <c r="C839">
        <f t="shared" ca="1" si="264"/>
        <v>4</v>
      </c>
      <c r="D839">
        <f t="shared" ca="1" si="265"/>
        <v>3</v>
      </c>
      <c r="E839">
        <f t="shared" ca="1" si="266"/>
        <v>2</v>
      </c>
      <c r="F839" s="61">
        <f t="shared" ca="1" si="267"/>
        <v>0.13085086388183043</v>
      </c>
      <c r="G839">
        <v>0</v>
      </c>
      <c r="H839">
        <v>0</v>
      </c>
      <c r="I839">
        <v>4</v>
      </c>
      <c r="J839" s="61">
        <f t="shared" ca="1" si="268"/>
        <v>0</v>
      </c>
      <c r="K839" s="61">
        <f t="shared" ca="1" si="269"/>
        <v>0</v>
      </c>
      <c r="L839" s="82">
        <f t="shared" ca="1" si="270"/>
        <v>44</v>
      </c>
      <c r="M839" s="16">
        <f t="shared" ca="1" si="271"/>
        <v>956</v>
      </c>
      <c r="N839" s="3">
        <f t="shared" ca="1" si="272"/>
        <v>6</v>
      </c>
      <c r="O839" s="19">
        <f t="shared" ca="1" si="273"/>
        <v>3.3239268932937667</v>
      </c>
      <c r="P839" s="19">
        <f t="shared" ca="1" si="274"/>
        <v>33.239268932937669</v>
      </c>
      <c r="Q839" s="19">
        <f t="shared" ca="1" si="275"/>
        <v>28.178718937399587</v>
      </c>
      <c r="R839" s="19">
        <f t="shared" ca="1" si="276"/>
        <v>3.0708993935168629</v>
      </c>
      <c r="S839" s="19">
        <f t="shared" ca="1" si="277"/>
        <v>3.3239268932937667</v>
      </c>
      <c r="T839" s="19">
        <f t="shared" ca="1" si="278"/>
        <v>0</v>
      </c>
      <c r="U839" s="19">
        <f t="shared" ca="1" si="279"/>
        <v>1495.4024523027438</v>
      </c>
      <c r="V839" s="19">
        <f t="shared" ca="1" si="280"/>
        <v>0</v>
      </c>
      <c r="W839" s="82">
        <f t="shared" ca="1" si="281"/>
        <v>1943.620920138889</v>
      </c>
      <c r="X839" s="19">
        <f t="shared" ca="1" si="282"/>
        <v>0</v>
      </c>
      <c r="Y839" s="19">
        <f t="shared" si="283"/>
        <v>0</v>
      </c>
      <c r="Z839" s="82">
        <f t="shared" ca="1" si="284"/>
        <v>1943.620920138889</v>
      </c>
      <c r="AA839" s="19">
        <f t="shared" ca="1" si="285"/>
        <v>0</v>
      </c>
    </row>
    <row r="840" spans="1:27" ht="12.75" customHeight="1" x14ac:dyDescent="0.2">
      <c r="A840">
        <v>2</v>
      </c>
      <c r="B840">
        <v>0</v>
      </c>
      <c r="C840">
        <f t="shared" ca="1" si="264"/>
        <v>4</v>
      </c>
      <c r="D840">
        <f t="shared" ca="1" si="265"/>
        <v>3</v>
      </c>
      <c r="E840">
        <f t="shared" ca="1" si="266"/>
        <v>2</v>
      </c>
      <c r="F840" s="61">
        <f t="shared" ca="1" si="267"/>
        <v>0.13085086388183043</v>
      </c>
      <c r="G840">
        <v>0</v>
      </c>
      <c r="H840">
        <v>0</v>
      </c>
      <c r="I840">
        <v>3</v>
      </c>
      <c r="J840" s="61">
        <f t="shared" ca="1" si="268"/>
        <v>4.2868749999999997E-2</v>
      </c>
      <c r="K840" s="61">
        <f t="shared" ca="1" si="269"/>
        <v>5.6094129710342177E-3</v>
      </c>
      <c r="L840" s="82">
        <f t="shared" ca="1" si="270"/>
        <v>33</v>
      </c>
      <c r="M840" s="16">
        <f t="shared" ca="1" si="271"/>
        <v>967</v>
      </c>
      <c r="N840" s="3">
        <f t="shared" ca="1" si="272"/>
        <v>6</v>
      </c>
      <c r="O840" s="19">
        <f t="shared" ca="1" si="273"/>
        <v>3.3239268932937667</v>
      </c>
      <c r="P840" s="19">
        <f t="shared" ca="1" si="274"/>
        <v>33.239268932937669</v>
      </c>
      <c r="Q840" s="19">
        <f t="shared" ca="1" si="275"/>
        <v>33.239268932937669</v>
      </c>
      <c r="R840" s="19">
        <f t="shared" ca="1" si="276"/>
        <v>3.3239268932937671</v>
      </c>
      <c r="S840" s="19">
        <f t="shared" ca="1" si="277"/>
        <v>3.3239268932937667</v>
      </c>
      <c r="T840" s="19">
        <f t="shared" ca="1" si="278"/>
        <v>1.8645278630011523E-2</v>
      </c>
      <c r="U840" s="19">
        <f t="shared" ca="1" si="279"/>
        <v>1484.4024523027438</v>
      </c>
      <c r="V840" s="19">
        <f t="shared" ca="1" si="280"/>
        <v>8.3266263701820122</v>
      </c>
      <c r="W840" s="82">
        <f t="shared" ca="1" si="281"/>
        <v>1457.7156901041667</v>
      </c>
      <c r="X840" s="19">
        <f t="shared" ca="1" si="282"/>
        <v>8.1769293001504089</v>
      </c>
      <c r="Y840" s="19">
        <f t="shared" si="283"/>
        <v>0</v>
      </c>
      <c r="Z840" s="82">
        <f t="shared" ca="1" si="284"/>
        <v>1457.7156901041667</v>
      </c>
      <c r="AA840" s="19">
        <f t="shared" ca="1" si="285"/>
        <v>8.1769293001504089</v>
      </c>
    </row>
    <row r="841" spans="1:27" ht="12.75" customHeight="1" x14ac:dyDescent="0.2">
      <c r="A841">
        <v>2</v>
      </c>
      <c r="B841">
        <v>0</v>
      </c>
      <c r="C841">
        <f t="shared" ca="1" si="264"/>
        <v>4</v>
      </c>
      <c r="D841">
        <f t="shared" ca="1" si="265"/>
        <v>3</v>
      </c>
      <c r="E841">
        <f t="shared" ca="1" si="266"/>
        <v>2</v>
      </c>
      <c r="F841" s="61">
        <f t="shared" ca="1" si="267"/>
        <v>0.13085086388183043</v>
      </c>
      <c r="G841">
        <v>0</v>
      </c>
      <c r="H841">
        <v>0</v>
      </c>
      <c r="I841">
        <v>2</v>
      </c>
      <c r="J841" s="61">
        <f t="shared" ca="1" si="268"/>
        <v>6.7687500000000074E-3</v>
      </c>
      <c r="K841" s="61">
        <f t="shared" ca="1" si="269"/>
        <v>8.856967849001407E-4</v>
      </c>
      <c r="L841" s="82">
        <f t="shared" ca="1" si="270"/>
        <v>22</v>
      </c>
      <c r="M841" s="16">
        <f t="shared" ca="1" si="271"/>
        <v>978</v>
      </c>
      <c r="N841" s="3">
        <f t="shared" ca="1" si="272"/>
        <v>6</v>
      </c>
      <c r="O841" s="19">
        <f t="shared" ca="1" si="273"/>
        <v>3.3239268932937667</v>
      </c>
      <c r="P841" s="19">
        <f t="shared" ca="1" si="274"/>
        <v>33.239268932937669</v>
      </c>
      <c r="Q841" s="19">
        <f t="shared" ca="1" si="275"/>
        <v>33.239268932937669</v>
      </c>
      <c r="R841" s="19">
        <f t="shared" ca="1" si="276"/>
        <v>3.3239268932937671</v>
      </c>
      <c r="S841" s="19">
        <f t="shared" ca="1" si="277"/>
        <v>3.3239268932937667</v>
      </c>
      <c r="T841" s="19">
        <f t="shared" ca="1" si="278"/>
        <v>2.943991362633402E-3</v>
      </c>
      <c r="U841" s="19">
        <f t="shared" ca="1" si="279"/>
        <v>1473.4024523027438</v>
      </c>
      <c r="V841" s="19">
        <f t="shared" ca="1" si="280"/>
        <v>1.304987814868523</v>
      </c>
      <c r="W841" s="82">
        <f t="shared" ca="1" si="281"/>
        <v>971.8104600694445</v>
      </c>
      <c r="X841" s="19">
        <f t="shared" ca="1" si="282"/>
        <v>0.86072940001583353</v>
      </c>
      <c r="Y841" s="19">
        <f t="shared" si="283"/>
        <v>0</v>
      </c>
      <c r="Z841" s="82">
        <f t="shared" ca="1" si="284"/>
        <v>971.8104600694445</v>
      </c>
      <c r="AA841" s="19">
        <f t="shared" ca="1" si="285"/>
        <v>0.86072940001583353</v>
      </c>
    </row>
    <row r="842" spans="1:27" ht="12.75" customHeight="1" x14ac:dyDescent="0.2">
      <c r="A842">
        <v>2</v>
      </c>
      <c r="B842">
        <v>0</v>
      </c>
      <c r="C842">
        <f t="shared" ca="1" si="264"/>
        <v>4</v>
      </c>
      <c r="D842">
        <f t="shared" ca="1" si="265"/>
        <v>3</v>
      </c>
      <c r="E842">
        <f t="shared" ca="1" si="266"/>
        <v>2</v>
      </c>
      <c r="F842" s="61">
        <f t="shared" ca="1" si="267"/>
        <v>0.13085086388183043</v>
      </c>
      <c r="G842">
        <v>0</v>
      </c>
      <c r="H842">
        <v>0</v>
      </c>
      <c r="I842">
        <v>1</v>
      </c>
      <c r="J842" s="61">
        <f t="shared" ca="1" si="268"/>
        <v>3.5625000000000061E-4</v>
      </c>
      <c r="K842" s="61">
        <f t="shared" ca="1" si="269"/>
        <v>4.6615620257902169E-5</v>
      </c>
      <c r="L842" s="82">
        <f t="shared" ca="1" si="270"/>
        <v>11</v>
      </c>
      <c r="M842" s="16">
        <f t="shared" ca="1" si="271"/>
        <v>989</v>
      </c>
      <c r="N842" s="3">
        <f t="shared" ca="1" si="272"/>
        <v>6</v>
      </c>
      <c r="O842" s="19">
        <f t="shared" ca="1" si="273"/>
        <v>3.3239268932937667</v>
      </c>
      <c r="P842" s="19">
        <f t="shared" ca="1" si="274"/>
        <v>33.239268932937669</v>
      </c>
      <c r="Q842" s="19">
        <f t="shared" ca="1" si="275"/>
        <v>33.239268932937669</v>
      </c>
      <c r="R842" s="19">
        <f t="shared" ca="1" si="276"/>
        <v>3.3239268932937671</v>
      </c>
      <c r="S842" s="19">
        <f t="shared" ca="1" si="277"/>
        <v>3.3239268932937667</v>
      </c>
      <c r="T842" s="19">
        <f t="shared" ca="1" si="278"/>
        <v>1.5494691382281073E-4</v>
      </c>
      <c r="U842" s="19">
        <f t="shared" ca="1" si="279"/>
        <v>1462.4024523027438</v>
      </c>
      <c r="V842" s="19">
        <f t="shared" ca="1" si="280"/>
        <v>6.8170797380769588E-2</v>
      </c>
      <c r="W842" s="82">
        <f t="shared" ca="1" si="281"/>
        <v>485.90523003472225</v>
      </c>
      <c r="X842" s="19">
        <f t="shared" ca="1" si="282"/>
        <v>2.2650773684627212E-2</v>
      </c>
      <c r="Y842" s="19">
        <f t="shared" si="283"/>
        <v>0</v>
      </c>
      <c r="Z842" s="82">
        <f t="shared" ca="1" si="284"/>
        <v>485.90523003472225</v>
      </c>
      <c r="AA842" s="19">
        <f t="shared" ca="1" si="285"/>
        <v>2.2650773684627212E-2</v>
      </c>
    </row>
    <row r="843" spans="1:27" ht="12.75" customHeight="1" x14ac:dyDescent="0.2">
      <c r="A843">
        <v>2</v>
      </c>
      <c r="B843">
        <v>0</v>
      </c>
      <c r="C843">
        <f t="shared" ca="1" si="264"/>
        <v>4</v>
      </c>
      <c r="D843">
        <f t="shared" ca="1" si="265"/>
        <v>3</v>
      </c>
      <c r="E843">
        <f t="shared" ca="1" si="266"/>
        <v>2</v>
      </c>
      <c r="F843" s="61">
        <f t="shared" ca="1" si="267"/>
        <v>0.13085086388183043</v>
      </c>
      <c r="G843">
        <v>0</v>
      </c>
      <c r="H843">
        <v>0</v>
      </c>
      <c r="I843">
        <v>0</v>
      </c>
      <c r="J843" s="61">
        <f t="shared" ca="1" si="268"/>
        <v>6.2500000000000164E-6</v>
      </c>
      <c r="K843" s="61">
        <f t="shared" ca="1" si="269"/>
        <v>8.1781789926144228E-7</v>
      </c>
      <c r="L843" s="82">
        <f t="shared" ca="1" si="270"/>
        <v>0</v>
      </c>
      <c r="M843" s="16">
        <f t="shared" ca="1" si="271"/>
        <v>1000</v>
      </c>
      <c r="N843" s="3">
        <f t="shared" ca="1" si="272"/>
        <v>6</v>
      </c>
      <c r="O843" s="19">
        <f t="shared" ca="1" si="273"/>
        <v>3.3239268932937667</v>
      </c>
      <c r="P843" s="19">
        <f t="shared" ca="1" si="274"/>
        <v>33.239268932937669</v>
      </c>
      <c r="Q843" s="19">
        <f t="shared" ca="1" si="275"/>
        <v>33.239268932937669</v>
      </c>
      <c r="R843" s="19">
        <f t="shared" ca="1" si="276"/>
        <v>3.3239268932937671</v>
      </c>
      <c r="S843" s="19">
        <f t="shared" ca="1" si="277"/>
        <v>3.3239268932937667</v>
      </c>
      <c r="T843" s="19">
        <f t="shared" ca="1" si="278"/>
        <v>2.7183669091721203E-6</v>
      </c>
      <c r="U843" s="19">
        <f t="shared" ca="1" si="279"/>
        <v>1451.4024523027438</v>
      </c>
      <c r="V843" s="19">
        <f t="shared" ca="1" si="280"/>
        <v>1.1869829045251356E-3</v>
      </c>
      <c r="W843" s="82">
        <f t="shared" ca="1" si="281"/>
        <v>0</v>
      </c>
      <c r="X843" s="19">
        <f t="shared" ca="1" si="282"/>
        <v>0</v>
      </c>
      <c r="Y843" s="19">
        <f t="shared" si="283"/>
        <v>0</v>
      </c>
      <c r="Z843" s="82">
        <f t="shared" ca="1" si="284"/>
        <v>0</v>
      </c>
      <c r="AA843" s="19">
        <f t="shared" ca="1" si="285"/>
        <v>0</v>
      </c>
    </row>
    <row r="844" spans="1:27" ht="12.75" customHeight="1" x14ac:dyDescent="0.2">
      <c r="A844">
        <v>2</v>
      </c>
      <c r="B844">
        <v>1</v>
      </c>
      <c r="C844">
        <f t="shared" ca="1" si="264"/>
        <v>5</v>
      </c>
      <c r="D844">
        <f t="shared" ca="1" si="265"/>
        <v>4</v>
      </c>
      <c r="E844">
        <f t="shared" ca="1" si="266"/>
        <v>2</v>
      </c>
      <c r="F844" s="61">
        <f t="shared" ca="1" si="267"/>
        <v>3.9085322977689602E-2</v>
      </c>
      <c r="G844">
        <v>1</v>
      </c>
      <c r="H844">
        <v>1</v>
      </c>
      <c r="I844">
        <v>7</v>
      </c>
      <c r="J844" s="61">
        <f t="shared" ca="1" si="268"/>
        <v>0</v>
      </c>
      <c r="K844" s="61">
        <f t="shared" ca="1" si="269"/>
        <v>0</v>
      </c>
      <c r="L844" s="82">
        <f t="shared" ca="1" si="270"/>
        <v>399</v>
      </c>
      <c r="M844" s="16">
        <f t="shared" ca="1" si="271"/>
        <v>601</v>
      </c>
      <c r="N844" s="3">
        <f t="shared" ca="1" si="272"/>
        <v>4</v>
      </c>
      <c r="O844" s="19">
        <f t="shared" ca="1" si="273"/>
        <v>2.3453053758100548</v>
      </c>
      <c r="P844" s="19">
        <f t="shared" ca="1" si="274"/>
        <v>23.453053758100552</v>
      </c>
      <c r="Q844" s="19">
        <f t="shared" ca="1" si="275"/>
        <v>23.453053758100552</v>
      </c>
      <c r="R844" s="19">
        <f t="shared" ca="1" si="276"/>
        <v>2.3453053758100553</v>
      </c>
      <c r="S844" s="19">
        <f t="shared" ca="1" si="277"/>
        <v>2.3453053758100548</v>
      </c>
      <c r="T844" s="19">
        <f t="shared" ca="1" si="278"/>
        <v>0</v>
      </c>
      <c r="U844" s="19">
        <f t="shared" ca="1" si="279"/>
        <v>1478.9587218163997</v>
      </c>
      <c r="V844" s="19">
        <f t="shared" ca="1" si="280"/>
        <v>0</v>
      </c>
      <c r="W844" s="82">
        <f t="shared" ca="1" si="281"/>
        <v>5718.7981307870377</v>
      </c>
      <c r="X844" s="19">
        <f t="shared" ca="1" si="282"/>
        <v>0</v>
      </c>
      <c r="Y844" s="19">
        <f t="shared" si="283"/>
        <v>0</v>
      </c>
      <c r="Z844" s="82">
        <f t="shared" ca="1" si="284"/>
        <v>5718.7981307870377</v>
      </c>
      <c r="AA844" s="19">
        <f t="shared" ca="1" si="285"/>
        <v>0</v>
      </c>
    </row>
    <row r="845" spans="1:27" ht="12.75" customHeight="1" x14ac:dyDescent="0.2">
      <c r="A845">
        <v>2</v>
      </c>
      <c r="B845">
        <v>1</v>
      </c>
      <c r="C845">
        <f t="shared" ca="1" si="264"/>
        <v>5</v>
      </c>
      <c r="D845">
        <f t="shared" ca="1" si="265"/>
        <v>4</v>
      </c>
      <c r="E845">
        <f t="shared" ca="1" si="266"/>
        <v>2</v>
      </c>
      <c r="F845" s="61">
        <f t="shared" ca="1" si="267"/>
        <v>3.9085322977689602E-2</v>
      </c>
      <c r="G845">
        <v>1</v>
      </c>
      <c r="H845">
        <v>1</v>
      </c>
      <c r="I845">
        <v>6</v>
      </c>
      <c r="J845" s="61">
        <f t="shared" ca="1" si="268"/>
        <v>0</v>
      </c>
      <c r="K845" s="61">
        <f t="shared" ca="1" si="269"/>
        <v>0</v>
      </c>
      <c r="L845" s="82">
        <f t="shared" ca="1" si="270"/>
        <v>388</v>
      </c>
      <c r="M845" s="16">
        <f t="shared" ca="1" si="271"/>
        <v>612</v>
      </c>
      <c r="N845" s="3">
        <f t="shared" ca="1" si="272"/>
        <v>4</v>
      </c>
      <c r="O845" s="19">
        <f t="shared" ca="1" si="273"/>
        <v>2.3453053758100548</v>
      </c>
      <c r="P845" s="19">
        <f t="shared" ca="1" si="274"/>
        <v>23.453053758100552</v>
      </c>
      <c r="Q845" s="19">
        <f t="shared" ca="1" si="275"/>
        <v>23.453053758100552</v>
      </c>
      <c r="R845" s="19">
        <f t="shared" ca="1" si="276"/>
        <v>2.3453053758100553</v>
      </c>
      <c r="S845" s="19">
        <f t="shared" ca="1" si="277"/>
        <v>2.3453053758100548</v>
      </c>
      <c r="T845" s="19">
        <f t="shared" ca="1" si="278"/>
        <v>0</v>
      </c>
      <c r="U845" s="19">
        <f t="shared" ca="1" si="279"/>
        <v>1467.9587218163997</v>
      </c>
      <c r="V845" s="19">
        <f t="shared" ca="1" si="280"/>
        <v>0</v>
      </c>
      <c r="W845" s="82">
        <f t="shared" ca="1" si="281"/>
        <v>5232.8929007523147</v>
      </c>
      <c r="X845" s="19">
        <f t="shared" ca="1" si="282"/>
        <v>0</v>
      </c>
      <c r="Y845" s="19">
        <f t="shared" si="283"/>
        <v>0</v>
      </c>
      <c r="Z845" s="82">
        <f t="shared" ca="1" si="284"/>
        <v>5232.8929007523147</v>
      </c>
      <c r="AA845" s="19">
        <f t="shared" ca="1" si="285"/>
        <v>0</v>
      </c>
    </row>
    <row r="846" spans="1:27" ht="12.75" customHeight="1" x14ac:dyDescent="0.2">
      <c r="A846">
        <v>2</v>
      </c>
      <c r="B846">
        <v>1</v>
      </c>
      <c r="C846">
        <f t="shared" ca="1" si="264"/>
        <v>5</v>
      </c>
      <c r="D846">
        <f t="shared" ca="1" si="265"/>
        <v>4</v>
      </c>
      <c r="E846">
        <f t="shared" ca="1" si="266"/>
        <v>2</v>
      </c>
      <c r="F846" s="61">
        <f t="shared" ca="1" si="267"/>
        <v>3.9085322977689602E-2</v>
      </c>
      <c r="G846">
        <v>1</v>
      </c>
      <c r="H846">
        <v>1</v>
      </c>
      <c r="I846">
        <v>5</v>
      </c>
      <c r="J846" s="61">
        <f t="shared" ca="1" si="268"/>
        <v>0</v>
      </c>
      <c r="K846" s="61">
        <f t="shared" ca="1" si="269"/>
        <v>0</v>
      </c>
      <c r="L846" s="82">
        <f t="shared" ca="1" si="270"/>
        <v>377</v>
      </c>
      <c r="M846" s="16">
        <f t="shared" ca="1" si="271"/>
        <v>623</v>
      </c>
      <c r="N846" s="3">
        <f t="shared" ca="1" si="272"/>
        <v>4</v>
      </c>
      <c r="O846" s="19">
        <f t="shared" ca="1" si="273"/>
        <v>2.3453053758100548</v>
      </c>
      <c r="P846" s="19">
        <f t="shared" ca="1" si="274"/>
        <v>23.453053758100552</v>
      </c>
      <c r="Q846" s="19">
        <f t="shared" ca="1" si="275"/>
        <v>23.453053758100552</v>
      </c>
      <c r="R846" s="19">
        <f t="shared" ca="1" si="276"/>
        <v>2.3453053758100553</v>
      </c>
      <c r="S846" s="19">
        <f t="shared" ca="1" si="277"/>
        <v>2.3453053758100548</v>
      </c>
      <c r="T846" s="19">
        <f t="shared" ca="1" si="278"/>
        <v>0</v>
      </c>
      <c r="U846" s="19">
        <f t="shared" ca="1" si="279"/>
        <v>1456.9587218163997</v>
      </c>
      <c r="V846" s="19">
        <f t="shared" ca="1" si="280"/>
        <v>0</v>
      </c>
      <c r="W846" s="82">
        <f t="shared" ca="1" si="281"/>
        <v>4746.9876707175936</v>
      </c>
      <c r="X846" s="19">
        <f t="shared" ca="1" si="282"/>
        <v>0</v>
      </c>
      <c r="Y846" s="19">
        <f t="shared" si="283"/>
        <v>0</v>
      </c>
      <c r="Z846" s="82">
        <f t="shared" ca="1" si="284"/>
        <v>4746.9876707175936</v>
      </c>
      <c r="AA846" s="19">
        <f t="shared" ca="1" si="285"/>
        <v>0</v>
      </c>
    </row>
    <row r="847" spans="1:27" ht="12.75" customHeight="1" x14ac:dyDescent="0.2">
      <c r="A847">
        <v>2</v>
      </c>
      <c r="B847">
        <v>1</v>
      </c>
      <c r="C847">
        <f t="shared" ca="1" si="264"/>
        <v>5</v>
      </c>
      <c r="D847">
        <f t="shared" ca="1" si="265"/>
        <v>4</v>
      </c>
      <c r="E847">
        <f t="shared" ca="1" si="266"/>
        <v>2</v>
      </c>
      <c r="F847" s="61">
        <f t="shared" ca="1" si="267"/>
        <v>3.9085322977689602E-2</v>
      </c>
      <c r="G847">
        <v>1</v>
      </c>
      <c r="H847">
        <v>1</v>
      </c>
      <c r="I847">
        <v>4</v>
      </c>
      <c r="J847" s="61">
        <f t="shared" ca="1" si="268"/>
        <v>0</v>
      </c>
      <c r="K847" s="61">
        <f t="shared" ca="1" si="269"/>
        <v>0</v>
      </c>
      <c r="L847" s="82">
        <f t="shared" ca="1" si="270"/>
        <v>366</v>
      </c>
      <c r="M847" s="16">
        <f t="shared" ca="1" si="271"/>
        <v>634</v>
      </c>
      <c r="N847" s="3">
        <f t="shared" ca="1" si="272"/>
        <v>4</v>
      </c>
      <c r="O847" s="19">
        <f t="shared" ca="1" si="273"/>
        <v>2.3453053758100548</v>
      </c>
      <c r="P847" s="19">
        <f t="shared" ca="1" si="274"/>
        <v>23.453053758100552</v>
      </c>
      <c r="Q847" s="19">
        <f t="shared" ca="1" si="275"/>
        <v>23.453053758100552</v>
      </c>
      <c r="R847" s="19">
        <f t="shared" ca="1" si="276"/>
        <v>2.3453053758100553</v>
      </c>
      <c r="S847" s="19">
        <f t="shared" ca="1" si="277"/>
        <v>2.3453053758100548</v>
      </c>
      <c r="T847" s="19">
        <f t="shared" ca="1" si="278"/>
        <v>0</v>
      </c>
      <c r="U847" s="19">
        <f t="shared" ca="1" si="279"/>
        <v>1445.9587218163997</v>
      </c>
      <c r="V847" s="19">
        <f t="shared" ca="1" si="280"/>
        <v>0</v>
      </c>
      <c r="W847" s="82">
        <f t="shared" ca="1" si="281"/>
        <v>4261.0824406828706</v>
      </c>
      <c r="X847" s="19">
        <f t="shared" ca="1" si="282"/>
        <v>0</v>
      </c>
      <c r="Y847" s="19">
        <f t="shared" si="283"/>
        <v>0</v>
      </c>
      <c r="Z847" s="82">
        <f t="shared" ca="1" si="284"/>
        <v>4261.0824406828706</v>
      </c>
      <c r="AA847" s="19">
        <f t="shared" ca="1" si="285"/>
        <v>0</v>
      </c>
    </row>
    <row r="848" spans="1:27" ht="12.75" customHeight="1" x14ac:dyDescent="0.2">
      <c r="A848">
        <v>2</v>
      </c>
      <c r="B848">
        <v>1</v>
      </c>
      <c r="C848">
        <f t="shared" ca="1" si="264"/>
        <v>5</v>
      </c>
      <c r="D848">
        <f t="shared" ca="1" si="265"/>
        <v>4</v>
      </c>
      <c r="E848">
        <f t="shared" ca="1" si="266"/>
        <v>2</v>
      </c>
      <c r="F848" s="61">
        <f t="shared" ca="1" si="267"/>
        <v>3.9085322977689602E-2</v>
      </c>
      <c r="G848">
        <v>1</v>
      </c>
      <c r="H848">
        <v>1</v>
      </c>
      <c r="I848">
        <v>3</v>
      </c>
      <c r="J848" s="61">
        <f t="shared" ca="1" si="268"/>
        <v>0</v>
      </c>
      <c r="K848" s="61">
        <f t="shared" ca="1" si="269"/>
        <v>0</v>
      </c>
      <c r="L848" s="82">
        <f t="shared" ca="1" si="270"/>
        <v>355</v>
      </c>
      <c r="M848" s="16">
        <f t="shared" ca="1" si="271"/>
        <v>645</v>
      </c>
      <c r="N848" s="3">
        <f t="shared" ca="1" si="272"/>
        <v>4</v>
      </c>
      <c r="O848" s="19">
        <f t="shared" ca="1" si="273"/>
        <v>2.3453053758100548</v>
      </c>
      <c r="P848" s="19">
        <f t="shared" ca="1" si="274"/>
        <v>23.453053758100552</v>
      </c>
      <c r="Q848" s="19">
        <f t="shared" ca="1" si="275"/>
        <v>23.453053758100552</v>
      </c>
      <c r="R848" s="19">
        <f t="shared" ca="1" si="276"/>
        <v>2.3453053758100553</v>
      </c>
      <c r="S848" s="19">
        <f t="shared" ca="1" si="277"/>
        <v>2.3453053758100548</v>
      </c>
      <c r="T848" s="19">
        <f t="shared" ca="1" si="278"/>
        <v>0</v>
      </c>
      <c r="U848" s="19">
        <f t="shared" ca="1" si="279"/>
        <v>1434.9587218163997</v>
      </c>
      <c r="V848" s="19">
        <f t="shared" ca="1" si="280"/>
        <v>0</v>
      </c>
      <c r="W848" s="82">
        <f t="shared" ca="1" si="281"/>
        <v>3775.1772106481485</v>
      </c>
      <c r="X848" s="19">
        <f t="shared" ca="1" si="282"/>
        <v>0</v>
      </c>
      <c r="Y848" s="19">
        <f t="shared" si="283"/>
        <v>0</v>
      </c>
      <c r="Z848" s="82">
        <f t="shared" ca="1" si="284"/>
        <v>3775.1772106481485</v>
      </c>
      <c r="AA848" s="19">
        <f t="shared" ca="1" si="285"/>
        <v>0</v>
      </c>
    </row>
    <row r="849" spans="1:27" ht="12.75" customHeight="1" x14ac:dyDescent="0.2">
      <c r="A849">
        <v>2</v>
      </c>
      <c r="B849">
        <v>1</v>
      </c>
      <c r="C849">
        <f t="shared" ca="1" si="264"/>
        <v>5</v>
      </c>
      <c r="D849">
        <f t="shared" ca="1" si="265"/>
        <v>4</v>
      </c>
      <c r="E849">
        <f t="shared" ca="1" si="266"/>
        <v>2</v>
      </c>
      <c r="F849" s="61">
        <f t="shared" ca="1" si="267"/>
        <v>3.9085322977689602E-2</v>
      </c>
      <c r="G849">
        <v>1</v>
      </c>
      <c r="H849">
        <v>1</v>
      </c>
      <c r="I849">
        <v>2</v>
      </c>
      <c r="J849" s="61">
        <f t="shared" ca="1" si="268"/>
        <v>0</v>
      </c>
      <c r="K849" s="61">
        <f t="shared" ca="1" si="269"/>
        <v>0</v>
      </c>
      <c r="L849" s="82">
        <f t="shared" ca="1" si="270"/>
        <v>344</v>
      </c>
      <c r="M849" s="16">
        <f t="shared" ca="1" si="271"/>
        <v>656</v>
      </c>
      <c r="N849" s="3">
        <f t="shared" ca="1" si="272"/>
        <v>4</v>
      </c>
      <c r="O849" s="19">
        <f t="shared" ca="1" si="273"/>
        <v>2.3453053758100548</v>
      </c>
      <c r="P849" s="19">
        <f t="shared" ca="1" si="274"/>
        <v>23.453053758100552</v>
      </c>
      <c r="Q849" s="19">
        <f t="shared" ca="1" si="275"/>
        <v>23.453053758100552</v>
      </c>
      <c r="R849" s="19">
        <f t="shared" ca="1" si="276"/>
        <v>2.3453053758100553</v>
      </c>
      <c r="S849" s="19">
        <f t="shared" ca="1" si="277"/>
        <v>2.3453053758100548</v>
      </c>
      <c r="T849" s="19">
        <f t="shared" ca="1" si="278"/>
        <v>0</v>
      </c>
      <c r="U849" s="19">
        <f t="shared" ca="1" si="279"/>
        <v>1423.9587218163997</v>
      </c>
      <c r="V849" s="19">
        <f t="shared" ca="1" si="280"/>
        <v>0</v>
      </c>
      <c r="W849" s="82">
        <f t="shared" ca="1" si="281"/>
        <v>3289.2719806134264</v>
      </c>
      <c r="X849" s="19">
        <f t="shared" ca="1" si="282"/>
        <v>0</v>
      </c>
      <c r="Y849" s="19">
        <f t="shared" si="283"/>
        <v>0</v>
      </c>
      <c r="Z849" s="82">
        <f t="shared" ca="1" si="284"/>
        <v>3289.2719806134264</v>
      </c>
      <c r="AA849" s="19">
        <f t="shared" ca="1" si="285"/>
        <v>0</v>
      </c>
    </row>
    <row r="850" spans="1:27" ht="12.75" customHeight="1" x14ac:dyDescent="0.2">
      <c r="A850">
        <v>2</v>
      </c>
      <c r="B850">
        <v>1</v>
      </c>
      <c r="C850">
        <f t="shared" ca="1" si="264"/>
        <v>5</v>
      </c>
      <c r="D850">
        <f t="shared" ca="1" si="265"/>
        <v>4</v>
      </c>
      <c r="E850">
        <f t="shared" ca="1" si="266"/>
        <v>2</v>
      </c>
      <c r="F850" s="61">
        <f t="shared" ca="1" si="267"/>
        <v>3.9085322977689602E-2</v>
      </c>
      <c r="G850">
        <v>1</v>
      </c>
      <c r="H850">
        <v>1</v>
      </c>
      <c r="I850">
        <v>1</v>
      </c>
      <c r="J850" s="61">
        <f t="shared" ca="1" si="268"/>
        <v>0</v>
      </c>
      <c r="K850" s="61">
        <f t="shared" ca="1" si="269"/>
        <v>0</v>
      </c>
      <c r="L850" s="82">
        <f t="shared" ca="1" si="270"/>
        <v>333</v>
      </c>
      <c r="M850" s="16">
        <f t="shared" ca="1" si="271"/>
        <v>667</v>
      </c>
      <c r="N850" s="3">
        <f t="shared" ca="1" si="272"/>
        <v>4</v>
      </c>
      <c r="O850" s="19">
        <f t="shared" ca="1" si="273"/>
        <v>2.3453053758100548</v>
      </c>
      <c r="P850" s="19">
        <f t="shared" ca="1" si="274"/>
        <v>23.453053758100552</v>
      </c>
      <c r="Q850" s="19">
        <f t="shared" ca="1" si="275"/>
        <v>23.453053758100552</v>
      </c>
      <c r="R850" s="19">
        <f t="shared" ca="1" si="276"/>
        <v>2.3453053758100553</v>
      </c>
      <c r="S850" s="19">
        <f t="shared" ca="1" si="277"/>
        <v>2.3453053758100548</v>
      </c>
      <c r="T850" s="19">
        <f t="shared" ca="1" si="278"/>
        <v>0</v>
      </c>
      <c r="U850" s="19">
        <f t="shared" ca="1" si="279"/>
        <v>1412.9587218163997</v>
      </c>
      <c r="V850" s="19">
        <f t="shared" ca="1" si="280"/>
        <v>0</v>
      </c>
      <c r="W850" s="82">
        <f t="shared" ca="1" si="281"/>
        <v>2803.3667505787039</v>
      </c>
      <c r="X850" s="19">
        <f t="shared" ca="1" si="282"/>
        <v>0</v>
      </c>
      <c r="Y850" s="19">
        <f t="shared" si="283"/>
        <v>0</v>
      </c>
      <c r="Z850" s="82">
        <f t="shared" ca="1" si="284"/>
        <v>2803.3667505787039</v>
      </c>
      <c r="AA850" s="19">
        <f t="shared" ca="1" si="285"/>
        <v>0</v>
      </c>
    </row>
    <row r="851" spans="1:27" ht="12.75" customHeight="1" x14ac:dyDescent="0.2">
      <c r="A851">
        <v>2</v>
      </c>
      <c r="B851">
        <v>1</v>
      </c>
      <c r="C851">
        <f t="shared" ca="1" si="264"/>
        <v>5</v>
      </c>
      <c r="D851">
        <f t="shared" ca="1" si="265"/>
        <v>4</v>
      </c>
      <c r="E851">
        <f t="shared" ca="1" si="266"/>
        <v>2</v>
      </c>
      <c r="F851" s="61">
        <f t="shared" ca="1" si="267"/>
        <v>3.9085322977689602E-2</v>
      </c>
      <c r="G851">
        <v>1</v>
      </c>
      <c r="H851">
        <v>1</v>
      </c>
      <c r="I851">
        <v>0</v>
      </c>
      <c r="J851" s="61">
        <f t="shared" ca="1" si="268"/>
        <v>0</v>
      </c>
      <c r="K851" s="61">
        <f t="shared" ca="1" si="269"/>
        <v>0</v>
      </c>
      <c r="L851" s="82">
        <f t="shared" ca="1" si="270"/>
        <v>322</v>
      </c>
      <c r="M851" s="16">
        <f t="shared" ca="1" si="271"/>
        <v>678</v>
      </c>
      <c r="N851" s="3">
        <f t="shared" ca="1" si="272"/>
        <v>4</v>
      </c>
      <c r="O851" s="19">
        <f t="shared" ca="1" si="273"/>
        <v>2.3453053758100548</v>
      </c>
      <c r="P851" s="19">
        <f t="shared" ca="1" si="274"/>
        <v>23.453053758100552</v>
      </c>
      <c r="Q851" s="19">
        <f t="shared" ca="1" si="275"/>
        <v>23.453053758100552</v>
      </c>
      <c r="R851" s="19">
        <f t="shared" ca="1" si="276"/>
        <v>2.3453053758100553</v>
      </c>
      <c r="S851" s="19">
        <f t="shared" ca="1" si="277"/>
        <v>2.3453053758100548</v>
      </c>
      <c r="T851" s="19">
        <f t="shared" ca="1" si="278"/>
        <v>0</v>
      </c>
      <c r="U851" s="19">
        <f t="shared" ca="1" si="279"/>
        <v>1401.9587218163997</v>
      </c>
      <c r="V851" s="19">
        <f t="shared" ca="1" si="280"/>
        <v>0</v>
      </c>
      <c r="W851" s="82">
        <f t="shared" ca="1" si="281"/>
        <v>2317.4615205439818</v>
      </c>
      <c r="X851" s="19">
        <f t="shared" ca="1" si="282"/>
        <v>0</v>
      </c>
      <c r="Y851" s="19">
        <f t="shared" si="283"/>
        <v>0</v>
      </c>
      <c r="Z851" s="82">
        <f t="shared" ca="1" si="284"/>
        <v>2317.4615205439818</v>
      </c>
      <c r="AA851" s="19">
        <f t="shared" ca="1" si="285"/>
        <v>0</v>
      </c>
    </row>
    <row r="852" spans="1:27" ht="12.75" customHeight="1" x14ac:dyDescent="0.2">
      <c r="A852">
        <v>2</v>
      </c>
      <c r="B852">
        <v>1</v>
      </c>
      <c r="C852">
        <f t="shared" ca="1" si="264"/>
        <v>5</v>
      </c>
      <c r="D852">
        <f t="shared" ca="1" si="265"/>
        <v>4</v>
      </c>
      <c r="E852">
        <f t="shared" ca="1" si="266"/>
        <v>2</v>
      </c>
      <c r="F852" s="61">
        <f t="shared" ca="1" si="267"/>
        <v>3.9085322977689602E-2</v>
      </c>
      <c r="G852">
        <v>1</v>
      </c>
      <c r="H852">
        <v>0</v>
      </c>
      <c r="I852">
        <v>7</v>
      </c>
      <c r="J852" s="61">
        <f t="shared" ca="1" si="268"/>
        <v>0</v>
      </c>
      <c r="K852" s="61">
        <f t="shared" ca="1" si="269"/>
        <v>0</v>
      </c>
      <c r="L852" s="82">
        <f t="shared" ca="1" si="270"/>
        <v>238</v>
      </c>
      <c r="M852" s="16">
        <f t="shared" ca="1" si="271"/>
        <v>762</v>
      </c>
      <c r="N852" s="3">
        <f t="shared" ca="1" si="272"/>
        <v>5</v>
      </c>
      <c r="O852" s="19">
        <f t="shared" ca="1" si="273"/>
        <v>2.8178718937399587</v>
      </c>
      <c r="P852" s="19">
        <f t="shared" ca="1" si="274"/>
        <v>25.815886347750073</v>
      </c>
      <c r="Q852" s="19">
        <f t="shared" ca="1" si="275"/>
        <v>23.453053758100552</v>
      </c>
      <c r="R852" s="19">
        <f t="shared" ca="1" si="276"/>
        <v>2.4634470052925312</v>
      </c>
      <c r="S852" s="19">
        <f t="shared" ca="1" si="277"/>
        <v>2.8178718937399587</v>
      </c>
      <c r="T852" s="19">
        <f t="shared" ca="1" si="278"/>
        <v>0</v>
      </c>
      <c r="U852" s="19">
        <f t="shared" ca="1" si="279"/>
        <v>1497.3251747165598</v>
      </c>
      <c r="V852" s="19">
        <f t="shared" ca="1" si="280"/>
        <v>0</v>
      </c>
      <c r="W852" s="82">
        <f t="shared" ca="1" si="281"/>
        <v>5718.7981307870377</v>
      </c>
      <c r="X852" s="19">
        <f t="shared" ca="1" si="282"/>
        <v>0</v>
      </c>
      <c r="Y852" s="19">
        <f t="shared" si="283"/>
        <v>0</v>
      </c>
      <c r="Z852" s="82">
        <f t="shared" ca="1" si="284"/>
        <v>5718.7981307870377</v>
      </c>
      <c r="AA852" s="19">
        <f t="shared" ca="1" si="285"/>
        <v>0</v>
      </c>
    </row>
    <row r="853" spans="1:27" ht="12.75" customHeight="1" x14ac:dyDescent="0.2">
      <c r="A853">
        <v>2</v>
      </c>
      <c r="B853">
        <v>1</v>
      </c>
      <c r="C853">
        <f t="shared" ca="1" si="264"/>
        <v>5</v>
      </c>
      <c r="D853">
        <f t="shared" ca="1" si="265"/>
        <v>4</v>
      </c>
      <c r="E853">
        <f t="shared" ca="1" si="266"/>
        <v>2</v>
      </c>
      <c r="F853" s="61">
        <f t="shared" ca="1" si="267"/>
        <v>3.9085322977689602E-2</v>
      </c>
      <c r="G853">
        <v>1</v>
      </c>
      <c r="H853">
        <v>0</v>
      </c>
      <c r="I853">
        <v>6</v>
      </c>
      <c r="J853" s="61">
        <f t="shared" ca="1" si="268"/>
        <v>0</v>
      </c>
      <c r="K853" s="61">
        <f t="shared" ca="1" si="269"/>
        <v>0</v>
      </c>
      <c r="L853" s="82">
        <f t="shared" ca="1" si="270"/>
        <v>227</v>
      </c>
      <c r="M853" s="16">
        <f t="shared" ca="1" si="271"/>
        <v>773</v>
      </c>
      <c r="N853" s="3">
        <f t="shared" ca="1" si="272"/>
        <v>5</v>
      </c>
      <c r="O853" s="19">
        <f t="shared" ca="1" si="273"/>
        <v>2.8178718937399587</v>
      </c>
      <c r="P853" s="19">
        <f t="shared" ca="1" si="274"/>
        <v>28.178718937399587</v>
      </c>
      <c r="Q853" s="19">
        <f t="shared" ca="1" si="275"/>
        <v>26.288452865679979</v>
      </c>
      <c r="R853" s="19">
        <f t="shared" ca="1" si="276"/>
        <v>2.7233585901539783</v>
      </c>
      <c r="S853" s="19">
        <f t="shared" ca="1" si="277"/>
        <v>2.8178718937399587</v>
      </c>
      <c r="T853" s="19">
        <f t="shared" ca="1" si="278"/>
        <v>0</v>
      </c>
      <c r="U853" s="19">
        <f t="shared" ca="1" si="279"/>
        <v>1486.3251747165598</v>
      </c>
      <c r="V853" s="19">
        <f t="shared" ca="1" si="280"/>
        <v>0</v>
      </c>
      <c r="W853" s="82">
        <f t="shared" ca="1" si="281"/>
        <v>5232.8929007523147</v>
      </c>
      <c r="X853" s="19">
        <f t="shared" ca="1" si="282"/>
        <v>0</v>
      </c>
      <c r="Y853" s="19">
        <f t="shared" si="283"/>
        <v>0</v>
      </c>
      <c r="Z853" s="82">
        <f t="shared" ca="1" si="284"/>
        <v>5232.8929007523147</v>
      </c>
      <c r="AA853" s="19">
        <f t="shared" ca="1" si="285"/>
        <v>0</v>
      </c>
    </row>
    <row r="854" spans="1:27" ht="12.75" customHeight="1" x14ac:dyDescent="0.2">
      <c r="A854">
        <v>2</v>
      </c>
      <c r="B854">
        <v>1</v>
      </c>
      <c r="C854">
        <f t="shared" ca="1" si="264"/>
        <v>5</v>
      </c>
      <c r="D854">
        <f t="shared" ca="1" si="265"/>
        <v>4</v>
      </c>
      <c r="E854">
        <f t="shared" ca="1" si="266"/>
        <v>2</v>
      </c>
      <c r="F854" s="61">
        <f t="shared" ca="1" si="267"/>
        <v>3.9085322977689602E-2</v>
      </c>
      <c r="G854">
        <v>1</v>
      </c>
      <c r="H854">
        <v>0</v>
      </c>
      <c r="I854">
        <v>5</v>
      </c>
      <c r="J854" s="61">
        <f t="shared" ca="1" si="268"/>
        <v>0</v>
      </c>
      <c r="K854" s="61">
        <f t="shared" ca="1" si="269"/>
        <v>0</v>
      </c>
      <c r="L854" s="82">
        <f t="shared" ca="1" si="270"/>
        <v>216</v>
      </c>
      <c r="M854" s="16">
        <f t="shared" ca="1" si="271"/>
        <v>784</v>
      </c>
      <c r="N854" s="3">
        <f t="shared" ca="1" si="272"/>
        <v>5</v>
      </c>
      <c r="O854" s="19">
        <f t="shared" ca="1" si="273"/>
        <v>2.8178718937399587</v>
      </c>
      <c r="P854" s="19">
        <f t="shared" ca="1" si="274"/>
        <v>28.178718937399587</v>
      </c>
      <c r="Q854" s="19">
        <f t="shared" ca="1" si="275"/>
        <v>28.178718937399587</v>
      </c>
      <c r="R854" s="19">
        <f t="shared" ca="1" si="276"/>
        <v>2.8178718937399587</v>
      </c>
      <c r="S854" s="19">
        <f t="shared" ca="1" si="277"/>
        <v>2.8178718937399587</v>
      </c>
      <c r="T854" s="19">
        <f t="shared" ca="1" si="278"/>
        <v>0</v>
      </c>
      <c r="U854" s="19">
        <f t="shared" ca="1" si="279"/>
        <v>1475.3251747165598</v>
      </c>
      <c r="V854" s="19">
        <f t="shared" ca="1" si="280"/>
        <v>0</v>
      </c>
      <c r="W854" s="82">
        <f t="shared" ca="1" si="281"/>
        <v>4746.9876707175936</v>
      </c>
      <c r="X854" s="19">
        <f t="shared" ca="1" si="282"/>
        <v>0</v>
      </c>
      <c r="Y854" s="19">
        <f t="shared" si="283"/>
        <v>0</v>
      </c>
      <c r="Z854" s="82">
        <f t="shared" ca="1" si="284"/>
        <v>4746.9876707175936</v>
      </c>
      <c r="AA854" s="19">
        <f t="shared" ca="1" si="285"/>
        <v>0</v>
      </c>
    </row>
    <row r="855" spans="1:27" ht="12.75" customHeight="1" x14ac:dyDescent="0.2">
      <c r="A855">
        <v>2</v>
      </c>
      <c r="B855">
        <v>1</v>
      </c>
      <c r="C855">
        <f t="shared" ca="1" si="264"/>
        <v>5</v>
      </c>
      <c r="D855">
        <f t="shared" ca="1" si="265"/>
        <v>4</v>
      </c>
      <c r="E855">
        <f t="shared" ca="1" si="266"/>
        <v>2</v>
      </c>
      <c r="F855" s="61">
        <f t="shared" ca="1" si="267"/>
        <v>3.9085322977689602E-2</v>
      </c>
      <c r="G855">
        <v>1</v>
      </c>
      <c r="H855">
        <v>0</v>
      </c>
      <c r="I855">
        <v>4</v>
      </c>
      <c r="J855" s="61">
        <f t="shared" ca="1" si="268"/>
        <v>0.77378093749999999</v>
      </c>
      <c r="K855" s="61">
        <f t="shared" ca="1" si="269"/>
        <v>3.0243477856166951E-2</v>
      </c>
      <c r="L855" s="82">
        <f t="shared" ca="1" si="270"/>
        <v>205</v>
      </c>
      <c r="M855" s="16">
        <f t="shared" ca="1" si="271"/>
        <v>795</v>
      </c>
      <c r="N855" s="3">
        <f t="shared" ca="1" si="272"/>
        <v>5</v>
      </c>
      <c r="O855" s="19">
        <f t="shared" ca="1" si="273"/>
        <v>2.8178718937399587</v>
      </c>
      <c r="P855" s="19">
        <f t="shared" ca="1" si="274"/>
        <v>28.178718937399587</v>
      </c>
      <c r="Q855" s="19">
        <f t="shared" ca="1" si="275"/>
        <v>28.178718937399587</v>
      </c>
      <c r="R855" s="19">
        <f t="shared" ca="1" si="276"/>
        <v>2.8178718937399587</v>
      </c>
      <c r="S855" s="19">
        <f t="shared" ca="1" si="277"/>
        <v>2.8178718937399587</v>
      </c>
      <c r="T855" s="19">
        <f t="shared" ca="1" si="278"/>
        <v>8.5222246219839676E-2</v>
      </c>
      <c r="U855" s="19">
        <f t="shared" ca="1" si="279"/>
        <v>1464.3251747165598</v>
      </c>
      <c r="V855" s="19">
        <f t="shared" ca="1" si="280"/>
        <v>44.286285995768075</v>
      </c>
      <c r="W855" s="82">
        <f t="shared" ca="1" si="281"/>
        <v>4261.0824406828706</v>
      </c>
      <c r="X855" s="19">
        <f t="shared" ca="1" si="282"/>
        <v>128.86995243809423</v>
      </c>
      <c r="Y855" s="19">
        <f t="shared" si="283"/>
        <v>0</v>
      </c>
      <c r="Z855" s="82">
        <f t="shared" ca="1" si="284"/>
        <v>4261.0824406828706</v>
      </c>
      <c r="AA855" s="19">
        <f t="shared" ca="1" si="285"/>
        <v>128.86995243809423</v>
      </c>
    </row>
    <row r="856" spans="1:27" ht="12.75" customHeight="1" x14ac:dyDescent="0.2">
      <c r="A856">
        <v>2</v>
      </c>
      <c r="B856">
        <v>1</v>
      </c>
      <c r="C856">
        <f t="shared" ca="1" si="264"/>
        <v>5</v>
      </c>
      <c r="D856">
        <f t="shared" ca="1" si="265"/>
        <v>4</v>
      </c>
      <c r="E856">
        <f t="shared" ca="1" si="266"/>
        <v>2</v>
      </c>
      <c r="F856" s="61">
        <f t="shared" ca="1" si="267"/>
        <v>3.9085322977689602E-2</v>
      </c>
      <c r="G856">
        <v>1</v>
      </c>
      <c r="H856">
        <v>0</v>
      </c>
      <c r="I856">
        <v>3</v>
      </c>
      <c r="J856" s="61">
        <f t="shared" ca="1" si="268"/>
        <v>0.16290125000000011</v>
      </c>
      <c r="K856" s="61">
        <f t="shared" ca="1" si="269"/>
        <v>6.3670479697193628E-3</v>
      </c>
      <c r="L856" s="82">
        <f t="shared" ca="1" si="270"/>
        <v>194</v>
      </c>
      <c r="M856" s="16">
        <f t="shared" ca="1" si="271"/>
        <v>806</v>
      </c>
      <c r="N856" s="3">
        <f t="shared" ca="1" si="272"/>
        <v>5</v>
      </c>
      <c r="O856" s="19">
        <f t="shared" ca="1" si="273"/>
        <v>2.8178718937399587</v>
      </c>
      <c r="P856" s="19">
        <f t="shared" ca="1" si="274"/>
        <v>28.178718937399587</v>
      </c>
      <c r="Q856" s="19">
        <f t="shared" ca="1" si="275"/>
        <v>28.178718937399587</v>
      </c>
      <c r="R856" s="19">
        <f t="shared" ca="1" si="276"/>
        <v>2.8178718937399587</v>
      </c>
      <c r="S856" s="19">
        <f t="shared" ca="1" si="277"/>
        <v>2.8178718937399587</v>
      </c>
      <c r="T856" s="19">
        <f t="shared" ca="1" si="278"/>
        <v>1.7941525519966261E-2</v>
      </c>
      <c r="U856" s="19">
        <f t="shared" ca="1" si="279"/>
        <v>1453.3251747165598</v>
      </c>
      <c r="V856" s="19">
        <f t="shared" ca="1" si="280"/>
        <v>9.2533911030211105</v>
      </c>
      <c r="W856" s="82">
        <f t="shared" ca="1" si="281"/>
        <v>3775.1772106481485</v>
      </c>
      <c r="X856" s="19">
        <f t="shared" ca="1" si="282"/>
        <v>24.036734394388102</v>
      </c>
      <c r="Y856" s="19">
        <f t="shared" si="283"/>
        <v>0</v>
      </c>
      <c r="Z856" s="82">
        <f t="shared" ca="1" si="284"/>
        <v>3775.1772106481485</v>
      </c>
      <c r="AA856" s="19">
        <f t="shared" ca="1" si="285"/>
        <v>24.036734394388102</v>
      </c>
    </row>
    <row r="857" spans="1:27" ht="12.75" customHeight="1" x14ac:dyDescent="0.2">
      <c r="A857">
        <v>2</v>
      </c>
      <c r="B857">
        <v>1</v>
      </c>
      <c r="C857">
        <f t="shared" ca="1" si="264"/>
        <v>5</v>
      </c>
      <c r="D857">
        <f t="shared" ca="1" si="265"/>
        <v>4</v>
      </c>
      <c r="E857">
        <f t="shared" ca="1" si="266"/>
        <v>2</v>
      </c>
      <c r="F857" s="61">
        <f t="shared" ca="1" si="267"/>
        <v>3.9085322977689602E-2</v>
      </c>
      <c r="G857">
        <v>1</v>
      </c>
      <c r="H857">
        <v>0</v>
      </c>
      <c r="I857">
        <v>2</v>
      </c>
      <c r="J857" s="61">
        <f t="shared" ca="1" si="268"/>
        <v>1.2860625000000021E-2</v>
      </c>
      <c r="K857" s="61">
        <f t="shared" ca="1" si="269"/>
        <v>5.0266168181995017E-4</v>
      </c>
      <c r="L857" s="82">
        <f t="shared" ca="1" si="270"/>
        <v>183</v>
      </c>
      <c r="M857" s="16">
        <f t="shared" ca="1" si="271"/>
        <v>817</v>
      </c>
      <c r="N857" s="3">
        <f t="shared" ca="1" si="272"/>
        <v>5</v>
      </c>
      <c r="O857" s="19">
        <f t="shared" ca="1" si="273"/>
        <v>2.8178718937399587</v>
      </c>
      <c r="P857" s="19">
        <f t="shared" ca="1" si="274"/>
        <v>28.178718937399587</v>
      </c>
      <c r="Q857" s="19">
        <f t="shared" ca="1" si="275"/>
        <v>28.178718937399587</v>
      </c>
      <c r="R857" s="19">
        <f t="shared" ca="1" si="276"/>
        <v>2.8178718937399587</v>
      </c>
      <c r="S857" s="19">
        <f t="shared" ca="1" si="277"/>
        <v>2.8178718937399587</v>
      </c>
      <c r="T857" s="19">
        <f t="shared" ca="1" si="278"/>
        <v>1.4164362252604955E-3</v>
      </c>
      <c r="U857" s="19">
        <f t="shared" ca="1" si="279"/>
        <v>1442.3251747165598</v>
      </c>
      <c r="V857" s="19">
        <f t="shared" ca="1" si="280"/>
        <v>0.72500159805427944</v>
      </c>
      <c r="W857" s="82">
        <f t="shared" ca="1" si="281"/>
        <v>3289.2719806134264</v>
      </c>
      <c r="X857" s="19">
        <f t="shared" ca="1" si="282"/>
        <v>1.6533909857383835</v>
      </c>
      <c r="Y857" s="19">
        <f t="shared" si="283"/>
        <v>0</v>
      </c>
      <c r="Z857" s="82">
        <f t="shared" ca="1" si="284"/>
        <v>3289.2719806134264</v>
      </c>
      <c r="AA857" s="19">
        <f t="shared" ca="1" si="285"/>
        <v>1.6533909857383835</v>
      </c>
    </row>
    <row r="858" spans="1:27" ht="12.75" customHeight="1" x14ac:dyDescent="0.2">
      <c r="A858">
        <v>2</v>
      </c>
      <c r="B858">
        <v>1</v>
      </c>
      <c r="C858">
        <f t="shared" ca="1" si="264"/>
        <v>5</v>
      </c>
      <c r="D858">
        <f t="shared" ca="1" si="265"/>
        <v>4</v>
      </c>
      <c r="E858">
        <f t="shared" ca="1" si="266"/>
        <v>2</v>
      </c>
      <c r="F858" s="61">
        <f t="shared" ca="1" si="267"/>
        <v>3.9085322977689602E-2</v>
      </c>
      <c r="G858">
        <v>1</v>
      </c>
      <c r="H858">
        <v>0</v>
      </c>
      <c r="I858">
        <v>1</v>
      </c>
      <c r="J858" s="61">
        <f t="shared" ca="1" si="268"/>
        <v>4.5125000000000118E-4</v>
      </c>
      <c r="K858" s="61">
        <f t="shared" ca="1" si="269"/>
        <v>1.7637251993682479E-5</v>
      </c>
      <c r="L858" s="82">
        <f t="shared" ca="1" si="270"/>
        <v>172</v>
      </c>
      <c r="M858" s="16">
        <f t="shared" ca="1" si="271"/>
        <v>828</v>
      </c>
      <c r="N858" s="3">
        <f t="shared" ca="1" si="272"/>
        <v>5</v>
      </c>
      <c r="O858" s="19">
        <f t="shared" ca="1" si="273"/>
        <v>2.8178718937399587</v>
      </c>
      <c r="P858" s="19">
        <f t="shared" ca="1" si="274"/>
        <v>28.178718937399587</v>
      </c>
      <c r="Q858" s="19">
        <f t="shared" ca="1" si="275"/>
        <v>28.178718937399587</v>
      </c>
      <c r="R858" s="19">
        <f t="shared" ca="1" si="276"/>
        <v>2.8178718937399587</v>
      </c>
      <c r="S858" s="19">
        <f t="shared" ca="1" si="277"/>
        <v>2.8178718937399587</v>
      </c>
      <c r="T858" s="19">
        <f t="shared" ca="1" si="278"/>
        <v>4.9699516675806909E-5</v>
      </c>
      <c r="U858" s="19">
        <f t="shared" ca="1" si="279"/>
        <v>1431.3251747165598</v>
      </c>
      <c r="V858" s="19">
        <f t="shared" ca="1" si="280"/>
        <v>2.5244642791377569E-2</v>
      </c>
      <c r="W858" s="82">
        <f t="shared" ca="1" si="281"/>
        <v>2803.3667505787039</v>
      </c>
      <c r="X858" s="19">
        <f t="shared" ca="1" si="282"/>
        <v>4.9443685810667416E-2</v>
      </c>
      <c r="Y858" s="19">
        <f t="shared" si="283"/>
        <v>0</v>
      </c>
      <c r="Z858" s="82">
        <f t="shared" ca="1" si="284"/>
        <v>2803.3667505787039</v>
      </c>
      <c r="AA858" s="19">
        <f t="shared" ca="1" si="285"/>
        <v>4.9443685810667416E-2</v>
      </c>
    </row>
    <row r="859" spans="1:27" ht="12.75" customHeight="1" x14ac:dyDescent="0.2">
      <c r="A859">
        <v>2</v>
      </c>
      <c r="B859">
        <v>1</v>
      </c>
      <c r="C859">
        <f t="shared" ca="1" si="264"/>
        <v>5</v>
      </c>
      <c r="D859">
        <f t="shared" ca="1" si="265"/>
        <v>4</v>
      </c>
      <c r="E859">
        <f t="shared" ca="1" si="266"/>
        <v>2</v>
      </c>
      <c r="F859" s="61">
        <f t="shared" ca="1" si="267"/>
        <v>3.9085322977689602E-2</v>
      </c>
      <c r="G859">
        <v>1</v>
      </c>
      <c r="H859">
        <v>0</v>
      </c>
      <c r="I859">
        <v>0</v>
      </c>
      <c r="J859" s="61">
        <f t="shared" ca="1" si="268"/>
        <v>5.9375000000000207E-6</v>
      </c>
      <c r="K859" s="61">
        <f t="shared" ca="1" si="269"/>
        <v>2.3206910518003282E-7</v>
      </c>
      <c r="L859" s="82">
        <f t="shared" ca="1" si="270"/>
        <v>161</v>
      </c>
      <c r="M859" s="16">
        <f t="shared" ca="1" si="271"/>
        <v>839</v>
      </c>
      <c r="N859" s="3">
        <f t="shared" ca="1" si="272"/>
        <v>5</v>
      </c>
      <c r="O859" s="19">
        <f t="shared" ca="1" si="273"/>
        <v>2.8178718937399587</v>
      </c>
      <c r="P859" s="19">
        <f t="shared" ca="1" si="274"/>
        <v>28.178718937399587</v>
      </c>
      <c r="Q859" s="19">
        <f t="shared" ca="1" si="275"/>
        <v>28.178718937399587</v>
      </c>
      <c r="R859" s="19">
        <f t="shared" ca="1" si="276"/>
        <v>2.8178718937399587</v>
      </c>
      <c r="S859" s="19">
        <f t="shared" ca="1" si="277"/>
        <v>2.8178718937399587</v>
      </c>
      <c r="T859" s="19">
        <f t="shared" ca="1" si="278"/>
        <v>6.5394100889219674E-7</v>
      </c>
      <c r="U859" s="19">
        <f t="shared" ca="1" si="279"/>
        <v>1420.3251747165598</v>
      </c>
      <c r="V859" s="19">
        <f t="shared" ca="1" si="280"/>
        <v>3.2961359236114579E-4</v>
      </c>
      <c r="W859" s="82">
        <f t="shared" ca="1" si="281"/>
        <v>2317.4615205439818</v>
      </c>
      <c r="X859" s="19">
        <f t="shared" ca="1" si="282"/>
        <v>5.3781122136180011E-4</v>
      </c>
      <c r="Y859" s="19">
        <f t="shared" si="283"/>
        <v>0</v>
      </c>
      <c r="Z859" s="82">
        <f t="shared" ca="1" si="284"/>
        <v>2317.4615205439818</v>
      </c>
      <c r="AA859" s="19">
        <f t="shared" ca="1" si="285"/>
        <v>5.3781122136180011E-4</v>
      </c>
    </row>
    <row r="860" spans="1:27" ht="12.75" customHeight="1" x14ac:dyDescent="0.2">
      <c r="A860">
        <v>2</v>
      </c>
      <c r="B860">
        <v>1</v>
      </c>
      <c r="C860">
        <f t="shared" ca="1" si="264"/>
        <v>5</v>
      </c>
      <c r="D860">
        <f t="shared" ca="1" si="265"/>
        <v>4</v>
      </c>
      <c r="E860">
        <f t="shared" ca="1" si="266"/>
        <v>2</v>
      </c>
      <c r="F860" s="61">
        <f t="shared" ca="1" si="267"/>
        <v>3.9085322977689602E-2</v>
      </c>
      <c r="G860">
        <v>0</v>
      </c>
      <c r="H860">
        <v>1</v>
      </c>
      <c r="I860">
        <v>7</v>
      </c>
      <c r="J860" s="61">
        <f t="shared" ca="1" si="268"/>
        <v>0</v>
      </c>
      <c r="K860" s="61">
        <f t="shared" ca="1" si="269"/>
        <v>0</v>
      </c>
      <c r="L860" s="82">
        <f t="shared" ca="1" si="270"/>
        <v>238</v>
      </c>
      <c r="M860" s="16">
        <f t="shared" ca="1" si="271"/>
        <v>762</v>
      </c>
      <c r="N860" s="3">
        <f t="shared" ca="1" si="272"/>
        <v>5</v>
      </c>
      <c r="O860" s="19">
        <f t="shared" ca="1" si="273"/>
        <v>2.8178718937399587</v>
      </c>
      <c r="P860" s="19">
        <f t="shared" ca="1" si="274"/>
        <v>25.815886347750073</v>
      </c>
      <c r="Q860" s="19">
        <f t="shared" ca="1" si="275"/>
        <v>23.453053758100552</v>
      </c>
      <c r="R860" s="19">
        <f t="shared" ca="1" si="276"/>
        <v>2.4634470052925312</v>
      </c>
      <c r="S860" s="19">
        <f t="shared" ca="1" si="277"/>
        <v>2.8178718937399587</v>
      </c>
      <c r="T860" s="19">
        <f t="shared" ca="1" si="278"/>
        <v>0</v>
      </c>
      <c r="U860" s="19">
        <f t="shared" ca="1" si="279"/>
        <v>1497.3251747165598</v>
      </c>
      <c r="V860" s="19">
        <f t="shared" ca="1" si="280"/>
        <v>0</v>
      </c>
      <c r="W860" s="82">
        <f t="shared" ca="1" si="281"/>
        <v>3401.3366102430559</v>
      </c>
      <c r="X860" s="19">
        <f t="shared" ca="1" si="282"/>
        <v>0</v>
      </c>
      <c r="Y860" s="19">
        <f t="shared" si="283"/>
        <v>0</v>
      </c>
      <c r="Z860" s="82">
        <f t="shared" ca="1" si="284"/>
        <v>3401.3366102430559</v>
      </c>
      <c r="AA860" s="19">
        <f t="shared" ca="1" si="285"/>
        <v>0</v>
      </c>
    </row>
    <row r="861" spans="1:27" ht="12.75" customHeight="1" x14ac:dyDescent="0.2">
      <c r="A861">
        <v>2</v>
      </c>
      <c r="B861">
        <v>1</v>
      </c>
      <c r="C861">
        <f t="shared" ca="1" si="264"/>
        <v>5</v>
      </c>
      <c r="D861">
        <f t="shared" ca="1" si="265"/>
        <v>4</v>
      </c>
      <c r="E861">
        <f t="shared" ca="1" si="266"/>
        <v>2</v>
      </c>
      <c r="F861" s="61">
        <f t="shared" ca="1" si="267"/>
        <v>3.9085322977689602E-2</v>
      </c>
      <c r="G861">
        <v>0</v>
      </c>
      <c r="H861">
        <v>1</v>
      </c>
      <c r="I861">
        <v>6</v>
      </c>
      <c r="J861" s="61">
        <f t="shared" ca="1" si="268"/>
        <v>0</v>
      </c>
      <c r="K861" s="61">
        <f t="shared" ca="1" si="269"/>
        <v>0</v>
      </c>
      <c r="L861" s="82">
        <f t="shared" ca="1" si="270"/>
        <v>227</v>
      </c>
      <c r="M861" s="16">
        <f t="shared" ca="1" si="271"/>
        <v>773</v>
      </c>
      <c r="N861" s="3">
        <f t="shared" ca="1" si="272"/>
        <v>5</v>
      </c>
      <c r="O861" s="19">
        <f t="shared" ca="1" si="273"/>
        <v>2.8178718937399587</v>
      </c>
      <c r="P861" s="19">
        <f t="shared" ca="1" si="274"/>
        <v>28.178718937399587</v>
      </c>
      <c r="Q861" s="19">
        <f t="shared" ca="1" si="275"/>
        <v>26.288452865679979</v>
      </c>
      <c r="R861" s="19">
        <f t="shared" ca="1" si="276"/>
        <v>2.7233585901539783</v>
      </c>
      <c r="S861" s="19">
        <f t="shared" ca="1" si="277"/>
        <v>2.8178718937399587</v>
      </c>
      <c r="T861" s="19">
        <f t="shared" ca="1" si="278"/>
        <v>0</v>
      </c>
      <c r="U861" s="19">
        <f t="shared" ca="1" si="279"/>
        <v>1486.3251747165598</v>
      </c>
      <c r="V861" s="19">
        <f t="shared" ca="1" si="280"/>
        <v>0</v>
      </c>
      <c r="W861" s="82">
        <f t="shared" ca="1" si="281"/>
        <v>2915.4313802083334</v>
      </c>
      <c r="X861" s="19">
        <f t="shared" ca="1" si="282"/>
        <v>0</v>
      </c>
      <c r="Y861" s="19">
        <f t="shared" si="283"/>
        <v>0</v>
      </c>
      <c r="Z861" s="82">
        <f t="shared" ca="1" si="284"/>
        <v>2915.4313802083334</v>
      </c>
      <c r="AA861" s="19">
        <f t="shared" ca="1" si="285"/>
        <v>0</v>
      </c>
    </row>
    <row r="862" spans="1:27" ht="12.75" customHeight="1" x14ac:dyDescent="0.2">
      <c r="A862">
        <v>2</v>
      </c>
      <c r="B862">
        <v>1</v>
      </c>
      <c r="C862">
        <f t="shared" ca="1" si="264"/>
        <v>5</v>
      </c>
      <c r="D862">
        <f t="shared" ca="1" si="265"/>
        <v>4</v>
      </c>
      <c r="E862">
        <f t="shared" ca="1" si="266"/>
        <v>2</v>
      </c>
      <c r="F862" s="61">
        <f t="shared" ca="1" si="267"/>
        <v>3.9085322977689602E-2</v>
      </c>
      <c r="G862">
        <v>0</v>
      </c>
      <c r="H862">
        <v>1</v>
      </c>
      <c r="I862">
        <v>5</v>
      </c>
      <c r="J862" s="61">
        <f t="shared" ca="1" si="268"/>
        <v>0</v>
      </c>
      <c r="K862" s="61">
        <f t="shared" ca="1" si="269"/>
        <v>0</v>
      </c>
      <c r="L862" s="82">
        <f t="shared" ca="1" si="270"/>
        <v>216</v>
      </c>
      <c r="M862" s="16">
        <f t="shared" ca="1" si="271"/>
        <v>784</v>
      </c>
      <c r="N862" s="3">
        <f t="shared" ca="1" si="272"/>
        <v>5</v>
      </c>
      <c r="O862" s="19">
        <f t="shared" ca="1" si="273"/>
        <v>2.8178718937399587</v>
      </c>
      <c r="P862" s="19">
        <f t="shared" ca="1" si="274"/>
        <v>28.178718937399587</v>
      </c>
      <c r="Q862" s="19">
        <f t="shared" ca="1" si="275"/>
        <v>28.178718937399587</v>
      </c>
      <c r="R862" s="19">
        <f t="shared" ca="1" si="276"/>
        <v>2.8178718937399587</v>
      </c>
      <c r="S862" s="19">
        <f t="shared" ca="1" si="277"/>
        <v>2.8178718937399587</v>
      </c>
      <c r="T862" s="19">
        <f t="shared" ca="1" si="278"/>
        <v>0</v>
      </c>
      <c r="U862" s="19">
        <f t="shared" ca="1" si="279"/>
        <v>1475.3251747165598</v>
      </c>
      <c r="V862" s="19">
        <f t="shared" ca="1" si="280"/>
        <v>0</v>
      </c>
      <c r="W862" s="82">
        <f t="shared" ca="1" si="281"/>
        <v>2429.5261501736113</v>
      </c>
      <c r="X862" s="19">
        <f t="shared" ca="1" si="282"/>
        <v>0</v>
      </c>
      <c r="Y862" s="19">
        <f t="shared" si="283"/>
        <v>0</v>
      </c>
      <c r="Z862" s="82">
        <f t="shared" ca="1" si="284"/>
        <v>2429.5261501736113</v>
      </c>
      <c r="AA862" s="19">
        <f t="shared" ca="1" si="285"/>
        <v>0</v>
      </c>
    </row>
    <row r="863" spans="1:27" ht="12.75" customHeight="1" x14ac:dyDescent="0.2">
      <c r="A863">
        <v>2</v>
      </c>
      <c r="B863">
        <v>1</v>
      </c>
      <c r="C863">
        <f t="shared" ca="1" si="264"/>
        <v>5</v>
      </c>
      <c r="D863">
        <f t="shared" ca="1" si="265"/>
        <v>4</v>
      </c>
      <c r="E863">
        <f t="shared" ca="1" si="266"/>
        <v>2</v>
      </c>
      <c r="F863" s="61">
        <f t="shared" ca="1" si="267"/>
        <v>3.9085322977689602E-2</v>
      </c>
      <c r="G863">
        <v>0</v>
      </c>
      <c r="H863">
        <v>1</v>
      </c>
      <c r="I863">
        <v>4</v>
      </c>
      <c r="J863" s="61">
        <f t="shared" ca="1" si="268"/>
        <v>0</v>
      </c>
      <c r="K863" s="61">
        <f t="shared" ca="1" si="269"/>
        <v>0</v>
      </c>
      <c r="L863" s="82">
        <f t="shared" ca="1" si="270"/>
        <v>205</v>
      </c>
      <c r="M863" s="16">
        <f t="shared" ca="1" si="271"/>
        <v>795</v>
      </c>
      <c r="N863" s="3">
        <f t="shared" ca="1" si="272"/>
        <v>5</v>
      </c>
      <c r="O863" s="19">
        <f t="shared" ca="1" si="273"/>
        <v>2.8178718937399587</v>
      </c>
      <c r="P863" s="19">
        <f t="shared" ca="1" si="274"/>
        <v>28.178718937399587</v>
      </c>
      <c r="Q863" s="19">
        <f t="shared" ca="1" si="275"/>
        <v>28.178718937399587</v>
      </c>
      <c r="R863" s="19">
        <f t="shared" ca="1" si="276"/>
        <v>2.8178718937399587</v>
      </c>
      <c r="S863" s="19">
        <f t="shared" ca="1" si="277"/>
        <v>2.8178718937399587</v>
      </c>
      <c r="T863" s="19">
        <f t="shared" ca="1" si="278"/>
        <v>0</v>
      </c>
      <c r="U863" s="19">
        <f t="shared" ca="1" si="279"/>
        <v>1464.3251747165598</v>
      </c>
      <c r="V863" s="19">
        <f t="shared" ca="1" si="280"/>
        <v>0</v>
      </c>
      <c r="W863" s="82">
        <f t="shared" ca="1" si="281"/>
        <v>1943.620920138889</v>
      </c>
      <c r="X863" s="19">
        <f t="shared" ca="1" si="282"/>
        <v>0</v>
      </c>
      <c r="Y863" s="19">
        <f t="shared" si="283"/>
        <v>0</v>
      </c>
      <c r="Z863" s="82">
        <f t="shared" ca="1" si="284"/>
        <v>1943.620920138889</v>
      </c>
      <c r="AA863" s="19">
        <f t="shared" ca="1" si="285"/>
        <v>0</v>
      </c>
    </row>
    <row r="864" spans="1:27" ht="12.75" customHeight="1" x14ac:dyDescent="0.2">
      <c r="A864">
        <v>2</v>
      </c>
      <c r="B864">
        <v>1</v>
      </c>
      <c r="C864">
        <f t="shared" ca="1" si="264"/>
        <v>5</v>
      </c>
      <c r="D864">
        <f t="shared" ca="1" si="265"/>
        <v>4</v>
      </c>
      <c r="E864">
        <f t="shared" ca="1" si="266"/>
        <v>2</v>
      </c>
      <c r="F864" s="61">
        <f t="shared" ca="1" si="267"/>
        <v>3.9085322977689602E-2</v>
      </c>
      <c r="G864">
        <v>0</v>
      </c>
      <c r="H864">
        <v>1</v>
      </c>
      <c r="I864">
        <v>3</v>
      </c>
      <c r="J864" s="61">
        <f t="shared" ca="1" si="268"/>
        <v>0</v>
      </c>
      <c r="K864" s="61">
        <f t="shared" ca="1" si="269"/>
        <v>0</v>
      </c>
      <c r="L864" s="82">
        <f t="shared" ca="1" si="270"/>
        <v>194</v>
      </c>
      <c r="M864" s="16">
        <f t="shared" ca="1" si="271"/>
        <v>806</v>
      </c>
      <c r="N864" s="3">
        <f t="shared" ca="1" si="272"/>
        <v>5</v>
      </c>
      <c r="O864" s="19">
        <f t="shared" ca="1" si="273"/>
        <v>2.8178718937399587</v>
      </c>
      <c r="P864" s="19">
        <f t="shared" ca="1" si="274"/>
        <v>28.178718937399587</v>
      </c>
      <c r="Q864" s="19">
        <f t="shared" ca="1" si="275"/>
        <v>28.178718937399587</v>
      </c>
      <c r="R864" s="19">
        <f t="shared" ca="1" si="276"/>
        <v>2.8178718937399587</v>
      </c>
      <c r="S864" s="19">
        <f t="shared" ca="1" si="277"/>
        <v>2.8178718937399587</v>
      </c>
      <c r="T864" s="19">
        <f t="shared" ca="1" si="278"/>
        <v>0</v>
      </c>
      <c r="U864" s="19">
        <f t="shared" ca="1" si="279"/>
        <v>1453.3251747165598</v>
      </c>
      <c r="V864" s="19">
        <f t="shared" ca="1" si="280"/>
        <v>0</v>
      </c>
      <c r="W864" s="82">
        <f t="shared" ca="1" si="281"/>
        <v>1457.7156901041667</v>
      </c>
      <c r="X864" s="19">
        <f t="shared" ca="1" si="282"/>
        <v>0</v>
      </c>
      <c r="Y864" s="19">
        <f t="shared" si="283"/>
        <v>0</v>
      </c>
      <c r="Z864" s="82">
        <f t="shared" ca="1" si="284"/>
        <v>1457.7156901041667</v>
      </c>
      <c r="AA864" s="19">
        <f t="shared" ca="1" si="285"/>
        <v>0</v>
      </c>
    </row>
    <row r="865" spans="1:27" ht="12.75" customHeight="1" x14ac:dyDescent="0.2">
      <c r="A865">
        <v>2</v>
      </c>
      <c r="B865">
        <v>1</v>
      </c>
      <c r="C865">
        <f t="shared" ca="1" si="264"/>
        <v>5</v>
      </c>
      <c r="D865">
        <f t="shared" ca="1" si="265"/>
        <v>4</v>
      </c>
      <c r="E865">
        <f t="shared" ca="1" si="266"/>
        <v>2</v>
      </c>
      <c r="F865" s="61">
        <f t="shared" ca="1" si="267"/>
        <v>3.9085322977689602E-2</v>
      </c>
      <c r="G865">
        <v>0</v>
      </c>
      <c r="H865">
        <v>1</v>
      </c>
      <c r="I865">
        <v>2</v>
      </c>
      <c r="J865" s="61">
        <f t="shared" ca="1" si="268"/>
        <v>0</v>
      </c>
      <c r="K865" s="61">
        <f t="shared" ca="1" si="269"/>
        <v>0</v>
      </c>
      <c r="L865" s="82">
        <f t="shared" ca="1" si="270"/>
        <v>183</v>
      </c>
      <c r="M865" s="16">
        <f t="shared" ca="1" si="271"/>
        <v>817</v>
      </c>
      <c r="N865" s="3">
        <f t="shared" ca="1" si="272"/>
        <v>5</v>
      </c>
      <c r="O865" s="19">
        <f t="shared" ca="1" si="273"/>
        <v>2.8178718937399587</v>
      </c>
      <c r="P865" s="19">
        <f t="shared" ca="1" si="274"/>
        <v>28.178718937399587</v>
      </c>
      <c r="Q865" s="19">
        <f t="shared" ca="1" si="275"/>
        <v>28.178718937399587</v>
      </c>
      <c r="R865" s="19">
        <f t="shared" ca="1" si="276"/>
        <v>2.8178718937399587</v>
      </c>
      <c r="S865" s="19">
        <f t="shared" ca="1" si="277"/>
        <v>2.8178718937399587</v>
      </c>
      <c r="T865" s="19">
        <f t="shared" ca="1" si="278"/>
        <v>0</v>
      </c>
      <c r="U865" s="19">
        <f t="shared" ca="1" si="279"/>
        <v>1442.3251747165598</v>
      </c>
      <c r="V865" s="19">
        <f t="shared" ca="1" si="280"/>
        <v>0</v>
      </c>
      <c r="W865" s="82">
        <f t="shared" ca="1" si="281"/>
        <v>971.8104600694445</v>
      </c>
      <c r="X865" s="19">
        <f t="shared" ca="1" si="282"/>
        <v>0</v>
      </c>
      <c r="Y865" s="19">
        <f t="shared" si="283"/>
        <v>0</v>
      </c>
      <c r="Z865" s="82">
        <f t="shared" ca="1" si="284"/>
        <v>971.8104600694445</v>
      </c>
      <c r="AA865" s="19">
        <f t="shared" ca="1" si="285"/>
        <v>0</v>
      </c>
    </row>
    <row r="866" spans="1:27" ht="12.75" customHeight="1" x14ac:dyDescent="0.2">
      <c r="A866">
        <v>2</v>
      </c>
      <c r="B866">
        <v>1</v>
      </c>
      <c r="C866">
        <f t="shared" ca="1" si="264"/>
        <v>5</v>
      </c>
      <c r="D866">
        <f t="shared" ca="1" si="265"/>
        <v>4</v>
      </c>
      <c r="E866">
        <f t="shared" ca="1" si="266"/>
        <v>2</v>
      </c>
      <c r="F866" s="61">
        <f t="shared" ca="1" si="267"/>
        <v>3.9085322977689602E-2</v>
      </c>
      <c r="G866">
        <v>0</v>
      </c>
      <c r="H866">
        <v>1</v>
      </c>
      <c r="I866">
        <v>1</v>
      </c>
      <c r="J866" s="61">
        <f t="shared" ca="1" si="268"/>
        <v>0</v>
      </c>
      <c r="K866" s="61">
        <f t="shared" ca="1" si="269"/>
        <v>0</v>
      </c>
      <c r="L866" s="82">
        <f t="shared" ca="1" si="270"/>
        <v>172</v>
      </c>
      <c r="M866" s="16">
        <f t="shared" ca="1" si="271"/>
        <v>828</v>
      </c>
      <c r="N866" s="3">
        <f t="shared" ca="1" si="272"/>
        <v>5</v>
      </c>
      <c r="O866" s="19">
        <f t="shared" ca="1" si="273"/>
        <v>2.8178718937399587</v>
      </c>
      <c r="P866" s="19">
        <f t="shared" ca="1" si="274"/>
        <v>28.178718937399587</v>
      </c>
      <c r="Q866" s="19">
        <f t="shared" ca="1" si="275"/>
        <v>28.178718937399587</v>
      </c>
      <c r="R866" s="19">
        <f t="shared" ca="1" si="276"/>
        <v>2.8178718937399587</v>
      </c>
      <c r="S866" s="19">
        <f t="shared" ca="1" si="277"/>
        <v>2.8178718937399587</v>
      </c>
      <c r="T866" s="19">
        <f t="shared" ca="1" si="278"/>
        <v>0</v>
      </c>
      <c r="U866" s="19">
        <f t="shared" ca="1" si="279"/>
        <v>1431.3251747165598</v>
      </c>
      <c r="V866" s="19">
        <f t="shared" ca="1" si="280"/>
        <v>0</v>
      </c>
      <c r="W866" s="82">
        <f t="shared" ca="1" si="281"/>
        <v>485.90523003472225</v>
      </c>
      <c r="X866" s="19">
        <f t="shared" ca="1" si="282"/>
        <v>0</v>
      </c>
      <c r="Y866" s="19">
        <f t="shared" si="283"/>
        <v>0</v>
      </c>
      <c r="Z866" s="82">
        <f t="shared" ca="1" si="284"/>
        <v>485.90523003472225</v>
      </c>
      <c r="AA866" s="19">
        <f t="shared" ca="1" si="285"/>
        <v>0</v>
      </c>
    </row>
    <row r="867" spans="1:27" ht="12.75" customHeight="1" x14ac:dyDescent="0.2">
      <c r="A867">
        <v>2</v>
      </c>
      <c r="B867">
        <v>1</v>
      </c>
      <c r="C867">
        <f t="shared" ca="1" si="264"/>
        <v>5</v>
      </c>
      <c r="D867">
        <f t="shared" ca="1" si="265"/>
        <v>4</v>
      </c>
      <c r="E867">
        <f t="shared" ca="1" si="266"/>
        <v>2</v>
      </c>
      <c r="F867" s="61">
        <f t="shared" ca="1" si="267"/>
        <v>3.9085322977689602E-2</v>
      </c>
      <c r="G867">
        <v>0</v>
      </c>
      <c r="H867">
        <v>1</v>
      </c>
      <c r="I867">
        <v>0</v>
      </c>
      <c r="J867" s="61">
        <f t="shared" ca="1" si="268"/>
        <v>0</v>
      </c>
      <c r="K867" s="61">
        <f t="shared" ca="1" si="269"/>
        <v>0</v>
      </c>
      <c r="L867" s="82">
        <f t="shared" ca="1" si="270"/>
        <v>161</v>
      </c>
      <c r="M867" s="16">
        <f t="shared" ca="1" si="271"/>
        <v>839</v>
      </c>
      <c r="N867" s="3">
        <f t="shared" ca="1" si="272"/>
        <v>5</v>
      </c>
      <c r="O867" s="19">
        <f t="shared" ca="1" si="273"/>
        <v>2.8178718937399587</v>
      </c>
      <c r="P867" s="19">
        <f t="shared" ca="1" si="274"/>
        <v>28.178718937399587</v>
      </c>
      <c r="Q867" s="19">
        <f t="shared" ca="1" si="275"/>
        <v>28.178718937399587</v>
      </c>
      <c r="R867" s="19">
        <f t="shared" ca="1" si="276"/>
        <v>2.8178718937399587</v>
      </c>
      <c r="S867" s="19">
        <f t="shared" ca="1" si="277"/>
        <v>2.8178718937399587</v>
      </c>
      <c r="T867" s="19">
        <f t="shared" ca="1" si="278"/>
        <v>0</v>
      </c>
      <c r="U867" s="19">
        <f t="shared" ca="1" si="279"/>
        <v>1420.3251747165598</v>
      </c>
      <c r="V867" s="19">
        <f t="shared" ca="1" si="280"/>
        <v>0</v>
      </c>
      <c r="W867" s="82">
        <f t="shared" ca="1" si="281"/>
        <v>0</v>
      </c>
      <c r="X867" s="19">
        <f t="shared" ca="1" si="282"/>
        <v>0</v>
      </c>
      <c r="Y867" s="19">
        <f t="shared" si="283"/>
        <v>0</v>
      </c>
      <c r="Z867" s="82">
        <f t="shared" ca="1" si="284"/>
        <v>0</v>
      </c>
      <c r="AA867" s="19">
        <f t="shared" ca="1" si="285"/>
        <v>0</v>
      </c>
    </row>
    <row r="868" spans="1:27" ht="12.75" customHeight="1" x14ac:dyDescent="0.2">
      <c r="A868">
        <v>2</v>
      </c>
      <c r="B868">
        <v>1</v>
      </c>
      <c r="C868">
        <f t="shared" ca="1" si="264"/>
        <v>5</v>
      </c>
      <c r="D868">
        <f t="shared" ca="1" si="265"/>
        <v>4</v>
      </c>
      <c r="E868">
        <f t="shared" ca="1" si="266"/>
        <v>2</v>
      </c>
      <c r="F868" s="61">
        <f t="shared" ca="1" si="267"/>
        <v>3.9085322977689602E-2</v>
      </c>
      <c r="G868">
        <v>0</v>
      </c>
      <c r="H868">
        <v>0</v>
      </c>
      <c r="I868">
        <v>7</v>
      </c>
      <c r="J868" s="61">
        <f t="shared" ca="1" si="268"/>
        <v>0</v>
      </c>
      <c r="K868" s="61">
        <f t="shared" ca="1" si="269"/>
        <v>0</v>
      </c>
      <c r="L868" s="82">
        <f t="shared" ca="1" si="270"/>
        <v>77</v>
      </c>
      <c r="M868" s="16">
        <f t="shared" ca="1" si="271"/>
        <v>923</v>
      </c>
      <c r="N868" s="3">
        <f t="shared" ca="1" si="272"/>
        <v>5</v>
      </c>
      <c r="O868" s="19">
        <f t="shared" ca="1" si="273"/>
        <v>2.8178718937399587</v>
      </c>
      <c r="P868" s="19">
        <f t="shared" ca="1" si="274"/>
        <v>28.178718937399587</v>
      </c>
      <c r="Q868" s="19">
        <f t="shared" ca="1" si="275"/>
        <v>28.178718937399587</v>
      </c>
      <c r="R868" s="19">
        <f t="shared" ca="1" si="276"/>
        <v>2.8178718937399587</v>
      </c>
      <c r="S868" s="19">
        <f t="shared" ca="1" si="277"/>
        <v>2.8178718937399587</v>
      </c>
      <c r="T868" s="19">
        <f t="shared" ca="1" si="278"/>
        <v>0</v>
      </c>
      <c r="U868" s="19">
        <f t="shared" ca="1" si="279"/>
        <v>1336.3251747165598</v>
      </c>
      <c r="V868" s="19">
        <f t="shared" ca="1" si="280"/>
        <v>0</v>
      </c>
      <c r="W868" s="82">
        <f t="shared" ca="1" si="281"/>
        <v>3401.3366102430559</v>
      </c>
      <c r="X868" s="19">
        <f t="shared" ca="1" si="282"/>
        <v>0</v>
      </c>
      <c r="Y868" s="19">
        <f t="shared" si="283"/>
        <v>0</v>
      </c>
      <c r="Z868" s="82">
        <f t="shared" ca="1" si="284"/>
        <v>3401.3366102430559</v>
      </c>
      <c r="AA868" s="19">
        <f t="shared" ca="1" si="285"/>
        <v>0</v>
      </c>
    </row>
    <row r="869" spans="1:27" ht="12.75" customHeight="1" x14ac:dyDescent="0.2">
      <c r="A869">
        <v>2</v>
      </c>
      <c r="B869">
        <v>1</v>
      </c>
      <c r="C869">
        <f t="shared" ca="1" si="264"/>
        <v>5</v>
      </c>
      <c r="D869">
        <f t="shared" ca="1" si="265"/>
        <v>4</v>
      </c>
      <c r="E869">
        <f t="shared" ca="1" si="266"/>
        <v>2</v>
      </c>
      <c r="F869" s="61">
        <f t="shared" ca="1" si="267"/>
        <v>3.9085322977689602E-2</v>
      </c>
      <c r="G869">
        <v>0</v>
      </c>
      <c r="H869">
        <v>0</v>
      </c>
      <c r="I869">
        <v>6</v>
      </c>
      <c r="J869" s="61">
        <f t="shared" ca="1" si="268"/>
        <v>0</v>
      </c>
      <c r="K869" s="61">
        <f t="shared" ca="1" si="269"/>
        <v>0</v>
      </c>
      <c r="L869" s="82">
        <f t="shared" ca="1" si="270"/>
        <v>66</v>
      </c>
      <c r="M869" s="16">
        <f t="shared" ca="1" si="271"/>
        <v>934</v>
      </c>
      <c r="N869" s="3">
        <f t="shared" ca="1" si="272"/>
        <v>5</v>
      </c>
      <c r="O869" s="19">
        <f t="shared" ca="1" si="273"/>
        <v>2.8178718937399587</v>
      </c>
      <c r="P869" s="19">
        <f t="shared" ca="1" si="274"/>
        <v>28.178718937399587</v>
      </c>
      <c r="Q869" s="19">
        <f t="shared" ca="1" si="275"/>
        <v>28.178718937399587</v>
      </c>
      <c r="R869" s="19">
        <f t="shared" ca="1" si="276"/>
        <v>2.8178718937399587</v>
      </c>
      <c r="S869" s="19">
        <f t="shared" ca="1" si="277"/>
        <v>2.8178718937399587</v>
      </c>
      <c r="T869" s="19">
        <f t="shared" ca="1" si="278"/>
        <v>0</v>
      </c>
      <c r="U869" s="19">
        <f t="shared" ca="1" si="279"/>
        <v>1325.3251747165598</v>
      </c>
      <c r="V869" s="19">
        <f t="shared" ca="1" si="280"/>
        <v>0</v>
      </c>
      <c r="W869" s="82">
        <f t="shared" ca="1" si="281"/>
        <v>2915.4313802083334</v>
      </c>
      <c r="X869" s="19">
        <f t="shared" ca="1" si="282"/>
        <v>0</v>
      </c>
      <c r="Y869" s="19">
        <f t="shared" si="283"/>
        <v>0</v>
      </c>
      <c r="Z869" s="82">
        <f t="shared" ca="1" si="284"/>
        <v>2915.4313802083334</v>
      </c>
      <c r="AA869" s="19">
        <f t="shared" ca="1" si="285"/>
        <v>0</v>
      </c>
    </row>
    <row r="870" spans="1:27" ht="12.75" customHeight="1" x14ac:dyDescent="0.2">
      <c r="A870">
        <v>2</v>
      </c>
      <c r="B870">
        <v>1</v>
      </c>
      <c r="C870">
        <f t="shared" ca="1" si="264"/>
        <v>5</v>
      </c>
      <c r="D870">
        <f t="shared" ca="1" si="265"/>
        <v>4</v>
      </c>
      <c r="E870">
        <f t="shared" ca="1" si="266"/>
        <v>2</v>
      </c>
      <c r="F870" s="61">
        <f t="shared" ca="1" si="267"/>
        <v>3.9085322977689602E-2</v>
      </c>
      <c r="G870">
        <v>0</v>
      </c>
      <c r="H870">
        <v>0</v>
      </c>
      <c r="I870">
        <v>5</v>
      </c>
      <c r="J870" s="61">
        <f t="shared" ca="1" si="268"/>
        <v>0</v>
      </c>
      <c r="K870" s="61">
        <f t="shared" ca="1" si="269"/>
        <v>0</v>
      </c>
      <c r="L870" s="82">
        <f t="shared" ca="1" si="270"/>
        <v>55</v>
      </c>
      <c r="M870" s="16">
        <f t="shared" ca="1" si="271"/>
        <v>945</v>
      </c>
      <c r="N870" s="3">
        <f t="shared" ca="1" si="272"/>
        <v>5</v>
      </c>
      <c r="O870" s="19">
        <f t="shared" ca="1" si="273"/>
        <v>2.8178718937399587</v>
      </c>
      <c r="P870" s="19">
        <f t="shared" ca="1" si="274"/>
        <v>28.178718937399587</v>
      </c>
      <c r="Q870" s="19">
        <f t="shared" ca="1" si="275"/>
        <v>28.178718937399587</v>
      </c>
      <c r="R870" s="19">
        <f t="shared" ca="1" si="276"/>
        <v>2.8178718937399587</v>
      </c>
      <c r="S870" s="19">
        <f t="shared" ca="1" si="277"/>
        <v>2.8178718937399587</v>
      </c>
      <c r="T870" s="19">
        <f t="shared" ca="1" si="278"/>
        <v>0</v>
      </c>
      <c r="U870" s="19">
        <f t="shared" ca="1" si="279"/>
        <v>1314.3251747165598</v>
      </c>
      <c r="V870" s="19">
        <f t="shared" ca="1" si="280"/>
        <v>0</v>
      </c>
      <c r="W870" s="82">
        <f t="shared" ca="1" si="281"/>
        <v>2429.5261501736113</v>
      </c>
      <c r="X870" s="19">
        <f t="shared" ca="1" si="282"/>
        <v>0</v>
      </c>
      <c r="Y870" s="19">
        <f t="shared" si="283"/>
        <v>0</v>
      </c>
      <c r="Z870" s="82">
        <f t="shared" ca="1" si="284"/>
        <v>2429.5261501736113</v>
      </c>
      <c r="AA870" s="19">
        <f t="shared" ca="1" si="285"/>
        <v>0</v>
      </c>
    </row>
    <row r="871" spans="1:27" ht="12.75" customHeight="1" x14ac:dyDescent="0.2">
      <c r="A871">
        <v>2</v>
      </c>
      <c r="B871">
        <v>1</v>
      </c>
      <c r="C871">
        <f t="shared" ca="1" si="264"/>
        <v>5</v>
      </c>
      <c r="D871">
        <f t="shared" ca="1" si="265"/>
        <v>4</v>
      </c>
      <c r="E871">
        <f t="shared" ca="1" si="266"/>
        <v>2</v>
      </c>
      <c r="F871" s="61">
        <f t="shared" ca="1" si="267"/>
        <v>3.9085322977689602E-2</v>
      </c>
      <c r="G871">
        <v>0</v>
      </c>
      <c r="H871">
        <v>0</v>
      </c>
      <c r="I871">
        <v>4</v>
      </c>
      <c r="J871" s="61">
        <f t="shared" ca="1" si="268"/>
        <v>4.0725312499999999E-2</v>
      </c>
      <c r="K871" s="61">
        <f t="shared" ca="1" si="269"/>
        <v>1.5917619924298396E-3</v>
      </c>
      <c r="L871" s="82">
        <f t="shared" ca="1" si="270"/>
        <v>44</v>
      </c>
      <c r="M871" s="16">
        <f t="shared" ca="1" si="271"/>
        <v>956</v>
      </c>
      <c r="N871" s="3">
        <f t="shared" ca="1" si="272"/>
        <v>6</v>
      </c>
      <c r="O871" s="19">
        <f t="shared" ca="1" si="273"/>
        <v>3.3239268932937667</v>
      </c>
      <c r="P871" s="19">
        <f t="shared" ca="1" si="274"/>
        <v>33.239268932937669</v>
      </c>
      <c r="Q871" s="19">
        <f t="shared" ca="1" si="275"/>
        <v>28.178718937399587</v>
      </c>
      <c r="R871" s="19">
        <f t="shared" ca="1" si="276"/>
        <v>3.0708993935168629</v>
      </c>
      <c r="S871" s="19">
        <f t="shared" ca="1" si="277"/>
        <v>3.3239268932937667</v>
      </c>
      <c r="T871" s="19">
        <f t="shared" ca="1" si="278"/>
        <v>5.2909004943604131E-3</v>
      </c>
      <c r="U871" s="19">
        <f t="shared" ca="1" si="279"/>
        <v>1495.4024523027438</v>
      </c>
      <c r="V871" s="19">
        <f t="shared" ca="1" si="280"/>
        <v>2.3803247869618835</v>
      </c>
      <c r="W871" s="82">
        <f t="shared" ca="1" si="281"/>
        <v>1943.620920138889</v>
      </c>
      <c r="X871" s="19">
        <f t="shared" ca="1" si="282"/>
        <v>3.0937819083685962</v>
      </c>
      <c r="Y871" s="19">
        <f t="shared" si="283"/>
        <v>0</v>
      </c>
      <c r="Z871" s="82">
        <f t="shared" ca="1" si="284"/>
        <v>1943.620920138889</v>
      </c>
      <c r="AA871" s="19">
        <f t="shared" ca="1" si="285"/>
        <v>3.0937819083685962</v>
      </c>
    </row>
    <row r="872" spans="1:27" ht="12.75" customHeight="1" x14ac:dyDescent="0.2">
      <c r="A872">
        <v>2</v>
      </c>
      <c r="B872">
        <v>1</v>
      </c>
      <c r="C872">
        <f t="shared" ca="1" si="264"/>
        <v>5</v>
      </c>
      <c r="D872">
        <f t="shared" ca="1" si="265"/>
        <v>4</v>
      </c>
      <c r="E872">
        <f t="shared" ca="1" si="266"/>
        <v>2</v>
      </c>
      <c r="F872" s="61">
        <f t="shared" ca="1" si="267"/>
        <v>3.9085322977689602E-2</v>
      </c>
      <c r="G872">
        <v>0</v>
      </c>
      <c r="H872">
        <v>0</v>
      </c>
      <c r="I872">
        <v>3</v>
      </c>
      <c r="J872" s="61">
        <f t="shared" ca="1" si="268"/>
        <v>8.5737500000000067E-3</v>
      </c>
      <c r="K872" s="61">
        <f t="shared" ca="1" si="269"/>
        <v>3.3510778787996647E-4</v>
      </c>
      <c r="L872" s="82">
        <f t="shared" ca="1" si="270"/>
        <v>33</v>
      </c>
      <c r="M872" s="16">
        <f t="shared" ca="1" si="271"/>
        <v>967</v>
      </c>
      <c r="N872" s="3">
        <f t="shared" ca="1" si="272"/>
        <v>6</v>
      </c>
      <c r="O872" s="19">
        <f t="shared" ca="1" si="273"/>
        <v>3.3239268932937667</v>
      </c>
      <c r="P872" s="19">
        <f t="shared" ca="1" si="274"/>
        <v>33.239268932937669</v>
      </c>
      <c r="Q872" s="19">
        <f t="shared" ca="1" si="275"/>
        <v>33.239268932937669</v>
      </c>
      <c r="R872" s="19">
        <f t="shared" ca="1" si="276"/>
        <v>3.3239268932937671</v>
      </c>
      <c r="S872" s="19">
        <f t="shared" ca="1" si="277"/>
        <v>3.3239268932937667</v>
      </c>
      <c r="T872" s="19">
        <f t="shared" ca="1" si="278"/>
        <v>1.1138737882864034E-3</v>
      </c>
      <c r="U872" s="19">
        <f t="shared" ca="1" si="279"/>
        <v>1484.4024523027438</v>
      </c>
      <c r="V872" s="19">
        <f t="shared" ca="1" si="280"/>
        <v>0.49743482211476991</v>
      </c>
      <c r="W872" s="82">
        <f t="shared" ca="1" si="281"/>
        <v>1457.7156901041667</v>
      </c>
      <c r="X872" s="19">
        <f t="shared" ca="1" si="282"/>
        <v>0.48849188026872603</v>
      </c>
      <c r="Y872" s="19">
        <f t="shared" si="283"/>
        <v>0</v>
      </c>
      <c r="Z872" s="82">
        <f t="shared" ca="1" si="284"/>
        <v>1457.7156901041667</v>
      </c>
      <c r="AA872" s="19">
        <f t="shared" ca="1" si="285"/>
        <v>0.48849188026872603</v>
      </c>
    </row>
    <row r="873" spans="1:27" ht="12.75" customHeight="1" x14ac:dyDescent="0.2">
      <c r="A873">
        <v>2</v>
      </c>
      <c r="B873">
        <v>1</v>
      </c>
      <c r="C873">
        <f t="shared" ca="1" si="264"/>
        <v>5</v>
      </c>
      <c r="D873">
        <f t="shared" ca="1" si="265"/>
        <v>4</v>
      </c>
      <c r="E873">
        <f t="shared" ca="1" si="266"/>
        <v>2</v>
      </c>
      <c r="F873" s="61">
        <f t="shared" ca="1" si="267"/>
        <v>3.9085322977689602E-2</v>
      </c>
      <c r="G873">
        <v>0</v>
      </c>
      <c r="H873">
        <v>0</v>
      </c>
      <c r="I873">
        <v>2</v>
      </c>
      <c r="J873" s="61">
        <f t="shared" ca="1" si="268"/>
        <v>6.7687500000000126E-4</v>
      </c>
      <c r="K873" s="61">
        <f t="shared" ca="1" si="269"/>
        <v>2.6455877990523699E-5</v>
      </c>
      <c r="L873" s="82">
        <f t="shared" ca="1" si="270"/>
        <v>22</v>
      </c>
      <c r="M873" s="16">
        <f t="shared" ca="1" si="271"/>
        <v>978</v>
      </c>
      <c r="N873" s="3">
        <f t="shared" ca="1" si="272"/>
        <v>6</v>
      </c>
      <c r="O873" s="19">
        <f t="shared" ca="1" si="273"/>
        <v>3.3239268932937667</v>
      </c>
      <c r="P873" s="19">
        <f t="shared" ca="1" si="274"/>
        <v>33.239268932937669</v>
      </c>
      <c r="Q873" s="19">
        <f t="shared" ca="1" si="275"/>
        <v>33.239268932937669</v>
      </c>
      <c r="R873" s="19">
        <f t="shared" ca="1" si="276"/>
        <v>3.3239268932937671</v>
      </c>
      <c r="S873" s="19">
        <f t="shared" ca="1" si="277"/>
        <v>3.3239268932937667</v>
      </c>
      <c r="T873" s="19">
        <f t="shared" ca="1" si="278"/>
        <v>8.7937404338400376E-5</v>
      </c>
      <c r="U873" s="19">
        <f t="shared" ca="1" si="279"/>
        <v>1473.4024523027438</v>
      </c>
      <c r="V873" s="19">
        <f t="shared" ca="1" si="280"/>
        <v>3.8980155509059804E-2</v>
      </c>
      <c r="W873" s="82">
        <f t="shared" ca="1" si="281"/>
        <v>971.8104600694445</v>
      </c>
      <c r="X873" s="19">
        <f t="shared" ca="1" si="282"/>
        <v>2.5710098961511926E-2</v>
      </c>
      <c r="Y873" s="19">
        <f t="shared" si="283"/>
        <v>0</v>
      </c>
      <c r="Z873" s="82">
        <f t="shared" ca="1" si="284"/>
        <v>971.8104600694445</v>
      </c>
      <c r="AA873" s="19">
        <f t="shared" ca="1" si="285"/>
        <v>2.5710098961511926E-2</v>
      </c>
    </row>
    <row r="874" spans="1:27" ht="12.75" customHeight="1" x14ac:dyDescent="0.2">
      <c r="A874">
        <v>2</v>
      </c>
      <c r="B874">
        <v>1</v>
      </c>
      <c r="C874">
        <f t="shared" ca="1" si="264"/>
        <v>5</v>
      </c>
      <c r="D874">
        <f t="shared" ca="1" si="265"/>
        <v>4</v>
      </c>
      <c r="E874">
        <f t="shared" ca="1" si="266"/>
        <v>2</v>
      </c>
      <c r="F874" s="61">
        <f t="shared" ca="1" si="267"/>
        <v>3.9085322977689602E-2</v>
      </c>
      <c r="G874">
        <v>0</v>
      </c>
      <c r="H874">
        <v>0</v>
      </c>
      <c r="I874">
        <v>1</v>
      </c>
      <c r="J874" s="61">
        <f t="shared" ca="1" si="268"/>
        <v>2.3750000000000062E-5</v>
      </c>
      <c r="K874" s="61">
        <f t="shared" ca="1" si="269"/>
        <v>9.2827642072013045E-7</v>
      </c>
      <c r="L874" s="82">
        <f t="shared" ca="1" si="270"/>
        <v>11</v>
      </c>
      <c r="M874" s="16">
        <f t="shared" ca="1" si="271"/>
        <v>989</v>
      </c>
      <c r="N874" s="3">
        <f t="shared" ca="1" si="272"/>
        <v>6</v>
      </c>
      <c r="O874" s="19">
        <f t="shared" ca="1" si="273"/>
        <v>3.3239268932937667</v>
      </c>
      <c r="P874" s="19">
        <f t="shared" ca="1" si="274"/>
        <v>33.239268932937669</v>
      </c>
      <c r="Q874" s="19">
        <f t="shared" ca="1" si="275"/>
        <v>33.239268932937669</v>
      </c>
      <c r="R874" s="19">
        <f t="shared" ca="1" si="276"/>
        <v>3.3239268932937671</v>
      </c>
      <c r="S874" s="19">
        <f t="shared" ca="1" si="277"/>
        <v>3.3239268932937667</v>
      </c>
      <c r="T874" s="19">
        <f t="shared" ca="1" si="278"/>
        <v>3.0855229592421209E-6</v>
      </c>
      <c r="U874" s="19">
        <f t="shared" ca="1" si="279"/>
        <v>1462.4024523027438</v>
      </c>
      <c r="V874" s="19">
        <f t="shared" ca="1" si="280"/>
        <v>1.3575137140759324E-3</v>
      </c>
      <c r="W874" s="82">
        <f t="shared" ca="1" si="281"/>
        <v>485.90523003472225</v>
      </c>
      <c r="X874" s="19">
        <f t="shared" ca="1" si="282"/>
        <v>4.5105436774582359E-4</v>
      </c>
      <c r="Y874" s="19">
        <f t="shared" si="283"/>
        <v>0</v>
      </c>
      <c r="Z874" s="82">
        <f t="shared" ca="1" si="284"/>
        <v>485.90523003472225</v>
      </c>
      <c r="AA874" s="19">
        <f t="shared" ca="1" si="285"/>
        <v>4.5105436774582359E-4</v>
      </c>
    </row>
    <row r="875" spans="1:27" ht="12.75" customHeight="1" x14ac:dyDescent="0.2">
      <c r="A875">
        <v>2</v>
      </c>
      <c r="B875">
        <v>1</v>
      </c>
      <c r="C875">
        <f t="shared" ca="1" si="264"/>
        <v>5</v>
      </c>
      <c r="D875">
        <f t="shared" ca="1" si="265"/>
        <v>4</v>
      </c>
      <c r="E875">
        <f t="shared" ca="1" si="266"/>
        <v>2</v>
      </c>
      <c r="F875" s="61">
        <f t="shared" ca="1" si="267"/>
        <v>3.9085322977689602E-2</v>
      </c>
      <c r="G875">
        <v>0</v>
      </c>
      <c r="H875">
        <v>0</v>
      </c>
      <c r="I875">
        <v>0</v>
      </c>
      <c r="J875" s="61">
        <f t="shared" ca="1" si="268"/>
        <v>3.1250000000000114E-7</v>
      </c>
      <c r="K875" s="61">
        <f t="shared" ca="1" si="269"/>
        <v>1.2214163430528045E-8</v>
      </c>
      <c r="L875" s="82">
        <f t="shared" ca="1" si="270"/>
        <v>0</v>
      </c>
      <c r="M875" s="16">
        <f t="shared" ca="1" si="271"/>
        <v>1000</v>
      </c>
      <c r="N875" s="3">
        <f t="shared" ca="1" si="272"/>
        <v>6</v>
      </c>
      <c r="O875" s="19">
        <f t="shared" ca="1" si="273"/>
        <v>3.3239268932937667</v>
      </c>
      <c r="P875" s="19">
        <f t="shared" ca="1" si="274"/>
        <v>33.239268932937669</v>
      </c>
      <c r="Q875" s="19">
        <f t="shared" ca="1" si="275"/>
        <v>33.239268932937669</v>
      </c>
      <c r="R875" s="19">
        <f t="shared" ca="1" si="276"/>
        <v>3.3239268932937671</v>
      </c>
      <c r="S875" s="19">
        <f t="shared" ca="1" si="277"/>
        <v>3.3239268932937667</v>
      </c>
      <c r="T875" s="19">
        <f t="shared" ca="1" si="278"/>
        <v>4.0598986305817421E-8</v>
      </c>
      <c r="U875" s="19">
        <f t="shared" ca="1" si="279"/>
        <v>1451.4024523027438</v>
      </c>
      <c r="V875" s="19">
        <f t="shared" ca="1" si="280"/>
        <v>1.7727666755894899E-5</v>
      </c>
      <c r="W875" s="82">
        <f t="shared" ca="1" si="281"/>
        <v>0</v>
      </c>
      <c r="X875" s="19">
        <f t="shared" ca="1" si="282"/>
        <v>0</v>
      </c>
      <c r="Y875" s="19">
        <f t="shared" si="283"/>
        <v>0</v>
      </c>
      <c r="Z875" s="82">
        <f t="shared" ca="1" si="284"/>
        <v>0</v>
      </c>
      <c r="AA875" s="19">
        <f t="shared" ca="1" si="285"/>
        <v>0</v>
      </c>
    </row>
    <row r="876" spans="1:27" ht="12.75" customHeight="1" x14ac:dyDescent="0.2">
      <c r="A876">
        <v>2</v>
      </c>
      <c r="B876">
        <v>2</v>
      </c>
      <c r="C876">
        <f t="shared" ref="C876:C939" ca="1" si="286">MIN(8, 1+$B$545+$B$544+A876+B876)</f>
        <v>6</v>
      </c>
      <c r="D876">
        <f t="shared" ref="D876:D939" ca="1" si="287">C876-(1+$B$545)</f>
        <v>5</v>
      </c>
      <c r="E876">
        <f t="shared" ref="E876:E939" ca="1" si="288">MIN(A876, C876-(1+$B$545+$B$544))</f>
        <v>2</v>
      </c>
      <c r="F876" s="61">
        <f t="shared" ref="F876:F939" ca="1" si="289">IF(A876=3, Set2QA, IF(A876=2, (1-Set2QA)*Set2TA + (1-Set2QA)*(1-Set2TA)*(1-Set2DA)*Set2AM3*Set2AM33, IF(A876=1, (1-Set2QA)*(1-Set2TA)*Set2DA + (1-Set2QA)*(1-Set2TA)*(1-Set2DA)*Set2AM3*Set2AM32, (1-Set2QA)*(1-Set2TA)*(1-Set2DA)*(1-Set2AM3)))) * IF($B$544+$B$545&gt;0, IF(B876=3, Set2QA, IF(B876=2, (1-Set2QA)*Set2TA, IF(B876=1, (1-Set2QA)*(1-Set2TA)*Set2DA, (1-Set2QA)*(1-Set2TA)*(1-Set2DA)))), IF(B876=0, 1, 0))</f>
        <v>7.0806744524800009E-3</v>
      </c>
      <c r="G876">
        <v>1</v>
      </c>
      <c r="H876">
        <v>1</v>
      </c>
      <c r="I876">
        <v>7</v>
      </c>
      <c r="J876" s="61">
        <f t="shared" ref="J876:J939" ca="1" si="290">POWER(95%,G876)*POWER(5%, 1-G876) * IF($B$545=0, IF(H876=0, 1, 0), POWER(Set2WSHitRate,H876)*POWER(1-Set2WSHitRate, 1-H876)) * IF(I876&lt;=D876, POWER(Set2WSHitRate, I876)*POWER(1-Set2WSHitRate, D876-I876)*COMBIN(D876,I876), 0)</f>
        <v>0</v>
      </c>
      <c r="K876" s="61">
        <f t="shared" ref="K876:K939" ca="1" si="291">F876*J876</f>
        <v>0</v>
      </c>
      <c r="L876" s="82">
        <f t="shared" ref="L876:L939" ca="1" si="292">MAX((G876+H876)*Set2WSTP + I876*$B$541, Set2SaveTP)</f>
        <v>399</v>
      </c>
      <c r="M876" s="16">
        <f t="shared" ref="M876:M939" ca="1" si="293">MAX(Set2MinTP-(L876+Set2Regain), 0)</f>
        <v>601</v>
      </c>
      <c r="N876" s="3">
        <f t="shared" ref="N876:N939" ca="1" si="294">CEILING(M876/Set2MeleeTP, 1)</f>
        <v>4</v>
      </c>
      <c r="O876" s="19">
        <f t="shared" ref="O876:O939" ca="1" si="295">VLOOKUP(N876, AvgRoundsSet2, 2)</f>
        <v>2.3453053758100548</v>
      </c>
      <c r="P876" s="19">
        <f t="shared" ref="P876:P939" ca="1" si="296">VLOOKUP(CEILING(MAX(M876-1, 0)/Set2MeleeTP, 1), AvgRoundsSet2, 2) + VLOOKUP(CEILING(MAX(M876-2, 0)/Set2MeleeTP, 1), AvgRoundsSet2, 2) + VLOOKUP(CEILING(MAX(M876-3, 0)/Set2MeleeTP, 1), AvgRoundsSet2, 2) + VLOOKUP(CEILING(MAX(M876-4, 0)/Set2MeleeTP, 1), AvgRoundsSet2, 2) + VLOOKUP(CEILING(MAX(M876-5, 0)/Set2MeleeTP, 1), AvgRoundsSet2, 2) + VLOOKUP(CEILING(MAX(M876-6, 0)/Set2MeleeTP, 1), AvgRoundsSet2, 2) + VLOOKUP(CEILING(MAX(M876-7, 0)/Set2MeleeTP, 1), AvgRoundsSet2, 2) + VLOOKUP(CEILING(MAX(M876-8, 0)/Set2MeleeTP, 1), AvgRoundsSet2, 2) + VLOOKUP(CEILING(MAX(M876-9, 0)/Set2MeleeTP, 1), AvgRoundsSet2, 2) + VLOOKUP(CEILING(MAX(M876-10, 0)/Set2MeleeTP, 1), AvgRoundsSet2, 2)</f>
        <v>23.453053758100552</v>
      </c>
      <c r="Q876" s="19">
        <f t="shared" ref="Q876:Q939" ca="1" si="297">VLOOKUP(CEILING(MAX(M876-11, 0)/Set2MeleeTP, 1), AvgRoundsSet2, 2) + VLOOKUP(CEILING(MAX(M876-12, 0)/Set2MeleeTP, 1), AvgRoundsSet2, 2) + VLOOKUP(CEILING(MAX(M876-13, 0)/Set2MeleeTP, 1), AvgRoundsSet2, 2) + VLOOKUP(CEILING(MAX(M876-14, 0)/Set2MeleeTP, 1), AvgRoundsSet2, 2) + VLOOKUP(CEILING(MAX(M876-15, 0)/Set2MeleeTP, 1), AvgRoundsSet2, 2) + VLOOKUP(CEILING(MAX(M876-16, 0)/Set2MeleeTP, 1), AvgRoundsSet2, 2) + VLOOKUP(CEILING(MAX(M876-17, 0)/Set2MeleeTP, 1), AvgRoundsSet2, 2) + VLOOKUP(CEILING(MAX(M876-18, 0)/Set2MeleeTP, 1), AvgRoundsSet2, 2) + VLOOKUP(CEILING(MAX(M876-19, 0)/Set2MeleeTP, 1), AvgRoundsSet2, 2) + VLOOKUP(CEILING(MAX(M876-20, 0)/Set2MeleeTP, 1), AvgRoundsSet2, 2)</f>
        <v>23.453053758100552</v>
      </c>
      <c r="R876" s="19">
        <f t="shared" ref="R876:R939" ca="1" si="298">(P876+Q876)/20</f>
        <v>2.3453053758100553</v>
      </c>
      <c r="S876" s="19">
        <f t="shared" ref="S876:S939" ca="1" si="299">R876*Set2ConserveTP + O876*(1-Set2ConserveTP)</f>
        <v>2.3453053758100548</v>
      </c>
      <c r="T876" s="19">
        <f t="shared" ref="T876:T939" ca="1" si="300">K876*S876</f>
        <v>0</v>
      </c>
      <c r="U876" s="19">
        <f t="shared" ref="U876:U939" ca="1" si="301">MIN(L876+(S876+Set2OverTP)*AvgHitsPerRound2*Set2MeleeTP + Set2Regain + 10.5*Set2ConserveTP, 3000)</f>
        <v>1478.9587218163997</v>
      </c>
      <c r="V876" s="19">
        <f t="shared" ref="V876:V939" ca="1" si="302">U876*K876</f>
        <v>0</v>
      </c>
      <c r="W876" s="82">
        <f t="shared" ref="W876:W939" ca="1" si="303">G876*$K$547*((1-$L$547)*$L$551 + $L$547*$M$551*$M$547) + H876*$K$550*((1-$L$550)*$L$552 + $L$550*$M$552*$M$548) + I876*$K$548*((1-$L$548)*$L$551 + $L$548*$M$551*$M$548) + E876*$K$549*$L$549*$M$547</f>
        <v>5718.7981307870377</v>
      </c>
      <c r="X876" s="19">
        <f t="shared" ref="X876:X939" ca="1" si="304">K876*W876</f>
        <v>0</v>
      </c>
      <c r="Y876" s="19">
        <f t="shared" ref="Y876:Y939" si="305">IF($B$547=1, (VLOOKUP(C876, IF($B$548=10%,Souleater10,Souleater12), 6, 0) * $B$549), 0)</f>
        <v>0</v>
      </c>
      <c r="Z876" s="82">
        <f t="shared" ref="Z876:Z939" ca="1" si="306">Y876+W876</f>
        <v>5718.7981307870377</v>
      </c>
      <c r="AA876" s="19">
        <f t="shared" ref="AA876:AA939" ca="1" si="307">Z876*K876</f>
        <v>0</v>
      </c>
    </row>
    <row r="877" spans="1:27" ht="12.75" customHeight="1" x14ac:dyDescent="0.2">
      <c r="A877">
        <v>2</v>
      </c>
      <c r="B877">
        <v>2</v>
      </c>
      <c r="C877">
        <f t="shared" ca="1" si="286"/>
        <v>6</v>
      </c>
      <c r="D877">
        <f t="shared" ca="1" si="287"/>
        <v>5</v>
      </c>
      <c r="E877">
        <f t="shared" ca="1" si="288"/>
        <v>2</v>
      </c>
      <c r="F877" s="61">
        <f t="shared" ca="1" si="289"/>
        <v>7.0806744524800009E-3</v>
      </c>
      <c r="G877">
        <v>1</v>
      </c>
      <c r="H877">
        <v>1</v>
      </c>
      <c r="I877">
        <v>6</v>
      </c>
      <c r="J877" s="61">
        <f t="shared" ca="1" si="290"/>
        <v>0</v>
      </c>
      <c r="K877" s="61">
        <f t="shared" ca="1" si="291"/>
        <v>0</v>
      </c>
      <c r="L877" s="82">
        <f t="shared" ca="1" si="292"/>
        <v>388</v>
      </c>
      <c r="M877" s="16">
        <f t="shared" ca="1" si="293"/>
        <v>612</v>
      </c>
      <c r="N877" s="3">
        <f t="shared" ca="1" si="294"/>
        <v>4</v>
      </c>
      <c r="O877" s="19">
        <f t="shared" ca="1" si="295"/>
        <v>2.3453053758100548</v>
      </c>
      <c r="P877" s="19">
        <f t="shared" ca="1" si="296"/>
        <v>23.453053758100552</v>
      </c>
      <c r="Q877" s="19">
        <f t="shared" ca="1" si="297"/>
        <v>23.453053758100552</v>
      </c>
      <c r="R877" s="19">
        <f t="shared" ca="1" si="298"/>
        <v>2.3453053758100553</v>
      </c>
      <c r="S877" s="19">
        <f t="shared" ca="1" si="299"/>
        <v>2.3453053758100548</v>
      </c>
      <c r="T877" s="19">
        <f t="shared" ca="1" si="300"/>
        <v>0</v>
      </c>
      <c r="U877" s="19">
        <f t="shared" ca="1" si="301"/>
        <v>1467.9587218163997</v>
      </c>
      <c r="V877" s="19">
        <f t="shared" ca="1" si="302"/>
        <v>0</v>
      </c>
      <c r="W877" s="82">
        <f t="shared" ca="1" si="303"/>
        <v>5232.8929007523147</v>
      </c>
      <c r="X877" s="19">
        <f t="shared" ca="1" si="304"/>
        <v>0</v>
      </c>
      <c r="Y877" s="19">
        <f t="shared" si="305"/>
        <v>0</v>
      </c>
      <c r="Z877" s="82">
        <f t="shared" ca="1" si="306"/>
        <v>5232.8929007523147</v>
      </c>
      <c r="AA877" s="19">
        <f t="shared" ca="1" si="307"/>
        <v>0</v>
      </c>
    </row>
    <row r="878" spans="1:27" ht="12.75" customHeight="1" x14ac:dyDescent="0.2">
      <c r="A878">
        <v>2</v>
      </c>
      <c r="B878">
        <v>2</v>
      </c>
      <c r="C878">
        <f t="shared" ca="1" si="286"/>
        <v>6</v>
      </c>
      <c r="D878">
        <f t="shared" ca="1" si="287"/>
        <v>5</v>
      </c>
      <c r="E878">
        <f t="shared" ca="1" si="288"/>
        <v>2</v>
      </c>
      <c r="F878" s="61">
        <f t="shared" ca="1" si="289"/>
        <v>7.0806744524800009E-3</v>
      </c>
      <c r="G878">
        <v>1</v>
      </c>
      <c r="H878">
        <v>1</v>
      </c>
      <c r="I878">
        <v>5</v>
      </c>
      <c r="J878" s="61">
        <f t="shared" ca="1" si="290"/>
        <v>0</v>
      </c>
      <c r="K878" s="61">
        <f t="shared" ca="1" si="291"/>
        <v>0</v>
      </c>
      <c r="L878" s="82">
        <f t="shared" ca="1" si="292"/>
        <v>377</v>
      </c>
      <c r="M878" s="16">
        <f t="shared" ca="1" si="293"/>
        <v>623</v>
      </c>
      <c r="N878" s="3">
        <f t="shared" ca="1" si="294"/>
        <v>4</v>
      </c>
      <c r="O878" s="19">
        <f t="shared" ca="1" si="295"/>
        <v>2.3453053758100548</v>
      </c>
      <c r="P878" s="19">
        <f t="shared" ca="1" si="296"/>
        <v>23.453053758100552</v>
      </c>
      <c r="Q878" s="19">
        <f t="shared" ca="1" si="297"/>
        <v>23.453053758100552</v>
      </c>
      <c r="R878" s="19">
        <f t="shared" ca="1" si="298"/>
        <v>2.3453053758100553</v>
      </c>
      <c r="S878" s="19">
        <f t="shared" ca="1" si="299"/>
        <v>2.3453053758100548</v>
      </c>
      <c r="T878" s="19">
        <f t="shared" ca="1" si="300"/>
        <v>0</v>
      </c>
      <c r="U878" s="19">
        <f t="shared" ca="1" si="301"/>
        <v>1456.9587218163997</v>
      </c>
      <c r="V878" s="19">
        <f t="shared" ca="1" si="302"/>
        <v>0</v>
      </c>
      <c r="W878" s="82">
        <f t="shared" ca="1" si="303"/>
        <v>4746.9876707175936</v>
      </c>
      <c r="X878" s="19">
        <f t="shared" ca="1" si="304"/>
        <v>0</v>
      </c>
      <c r="Y878" s="19">
        <f t="shared" si="305"/>
        <v>0</v>
      </c>
      <c r="Z878" s="82">
        <f t="shared" ca="1" si="306"/>
        <v>4746.9876707175936</v>
      </c>
      <c r="AA878" s="19">
        <f t="shared" ca="1" si="307"/>
        <v>0</v>
      </c>
    </row>
    <row r="879" spans="1:27" ht="12.75" customHeight="1" x14ac:dyDescent="0.2">
      <c r="A879">
        <v>2</v>
      </c>
      <c r="B879">
        <v>2</v>
      </c>
      <c r="C879">
        <f t="shared" ca="1" si="286"/>
        <v>6</v>
      </c>
      <c r="D879">
        <f t="shared" ca="1" si="287"/>
        <v>5</v>
      </c>
      <c r="E879">
        <f t="shared" ca="1" si="288"/>
        <v>2</v>
      </c>
      <c r="F879" s="61">
        <f t="shared" ca="1" si="289"/>
        <v>7.0806744524800009E-3</v>
      </c>
      <c r="G879">
        <v>1</v>
      </c>
      <c r="H879">
        <v>1</v>
      </c>
      <c r="I879">
        <v>4</v>
      </c>
      <c r="J879" s="61">
        <f t="shared" ca="1" si="290"/>
        <v>0</v>
      </c>
      <c r="K879" s="61">
        <f t="shared" ca="1" si="291"/>
        <v>0</v>
      </c>
      <c r="L879" s="82">
        <f t="shared" ca="1" si="292"/>
        <v>366</v>
      </c>
      <c r="M879" s="16">
        <f t="shared" ca="1" si="293"/>
        <v>634</v>
      </c>
      <c r="N879" s="3">
        <f t="shared" ca="1" si="294"/>
        <v>4</v>
      </c>
      <c r="O879" s="19">
        <f t="shared" ca="1" si="295"/>
        <v>2.3453053758100548</v>
      </c>
      <c r="P879" s="19">
        <f t="shared" ca="1" si="296"/>
        <v>23.453053758100552</v>
      </c>
      <c r="Q879" s="19">
        <f t="shared" ca="1" si="297"/>
        <v>23.453053758100552</v>
      </c>
      <c r="R879" s="19">
        <f t="shared" ca="1" si="298"/>
        <v>2.3453053758100553</v>
      </c>
      <c r="S879" s="19">
        <f t="shared" ca="1" si="299"/>
        <v>2.3453053758100548</v>
      </c>
      <c r="T879" s="19">
        <f t="shared" ca="1" si="300"/>
        <v>0</v>
      </c>
      <c r="U879" s="19">
        <f t="shared" ca="1" si="301"/>
        <v>1445.9587218163997</v>
      </c>
      <c r="V879" s="19">
        <f t="shared" ca="1" si="302"/>
        <v>0</v>
      </c>
      <c r="W879" s="82">
        <f t="shared" ca="1" si="303"/>
        <v>4261.0824406828706</v>
      </c>
      <c r="X879" s="19">
        <f t="shared" ca="1" si="304"/>
        <v>0</v>
      </c>
      <c r="Y879" s="19">
        <f t="shared" si="305"/>
        <v>0</v>
      </c>
      <c r="Z879" s="82">
        <f t="shared" ca="1" si="306"/>
        <v>4261.0824406828706</v>
      </c>
      <c r="AA879" s="19">
        <f t="shared" ca="1" si="307"/>
        <v>0</v>
      </c>
    </row>
    <row r="880" spans="1:27" ht="12.75" customHeight="1" x14ac:dyDescent="0.2">
      <c r="A880">
        <v>2</v>
      </c>
      <c r="B880">
        <v>2</v>
      </c>
      <c r="C880">
        <f t="shared" ca="1" si="286"/>
        <v>6</v>
      </c>
      <c r="D880">
        <f t="shared" ca="1" si="287"/>
        <v>5</v>
      </c>
      <c r="E880">
        <f t="shared" ca="1" si="288"/>
        <v>2</v>
      </c>
      <c r="F880" s="61">
        <f t="shared" ca="1" si="289"/>
        <v>7.0806744524800009E-3</v>
      </c>
      <c r="G880">
        <v>1</v>
      </c>
      <c r="H880">
        <v>1</v>
      </c>
      <c r="I880">
        <v>3</v>
      </c>
      <c r="J880" s="61">
        <f t="shared" ca="1" si="290"/>
        <v>0</v>
      </c>
      <c r="K880" s="61">
        <f t="shared" ca="1" si="291"/>
        <v>0</v>
      </c>
      <c r="L880" s="82">
        <f t="shared" ca="1" si="292"/>
        <v>355</v>
      </c>
      <c r="M880" s="16">
        <f t="shared" ca="1" si="293"/>
        <v>645</v>
      </c>
      <c r="N880" s="3">
        <f t="shared" ca="1" si="294"/>
        <v>4</v>
      </c>
      <c r="O880" s="19">
        <f t="shared" ca="1" si="295"/>
        <v>2.3453053758100548</v>
      </c>
      <c r="P880" s="19">
        <f t="shared" ca="1" si="296"/>
        <v>23.453053758100552</v>
      </c>
      <c r="Q880" s="19">
        <f t="shared" ca="1" si="297"/>
        <v>23.453053758100552</v>
      </c>
      <c r="R880" s="19">
        <f t="shared" ca="1" si="298"/>
        <v>2.3453053758100553</v>
      </c>
      <c r="S880" s="19">
        <f t="shared" ca="1" si="299"/>
        <v>2.3453053758100548</v>
      </c>
      <c r="T880" s="19">
        <f t="shared" ca="1" si="300"/>
        <v>0</v>
      </c>
      <c r="U880" s="19">
        <f t="shared" ca="1" si="301"/>
        <v>1434.9587218163997</v>
      </c>
      <c r="V880" s="19">
        <f t="shared" ca="1" si="302"/>
        <v>0</v>
      </c>
      <c r="W880" s="82">
        <f t="shared" ca="1" si="303"/>
        <v>3775.1772106481485</v>
      </c>
      <c r="X880" s="19">
        <f t="shared" ca="1" si="304"/>
        <v>0</v>
      </c>
      <c r="Y880" s="19">
        <f t="shared" si="305"/>
        <v>0</v>
      </c>
      <c r="Z880" s="82">
        <f t="shared" ca="1" si="306"/>
        <v>3775.1772106481485</v>
      </c>
      <c r="AA880" s="19">
        <f t="shared" ca="1" si="307"/>
        <v>0</v>
      </c>
    </row>
    <row r="881" spans="1:27" ht="12.75" customHeight="1" x14ac:dyDescent="0.2">
      <c r="A881">
        <v>2</v>
      </c>
      <c r="B881">
        <v>2</v>
      </c>
      <c r="C881">
        <f t="shared" ca="1" si="286"/>
        <v>6</v>
      </c>
      <c r="D881">
        <f t="shared" ca="1" si="287"/>
        <v>5</v>
      </c>
      <c r="E881">
        <f t="shared" ca="1" si="288"/>
        <v>2</v>
      </c>
      <c r="F881" s="61">
        <f t="shared" ca="1" si="289"/>
        <v>7.0806744524800009E-3</v>
      </c>
      <c r="G881">
        <v>1</v>
      </c>
      <c r="H881">
        <v>1</v>
      </c>
      <c r="I881">
        <v>2</v>
      </c>
      <c r="J881" s="61">
        <f t="shared" ca="1" si="290"/>
        <v>0</v>
      </c>
      <c r="K881" s="61">
        <f t="shared" ca="1" si="291"/>
        <v>0</v>
      </c>
      <c r="L881" s="82">
        <f t="shared" ca="1" si="292"/>
        <v>344</v>
      </c>
      <c r="M881" s="16">
        <f t="shared" ca="1" si="293"/>
        <v>656</v>
      </c>
      <c r="N881" s="3">
        <f t="shared" ca="1" si="294"/>
        <v>4</v>
      </c>
      <c r="O881" s="19">
        <f t="shared" ca="1" si="295"/>
        <v>2.3453053758100548</v>
      </c>
      <c r="P881" s="19">
        <f t="shared" ca="1" si="296"/>
        <v>23.453053758100552</v>
      </c>
      <c r="Q881" s="19">
        <f t="shared" ca="1" si="297"/>
        <v>23.453053758100552</v>
      </c>
      <c r="R881" s="19">
        <f t="shared" ca="1" si="298"/>
        <v>2.3453053758100553</v>
      </c>
      <c r="S881" s="19">
        <f t="shared" ca="1" si="299"/>
        <v>2.3453053758100548</v>
      </c>
      <c r="T881" s="19">
        <f t="shared" ca="1" si="300"/>
        <v>0</v>
      </c>
      <c r="U881" s="19">
        <f t="shared" ca="1" si="301"/>
        <v>1423.9587218163997</v>
      </c>
      <c r="V881" s="19">
        <f t="shared" ca="1" si="302"/>
        <v>0</v>
      </c>
      <c r="W881" s="82">
        <f t="shared" ca="1" si="303"/>
        <v>3289.2719806134264</v>
      </c>
      <c r="X881" s="19">
        <f t="shared" ca="1" si="304"/>
        <v>0</v>
      </c>
      <c r="Y881" s="19">
        <f t="shared" si="305"/>
        <v>0</v>
      </c>
      <c r="Z881" s="82">
        <f t="shared" ca="1" si="306"/>
        <v>3289.2719806134264</v>
      </c>
      <c r="AA881" s="19">
        <f t="shared" ca="1" si="307"/>
        <v>0</v>
      </c>
    </row>
    <row r="882" spans="1:27" ht="12.75" customHeight="1" x14ac:dyDescent="0.2">
      <c r="A882">
        <v>2</v>
      </c>
      <c r="B882">
        <v>2</v>
      </c>
      <c r="C882">
        <f t="shared" ca="1" si="286"/>
        <v>6</v>
      </c>
      <c r="D882">
        <f t="shared" ca="1" si="287"/>
        <v>5</v>
      </c>
      <c r="E882">
        <f t="shared" ca="1" si="288"/>
        <v>2</v>
      </c>
      <c r="F882" s="61">
        <f t="shared" ca="1" si="289"/>
        <v>7.0806744524800009E-3</v>
      </c>
      <c r="G882">
        <v>1</v>
      </c>
      <c r="H882">
        <v>1</v>
      </c>
      <c r="I882">
        <v>1</v>
      </c>
      <c r="J882" s="61">
        <f t="shared" ca="1" si="290"/>
        <v>0</v>
      </c>
      <c r="K882" s="61">
        <f t="shared" ca="1" si="291"/>
        <v>0</v>
      </c>
      <c r="L882" s="82">
        <f t="shared" ca="1" si="292"/>
        <v>333</v>
      </c>
      <c r="M882" s="16">
        <f t="shared" ca="1" si="293"/>
        <v>667</v>
      </c>
      <c r="N882" s="3">
        <f t="shared" ca="1" si="294"/>
        <v>4</v>
      </c>
      <c r="O882" s="19">
        <f t="shared" ca="1" si="295"/>
        <v>2.3453053758100548</v>
      </c>
      <c r="P882" s="19">
        <f t="shared" ca="1" si="296"/>
        <v>23.453053758100552</v>
      </c>
      <c r="Q882" s="19">
        <f t="shared" ca="1" si="297"/>
        <v>23.453053758100552</v>
      </c>
      <c r="R882" s="19">
        <f t="shared" ca="1" si="298"/>
        <v>2.3453053758100553</v>
      </c>
      <c r="S882" s="19">
        <f t="shared" ca="1" si="299"/>
        <v>2.3453053758100548</v>
      </c>
      <c r="T882" s="19">
        <f t="shared" ca="1" si="300"/>
        <v>0</v>
      </c>
      <c r="U882" s="19">
        <f t="shared" ca="1" si="301"/>
        <v>1412.9587218163997</v>
      </c>
      <c r="V882" s="19">
        <f t="shared" ca="1" si="302"/>
        <v>0</v>
      </c>
      <c r="W882" s="82">
        <f t="shared" ca="1" si="303"/>
        <v>2803.3667505787039</v>
      </c>
      <c r="X882" s="19">
        <f t="shared" ca="1" si="304"/>
        <v>0</v>
      </c>
      <c r="Y882" s="19">
        <f t="shared" si="305"/>
        <v>0</v>
      </c>
      <c r="Z882" s="82">
        <f t="shared" ca="1" si="306"/>
        <v>2803.3667505787039</v>
      </c>
      <c r="AA882" s="19">
        <f t="shared" ca="1" si="307"/>
        <v>0</v>
      </c>
    </row>
    <row r="883" spans="1:27" ht="12.75" customHeight="1" x14ac:dyDescent="0.2">
      <c r="A883">
        <v>2</v>
      </c>
      <c r="B883">
        <v>2</v>
      </c>
      <c r="C883">
        <f t="shared" ca="1" si="286"/>
        <v>6</v>
      </c>
      <c r="D883">
        <f t="shared" ca="1" si="287"/>
        <v>5</v>
      </c>
      <c r="E883">
        <f t="shared" ca="1" si="288"/>
        <v>2</v>
      </c>
      <c r="F883" s="61">
        <f t="shared" ca="1" si="289"/>
        <v>7.0806744524800009E-3</v>
      </c>
      <c r="G883">
        <v>1</v>
      </c>
      <c r="H883">
        <v>1</v>
      </c>
      <c r="I883">
        <v>0</v>
      </c>
      <c r="J883" s="61">
        <f t="shared" ca="1" si="290"/>
        <v>0</v>
      </c>
      <c r="K883" s="61">
        <f t="shared" ca="1" si="291"/>
        <v>0</v>
      </c>
      <c r="L883" s="82">
        <f t="shared" ca="1" si="292"/>
        <v>322</v>
      </c>
      <c r="M883" s="16">
        <f t="shared" ca="1" si="293"/>
        <v>678</v>
      </c>
      <c r="N883" s="3">
        <f t="shared" ca="1" si="294"/>
        <v>4</v>
      </c>
      <c r="O883" s="19">
        <f t="shared" ca="1" si="295"/>
        <v>2.3453053758100548</v>
      </c>
      <c r="P883" s="19">
        <f t="shared" ca="1" si="296"/>
        <v>23.453053758100552</v>
      </c>
      <c r="Q883" s="19">
        <f t="shared" ca="1" si="297"/>
        <v>23.453053758100552</v>
      </c>
      <c r="R883" s="19">
        <f t="shared" ca="1" si="298"/>
        <v>2.3453053758100553</v>
      </c>
      <c r="S883" s="19">
        <f t="shared" ca="1" si="299"/>
        <v>2.3453053758100548</v>
      </c>
      <c r="T883" s="19">
        <f t="shared" ca="1" si="300"/>
        <v>0</v>
      </c>
      <c r="U883" s="19">
        <f t="shared" ca="1" si="301"/>
        <v>1401.9587218163997</v>
      </c>
      <c r="V883" s="19">
        <f t="shared" ca="1" si="302"/>
        <v>0</v>
      </c>
      <c r="W883" s="82">
        <f t="shared" ca="1" si="303"/>
        <v>2317.4615205439818</v>
      </c>
      <c r="X883" s="19">
        <f t="shared" ca="1" si="304"/>
        <v>0</v>
      </c>
      <c r="Y883" s="19">
        <f t="shared" si="305"/>
        <v>0</v>
      </c>
      <c r="Z883" s="82">
        <f t="shared" ca="1" si="306"/>
        <v>2317.4615205439818</v>
      </c>
      <c r="AA883" s="19">
        <f t="shared" ca="1" si="307"/>
        <v>0</v>
      </c>
    </row>
    <row r="884" spans="1:27" ht="12.75" customHeight="1" x14ac:dyDescent="0.2">
      <c r="A884">
        <v>2</v>
      </c>
      <c r="B884">
        <v>2</v>
      </c>
      <c r="C884">
        <f t="shared" ca="1" si="286"/>
        <v>6</v>
      </c>
      <c r="D884">
        <f t="shared" ca="1" si="287"/>
        <v>5</v>
      </c>
      <c r="E884">
        <f t="shared" ca="1" si="288"/>
        <v>2</v>
      </c>
      <c r="F884" s="61">
        <f t="shared" ca="1" si="289"/>
        <v>7.0806744524800009E-3</v>
      </c>
      <c r="G884">
        <v>1</v>
      </c>
      <c r="H884">
        <v>0</v>
      </c>
      <c r="I884">
        <v>7</v>
      </c>
      <c r="J884" s="61">
        <f t="shared" ca="1" si="290"/>
        <v>0</v>
      </c>
      <c r="K884" s="61">
        <f t="shared" ca="1" si="291"/>
        <v>0</v>
      </c>
      <c r="L884" s="82">
        <f t="shared" ca="1" si="292"/>
        <v>238</v>
      </c>
      <c r="M884" s="16">
        <f t="shared" ca="1" si="293"/>
        <v>762</v>
      </c>
      <c r="N884" s="3">
        <f t="shared" ca="1" si="294"/>
        <v>5</v>
      </c>
      <c r="O884" s="19">
        <f t="shared" ca="1" si="295"/>
        <v>2.8178718937399587</v>
      </c>
      <c r="P884" s="19">
        <f t="shared" ca="1" si="296"/>
        <v>25.815886347750073</v>
      </c>
      <c r="Q884" s="19">
        <f t="shared" ca="1" si="297"/>
        <v>23.453053758100552</v>
      </c>
      <c r="R884" s="19">
        <f t="shared" ca="1" si="298"/>
        <v>2.4634470052925312</v>
      </c>
      <c r="S884" s="19">
        <f t="shared" ca="1" si="299"/>
        <v>2.8178718937399587</v>
      </c>
      <c r="T884" s="19">
        <f t="shared" ca="1" si="300"/>
        <v>0</v>
      </c>
      <c r="U884" s="19">
        <f t="shared" ca="1" si="301"/>
        <v>1497.3251747165598</v>
      </c>
      <c r="V884" s="19">
        <f t="shared" ca="1" si="302"/>
        <v>0</v>
      </c>
      <c r="W884" s="82">
        <f t="shared" ca="1" si="303"/>
        <v>5718.7981307870377</v>
      </c>
      <c r="X884" s="19">
        <f t="shared" ca="1" si="304"/>
        <v>0</v>
      </c>
      <c r="Y884" s="19">
        <f t="shared" si="305"/>
        <v>0</v>
      </c>
      <c r="Z884" s="82">
        <f t="shared" ca="1" si="306"/>
        <v>5718.7981307870377</v>
      </c>
      <c r="AA884" s="19">
        <f t="shared" ca="1" si="307"/>
        <v>0</v>
      </c>
    </row>
    <row r="885" spans="1:27" ht="12.75" customHeight="1" x14ac:dyDescent="0.2">
      <c r="A885">
        <v>2</v>
      </c>
      <c r="B885">
        <v>2</v>
      </c>
      <c r="C885">
        <f t="shared" ca="1" si="286"/>
        <v>6</v>
      </c>
      <c r="D885">
        <f t="shared" ca="1" si="287"/>
        <v>5</v>
      </c>
      <c r="E885">
        <f t="shared" ca="1" si="288"/>
        <v>2</v>
      </c>
      <c r="F885" s="61">
        <f t="shared" ca="1" si="289"/>
        <v>7.0806744524800009E-3</v>
      </c>
      <c r="G885">
        <v>1</v>
      </c>
      <c r="H885">
        <v>0</v>
      </c>
      <c r="I885">
        <v>6</v>
      </c>
      <c r="J885" s="61">
        <f t="shared" ca="1" si="290"/>
        <v>0</v>
      </c>
      <c r="K885" s="61">
        <f t="shared" ca="1" si="291"/>
        <v>0</v>
      </c>
      <c r="L885" s="82">
        <f t="shared" ca="1" si="292"/>
        <v>227</v>
      </c>
      <c r="M885" s="16">
        <f t="shared" ca="1" si="293"/>
        <v>773</v>
      </c>
      <c r="N885" s="3">
        <f t="shared" ca="1" si="294"/>
        <v>5</v>
      </c>
      <c r="O885" s="19">
        <f t="shared" ca="1" si="295"/>
        <v>2.8178718937399587</v>
      </c>
      <c r="P885" s="19">
        <f t="shared" ca="1" si="296"/>
        <v>28.178718937399587</v>
      </c>
      <c r="Q885" s="19">
        <f t="shared" ca="1" si="297"/>
        <v>26.288452865679979</v>
      </c>
      <c r="R885" s="19">
        <f t="shared" ca="1" si="298"/>
        <v>2.7233585901539783</v>
      </c>
      <c r="S885" s="19">
        <f t="shared" ca="1" si="299"/>
        <v>2.8178718937399587</v>
      </c>
      <c r="T885" s="19">
        <f t="shared" ca="1" si="300"/>
        <v>0</v>
      </c>
      <c r="U885" s="19">
        <f t="shared" ca="1" si="301"/>
        <v>1486.3251747165598</v>
      </c>
      <c r="V885" s="19">
        <f t="shared" ca="1" si="302"/>
        <v>0</v>
      </c>
      <c r="W885" s="82">
        <f t="shared" ca="1" si="303"/>
        <v>5232.8929007523147</v>
      </c>
      <c r="X885" s="19">
        <f t="shared" ca="1" si="304"/>
        <v>0</v>
      </c>
      <c r="Y885" s="19">
        <f t="shared" si="305"/>
        <v>0</v>
      </c>
      <c r="Z885" s="82">
        <f t="shared" ca="1" si="306"/>
        <v>5232.8929007523147</v>
      </c>
      <c r="AA885" s="19">
        <f t="shared" ca="1" si="307"/>
        <v>0</v>
      </c>
    </row>
    <row r="886" spans="1:27" ht="12.75" customHeight="1" x14ac:dyDescent="0.2">
      <c r="A886">
        <v>2</v>
      </c>
      <c r="B886">
        <v>2</v>
      </c>
      <c r="C886">
        <f t="shared" ca="1" si="286"/>
        <v>6</v>
      </c>
      <c r="D886">
        <f t="shared" ca="1" si="287"/>
        <v>5</v>
      </c>
      <c r="E886">
        <f t="shared" ca="1" si="288"/>
        <v>2</v>
      </c>
      <c r="F886" s="61">
        <f t="shared" ca="1" si="289"/>
        <v>7.0806744524800009E-3</v>
      </c>
      <c r="G886">
        <v>1</v>
      </c>
      <c r="H886">
        <v>0</v>
      </c>
      <c r="I886">
        <v>5</v>
      </c>
      <c r="J886" s="61">
        <f t="shared" ca="1" si="290"/>
        <v>0.73509189062499991</v>
      </c>
      <c r="K886" s="61">
        <f t="shared" ca="1" si="291"/>
        <v>5.2049463701736602E-3</v>
      </c>
      <c r="L886" s="82">
        <f t="shared" ca="1" si="292"/>
        <v>216</v>
      </c>
      <c r="M886" s="16">
        <f t="shared" ca="1" si="293"/>
        <v>784</v>
      </c>
      <c r="N886" s="3">
        <f t="shared" ca="1" si="294"/>
        <v>5</v>
      </c>
      <c r="O886" s="19">
        <f t="shared" ca="1" si="295"/>
        <v>2.8178718937399587</v>
      </c>
      <c r="P886" s="19">
        <f t="shared" ca="1" si="296"/>
        <v>28.178718937399587</v>
      </c>
      <c r="Q886" s="19">
        <f t="shared" ca="1" si="297"/>
        <v>28.178718937399587</v>
      </c>
      <c r="R886" s="19">
        <f t="shared" ca="1" si="298"/>
        <v>2.8178718937399587</v>
      </c>
      <c r="S886" s="19">
        <f t="shared" ca="1" si="299"/>
        <v>2.8178718937399587</v>
      </c>
      <c r="T886" s="19">
        <f t="shared" ca="1" si="300"/>
        <v>1.4666872084936175E-2</v>
      </c>
      <c r="U886" s="19">
        <f t="shared" ca="1" si="301"/>
        <v>1475.3251747165598</v>
      </c>
      <c r="V886" s="19">
        <f t="shared" ca="1" si="302"/>
        <v>7.6789884129667785</v>
      </c>
      <c r="W886" s="82">
        <f t="shared" ca="1" si="303"/>
        <v>4746.9876707175936</v>
      </c>
      <c r="X886" s="19">
        <f t="shared" ca="1" si="304"/>
        <v>24.707816245960657</v>
      </c>
      <c r="Y886" s="19">
        <f t="shared" si="305"/>
        <v>0</v>
      </c>
      <c r="Z886" s="82">
        <f t="shared" ca="1" si="306"/>
        <v>4746.9876707175936</v>
      </c>
      <c r="AA886" s="19">
        <f t="shared" ca="1" si="307"/>
        <v>24.707816245960657</v>
      </c>
    </row>
    <row r="887" spans="1:27" ht="12.75" customHeight="1" x14ac:dyDescent="0.2">
      <c r="A887">
        <v>2</v>
      </c>
      <c r="B887">
        <v>2</v>
      </c>
      <c r="C887">
        <f t="shared" ca="1" si="286"/>
        <v>6</v>
      </c>
      <c r="D887">
        <f t="shared" ca="1" si="287"/>
        <v>5</v>
      </c>
      <c r="E887">
        <f t="shared" ca="1" si="288"/>
        <v>2</v>
      </c>
      <c r="F887" s="61">
        <f t="shared" ca="1" si="289"/>
        <v>7.0806744524800009E-3</v>
      </c>
      <c r="G887">
        <v>1</v>
      </c>
      <c r="H887">
        <v>0</v>
      </c>
      <c r="I887">
        <v>4</v>
      </c>
      <c r="J887" s="61">
        <f t="shared" ca="1" si="290"/>
        <v>0.19344523437500014</v>
      </c>
      <c r="K887" s="61">
        <f t="shared" ca="1" si="291"/>
        <v>1.3697227289930696E-3</v>
      </c>
      <c r="L887" s="82">
        <f t="shared" ca="1" si="292"/>
        <v>205</v>
      </c>
      <c r="M887" s="16">
        <f t="shared" ca="1" si="293"/>
        <v>795</v>
      </c>
      <c r="N887" s="3">
        <f t="shared" ca="1" si="294"/>
        <v>5</v>
      </c>
      <c r="O887" s="19">
        <f t="shared" ca="1" si="295"/>
        <v>2.8178718937399587</v>
      </c>
      <c r="P887" s="19">
        <f t="shared" ca="1" si="296"/>
        <v>28.178718937399587</v>
      </c>
      <c r="Q887" s="19">
        <f t="shared" ca="1" si="297"/>
        <v>28.178718937399587</v>
      </c>
      <c r="R887" s="19">
        <f t="shared" ca="1" si="298"/>
        <v>2.8178718937399587</v>
      </c>
      <c r="S887" s="19">
        <f t="shared" ca="1" si="299"/>
        <v>2.8178718937399587</v>
      </c>
      <c r="T887" s="19">
        <f t="shared" ca="1" si="300"/>
        <v>3.8597031802463651E-3</v>
      </c>
      <c r="U887" s="19">
        <f t="shared" ca="1" si="301"/>
        <v>1464.3251747165598</v>
      </c>
      <c r="V887" s="19">
        <f t="shared" ca="1" si="302"/>
        <v>2.0057194744460198</v>
      </c>
      <c r="W887" s="82">
        <f t="shared" ca="1" si="303"/>
        <v>4261.0824406828706</v>
      </c>
      <c r="X887" s="19">
        <f t="shared" ca="1" si="304"/>
        <v>5.8365014691165911</v>
      </c>
      <c r="Y887" s="19">
        <f t="shared" si="305"/>
        <v>0</v>
      </c>
      <c r="Z887" s="82">
        <f t="shared" ca="1" si="306"/>
        <v>4261.0824406828706</v>
      </c>
      <c r="AA887" s="19">
        <f t="shared" ca="1" si="307"/>
        <v>5.8365014691165911</v>
      </c>
    </row>
    <row r="888" spans="1:27" ht="12.75" customHeight="1" x14ac:dyDescent="0.2">
      <c r="A888">
        <v>2</v>
      </c>
      <c r="B888">
        <v>2</v>
      </c>
      <c r="C888">
        <f t="shared" ca="1" si="286"/>
        <v>6</v>
      </c>
      <c r="D888">
        <f t="shared" ca="1" si="287"/>
        <v>5</v>
      </c>
      <c r="E888">
        <f t="shared" ca="1" si="288"/>
        <v>2</v>
      </c>
      <c r="F888" s="61">
        <f t="shared" ca="1" si="289"/>
        <v>7.0806744524800009E-3</v>
      </c>
      <c r="G888">
        <v>1</v>
      </c>
      <c r="H888">
        <v>0</v>
      </c>
      <c r="I888">
        <v>3</v>
      </c>
      <c r="J888" s="61">
        <f t="shared" ca="1" si="290"/>
        <v>2.0362656250000031E-2</v>
      </c>
      <c r="K888" s="61">
        <f t="shared" ca="1" si="291"/>
        <v>1.4418133989400742E-4</v>
      </c>
      <c r="L888" s="82">
        <f t="shared" ca="1" si="292"/>
        <v>194</v>
      </c>
      <c r="M888" s="16">
        <f t="shared" ca="1" si="293"/>
        <v>806</v>
      </c>
      <c r="N888" s="3">
        <f t="shared" ca="1" si="294"/>
        <v>5</v>
      </c>
      <c r="O888" s="19">
        <f t="shared" ca="1" si="295"/>
        <v>2.8178718937399587</v>
      </c>
      <c r="P888" s="19">
        <f t="shared" ca="1" si="296"/>
        <v>28.178718937399587</v>
      </c>
      <c r="Q888" s="19">
        <f t="shared" ca="1" si="297"/>
        <v>28.178718937399587</v>
      </c>
      <c r="R888" s="19">
        <f t="shared" ca="1" si="298"/>
        <v>2.8178718937399587</v>
      </c>
      <c r="S888" s="19">
        <f t="shared" ca="1" si="299"/>
        <v>2.8178718937399587</v>
      </c>
      <c r="T888" s="19">
        <f t="shared" ca="1" si="300"/>
        <v>4.0628454528909136E-4</v>
      </c>
      <c r="U888" s="19">
        <f t="shared" ca="1" si="301"/>
        <v>1453.3251747165598</v>
      </c>
      <c r="V888" s="19">
        <f t="shared" ca="1" si="302"/>
        <v>0.20954237099232603</v>
      </c>
      <c r="W888" s="82">
        <f t="shared" ca="1" si="303"/>
        <v>3775.1772106481485</v>
      </c>
      <c r="X888" s="19">
        <f t="shared" ca="1" si="304"/>
        <v>0.54431010856857154</v>
      </c>
      <c r="Y888" s="19">
        <f t="shared" si="305"/>
        <v>0</v>
      </c>
      <c r="Z888" s="82">
        <f t="shared" ca="1" si="306"/>
        <v>3775.1772106481485</v>
      </c>
      <c r="AA888" s="19">
        <f t="shared" ca="1" si="307"/>
        <v>0.54431010856857154</v>
      </c>
    </row>
    <row r="889" spans="1:27" ht="12.75" customHeight="1" x14ac:dyDescent="0.2">
      <c r="A889">
        <v>2</v>
      </c>
      <c r="B889">
        <v>2</v>
      </c>
      <c r="C889">
        <f t="shared" ca="1" si="286"/>
        <v>6</v>
      </c>
      <c r="D889">
        <f t="shared" ca="1" si="287"/>
        <v>5</v>
      </c>
      <c r="E889">
        <f t="shared" ca="1" si="288"/>
        <v>2</v>
      </c>
      <c r="F889" s="61">
        <f t="shared" ca="1" si="289"/>
        <v>7.0806744524800009E-3</v>
      </c>
      <c r="G889">
        <v>1</v>
      </c>
      <c r="H889">
        <v>0</v>
      </c>
      <c r="I889">
        <v>2</v>
      </c>
      <c r="J889" s="61">
        <f t="shared" ca="1" si="290"/>
        <v>1.0717187500000028E-3</v>
      </c>
      <c r="K889" s="61">
        <f t="shared" ca="1" si="291"/>
        <v>7.5884915733688203E-6</v>
      </c>
      <c r="L889" s="82">
        <f t="shared" ca="1" si="292"/>
        <v>183</v>
      </c>
      <c r="M889" s="16">
        <f t="shared" ca="1" si="293"/>
        <v>817</v>
      </c>
      <c r="N889" s="3">
        <f t="shared" ca="1" si="294"/>
        <v>5</v>
      </c>
      <c r="O889" s="19">
        <f t="shared" ca="1" si="295"/>
        <v>2.8178718937399587</v>
      </c>
      <c r="P889" s="19">
        <f t="shared" ca="1" si="296"/>
        <v>28.178718937399587</v>
      </c>
      <c r="Q889" s="19">
        <f t="shared" ca="1" si="297"/>
        <v>28.178718937399587</v>
      </c>
      <c r="R889" s="19">
        <f t="shared" ca="1" si="298"/>
        <v>2.8178718937399587</v>
      </c>
      <c r="S889" s="19">
        <f t="shared" ca="1" si="299"/>
        <v>2.8178718937399587</v>
      </c>
      <c r="T889" s="19">
        <f t="shared" ca="1" si="300"/>
        <v>2.1383397120478515E-5</v>
      </c>
      <c r="U889" s="19">
        <f t="shared" ca="1" si="301"/>
        <v>1442.3251747165598</v>
      </c>
      <c r="V889" s="19">
        <f t="shared" ca="1" si="302"/>
        <v>1.0945072434394326E-2</v>
      </c>
      <c r="W889" s="82">
        <f t="shared" ca="1" si="303"/>
        <v>3289.2719806134264</v>
      </c>
      <c r="X889" s="19">
        <f t="shared" ca="1" si="304"/>
        <v>2.4960612707403157E-2</v>
      </c>
      <c r="Y889" s="19">
        <f t="shared" si="305"/>
        <v>0</v>
      </c>
      <c r="Z889" s="82">
        <f t="shared" ca="1" si="306"/>
        <v>3289.2719806134264</v>
      </c>
      <c r="AA889" s="19">
        <f t="shared" ca="1" si="307"/>
        <v>2.4960612707403157E-2</v>
      </c>
    </row>
    <row r="890" spans="1:27" ht="12.75" customHeight="1" x14ac:dyDescent="0.2">
      <c r="A890">
        <v>2</v>
      </c>
      <c r="B890">
        <v>2</v>
      </c>
      <c r="C890">
        <f t="shared" ca="1" si="286"/>
        <v>6</v>
      </c>
      <c r="D890">
        <f t="shared" ca="1" si="287"/>
        <v>5</v>
      </c>
      <c r="E890">
        <f t="shared" ca="1" si="288"/>
        <v>2</v>
      </c>
      <c r="F890" s="61">
        <f t="shared" ca="1" si="289"/>
        <v>7.0806744524800009E-3</v>
      </c>
      <c r="G890">
        <v>1</v>
      </c>
      <c r="H890">
        <v>0</v>
      </c>
      <c r="I890">
        <v>1</v>
      </c>
      <c r="J890" s="61">
        <f t="shared" ca="1" si="290"/>
        <v>2.8203125000000098E-5</v>
      </c>
      <c r="K890" s="61">
        <f t="shared" ca="1" si="291"/>
        <v>1.9969714666760071E-7</v>
      </c>
      <c r="L890" s="82">
        <f t="shared" ca="1" si="292"/>
        <v>172</v>
      </c>
      <c r="M890" s="16">
        <f t="shared" ca="1" si="293"/>
        <v>828</v>
      </c>
      <c r="N890" s="3">
        <f t="shared" ca="1" si="294"/>
        <v>5</v>
      </c>
      <c r="O890" s="19">
        <f t="shared" ca="1" si="295"/>
        <v>2.8178718937399587</v>
      </c>
      <c r="P890" s="19">
        <f t="shared" ca="1" si="296"/>
        <v>28.178718937399587</v>
      </c>
      <c r="Q890" s="19">
        <f t="shared" ca="1" si="297"/>
        <v>28.178718937399587</v>
      </c>
      <c r="R890" s="19">
        <f t="shared" ca="1" si="298"/>
        <v>2.8178718937399587</v>
      </c>
      <c r="S890" s="19">
        <f t="shared" ca="1" si="299"/>
        <v>2.8178718937399587</v>
      </c>
      <c r="T890" s="19">
        <f t="shared" ca="1" si="300"/>
        <v>5.6272097685469827E-7</v>
      </c>
      <c r="U890" s="19">
        <f t="shared" ca="1" si="301"/>
        <v>1431.3251747165598</v>
      </c>
      <c r="V890" s="19">
        <f t="shared" ca="1" si="302"/>
        <v>2.8583155334440205E-4</v>
      </c>
      <c r="W890" s="82">
        <f t="shared" ca="1" si="303"/>
        <v>2803.3667505787039</v>
      </c>
      <c r="X890" s="19">
        <f t="shared" ca="1" si="304"/>
        <v>5.5982434115339069E-4</v>
      </c>
      <c r="Y890" s="19">
        <f t="shared" si="305"/>
        <v>0</v>
      </c>
      <c r="Z890" s="82">
        <f t="shared" ca="1" si="306"/>
        <v>2803.3667505787039</v>
      </c>
      <c r="AA890" s="19">
        <f t="shared" ca="1" si="307"/>
        <v>5.5982434115339069E-4</v>
      </c>
    </row>
    <row r="891" spans="1:27" ht="12.75" customHeight="1" x14ac:dyDescent="0.2">
      <c r="A891">
        <v>2</v>
      </c>
      <c r="B891">
        <v>2</v>
      </c>
      <c r="C891">
        <f t="shared" ca="1" si="286"/>
        <v>6</v>
      </c>
      <c r="D891">
        <f t="shared" ca="1" si="287"/>
        <v>5</v>
      </c>
      <c r="E891">
        <f t="shared" ca="1" si="288"/>
        <v>2</v>
      </c>
      <c r="F891" s="61">
        <f t="shared" ca="1" si="289"/>
        <v>7.0806744524800009E-3</v>
      </c>
      <c r="G891">
        <v>1</v>
      </c>
      <c r="H891">
        <v>0</v>
      </c>
      <c r="I891">
        <v>0</v>
      </c>
      <c r="J891" s="61">
        <f t="shared" ca="1" si="290"/>
        <v>2.9687500000000134E-7</v>
      </c>
      <c r="K891" s="61">
        <f t="shared" ca="1" si="291"/>
        <v>2.1020752280800099E-9</v>
      </c>
      <c r="L891" s="82">
        <f t="shared" ca="1" si="292"/>
        <v>161</v>
      </c>
      <c r="M891" s="16">
        <f t="shared" ca="1" si="293"/>
        <v>839</v>
      </c>
      <c r="N891" s="3">
        <f t="shared" ca="1" si="294"/>
        <v>5</v>
      </c>
      <c r="O891" s="19">
        <f t="shared" ca="1" si="295"/>
        <v>2.8178718937399587</v>
      </c>
      <c r="P891" s="19">
        <f t="shared" ca="1" si="296"/>
        <v>28.178718937399587</v>
      </c>
      <c r="Q891" s="19">
        <f t="shared" ca="1" si="297"/>
        <v>28.178718937399587</v>
      </c>
      <c r="R891" s="19">
        <f t="shared" ca="1" si="298"/>
        <v>2.8178718937399587</v>
      </c>
      <c r="S891" s="19">
        <f t="shared" ca="1" si="299"/>
        <v>2.8178718937399587</v>
      </c>
      <c r="T891" s="19">
        <f t="shared" ca="1" si="300"/>
        <v>5.9233787037336727E-9</v>
      </c>
      <c r="U891" s="19">
        <f t="shared" ca="1" si="301"/>
        <v>1420.3251747165598</v>
      </c>
      <c r="V891" s="19">
        <f t="shared" ca="1" si="302"/>
        <v>2.9856303655900925E-6</v>
      </c>
      <c r="W891" s="82">
        <f t="shared" ca="1" si="303"/>
        <v>2317.4615205439818</v>
      </c>
      <c r="X891" s="19">
        <f t="shared" ca="1" si="304"/>
        <v>4.8714784543641368E-6</v>
      </c>
      <c r="Y891" s="19">
        <f t="shared" si="305"/>
        <v>0</v>
      </c>
      <c r="Z891" s="82">
        <f t="shared" ca="1" si="306"/>
        <v>2317.4615205439818</v>
      </c>
      <c r="AA891" s="19">
        <f t="shared" ca="1" si="307"/>
        <v>4.8714784543641368E-6</v>
      </c>
    </row>
    <row r="892" spans="1:27" ht="12.75" customHeight="1" x14ac:dyDescent="0.2">
      <c r="A892">
        <v>2</v>
      </c>
      <c r="B892">
        <v>2</v>
      </c>
      <c r="C892">
        <f t="shared" ca="1" si="286"/>
        <v>6</v>
      </c>
      <c r="D892">
        <f t="shared" ca="1" si="287"/>
        <v>5</v>
      </c>
      <c r="E892">
        <f t="shared" ca="1" si="288"/>
        <v>2</v>
      </c>
      <c r="F892" s="61">
        <f t="shared" ca="1" si="289"/>
        <v>7.0806744524800009E-3</v>
      </c>
      <c r="G892">
        <v>0</v>
      </c>
      <c r="H892">
        <v>1</v>
      </c>
      <c r="I892">
        <v>7</v>
      </c>
      <c r="J892" s="61">
        <f t="shared" ca="1" si="290"/>
        <v>0</v>
      </c>
      <c r="K892" s="61">
        <f t="shared" ca="1" si="291"/>
        <v>0</v>
      </c>
      <c r="L892" s="82">
        <f t="shared" ca="1" si="292"/>
        <v>238</v>
      </c>
      <c r="M892" s="16">
        <f t="shared" ca="1" si="293"/>
        <v>762</v>
      </c>
      <c r="N892" s="3">
        <f t="shared" ca="1" si="294"/>
        <v>5</v>
      </c>
      <c r="O892" s="19">
        <f t="shared" ca="1" si="295"/>
        <v>2.8178718937399587</v>
      </c>
      <c r="P892" s="19">
        <f t="shared" ca="1" si="296"/>
        <v>25.815886347750073</v>
      </c>
      <c r="Q892" s="19">
        <f t="shared" ca="1" si="297"/>
        <v>23.453053758100552</v>
      </c>
      <c r="R892" s="19">
        <f t="shared" ca="1" si="298"/>
        <v>2.4634470052925312</v>
      </c>
      <c r="S892" s="19">
        <f t="shared" ca="1" si="299"/>
        <v>2.8178718937399587</v>
      </c>
      <c r="T892" s="19">
        <f t="shared" ca="1" si="300"/>
        <v>0</v>
      </c>
      <c r="U892" s="19">
        <f t="shared" ca="1" si="301"/>
        <v>1497.3251747165598</v>
      </c>
      <c r="V892" s="19">
        <f t="shared" ca="1" si="302"/>
        <v>0</v>
      </c>
      <c r="W892" s="82">
        <f t="shared" ca="1" si="303"/>
        <v>3401.3366102430559</v>
      </c>
      <c r="X892" s="19">
        <f t="shared" ca="1" si="304"/>
        <v>0</v>
      </c>
      <c r="Y892" s="19">
        <f t="shared" si="305"/>
        <v>0</v>
      </c>
      <c r="Z892" s="82">
        <f t="shared" ca="1" si="306"/>
        <v>3401.3366102430559</v>
      </c>
      <c r="AA892" s="19">
        <f t="shared" ca="1" si="307"/>
        <v>0</v>
      </c>
    </row>
    <row r="893" spans="1:27" ht="12.75" customHeight="1" x14ac:dyDescent="0.2">
      <c r="A893">
        <v>2</v>
      </c>
      <c r="B893">
        <v>2</v>
      </c>
      <c r="C893">
        <f t="shared" ca="1" si="286"/>
        <v>6</v>
      </c>
      <c r="D893">
        <f t="shared" ca="1" si="287"/>
        <v>5</v>
      </c>
      <c r="E893">
        <f t="shared" ca="1" si="288"/>
        <v>2</v>
      </c>
      <c r="F893" s="61">
        <f t="shared" ca="1" si="289"/>
        <v>7.0806744524800009E-3</v>
      </c>
      <c r="G893">
        <v>0</v>
      </c>
      <c r="H893">
        <v>1</v>
      </c>
      <c r="I893">
        <v>6</v>
      </c>
      <c r="J893" s="61">
        <f t="shared" ca="1" si="290"/>
        <v>0</v>
      </c>
      <c r="K893" s="61">
        <f t="shared" ca="1" si="291"/>
        <v>0</v>
      </c>
      <c r="L893" s="82">
        <f t="shared" ca="1" si="292"/>
        <v>227</v>
      </c>
      <c r="M893" s="16">
        <f t="shared" ca="1" si="293"/>
        <v>773</v>
      </c>
      <c r="N893" s="3">
        <f t="shared" ca="1" si="294"/>
        <v>5</v>
      </c>
      <c r="O893" s="19">
        <f t="shared" ca="1" si="295"/>
        <v>2.8178718937399587</v>
      </c>
      <c r="P893" s="19">
        <f t="shared" ca="1" si="296"/>
        <v>28.178718937399587</v>
      </c>
      <c r="Q893" s="19">
        <f t="shared" ca="1" si="297"/>
        <v>26.288452865679979</v>
      </c>
      <c r="R893" s="19">
        <f t="shared" ca="1" si="298"/>
        <v>2.7233585901539783</v>
      </c>
      <c r="S893" s="19">
        <f t="shared" ca="1" si="299"/>
        <v>2.8178718937399587</v>
      </c>
      <c r="T893" s="19">
        <f t="shared" ca="1" si="300"/>
        <v>0</v>
      </c>
      <c r="U893" s="19">
        <f t="shared" ca="1" si="301"/>
        <v>1486.3251747165598</v>
      </c>
      <c r="V893" s="19">
        <f t="shared" ca="1" si="302"/>
        <v>0</v>
      </c>
      <c r="W893" s="82">
        <f t="shared" ca="1" si="303"/>
        <v>2915.4313802083334</v>
      </c>
      <c r="X893" s="19">
        <f t="shared" ca="1" si="304"/>
        <v>0</v>
      </c>
      <c r="Y893" s="19">
        <f t="shared" si="305"/>
        <v>0</v>
      </c>
      <c r="Z893" s="82">
        <f t="shared" ca="1" si="306"/>
        <v>2915.4313802083334</v>
      </c>
      <c r="AA893" s="19">
        <f t="shared" ca="1" si="307"/>
        <v>0</v>
      </c>
    </row>
    <row r="894" spans="1:27" ht="12.75" customHeight="1" x14ac:dyDescent="0.2">
      <c r="A894">
        <v>2</v>
      </c>
      <c r="B894">
        <v>2</v>
      </c>
      <c r="C894">
        <f t="shared" ca="1" si="286"/>
        <v>6</v>
      </c>
      <c r="D894">
        <f t="shared" ca="1" si="287"/>
        <v>5</v>
      </c>
      <c r="E894">
        <f t="shared" ca="1" si="288"/>
        <v>2</v>
      </c>
      <c r="F894" s="61">
        <f t="shared" ca="1" si="289"/>
        <v>7.0806744524800009E-3</v>
      </c>
      <c r="G894">
        <v>0</v>
      </c>
      <c r="H894">
        <v>1</v>
      </c>
      <c r="I894">
        <v>5</v>
      </c>
      <c r="J894" s="61">
        <f t="shared" ca="1" si="290"/>
        <v>0</v>
      </c>
      <c r="K894" s="61">
        <f t="shared" ca="1" si="291"/>
        <v>0</v>
      </c>
      <c r="L894" s="82">
        <f t="shared" ca="1" si="292"/>
        <v>216</v>
      </c>
      <c r="M894" s="16">
        <f t="shared" ca="1" si="293"/>
        <v>784</v>
      </c>
      <c r="N894" s="3">
        <f t="shared" ca="1" si="294"/>
        <v>5</v>
      </c>
      <c r="O894" s="19">
        <f t="shared" ca="1" si="295"/>
        <v>2.8178718937399587</v>
      </c>
      <c r="P894" s="19">
        <f t="shared" ca="1" si="296"/>
        <v>28.178718937399587</v>
      </c>
      <c r="Q894" s="19">
        <f t="shared" ca="1" si="297"/>
        <v>28.178718937399587</v>
      </c>
      <c r="R894" s="19">
        <f t="shared" ca="1" si="298"/>
        <v>2.8178718937399587</v>
      </c>
      <c r="S894" s="19">
        <f t="shared" ca="1" si="299"/>
        <v>2.8178718937399587</v>
      </c>
      <c r="T894" s="19">
        <f t="shared" ca="1" si="300"/>
        <v>0</v>
      </c>
      <c r="U894" s="19">
        <f t="shared" ca="1" si="301"/>
        <v>1475.3251747165598</v>
      </c>
      <c r="V894" s="19">
        <f t="shared" ca="1" si="302"/>
        <v>0</v>
      </c>
      <c r="W894" s="82">
        <f t="shared" ca="1" si="303"/>
        <v>2429.5261501736113</v>
      </c>
      <c r="X894" s="19">
        <f t="shared" ca="1" si="304"/>
        <v>0</v>
      </c>
      <c r="Y894" s="19">
        <f t="shared" si="305"/>
        <v>0</v>
      </c>
      <c r="Z894" s="82">
        <f t="shared" ca="1" si="306"/>
        <v>2429.5261501736113</v>
      </c>
      <c r="AA894" s="19">
        <f t="shared" ca="1" si="307"/>
        <v>0</v>
      </c>
    </row>
    <row r="895" spans="1:27" ht="12.75" customHeight="1" x14ac:dyDescent="0.2">
      <c r="A895">
        <v>2</v>
      </c>
      <c r="B895">
        <v>2</v>
      </c>
      <c r="C895">
        <f t="shared" ca="1" si="286"/>
        <v>6</v>
      </c>
      <c r="D895">
        <f t="shared" ca="1" si="287"/>
        <v>5</v>
      </c>
      <c r="E895">
        <f t="shared" ca="1" si="288"/>
        <v>2</v>
      </c>
      <c r="F895" s="61">
        <f t="shared" ca="1" si="289"/>
        <v>7.0806744524800009E-3</v>
      </c>
      <c r="G895">
        <v>0</v>
      </c>
      <c r="H895">
        <v>1</v>
      </c>
      <c r="I895">
        <v>4</v>
      </c>
      <c r="J895" s="61">
        <f t="shared" ca="1" si="290"/>
        <v>0</v>
      </c>
      <c r="K895" s="61">
        <f t="shared" ca="1" si="291"/>
        <v>0</v>
      </c>
      <c r="L895" s="82">
        <f t="shared" ca="1" si="292"/>
        <v>205</v>
      </c>
      <c r="M895" s="16">
        <f t="shared" ca="1" si="293"/>
        <v>795</v>
      </c>
      <c r="N895" s="3">
        <f t="shared" ca="1" si="294"/>
        <v>5</v>
      </c>
      <c r="O895" s="19">
        <f t="shared" ca="1" si="295"/>
        <v>2.8178718937399587</v>
      </c>
      <c r="P895" s="19">
        <f t="shared" ca="1" si="296"/>
        <v>28.178718937399587</v>
      </c>
      <c r="Q895" s="19">
        <f t="shared" ca="1" si="297"/>
        <v>28.178718937399587</v>
      </c>
      <c r="R895" s="19">
        <f t="shared" ca="1" si="298"/>
        <v>2.8178718937399587</v>
      </c>
      <c r="S895" s="19">
        <f t="shared" ca="1" si="299"/>
        <v>2.8178718937399587</v>
      </c>
      <c r="T895" s="19">
        <f t="shared" ca="1" si="300"/>
        <v>0</v>
      </c>
      <c r="U895" s="19">
        <f t="shared" ca="1" si="301"/>
        <v>1464.3251747165598</v>
      </c>
      <c r="V895" s="19">
        <f t="shared" ca="1" si="302"/>
        <v>0</v>
      </c>
      <c r="W895" s="82">
        <f t="shared" ca="1" si="303"/>
        <v>1943.620920138889</v>
      </c>
      <c r="X895" s="19">
        <f t="shared" ca="1" si="304"/>
        <v>0</v>
      </c>
      <c r="Y895" s="19">
        <f t="shared" si="305"/>
        <v>0</v>
      </c>
      <c r="Z895" s="82">
        <f t="shared" ca="1" si="306"/>
        <v>1943.620920138889</v>
      </c>
      <c r="AA895" s="19">
        <f t="shared" ca="1" si="307"/>
        <v>0</v>
      </c>
    </row>
    <row r="896" spans="1:27" ht="12.75" customHeight="1" x14ac:dyDescent="0.2">
      <c r="A896">
        <v>2</v>
      </c>
      <c r="B896">
        <v>2</v>
      </c>
      <c r="C896">
        <f t="shared" ca="1" si="286"/>
        <v>6</v>
      </c>
      <c r="D896">
        <f t="shared" ca="1" si="287"/>
        <v>5</v>
      </c>
      <c r="E896">
        <f t="shared" ca="1" si="288"/>
        <v>2</v>
      </c>
      <c r="F896" s="61">
        <f t="shared" ca="1" si="289"/>
        <v>7.0806744524800009E-3</v>
      </c>
      <c r="G896">
        <v>0</v>
      </c>
      <c r="H896">
        <v>1</v>
      </c>
      <c r="I896">
        <v>3</v>
      </c>
      <c r="J896" s="61">
        <f t="shared" ca="1" si="290"/>
        <v>0</v>
      </c>
      <c r="K896" s="61">
        <f t="shared" ca="1" si="291"/>
        <v>0</v>
      </c>
      <c r="L896" s="82">
        <f t="shared" ca="1" si="292"/>
        <v>194</v>
      </c>
      <c r="M896" s="16">
        <f t="shared" ca="1" si="293"/>
        <v>806</v>
      </c>
      <c r="N896" s="3">
        <f t="shared" ca="1" si="294"/>
        <v>5</v>
      </c>
      <c r="O896" s="19">
        <f t="shared" ca="1" si="295"/>
        <v>2.8178718937399587</v>
      </c>
      <c r="P896" s="19">
        <f t="shared" ca="1" si="296"/>
        <v>28.178718937399587</v>
      </c>
      <c r="Q896" s="19">
        <f t="shared" ca="1" si="297"/>
        <v>28.178718937399587</v>
      </c>
      <c r="R896" s="19">
        <f t="shared" ca="1" si="298"/>
        <v>2.8178718937399587</v>
      </c>
      <c r="S896" s="19">
        <f t="shared" ca="1" si="299"/>
        <v>2.8178718937399587</v>
      </c>
      <c r="T896" s="19">
        <f t="shared" ca="1" si="300"/>
        <v>0</v>
      </c>
      <c r="U896" s="19">
        <f t="shared" ca="1" si="301"/>
        <v>1453.3251747165598</v>
      </c>
      <c r="V896" s="19">
        <f t="shared" ca="1" si="302"/>
        <v>0</v>
      </c>
      <c r="W896" s="82">
        <f t="shared" ca="1" si="303"/>
        <v>1457.7156901041667</v>
      </c>
      <c r="X896" s="19">
        <f t="shared" ca="1" si="304"/>
        <v>0</v>
      </c>
      <c r="Y896" s="19">
        <f t="shared" si="305"/>
        <v>0</v>
      </c>
      <c r="Z896" s="82">
        <f t="shared" ca="1" si="306"/>
        <v>1457.7156901041667</v>
      </c>
      <c r="AA896" s="19">
        <f t="shared" ca="1" si="307"/>
        <v>0</v>
      </c>
    </row>
    <row r="897" spans="1:27" ht="12.75" customHeight="1" x14ac:dyDescent="0.2">
      <c r="A897">
        <v>2</v>
      </c>
      <c r="B897">
        <v>2</v>
      </c>
      <c r="C897">
        <f t="shared" ca="1" si="286"/>
        <v>6</v>
      </c>
      <c r="D897">
        <f t="shared" ca="1" si="287"/>
        <v>5</v>
      </c>
      <c r="E897">
        <f t="shared" ca="1" si="288"/>
        <v>2</v>
      </c>
      <c r="F897" s="61">
        <f t="shared" ca="1" si="289"/>
        <v>7.0806744524800009E-3</v>
      </c>
      <c r="G897">
        <v>0</v>
      </c>
      <c r="H897">
        <v>1</v>
      </c>
      <c r="I897">
        <v>2</v>
      </c>
      <c r="J897" s="61">
        <f t="shared" ca="1" si="290"/>
        <v>0</v>
      </c>
      <c r="K897" s="61">
        <f t="shared" ca="1" si="291"/>
        <v>0</v>
      </c>
      <c r="L897" s="82">
        <f t="shared" ca="1" si="292"/>
        <v>183</v>
      </c>
      <c r="M897" s="16">
        <f t="shared" ca="1" si="293"/>
        <v>817</v>
      </c>
      <c r="N897" s="3">
        <f t="shared" ca="1" si="294"/>
        <v>5</v>
      </c>
      <c r="O897" s="19">
        <f t="shared" ca="1" si="295"/>
        <v>2.8178718937399587</v>
      </c>
      <c r="P897" s="19">
        <f t="shared" ca="1" si="296"/>
        <v>28.178718937399587</v>
      </c>
      <c r="Q897" s="19">
        <f t="shared" ca="1" si="297"/>
        <v>28.178718937399587</v>
      </c>
      <c r="R897" s="19">
        <f t="shared" ca="1" si="298"/>
        <v>2.8178718937399587</v>
      </c>
      <c r="S897" s="19">
        <f t="shared" ca="1" si="299"/>
        <v>2.8178718937399587</v>
      </c>
      <c r="T897" s="19">
        <f t="shared" ca="1" si="300"/>
        <v>0</v>
      </c>
      <c r="U897" s="19">
        <f t="shared" ca="1" si="301"/>
        <v>1442.3251747165598</v>
      </c>
      <c r="V897" s="19">
        <f t="shared" ca="1" si="302"/>
        <v>0</v>
      </c>
      <c r="W897" s="82">
        <f t="shared" ca="1" si="303"/>
        <v>971.8104600694445</v>
      </c>
      <c r="X897" s="19">
        <f t="shared" ca="1" si="304"/>
        <v>0</v>
      </c>
      <c r="Y897" s="19">
        <f t="shared" si="305"/>
        <v>0</v>
      </c>
      <c r="Z897" s="82">
        <f t="shared" ca="1" si="306"/>
        <v>971.8104600694445</v>
      </c>
      <c r="AA897" s="19">
        <f t="shared" ca="1" si="307"/>
        <v>0</v>
      </c>
    </row>
    <row r="898" spans="1:27" ht="12.75" customHeight="1" x14ac:dyDescent="0.2">
      <c r="A898">
        <v>2</v>
      </c>
      <c r="B898">
        <v>2</v>
      </c>
      <c r="C898">
        <f t="shared" ca="1" si="286"/>
        <v>6</v>
      </c>
      <c r="D898">
        <f t="shared" ca="1" si="287"/>
        <v>5</v>
      </c>
      <c r="E898">
        <f t="shared" ca="1" si="288"/>
        <v>2</v>
      </c>
      <c r="F898" s="61">
        <f t="shared" ca="1" si="289"/>
        <v>7.0806744524800009E-3</v>
      </c>
      <c r="G898">
        <v>0</v>
      </c>
      <c r="H898">
        <v>1</v>
      </c>
      <c r="I898">
        <v>1</v>
      </c>
      <c r="J898" s="61">
        <f t="shared" ca="1" si="290"/>
        <v>0</v>
      </c>
      <c r="K898" s="61">
        <f t="shared" ca="1" si="291"/>
        <v>0</v>
      </c>
      <c r="L898" s="82">
        <f t="shared" ca="1" si="292"/>
        <v>172</v>
      </c>
      <c r="M898" s="16">
        <f t="shared" ca="1" si="293"/>
        <v>828</v>
      </c>
      <c r="N898" s="3">
        <f t="shared" ca="1" si="294"/>
        <v>5</v>
      </c>
      <c r="O898" s="19">
        <f t="shared" ca="1" si="295"/>
        <v>2.8178718937399587</v>
      </c>
      <c r="P898" s="19">
        <f t="shared" ca="1" si="296"/>
        <v>28.178718937399587</v>
      </c>
      <c r="Q898" s="19">
        <f t="shared" ca="1" si="297"/>
        <v>28.178718937399587</v>
      </c>
      <c r="R898" s="19">
        <f t="shared" ca="1" si="298"/>
        <v>2.8178718937399587</v>
      </c>
      <c r="S898" s="19">
        <f t="shared" ca="1" si="299"/>
        <v>2.8178718937399587</v>
      </c>
      <c r="T898" s="19">
        <f t="shared" ca="1" si="300"/>
        <v>0</v>
      </c>
      <c r="U898" s="19">
        <f t="shared" ca="1" si="301"/>
        <v>1431.3251747165598</v>
      </c>
      <c r="V898" s="19">
        <f t="shared" ca="1" si="302"/>
        <v>0</v>
      </c>
      <c r="W898" s="82">
        <f t="shared" ca="1" si="303"/>
        <v>485.90523003472225</v>
      </c>
      <c r="X898" s="19">
        <f t="shared" ca="1" si="304"/>
        <v>0</v>
      </c>
      <c r="Y898" s="19">
        <f t="shared" si="305"/>
        <v>0</v>
      </c>
      <c r="Z898" s="82">
        <f t="shared" ca="1" si="306"/>
        <v>485.90523003472225</v>
      </c>
      <c r="AA898" s="19">
        <f t="shared" ca="1" si="307"/>
        <v>0</v>
      </c>
    </row>
    <row r="899" spans="1:27" ht="12.75" customHeight="1" x14ac:dyDescent="0.2">
      <c r="A899">
        <v>2</v>
      </c>
      <c r="B899">
        <v>2</v>
      </c>
      <c r="C899">
        <f t="shared" ca="1" si="286"/>
        <v>6</v>
      </c>
      <c r="D899">
        <f t="shared" ca="1" si="287"/>
        <v>5</v>
      </c>
      <c r="E899">
        <f t="shared" ca="1" si="288"/>
        <v>2</v>
      </c>
      <c r="F899" s="61">
        <f t="shared" ca="1" si="289"/>
        <v>7.0806744524800009E-3</v>
      </c>
      <c r="G899">
        <v>0</v>
      </c>
      <c r="H899">
        <v>1</v>
      </c>
      <c r="I899">
        <v>0</v>
      </c>
      <c r="J899" s="61">
        <f t="shared" ca="1" si="290"/>
        <v>0</v>
      </c>
      <c r="K899" s="61">
        <f t="shared" ca="1" si="291"/>
        <v>0</v>
      </c>
      <c r="L899" s="82">
        <f t="shared" ca="1" si="292"/>
        <v>161</v>
      </c>
      <c r="M899" s="16">
        <f t="shared" ca="1" si="293"/>
        <v>839</v>
      </c>
      <c r="N899" s="3">
        <f t="shared" ca="1" si="294"/>
        <v>5</v>
      </c>
      <c r="O899" s="19">
        <f t="shared" ca="1" si="295"/>
        <v>2.8178718937399587</v>
      </c>
      <c r="P899" s="19">
        <f t="shared" ca="1" si="296"/>
        <v>28.178718937399587</v>
      </c>
      <c r="Q899" s="19">
        <f t="shared" ca="1" si="297"/>
        <v>28.178718937399587</v>
      </c>
      <c r="R899" s="19">
        <f t="shared" ca="1" si="298"/>
        <v>2.8178718937399587</v>
      </c>
      <c r="S899" s="19">
        <f t="shared" ca="1" si="299"/>
        <v>2.8178718937399587</v>
      </c>
      <c r="T899" s="19">
        <f t="shared" ca="1" si="300"/>
        <v>0</v>
      </c>
      <c r="U899" s="19">
        <f t="shared" ca="1" si="301"/>
        <v>1420.3251747165598</v>
      </c>
      <c r="V899" s="19">
        <f t="shared" ca="1" si="302"/>
        <v>0</v>
      </c>
      <c r="W899" s="82">
        <f t="shared" ca="1" si="303"/>
        <v>0</v>
      </c>
      <c r="X899" s="19">
        <f t="shared" ca="1" si="304"/>
        <v>0</v>
      </c>
      <c r="Y899" s="19">
        <f t="shared" si="305"/>
        <v>0</v>
      </c>
      <c r="Z899" s="82">
        <f t="shared" ca="1" si="306"/>
        <v>0</v>
      </c>
      <c r="AA899" s="19">
        <f t="shared" ca="1" si="307"/>
        <v>0</v>
      </c>
    </row>
    <row r="900" spans="1:27" ht="12.75" customHeight="1" x14ac:dyDescent="0.2">
      <c r="A900">
        <v>2</v>
      </c>
      <c r="B900">
        <v>2</v>
      </c>
      <c r="C900">
        <f t="shared" ca="1" si="286"/>
        <v>6</v>
      </c>
      <c r="D900">
        <f t="shared" ca="1" si="287"/>
        <v>5</v>
      </c>
      <c r="E900">
        <f t="shared" ca="1" si="288"/>
        <v>2</v>
      </c>
      <c r="F900" s="61">
        <f t="shared" ca="1" si="289"/>
        <v>7.0806744524800009E-3</v>
      </c>
      <c r="G900">
        <v>0</v>
      </c>
      <c r="H900">
        <v>0</v>
      </c>
      <c r="I900">
        <v>7</v>
      </c>
      <c r="J900" s="61">
        <f t="shared" ca="1" si="290"/>
        <v>0</v>
      </c>
      <c r="K900" s="61">
        <f t="shared" ca="1" si="291"/>
        <v>0</v>
      </c>
      <c r="L900" s="82">
        <f t="shared" ca="1" si="292"/>
        <v>77</v>
      </c>
      <c r="M900" s="16">
        <f t="shared" ca="1" si="293"/>
        <v>923</v>
      </c>
      <c r="N900" s="3">
        <f t="shared" ca="1" si="294"/>
        <v>5</v>
      </c>
      <c r="O900" s="19">
        <f t="shared" ca="1" si="295"/>
        <v>2.8178718937399587</v>
      </c>
      <c r="P900" s="19">
        <f t="shared" ca="1" si="296"/>
        <v>28.178718937399587</v>
      </c>
      <c r="Q900" s="19">
        <f t="shared" ca="1" si="297"/>
        <v>28.178718937399587</v>
      </c>
      <c r="R900" s="19">
        <f t="shared" ca="1" si="298"/>
        <v>2.8178718937399587</v>
      </c>
      <c r="S900" s="19">
        <f t="shared" ca="1" si="299"/>
        <v>2.8178718937399587</v>
      </c>
      <c r="T900" s="19">
        <f t="shared" ca="1" si="300"/>
        <v>0</v>
      </c>
      <c r="U900" s="19">
        <f t="shared" ca="1" si="301"/>
        <v>1336.3251747165598</v>
      </c>
      <c r="V900" s="19">
        <f t="shared" ca="1" si="302"/>
        <v>0</v>
      </c>
      <c r="W900" s="82">
        <f t="shared" ca="1" si="303"/>
        <v>3401.3366102430559</v>
      </c>
      <c r="X900" s="19">
        <f t="shared" ca="1" si="304"/>
        <v>0</v>
      </c>
      <c r="Y900" s="19">
        <f t="shared" si="305"/>
        <v>0</v>
      </c>
      <c r="Z900" s="82">
        <f t="shared" ca="1" si="306"/>
        <v>3401.3366102430559</v>
      </c>
      <c r="AA900" s="19">
        <f t="shared" ca="1" si="307"/>
        <v>0</v>
      </c>
    </row>
    <row r="901" spans="1:27" ht="12.75" customHeight="1" x14ac:dyDescent="0.2">
      <c r="A901">
        <v>2</v>
      </c>
      <c r="B901">
        <v>2</v>
      </c>
      <c r="C901">
        <f t="shared" ca="1" si="286"/>
        <v>6</v>
      </c>
      <c r="D901">
        <f t="shared" ca="1" si="287"/>
        <v>5</v>
      </c>
      <c r="E901">
        <f t="shared" ca="1" si="288"/>
        <v>2</v>
      </c>
      <c r="F901" s="61">
        <f t="shared" ca="1" si="289"/>
        <v>7.0806744524800009E-3</v>
      </c>
      <c r="G901">
        <v>0</v>
      </c>
      <c r="H901">
        <v>0</v>
      </c>
      <c r="I901">
        <v>6</v>
      </c>
      <c r="J901" s="61">
        <f t="shared" ca="1" si="290"/>
        <v>0</v>
      </c>
      <c r="K901" s="61">
        <f t="shared" ca="1" si="291"/>
        <v>0</v>
      </c>
      <c r="L901" s="82">
        <f t="shared" ca="1" si="292"/>
        <v>66</v>
      </c>
      <c r="M901" s="16">
        <f t="shared" ca="1" si="293"/>
        <v>934</v>
      </c>
      <c r="N901" s="3">
        <f t="shared" ca="1" si="294"/>
        <v>5</v>
      </c>
      <c r="O901" s="19">
        <f t="shared" ca="1" si="295"/>
        <v>2.8178718937399587</v>
      </c>
      <c r="P901" s="19">
        <f t="shared" ca="1" si="296"/>
        <v>28.178718937399587</v>
      </c>
      <c r="Q901" s="19">
        <f t="shared" ca="1" si="297"/>
        <v>28.178718937399587</v>
      </c>
      <c r="R901" s="19">
        <f t="shared" ca="1" si="298"/>
        <v>2.8178718937399587</v>
      </c>
      <c r="S901" s="19">
        <f t="shared" ca="1" si="299"/>
        <v>2.8178718937399587</v>
      </c>
      <c r="T901" s="19">
        <f t="shared" ca="1" si="300"/>
        <v>0</v>
      </c>
      <c r="U901" s="19">
        <f t="shared" ca="1" si="301"/>
        <v>1325.3251747165598</v>
      </c>
      <c r="V901" s="19">
        <f t="shared" ca="1" si="302"/>
        <v>0</v>
      </c>
      <c r="W901" s="82">
        <f t="shared" ca="1" si="303"/>
        <v>2915.4313802083334</v>
      </c>
      <c r="X901" s="19">
        <f t="shared" ca="1" si="304"/>
        <v>0</v>
      </c>
      <c r="Y901" s="19">
        <f t="shared" si="305"/>
        <v>0</v>
      </c>
      <c r="Z901" s="82">
        <f t="shared" ca="1" si="306"/>
        <v>2915.4313802083334</v>
      </c>
      <c r="AA901" s="19">
        <f t="shared" ca="1" si="307"/>
        <v>0</v>
      </c>
    </row>
    <row r="902" spans="1:27" ht="12.75" customHeight="1" x14ac:dyDescent="0.2">
      <c r="A902">
        <v>2</v>
      </c>
      <c r="B902">
        <v>2</v>
      </c>
      <c r="C902">
        <f t="shared" ca="1" si="286"/>
        <v>6</v>
      </c>
      <c r="D902">
        <f t="shared" ca="1" si="287"/>
        <v>5</v>
      </c>
      <c r="E902">
        <f t="shared" ca="1" si="288"/>
        <v>2</v>
      </c>
      <c r="F902" s="61">
        <f t="shared" ca="1" si="289"/>
        <v>7.0806744524800009E-3</v>
      </c>
      <c r="G902">
        <v>0</v>
      </c>
      <c r="H902">
        <v>0</v>
      </c>
      <c r="I902">
        <v>5</v>
      </c>
      <c r="J902" s="61">
        <f t="shared" ca="1" si="290"/>
        <v>3.8689046875000001E-2</v>
      </c>
      <c r="K902" s="61">
        <f t="shared" ca="1" si="291"/>
        <v>2.7394454579861369E-4</v>
      </c>
      <c r="L902" s="82">
        <f t="shared" ca="1" si="292"/>
        <v>55</v>
      </c>
      <c r="M902" s="16">
        <f t="shared" ca="1" si="293"/>
        <v>945</v>
      </c>
      <c r="N902" s="3">
        <f t="shared" ca="1" si="294"/>
        <v>5</v>
      </c>
      <c r="O902" s="19">
        <f t="shared" ca="1" si="295"/>
        <v>2.8178718937399587</v>
      </c>
      <c r="P902" s="19">
        <f t="shared" ca="1" si="296"/>
        <v>28.178718937399587</v>
      </c>
      <c r="Q902" s="19">
        <f t="shared" ca="1" si="297"/>
        <v>28.178718937399587</v>
      </c>
      <c r="R902" s="19">
        <f t="shared" ca="1" si="298"/>
        <v>2.8178718937399587</v>
      </c>
      <c r="S902" s="19">
        <f t="shared" ca="1" si="299"/>
        <v>2.8178718937399587</v>
      </c>
      <c r="T902" s="19">
        <f t="shared" ca="1" si="300"/>
        <v>7.7194063604927243E-4</v>
      </c>
      <c r="U902" s="19">
        <f t="shared" ca="1" si="301"/>
        <v>1314.3251747165598</v>
      </c>
      <c r="V902" s="19">
        <f t="shared" ca="1" si="302"/>
        <v>0.36005221301941154</v>
      </c>
      <c r="W902" s="82">
        <f t="shared" ca="1" si="303"/>
        <v>2429.5261501736113</v>
      </c>
      <c r="X902" s="19">
        <f t="shared" ca="1" si="304"/>
        <v>0.66555543771516446</v>
      </c>
      <c r="Y902" s="19">
        <f t="shared" si="305"/>
        <v>0</v>
      </c>
      <c r="Z902" s="82">
        <f t="shared" ca="1" si="306"/>
        <v>2429.5261501736113</v>
      </c>
      <c r="AA902" s="19">
        <f t="shared" ca="1" si="307"/>
        <v>0.66555543771516446</v>
      </c>
    </row>
    <row r="903" spans="1:27" ht="12.75" customHeight="1" x14ac:dyDescent="0.2">
      <c r="A903">
        <v>2</v>
      </c>
      <c r="B903">
        <v>2</v>
      </c>
      <c r="C903">
        <f t="shared" ca="1" si="286"/>
        <v>6</v>
      </c>
      <c r="D903">
        <f t="shared" ca="1" si="287"/>
        <v>5</v>
      </c>
      <c r="E903">
        <f t="shared" ca="1" si="288"/>
        <v>2</v>
      </c>
      <c r="F903" s="61">
        <f t="shared" ca="1" si="289"/>
        <v>7.0806744524800009E-3</v>
      </c>
      <c r="G903">
        <v>0</v>
      </c>
      <c r="H903">
        <v>0</v>
      </c>
      <c r="I903">
        <v>4</v>
      </c>
      <c r="J903" s="61">
        <f t="shared" ca="1" si="290"/>
        <v>1.0181328125000009E-2</v>
      </c>
      <c r="K903" s="61">
        <f t="shared" ca="1" si="291"/>
        <v>7.2090669947003671E-5</v>
      </c>
      <c r="L903" s="82">
        <f t="shared" ca="1" si="292"/>
        <v>44</v>
      </c>
      <c r="M903" s="16">
        <f t="shared" ca="1" si="293"/>
        <v>956</v>
      </c>
      <c r="N903" s="3">
        <f t="shared" ca="1" si="294"/>
        <v>6</v>
      </c>
      <c r="O903" s="19">
        <f t="shared" ca="1" si="295"/>
        <v>3.3239268932937667</v>
      </c>
      <c r="P903" s="19">
        <f t="shared" ca="1" si="296"/>
        <v>33.239268932937669</v>
      </c>
      <c r="Q903" s="19">
        <f t="shared" ca="1" si="297"/>
        <v>28.178718937399587</v>
      </c>
      <c r="R903" s="19">
        <f t="shared" ca="1" si="298"/>
        <v>3.0708993935168629</v>
      </c>
      <c r="S903" s="19">
        <f t="shared" ca="1" si="299"/>
        <v>3.3239268932937667</v>
      </c>
      <c r="T903" s="19">
        <f t="shared" ca="1" si="300"/>
        <v>2.3962411659241023E-4</v>
      </c>
      <c r="U903" s="19">
        <f t="shared" ca="1" si="301"/>
        <v>1495.4024523027438</v>
      </c>
      <c r="V903" s="19">
        <f t="shared" ca="1" si="302"/>
        <v>0.107804564626897</v>
      </c>
      <c r="W903" s="82">
        <f t="shared" ca="1" si="303"/>
        <v>1943.620920138889</v>
      </c>
      <c r="X903" s="19">
        <f t="shared" ca="1" si="304"/>
        <v>0.14011693425582422</v>
      </c>
      <c r="Y903" s="19">
        <f t="shared" si="305"/>
        <v>0</v>
      </c>
      <c r="Z903" s="82">
        <f t="shared" ca="1" si="306"/>
        <v>1943.620920138889</v>
      </c>
      <c r="AA903" s="19">
        <f t="shared" ca="1" si="307"/>
        <v>0.14011693425582422</v>
      </c>
    </row>
    <row r="904" spans="1:27" ht="12.75" customHeight="1" x14ac:dyDescent="0.2">
      <c r="A904">
        <v>2</v>
      </c>
      <c r="B904">
        <v>2</v>
      </c>
      <c r="C904">
        <f t="shared" ca="1" si="286"/>
        <v>6</v>
      </c>
      <c r="D904">
        <f t="shared" ca="1" si="287"/>
        <v>5</v>
      </c>
      <c r="E904">
        <f t="shared" ca="1" si="288"/>
        <v>2</v>
      </c>
      <c r="F904" s="61">
        <f t="shared" ca="1" si="289"/>
        <v>7.0806744524800009E-3</v>
      </c>
      <c r="G904">
        <v>0</v>
      </c>
      <c r="H904">
        <v>0</v>
      </c>
      <c r="I904">
        <v>3</v>
      </c>
      <c r="J904" s="61">
        <f t="shared" ca="1" si="290"/>
        <v>1.0717187500000017E-3</v>
      </c>
      <c r="K904" s="61">
        <f t="shared" ca="1" si="291"/>
        <v>7.5884915733688126E-6</v>
      </c>
      <c r="L904" s="82">
        <f t="shared" ca="1" si="292"/>
        <v>33</v>
      </c>
      <c r="M904" s="16">
        <f t="shared" ca="1" si="293"/>
        <v>967</v>
      </c>
      <c r="N904" s="3">
        <f t="shared" ca="1" si="294"/>
        <v>6</v>
      </c>
      <c r="O904" s="19">
        <f t="shared" ca="1" si="295"/>
        <v>3.3239268932937667</v>
      </c>
      <c r="P904" s="19">
        <f t="shared" ca="1" si="296"/>
        <v>33.239268932937669</v>
      </c>
      <c r="Q904" s="19">
        <f t="shared" ca="1" si="297"/>
        <v>33.239268932937669</v>
      </c>
      <c r="R904" s="19">
        <f t="shared" ca="1" si="298"/>
        <v>3.3239268932937671</v>
      </c>
      <c r="S904" s="19">
        <f t="shared" ca="1" si="299"/>
        <v>3.3239268932937667</v>
      </c>
      <c r="T904" s="19">
        <f t="shared" ca="1" si="300"/>
        <v>2.5223591220253725E-5</v>
      </c>
      <c r="U904" s="19">
        <f t="shared" ca="1" si="301"/>
        <v>1484.4024523027438</v>
      </c>
      <c r="V904" s="19">
        <f t="shared" ca="1" si="302"/>
        <v>1.1264375500787372E-2</v>
      </c>
      <c r="W904" s="82">
        <f t="shared" ca="1" si="303"/>
        <v>1457.7156901041667</v>
      </c>
      <c r="X904" s="19">
        <f t="shared" ca="1" si="304"/>
        <v>1.1061863230722972E-2</v>
      </c>
      <c r="Y904" s="19">
        <f t="shared" si="305"/>
        <v>0</v>
      </c>
      <c r="Z904" s="82">
        <f t="shared" ca="1" si="306"/>
        <v>1457.7156901041667</v>
      </c>
      <c r="AA904" s="19">
        <f t="shared" ca="1" si="307"/>
        <v>1.1061863230722972E-2</v>
      </c>
    </row>
    <row r="905" spans="1:27" ht="12.75" customHeight="1" x14ac:dyDescent="0.2">
      <c r="A905">
        <v>2</v>
      </c>
      <c r="B905">
        <v>2</v>
      </c>
      <c r="C905">
        <f t="shared" ca="1" si="286"/>
        <v>6</v>
      </c>
      <c r="D905">
        <f t="shared" ca="1" si="287"/>
        <v>5</v>
      </c>
      <c r="E905">
        <f t="shared" ca="1" si="288"/>
        <v>2</v>
      </c>
      <c r="F905" s="61">
        <f t="shared" ca="1" si="289"/>
        <v>7.0806744524800009E-3</v>
      </c>
      <c r="G905">
        <v>0</v>
      </c>
      <c r="H905">
        <v>0</v>
      </c>
      <c r="I905">
        <v>2</v>
      </c>
      <c r="J905" s="61">
        <f t="shared" ca="1" si="290"/>
        <v>5.6406250000000155E-5</v>
      </c>
      <c r="K905" s="61">
        <f t="shared" ca="1" si="291"/>
        <v>3.9939429333520115E-7</v>
      </c>
      <c r="L905" s="82">
        <f t="shared" ca="1" si="292"/>
        <v>22</v>
      </c>
      <c r="M905" s="16">
        <f t="shared" ca="1" si="293"/>
        <v>978</v>
      </c>
      <c r="N905" s="3">
        <f t="shared" ca="1" si="294"/>
        <v>6</v>
      </c>
      <c r="O905" s="19">
        <f t="shared" ca="1" si="295"/>
        <v>3.3239268932937667</v>
      </c>
      <c r="P905" s="19">
        <f t="shared" ca="1" si="296"/>
        <v>33.239268932937669</v>
      </c>
      <c r="Q905" s="19">
        <f t="shared" ca="1" si="297"/>
        <v>33.239268932937669</v>
      </c>
      <c r="R905" s="19">
        <f t="shared" ca="1" si="298"/>
        <v>3.3239268932937671</v>
      </c>
      <c r="S905" s="19">
        <f t="shared" ca="1" si="299"/>
        <v>3.3239268932937667</v>
      </c>
      <c r="T905" s="19">
        <f t="shared" ca="1" si="300"/>
        <v>1.3275574326449344E-6</v>
      </c>
      <c r="U905" s="19">
        <f t="shared" ca="1" si="301"/>
        <v>1473.4024523027438</v>
      </c>
      <c r="V905" s="19">
        <f t="shared" ca="1" si="302"/>
        <v>5.8846853123580673E-4</v>
      </c>
      <c r="W905" s="82">
        <f t="shared" ca="1" si="303"/>
        <v>971.8104600694445</v>
      </c>
      <c r="X905" s="19">
        <f t="shared" ca="1" si="304"/>
        <v>3.881355519551925E-4</v>
      </c>
      <c r="Y905" s="19">
        <f t="shared" si="305"/>
        <v>0</v>
      </c>
      <c r="Z905" s="82">
        <f t="shared" ca="1" si="306"/>
        <v>971.8104600694445</v>
      </c>
      <c r="AA905" s="19">
        <f t="shared" ca="1" si="307"/>
        <v>3.881355519551925E-4</v>
      </c>
    </row>
    <row r="906" spans="1:27" ht="12.75" customHeight="1" x14ac:dyDescent="0.2">
      <c r="A906">
        <v>2</v>
      </c>
      <c r="B906">
        <v>2</v>
      </c>
      <c r="C906">
        <f t="shared" ca="1" si="286"/>
        <v>6</v>
      </c>
      <c r="D906">
        <f t="shared" ca="1" si="287"/>
        <v>5</v>
      </c>
      <c r="E906">
        <f t="shared" ca="1" si="288"/>
        <v>2</v>
      </c>
      <c r="F906" s="61">
        <f t="shared" ca="1" si="289"/>
        <v>7.0806744524800009E-3</v>
      </c>
      <c r="G906">
        <v>0</v>
      </c>
      <c r="H906">
        <v>0</v>
      </c>
      <c r="I906">
        <v>1</v>
      </c>
      <c r="J906" s="61">
        <f t="shared" ca="1" si="290"/>
        <v>1.4843750000000054E-6</v>
      </c>
      <c r="K906" s="61">
        <f t="shared" ca="1" si="291"/>
        <v>1.0510376140400039E-8</v>
      </c>
      <c r="L906" s="82">
        <f t="shared" ca="1" si="292"/>
        <v>11</v>
      </c>
      <c r="M906" s="16">
        <f t="shared" ca="1" si="293"/>
        <v>989</v>
      </c>
      <c r="N906" s="3">
        <f t="shared" ca="1" si="294"/>
        <v>6</v>
      </c>
      <c r="O906" s="19">
        <f t="shared" ca="1" si="295"/>
        <v>3.3239268932937667</v>
      </c>
      <c r="P906" s="19">
        <f t="shared" ca="1" si="296"/>
        <v>33.239268932937669</v>
      </c>
      <c r="Q906" s="19">
        <f t="shared" ca="1" si="297"/>
        <v>33.239268932937669</v>
      </c>
      <c r="R906" s="19">
        <f t="shared" ca="1" si="298"/>
        <v>3.3239268932937671</v>
      </c>
      <c r="S906" s="19">
        <f t="shared" ca="1" si="299"/>
        <v>3.3239268932937667</v>
      </c>
      <c r="T906" s="19">
        <f t="shared" ca="1" si="300"/>
        <v>3.4935721911708833E-8</v>
      </c>
      <c r="U906" s="19">
        <f t="shared" ca="1" si="301"/>
        <v>1462.4024523027438</v>
      </c>
      <c r="V906" s="19">
        <f t="shared" ca="1" si="302"/>
        <v>1.5370399842345265E-5</v>
      </c>
      <c r="W906" s="82">
        <f t="shared" ca="1" si="303"/>
        <v>485.90523003472225</v>
      </c>
      <c r="X906" s="19">
        <f t="shared" ca="1" si="304"/>
        <v>5.1070467362525375E-6</v>
      </c>
      <c r="Y906" s="19">
        <f t="shared" si="305"/>
        <v>0</v>
      </c>
      <c r="Z906" s="82">
        <f t="shared" ca="1" si="306"/>
        <v>485.90523003472225</v>
      </c>
      <c r="AA906" s="19">
        <f t="shared" ca="1" si="307"/>
        <v>5.1070467362525375E-6</v>
      </c>
    </row>
    <row r="907" spans="1:27" ht="12.75" customHeight="1" x14ac:dyDescent="0.2">
      <c r="A907">
        <v>2</v>
      </c>
      <c r="B907">
        <v>2</v>
      </c>
      <c r="C907">
        <f t="shared" ca="1" si="286"/>
        <v>6</v>
      </c>
      <c r="D907">
        <f t="shared" ca="1" si="287"/>
        <v>5</v>
      </c>
      <c r="E907">
        <f t="shared" ca="1" si="288"/>
        <v>2</v>
      </c>
      <c r="F907" s="61">
        <f t="shared" ca="1" si="289"/>
        <v>7.0806744524800009E-3</v>
      </c>
      <c r="G907">
        <v>0</v>
      </c>
      <c r="H907">
        <v>0</v>
      </c>
      <c r="I907">
        <v>0</v>
      </c>
      <c r="J907" s="61">
        <f t="shared" ca="1" si="290"/>
        <v>1.5625000000000072E-8</v>
      </c>
      <c r="K907" s="61">
        <f t="shared" ca="1" si="291"/>
        <v>1.1063553832000052E-10</v>
      </c>
      <c r="L907" s="82">
        <f t="shared" ca="1" si="292"/>
        <v>0</v>
      </c>
      <c r="M907" s="16">
        <f t="shared" ca="1" si="293"/>
        <v>1000</v>
      </c>
      <c r="N907" s="3">
        <f t="shared" ca="1" si="294"/>
        <v>6</v>
      </c>
      <c r="O907" s="19">
        <f t="shared" ca="1" si="295"/>
        <v>3.3239268932937667</v>
      </c>
      <c r="P907" s="19">
        <f t="shared" ca="1" si="296"/>
        <v>33.239268932937669</v>
      </c>
      <c r="Q907" s="19">
        <f t="shared" ca="1" si="297"/>
        <v>33.239268932937669</v>
      </c>
      <c r="R907" s="19">
        <f t="shared" ca="1" si="298"/>
        <v>3.3239268932937671</v>
      </c>
      <c r="S907" s="19">
        <f t="shared" ca="1" si="299"/>
        <v>3.3239268932937667</v>
      </c>
      <c r="T907" s="19">
        <f t="shared" ca="1" si="300"/>
        <v>3.6774444117588283E-10</v>
      </c>
      <c r="U907" s="19">
        <f t="shared" ca="1" si="301"/>
        <v>1451.4024523027438</v>
      </c>
      <c r="V907" s="19">
        <f t="shared" ca="1" si="302"/>
        <v>1.6057669162948292E-7</v>
      </c>
      <c r="W907" s="82">
        <f t="shared" ca="1" si="303"/>
        <v>0</v>
      </c>
      <c r="X907" s="19">
        <f t="shared" ca="1" si="304"/>
        <v>0</v>
      </c>
      <c r="Y907" s="19">
        <f t="shared" si="305"/>
        <v>0</v>
      </c>
      <c r="Z907" s="82">
        <f t="shared" ca="1" si="306"/>
        <v>0</v>
      </c>
      <c r="AA907" s="19">
        <f t="shared" ca="1" si="307"/>
        <v>0</v>
      </c>
    </row>
    <row r="908" spans="1:27" ht="12.75" customHeight="1" x14ac:dyDescent="0.2">
      <c r="A908">
        <v>2</v>
      </c>
      <c r="B908">
        <v>3</v>
      </c>
      <c r="C908">
        <f t="shared" ca="1" si="286"/>
        <v>7</v>
      </c>
      <c r="D908">
        <f t="shared" ca="1" si="287"/>
        <v>6</v>
      </c>
      <c r="E908">
        <f t="shared" ca="1" si="288"/>
        <v>2</v>
      </c>
      <c r="F908" s="61">
        <f t="shared" ca="1" si="289"/>
        <v>5.4747482880000004E-3</v>
      </c>
      <c r="G908">
        <v>1</v>
      </c>
      <c r="H908">
        <v>1</v>
      </c>
      <c r="I908">
        <v>7</v>
      </c>
      <c r="J908" s="61">
        <f t="shared" ca="1" si="290"/>
        <v>0</v>
      </c>
      <c r="K908" s="61">
        <f t="shared" ca="1" si="291"/>
        <v>0</v>
      </c>
      <c r="L908" s="82">
        <f t="shared" ca="1" si="292"/>
        <v>399</v>
      </c>
      <c r="M908" s="16">
        <f t="shared" ca="1" si="293"/>
        <v>601</v>
      </c>
      <c r="N908" s="3">
        <f t="shared" ca="1" si="294"/>
        <v>4</v>
      </c>
      <c r="O908" s="19">
        <f t="shared" ca="1" si="295"/>
        <v>2.3453053758100548</v>
      </c>
      <c r="P908" s="19">
        <f t="shared" ca="1" si="296"/>
        <v>23.453053758100552</v>
      </c>
      <c r="Q908" s="19">
        <f t="shared" ca="1" si="297"/>
        <v>23.453053758100552</v>
      </c>
      <c r="R908" s="19">
        <f t="shared" ca="1" si="298"/>
        <v>2.3453053758100553</v>
      </c>
      <c r="S908" s="19">
        <f t="shared" ca="1" si="299"/>
        <v>2.3453053758100548</v>
      </c>
      <c r="T908" s="19">
        <f t="shared" ca="1" si="300"/>
        <v>0</v>
      </c>
      <c r="U908" s="19">
        <f t="shared" ca="1" si="301"/>
        <v>1478.9587218163997</v>
      </c>
      <c r="V908" s="19">
        <f t="shared" ca="1" si="302"/>
        <v>0</v>
      </c>
      <c r="W908" s="82">
        <f t="shared" ca="1" si="303"/>
        <v>5718.7981307870377</v>
      </c>
      <c r="X908" s="19">
        <f t="shared" ca="1" si="304"/>
        <v>0</v>
      </c>
      <c r="Y908" s="19">
        <f t="shared" si="305"/>
        <v>0</v>
      </c>
      <c r="Z908" s="82">
        <f t="shared" ca="1" si="306"/>
        <v>5718.7981307870377</v>
      </c>
      <c r="AA908" s="19">
        <f t="shared" ca="1" si="307"/>
        <v>0</v>
      </c>
    </row>
    <row r="909" spans="1:27" ht="12.75" customHeight="1" x14ac:dyDescent="0.2">
      <c r="A909">
        <v>2</v>
      </c>
      <c r="B909">
        <v>3</v>
      </c>
      <c r="C909">
        <f t="shared" ca="1" si="286"/>
        <v>7</v>
      </c>
      <c r="D909">
        <f t="shared" ca="1" si="287"/>
        <v>6</v>
      </c>
      <c r="E909">
        <f t="shared" ca="1" si="288"/>
        <v>2</v>
      </c>
      <c r="F909" s="61">
        <f t="shared" ca="1" si="289"/>
        <v>5.4747482880000004E-3</v>
      </c>
      <c r="G909">
        <v>1</v>
      </c>
      <c r="H909">
        <v>1</v>
      </c>
      <c r="I909">
        <v>6</v>
      </c>
      <c r="J909" s="61">
        <f t="shared" ca="1" si="290"/>
        <v>0</v>
      </c>
      <c r="K909" s="61">
        <f t="shared" ca="1" si="291"/>
        <v>0</v>
      </c>
      <c r="L909" s="82">
        <f t="shared" ca="1" si="292"/>
        <v>388</v>
      </c>
      <c r="M909" s="16">
        <f t="shared" ca="1" si="293"/>
        <v>612</v>
      </c>
      <c r="N909" s="3">
        <f t="shared" ca="1" si="294"/>
        <v>4</v>
      </c>
      <c r="O909" s="19">
        <f t="shared" ca="1" si="295"/>
        <v>2.3453053758100548</v>
      </c>
      <c r="P909" s="19">
        <f t="shared" ca="1" si="296"/>
        <v>23.453053758100552</v>
      </c>
      <c r="Q909" s="19">
        <f t="shared" ca="1" si="297"/>
        <v>23.453053758100552</v>
      </c>
      <c r="R909" s="19">
        <f t="shared" ca="1" si="298"/>
        <v>2.3453053758100553</v>
      </c>
      <c r="S909" s="19">
        <f t="shared" ca="1" si="299"/>
        <v>2.3453053758100548</v>
      </c>
      <c r="T909" s="19">
        <f t="shared" ca="1" si="300"/>
        <v>0</v>
      </c>
      <c r="U909" s="19">
        <f t="shared" ca="1" si="301"/>
        <v>1467.9587218163997</v>
      </c>
      <c r="V909" s="19">
        <f t="shared" ca="1" si="302"/>
        <v>0</v>
      </c>
      <c r="W909" s="82">
        <f t="shared" ca="1" si="303"/>
        <v>5232.8929007523147</v>
      </c>
      <c r="X909" s="19">
        <f t="shared" ca="1" si="304"/>
        <v>0</v>
      </c>
      <c r="Y909" s="19">
        <f t="shared" si="305"/>
        <v>0</v>
      </c>
      <c r="Z909" s="82">
        <f t="shared" ca="1" si="306"/>
        <v>5232.8929007523147</v>
      </c>
      <c r="AA909" s="19">
        <f t="shared" ca="1" si="307"/>
        <v>0</v>
      </c>
    </row>
    <row r="910" spans="1:27" ht="12.75" customHeight="1" x14ac:dyDescent="0.2">
      <c r="A910">
        <v>2</v>
      </c>
      <c r="B910">
        <v>3</v>
      </c>
      <c r="C910">
        <f t="shared" ca="1" si="286"/>
        <v>7</v>
      </c>
      <c r="D910">
        <f t="shared" ca="1" si="287"/>
        <v>6</v>
      </c>
      <c r="E910">
        <f t="shared" ca="1" si="288"/>
        <v>2</v>
      </c>
      <c r="F910" s="61">
        <f t="shared" ca="1" si="289"/>
        <v>5.4747482880000004E-3</v>
      </c>
      <c r="G910">
        <v>1</v>
      </c>
      <c r="H910">
        <v>1</v>
      </c>
      <c r="I910">
        <v>5</v>
      </c>
      <c r="J910" s="61">
        <f t="shared" ca="1" si="290"/>
        <v>0</v>
      </c>
      <c r="K910" s="61">
        <f t="shared" ca="1" si="291"/>
        <v>0</v>
      </c>
      <c r="L910" s="82">
        <f t="shared" ca="1" si="292"/>
        <v>377</v>
      </c>
      <c r="M910" s="16">
        <f t="shared" ca="1" si="293"/>
        <v>623</v>
      </c>
      <c r="N910" s="3">
        <f t="shared" ca="1" si="294"/>
        <v>4</v>
      </c>
      <c r="O910" s="19">
        <f t="shared" ca="1" si="295"/>
        <v>2.3453053758100548</v>
      </c>
      <c r="P910" s="19">
        <f t="shared" ca="1" si="296"/>
        <v>23.453053758100552</v>
      </c>
      <c r="Q910" s="19">
        <f t="shared" ca="1" si="297"/>
        <v>23.453053758100552</v>
      </c>
      <c r="R910" s="19">
        <f t="shared" ca="1" si="298"/>
        <v>2.3453053758100553</v>
      </c>
      <c r="S910" s="19">
        <f t="shared" ca="1" si="299"/>
        <v>2.3453053758100548</v>
      </c>
      <c r="T910" s="19">
        <f t="shared" ca="1" si="300"/>
        <v>0</v>
      </c>
      <c r="U910" s="19">
        <f t="shared" ca="1" si="301"/>
        <v>1456.9587218163997</v>
      </c>
      <c r="V910" s="19">
        <f t="shared" ca="1" si="302"/>
        <v>0</v>
      </c>
      <c r="W910" s="82">
        <f t="shared" ca="1" si="303"/>
        <v>4746.9876707175936</v>
      </c>
      <c r="X910" s="19">
        <f t="shared" ca="1" si="304"/>
        <v>0</v>
      </c>
      <c r="Y910" s="19">
        <f t="shared" si="305"/>
        <v>0</v>
      </c>
      <c r="Z910" s="82">
        <f t="shared" ca="1" si="306"/>
        <v>4746.9876707175936</v>
      </c>
      <c r="AA910" s="19">
        <f t="shared" ca="1" si="307"/>
        <v>0</v>
      </c>
    </row>
    <row r="911" spans="1:27" ht="12.75" customHeight="1" x14ac:dyDescent="0.2">
      <c r="A911">
        <v>2</v>
      </c>
      <c r="B911">
        <v>3</v>
      </c>
      <c r="C911">
        <f t="shared" ca="1" si="286"/>
        <v>7</v>
      </c>
      <c r="D911">
        <f t="shared" ca="1" si="287"/>
        <v>6</v>
      </c>
      <c r="E911">
        <f t="shared" ca="1" si="288"/>
        <v>2</v>
      </c>
      <c r="F911" s="61">
        <f t="shared" ca="1" si="289"/>
        <v>5.4747482880000004E-3</v>
      </c>
      <c r="G911">
        <v>1</v>
      </c>
      <c r="H911">
        <v>1</v>
      </c>
      <c r="I911">
        <v>4</v>
      </c>
      <c r="J911" s="61">
        <f t="shared" ca="1" si="290"/>
        <v>0</v>
      </c>
      <c r="K911" s="61">
        <f t="shared" ca="1" si="291"/>
        <v>0</v>
      </c>
      <c r="L911" s="82">
        <f t="shared" ca="1" si="292"/>
        <v>366</v>
      </c>
      <c r="M911" s="16">
        <f t="shared" ca="1" si="293"/>
        <v>634</v>
      </c>
      <c r="N911" s="3">
        <f t="shared" ca="1" si="294"/>
        <v>4</v>
      </c>
      <c r="O911" s="19">
        <f t="shared" ca="1" si="295"/>
        <v>2.3453053758100548</v>
      </c>
      <c r="P911" s="19">
        <f t="shared" ca="1" si="296"/>
        <v>23.453053758100552</v>
      </c>
      <c r="Q911" s="19">
        <f t="shared" ca="1" si="297"/>
        <v>23.453053758100552</v>
      </c>
      <c r="R911" s="19">
        <f t="shared" ca="1" si="298"/>
        <v>2.3453053758100553</v>
      </c>
      <c r="S911" s="19">
        <f t="shared" ca="1" si="299"/>
        <v>2.3453053758100548</v>
      </c>
      <c r="T911" s="19">
        <f t="shared" ca="1" si="300"/>
        <v>0</v>
      </c>
      <c r="U911" s="19">
        <f t="shared" ca="1" si="301"/>
        <v>1445.9587218163997</v>
      </c>
      <c r="V911" s="19">
        <f t="shared" ca="1" si="302"/>
        <v>0</v>
      </c>
      <c r="W911" s="82">
        <f t="shared" ca="1" si="303"/>
        <v>4261.0824406828706</v>
      </c>
      <c r="X911" s="19">
        <f t="shared" ca="1" si="304"/>
        <v>0</v>
      </c>
      <c r="Y911" s="19">
        <f t="shared" si="305"/>
        <v>0</v>
      </c>
      <c r="Z911" s="82">
        <f t="shared" ca="1" si="306"/>
        <v>4261.0824406828706</v>
      </c>
      <c r="AA911" s="19">
        <f t="shared" ca="1" si="307"/>
        <v>0</v>
      </c>
    </row>
    <row r="912" spans="1:27" ht="12.75" customHeight="1" x14ac:dyDescent="0.2">
      <c r="A912">
        <v>2</v>
      </c>
      <c r="B912">
        <v>3</v>
      </c>
      <c r="C912">
        <f t="shared" ca="1" si="286"/>
        <v>7</v>
      </c>
      <c r="D912">
        <f t="shared" ca="1" si="287"/>
        <v>6</v>
      </c>
      <c r="E912">
        <f t="shared" ca="1" si="288"/>
        <v>2</v>
      </c>
      <c r="F912" s="61">
        <f t="shared" ca="1" si="289"/>
        <v>5.4747482880000004E-3</v>
      </c>
      <c r="G912">
        <v>1</v>
      </c>
      <c r="H912">
        <v>1</v>
      </c>
      <c r="I912">
        <v>3</v>
      </c>
      <c r="J912" s="61">
        <f t="shared" ca="1" si="290"/>
        <v>0</v>
      </c>
      <c r="K912" s="61">
        <f t="shared" ca="1" si="291"/>
        <v>0</v>
      </c>
      <c r="L912" s="82">
        <f t="shared" ca="1" si="292"/>
        <v>355</v>
      </c>
      <c r="M912" s="16">
        <f t="shared" ca="1" si="293"/>
        <v>645</v>
      </c>
      <c r="N912" s="3">
        <f t="shared" ca="1" si="294"/>
        <v>4</v>
      </c>
      <c r="O912" s="19">
        <f t="shared" ca="1" si="295"/>
        <v>2.3453053758100548</v>
      </c>
      <c r="P912" s="19">
        <f t="shared" ca="1" si="296"/>
        <v>23.453053758100552</v>
      </c>
      <c r="Q912" s="19">
        <f t="shared" ca="1" si="297"/>
        <v>23.453053758100552</v>
      </c>
      <c r="R912" s="19">
        <f t="shared" ca="1" si="298"/>
        <v>2.3453053758100553</v>
      </c>
      <c r="S912" s="19">
        <f t="shared" ca="1" si="299"/>
        <v>2.3453053758100548</v>
      </c>
      <c r="T912" s="19">
        <f t="shared" ca="1" si="300"/>
        <v>0</v>
      </c>
      <c r="U912" s="19">
        <f t="shared" ca="1" si="301"/>
        <v>1434.9587218163997</v>
      </c>
      <c r="V912" s="19">
        <f t="shared" ca="1" si="302"/>
        <v>0</v>
      </c>
      <c r="W912" s="82">
        <f t="shared" ca="1" si="303"/>
        <v>3775.1772106481485</v>
      </c>
      <c r="X912" s="19">
        <f t="shared" ca="1" si="304"/>
        <v>0</v>
      </c>
      <c r="Y912" s="19">
        <f t="shared" si="305"/>
        <v>0</v>
      </c>
      <c r="Z912" s="82">
        <f t="shared" ca="1" si="306"/>
        <v>3775.1772106481485</v>
      </c>
      <c r="AA912" s="19">
        <f t="shared" ca="1" si="307"/>
        <v>0</v>
      </c>
    </row>
    <row r="913" spans="1:27" ht="12.75" customHeight="1" x14ac:dyDescent="0.2">
      <c r="A913">
        <v>2</v>
      </c>
      <c r="B913">
        <v>3</v>
      </c>
      <c r="C913">
        <f t="shared" ca="1" si="286"/>
        <v>7</v>
      </c>
      <c r="D913">
        <f t="shared" ca="1" si="287"/>
        <v>6</v>
      </c>
      <c r="E913">
        <f t="shared" ca="1" si="288"/>
        <v>2</v>
      </c>
      <c r="F913" s="61">
        <f t="shared" ca="1" si="289"/>
        <v>5.4747482880000004E-3</v>
      </c>
      <c r="G913">
        <v>1</v>
      </c>
      <c r="H913">
        <v>1</v>
      </c>
      <c r="I913">
        <v>2</v>
      </c>
      <c r="J913" s="61">
        <f t="shared" ca="1" si="290"/>
        <v>0</v>
      </c>
      <c r="K913" s="61">
        <f t="shared" ca="1" si="291"/>
        <v>0</v>
      </c>
      <c r="L913" s="82">
        <f t="shared" ca="1" si="292"/>
        <v>344</v>
      </c>
      <c r="M913" s="16">
        <f t="shared" ca="1" si="293"/>
        <v>656</v>
      </c>
      <c r="N913" s="3">
        <f t="shared" ca="1" si="294"/>
        <v>4</v>
      </c>
      <c r="O913" s="19">
        <f t="shared" ca="1" si="295"/>
        <v>2.3453053758100548</v>
      </c>
      <c r="P913" s="19">
        <f t="shared" ca="1" si="296"/>
        <v>23.453053758100552</v>
      </c>
      <c r="Q913" s="19">
        <f t="shared" ca="1" si="297"/>
        <v>23.453053758100552</v>
      </c>
      <c r="R913" s="19">
        <f t="shared" ca="1" si="298"/>
        <v>2.3453053758100553</v>
      </c>
      <c r="S913" s="19">
        <f t="shared" ca="1" si="299"/>
        <v>2.3453053758100548</v>
      </c>
      <c r="T913" s="19">
        <f t="shared" ca="1" si="300"/>
        <v>0</v>
      </c>
      <c r="U913" s="19">
        <f t="shared" ca="1" si="301"/>
        <v>1423.9587218163997</v>
      </c>
      <c r="V913" s="19">
        <f t="shared" ca="1" si="302"/>
        <v>0</v>
      </c>
      <c r="W913" s="82">
        <f t="shared" ca="1" si="303"/>
        <v>3289.2719806134264</v>
      </c>
      <c r="X913" s="19">
        <f t="shared" ca="1" si="304"/>
        <v>0</v>
      </c>
      <c r="Y913" s="19">
        <f t="shared" si="305"/>
        <v>0</v>
      </c>
      <c r="Z913" s="82">
        <f t="shared" ca="1" si="306"/>
        <v>3289.2719806134264</v>
      </c>
      <c r="AA913" s="19">
        <f t="shared" ca="1" si="307"/>
        <v>0</v>
      </c>
    </row>
    <row r="914" spans="1:27" ht="12.75" customHeight="1" x14ac:dyDescent="0.2">
      <c r="A914">
        <v>2</v>
      </c>
      <c r="B914">
        <v>3</v>
      </c>
      <c r="C914">
        <f t="shared" ca="1" si="286"/>
        <v>7</v>
      </c>
      <c r="D914">
        <f t="shared" ca="1" si="287"/>
        <v>6</v>
      </c>
      <c r="E914">
        <f t="shared" ca="1" si="288"/>
        <v>2</v>
      </c>
      <c r="F914" s="61">
        <f t="shared" ca="1" si="289"/>
        <v>5.4747482880000004E-3</v>
      </c>
      <c r="G914">
        <v>1</v>
      </c>
      <c r="H914">
        <v>1</v>
      </c>
      <c r="I914">
        <v>1</v>
      </c>
      <c r="J914" s="61">
        <f t="shared" ca="1" si="290"/>
        <v>0</v>
      </c>
      <c r="K914" s="61">
        <f t="shared" ca="1" si="291"/>
        <v>0</v>
      </c>
      <c r="L914" s="82">
        <f t="shared" ca="1" si="292"/>
        <v>333</v>
      </c>
      <c r="M914" s="16">
        <f t="shared" ca="1" si="293"/>
        <v>667</v>
      </c>
      <c r="N914" s="3">
        <f t="shared" ca="1" si="294"/>
        <v>4</v>
      </c>
      <c r="O914" s="19">
        <f t="shared" ca="1" si="295"/>
        <v>2.3453053758100548</v>
      </c>
      <c r="P914" s="19">
        <f t="shared" ca="1" si="296"/>
        <v>23.453053758100552</v>
      </c>
      <c r="Q914" s="19">
        <f t="shared" ca="1" si="297"/>
        <v>23.453053758100552</v>
      </c>
      <c r="R914" s="19">
        <f t="shared" ca="1" si="298"/>
        <v>2.3453053758100553</v>
      </c>
      <c r="S914" s="19">
        <f t="shared" ca="1" si="299"/>
        <v>2.3453053758100548</v>
      </c>
      <c r="T914" s="19">
        <f t="shared" ca="1" si="300"/>
        <v>0</v>
      </c>
      <c r="U914" s="19">
        <f t="shared" ca="1" si="301"/>
        <v>1412.9587218163997</v>
      </c>
      <c r="V914" s="19">
        <f t="shared" ca="1" si="302"/>
        <v>0</v>
      </c>
      <c r="W914" s="82">
        <f t="shared" ca="1" si="303"/>
        <v>2803.3667505787039</v>
      </c>
      <c r="X914" s="19">
        <f t="shared" ca="1" si="304"/>
        <v>0</v>
      </c>
      <c r="Y914" s="19">
        <f t="shared" si="305"/>
        <v>0</v>
      </c>
      <c r="Z914" s="82">
        <f t="shared" ca="1" si="306"/>
        <v>2803.3667505787039</v>
      </c>
      <c r="AA914" s="19">
        <f t="shared" ca="1" si="307"/>
        <v>0</v>
      </c>
    </row>
    <row r="915" spans="1:27" ht="12.75" customHeight="1" x14ac:dyDescent="0.2">
      <c r="A915">
        <v>2</v>
      </c>
      <c r="B915">
        <v>3</v>
      </c>
      <c r="C915">
        <f t="shared" ca="1" si="286"/>
        <v>7</v>
      </c>
      <c r="D915">
        <f t="shared" ca="1" si="287"/>
        <v>6</v>
      </c>
      <c r="E915">
        <f t="shared" ca="1" si="288"/>
        <v>2</v>
      </c>
      <c r="F915" s="61">
        <f t="shared" ca="1" si="289"/>
        <v>5.4747482880000004E-3</v>
      </c>
      <c r="G915">
        <v>1</v>
      </c>
      <c r="H915">
        <v>1</v>
      </c>
      <c r="I915">
        <v>0</v>
      </c>
      <c r="J915" s="61">
        <f t="shared" ca="1" si="290"/>
        <v>0</v>
      </c>
      <c r="K915" s="61">
        <f t="shared" ca="1" si="291"/>
        <v>0</v>
      </c>
      <c r="L915" s="82">
        <f t="shared" ca="1" si="292"/>
        <v>322</v>
      </c>
      <c r="M915" s="16">
        <f t="shared" ca="1" si="293"/>
        <v>678</v>
      </c>
      <c r="N915" s="3">
        <f t="shared" ca="1" si="294"/>
        <v>4</v>
      </c>
      <c r="O915" s="19">
        <f t="shared" ca="1" si="295"/>
        <v>2.3453053758100548</v>
      </c>
      <c r="P915" s="19">
        <f t="shared" ca="1" si="296"/>
        <v>23.453053758100552</v>
      </c>
      <c r="Q915" s="19">
        <f t="shared" ca="1" si="297"/>
        <v>23.453053758100552</v>
      </c>
      <c r="R915" s="19">
        <f t="shared" ca="1" si="298"/>
        <v>2.3453053758100553</v>
      </c>
      <c r="S915" s="19">
        <f t="shared" ca="1" si="299"/>
        <v>2.3453053758100548</v>
      </c>
      <c r="T915" s="19">
        <f t="shared" ca="1" si="300"/>
        <v>0</v>
      </c>
      <c r="U915" s="19">
        <f t="shared" ca="1" si="301"/>
        <v>1401.9587218163997</v>
      </c>
      <c r="V915" s="19">
        <f t="shared" ca="1" si="302"/>
        <v>0</v>
      </c>
      <c r="W915" s="82">
        <f t="shared" ca="1" si="303"/>
        <v>2317.4615205439818</v>
      </c>
      <c r="X915" s="19">
        <f t="shared" ca="1" si="304"/>
        <v>0</v>
      </c>
      <c r="Y915" s="19">
        <f t="shared" si="305"/>
        <v>0</v>
      </c>
      <c r="Z915" s="82">
        <f t="shared" ca="1" si="306"/>
        <v>2317.4615205439818</v>
      </c>
      <c r="AA915" s="19">
        <f t="shared" ca="1" si="307"/>
        <v>0</v>
      </c>
    </row>
    <row r="916" spans="1:27" ht="12.75" customHeight="1" x14ac:dyDescent="0.2">
      <c r="A916">
        <v>2</v>
      </c>
      <c r="B916">
        <v>3</v>
      </c>
      <c r="C916">
        <f t="shared" ca="1" si="286"/>
        <v>7</v>
      </c>
      <c r="D916">
        <f t="shared" ca="1" si="287"/>
        <v>6</v>
      </c>
      <c r="E916">
        <f t="shared" ca="1" si="288"/>
        <v>2</v>
      </c>
      <c r="F916" s="61">
        <f t="shared" ca="1" si="289"/>
        <v>5.4747482880000004E-3</v>
      </c>
      <c r="G916">
        <v>1</v>
      </c>
      <c r="H916">
        <v>0</v>
      </c>
      <c r="I916">
        <v>7</v>
      </c>
      <c r="J916" s="61">
        <f t="shared" ca="1" si="290"/>
        <v>0</v>
      </c>
      <c r="K916" s="61">
        <f t="shared" ca="1" si="291"/>
        <v>0</v>
      </c>
      <c r="L916" s="82">
        <f t="shared" ca="1" si="292"/>
        <v>238</v>
      </c>
      <c r="M916" s="16">
        <f t="shared" ca="1" si="293"/>
        <v>762</v>
      </c>
      <c r="N916" s="3">
        <f t="shared" ca="1" si="294"/>
        <v>5</v>
      </c>
      <c r="O916" s="19">
        <f t="shared" ca="1" si="295"/>
        <v>2.8178718937399587</v>
      </c>
      <c r="P916" s="19">
        <f t="shared" ca="1" si="296"/>
        <v>25.815886347750073</v>
      </c>
      <c r="Q916" s="19">
        <f t="shared" ca="1" si="297"/>
        <v>23.453053758100552</v>
      </c>
      <c r="R916" s="19">
        <f t="shared" ca="1" si="298"/>
        <v>2.4634470052925312</v>
      </c>
      <c r="S916" s="19">
        <f t="shared" ca="1" si="299"/>
        <v>2.8178718937399587</v>
      </c>
      <c r="T916" s="19">
        <f t="shared" ca="1" si="300"/>
        <v>0</v>
      </c>
      <c r="U916" s="19">
        <f t="shared" ca="1" si="301"/>
        <v>1497.3251747165598</v>
      </c>
      <c r="V916" s="19">
        <f t="shared" ca="1" si="302"/>
        <v>0</v>
      </c>
      <c r="W916" s="82">
        <f t="shared" ca="1" si="303"/>
        <v>5718.7981307870377</v>
      </c>
      <c r="X916" s="19">
        <f t="shared" ca="1" si="304"/>
        <v>0</v>
      </c>
      <c r="Y916" s="19">
        <f t="shared" si="305"/>
        <v>0</v>
      </c>
      <c r="Z916" s="82">
        <f t="shared" ca="1" si="306"/>
        <v>5718.7981307870377</v>
      </c>
      <c r="AA916" s="19">
        <f t="shared" ca="1" si="307"/>
        <v>0</v>
      </c>
    </row>
    <row r="917" spans="1:27" ht="12.75" customHeight="1" x14ac:dyDescent="0.2">
      <c r="A917">
        <v>2</v>
      </c>
      <c r="B917">
        <v>3</v>
      </c>
      <c r="C917">
        <f t="shared" ca="1" si="286"/>
        <v>7</v>
      </c>
      <c r="D917">
        <f t="shared" ca="1" si="287"/>
        <v>6</v>
      </c>
      <c r="E917">
        <f t="shared" ca="1" si="288"/>
        <v>2</v>
      </c>
      <c r="F917" s="61">
        <f t="shared" ca="1" si="289"/>
        <v>5.4747482880000004E-3</v>
      </c>
      <c r="G917">
        <v>1</v>
      </c>
      <c r="H917">
        <v>0</v>
      </c>
      <c r="I917">
        <v>6</v>
      </c>
      <c r="J917" s="61">
        <f t="shared" ca="1" si="290"/>
        <v>0.69833729609374984</v>
      </c>
      <c r="K917" s="61">
        <f t="shared" ca="1" si="291"/>
        <v>3.8232209162358064E-3</v>
      </c>
      <c r="L917" s="82">
        <f t="shared" ca="1" si="292"/>
        <v>227</v>
      </c>
      <c r="M917" s="16">
        <f t="shared" ca="1" si="293"/>
        <v>773</v>
      </c>
      <c r="N917" s="3">
        <f t="shared" ca="1" si="294"/>
        <v>5</v>
      </c>
      <c r="O917" s="19">
        <f t="shared" ca="1" si="295"/>
        <v>2.8178718937399587</v>
      </c>
      <c r="P917" s="19">
        <f t="shared" ca="1" si="296"/>
        <v>28.178718937399587</v>
      </c>
      <c r="Q917" s="19">
        <f t="shared" ca="1" si="297"/>
        <v>26.288452865679979</v>
      </c>
      <c r="R917" s="19">
        <f t="shared" ca="1" si="298"/>
        <v>2.7233585901539783</v>
      </c>
      <c r="S917" s="19">
        <f t="shared" ca="1" si="299"/>
        <v>2.8178718937399587</v>
      </c>
      <c r="T917" s="19">
        <f t="shared" ca="1" si="300"/>
        <v>1.0773346763419612E-2</v>
      </c>
      <c r="U917" s="19">
        <f t="shared" ca="1" si="301"/>
        <v>1486.3251747165598</v>
      </c>
      <c r="V917" s="19">
        <f t="shared" ca="1" si="302"/>
        <v>5.6825494963041905</v>
      </c>
      <c r="W917" s="82">
        <f t="shared" ca="1" si="303"/>
        <v>5232.8929007523147</v>
      </c>
      <c r="X917" s="19">
        <f t="shared" ca="1" si="304"/>
        <v>20.006505590578112</v>
      </c>
      <c r="Y917" s="19">
        <f t="shared" si="305"/>
        <v>0</v>
      </c>
      <c r="Z917" s="82">
        <f t="shared" ca="1" si="306"/>
        <v>5232.8929007523147</v>
      </c>
      <c r="AA917" s="19">
        <f t="shared" ca="1" si="307"/>
        <v>20.006505590578112</v>
      </c>
    </row>
    <row r="918" spans="1:27" ht="12.75" customHeight="1" x14ac:dyDescent="0.2">
      <c r="A918">
        <v>2</v>
      </c>
      <c r="B918">
        <v>3</v>
      </c>
      <c r="C918">
        <f t="shared" ca="1" si="286"/>
        <v>7</v>
      </c>
      <c r="D918">
        <f t="shared" ca="1" si="287"/>
        <v>6</v>
      </c>
      <c r="E918">
        <f t="shared" ca="1" si="288"/>
        <v>2</v>
      </c>
      <c r="F918" s="61">
        <f t="shared" ca="1" si="289"/>
        <v>5.4747482880000004E-3</v>
      </c>
      <c r="G918">
        <v>1</v>
      </c>
      <c r="H918">
        <v>0</v>
      </c>
      <c r="I918">
        <v>5</v>
      </c>
      <c r="J918" s="61">
        <f t="shared" ca="1" si="290"/>
        <v>0.22052756718750019</v>
      </c>
      <c r="K918" s="61">
        <f t="shared" ca="1" si="291"/>
        <v>1.2073329209165717E-3</v>
      </c>
      <c r="L918" s="82">
        <f t="shared" ca="1" si="292"/>
        <v>216</v>
      </c>
      <c r="M918" s="16">
        <f t="shared" ca="1" si="293"/>
        <v>784</v>
      </c>
      <c r="N918" s="3">
        <f t="shared" ca="1" si="294"/>
        <v>5</v>
      </c>
      <c r="O918" s="19">
        <f t="shared" ca="1" si="295"/>
        <v>2.8178718937399587</v>
      </c>
      <c r="P918" s="19">
        <f t="shared" ca="1" si="296"/>
        <v>28.178718937399587</v>
      </c>
      <c r="Q918" s="19">
        <f t="shared" ca="1" si="297"/>
        <v>28.178718937399587</v>
      </c>
      <c r="R918" s="19">
        <f t="shared" ca="1" si="298"/>
        <v>2.8178718937399587</v>
      </c>
      <c r="S918" s="19">
        <f t="shared" ca="1" si="299"/>
        <v>2.8178718937399587</v>
      </c>
      <c r="T918" s="19">
        <f t="shared" ca="1" si="300"/>
        <v>3.4021095042377756E-3</v>
      </c>
      <c r="U918" s="19">
        <f t="shared" ca="1" si="301"/>
        <v>1475.3251747165598</v>
      </c>
      <c r="V918" s="19">
        <f t="shared" ca="1" si="302"/>
        <v>1.7812086524922957</v>
      </c>
      <c r="W918" s="82">
        <f t="shared" ca="1" si="303"/>
        <v>4746.9876707175936</v>
      </c>
      <c r="X918" s="19">
        <f t="shared" ca="1" si="304"/>
        <v>5.7311944900424256</v>
      </c>
      <c r="Y918" s="19">
        <f t="shared" si="305"/>
        <v>0</v>
      </c>
      <c r="Z918" s="82">
        <f t="shared" ca="1" si="306"/>
        <v>4746.9876707175936</v>
      </c>
      <c r="AA918" s="19">
        <f t="shared" ca="1" si="307"/>
        <v>5.7311944900424256</v>
      </c>
    </row>
    <row r="919" spans="1:27" ht="12.75" customHeight="1" x14ac:dyDescent="0.2">
      <c r="A919">
        <v>2</v>
      </c>
      <c r="B919">
        <v>3</v>
      </c>
      <c r="C919">
        <f t="shared" ca="1" si="286"/>
        <v>7</v>
      </c>
      <c r="D919">
        <f t="shared" ca="1" si="287"/>
        <v>6</v>
      </c>
      <c r="E919">
        <f t="shared" ca="1" si="288"/>
        <v>2</v>
      </c>
      <c r="F919" s="61">
        <f t="shared" ca="1" si="289"/>
        <v>5.4747482880000004E-3</v>
      </c>
      <c r="G919">
        <v>1</v>
      </c>
      <c r="H919">
        <v>0</v>
      </c>
      <c r="I919">
        <v>4</v>
      </c>
      <c r="J919" s="61">
        <f t="shared" ca="1" si="290"/>
        <v>2.9016785156250047E-2</v>
      </c>
      <c r="K919" s="61">
        <f t="shared" ca="1" si="291"/>
        <v>1.5885959485744376E-4</v>
      </c>
      <c r="L919" s="82">
        <f t="shared" ca="1" si="292"/>
        <v>205</v>
      </c>
      <c r="M919" s="16">
        <f t="shared" ca="1" si="293"/>
        <v>795</v>
      </c>
      <c r="N919" s="3">
        <f t="shared" ca="1" si="294"/>
        <v>5</v>
      </c>
      <c r="O919" s="19">
        <f t="shared" ca="1" si="295"/>
        <v>2.8178718937399587</v>
      </c>
      <c r="P919" s="19">
        <f t="shared" ca="1" si="296"/>
        <v>28.178718937399587</v>
      </c>
      <c r="Q919" s="19">
        <f t="shared" ca="1" si="297"/>
        <v>28.178718937399587</v>
      </c>
      <c r="R919" s="19">
        <f t="shared" ca="1" si="298"/>
        <v>2.8178718937399587</v>
      </c>
      <c r="S919" s="19">
        <f t="shared" ca="1" si="299"/>
        <v>2.8178718937399587</v>
      </c>
      <c r="T919" s="19">
        <f t="shared" ca="1" si="300"/>
        <v>4.4764598739970767E-4</v>
      </c>
      <c r="U919" s="19">
        <f t="shared" ca="1" si="301"/>
        <v>1464.3251747165598</v>
      </c>
      <c r="V919" s="19">
        <f t="shared" ca="1" si="302"/>
        <v>0.23262210399502822</v>
      </c>
      <c r="W919" s="82">
        <f t="shared" ca="1" si="303"/>
        <v>4261.0824406828706</v>
      </c>
      <c r="X919" s="19">
        <f t="shared" ca="1" si="304"/>
        <v>0.67691383018104845</v>
      </c>
      <c r="Y919" s="19">
        <f t="shared" si="305"/>
        <v>0</v>
      </c>
      <c r="Z919" s="82">
        <f t="shared" ca="1" si="306"/>
        <v>4261.0824406828706</v>
      </c>
      <c r="AA919" s="19">
        <f t="shared" ca="1" si="307"/>
        <v>0.67691383018104845</v>
      </c>
    </row>
    <row r="920" spans="1:27" ht="12.75" customHeight="1" x14ac:dyDescent="0.2">
      <c r="A920">
        <v>2</v>
      </c>
      <c r="B920">
        <v>3</v>
      </c>
      <c r="C920">
        <f t="shared" ca="1" si="286"/>
        <v>7</v>
      </c>
      <c r="D920">
        <f t="shared" ca="1" si="287"/>
        <v>6</v>
      </c>
      <c r="E920">
        <f t="shared" ca="1" si="288"/>
        <v>2</v>
      </c>
      <c r="F920" s="61">
        <f t="shared" ca="1" si="289"/>
        <v>5.4747482880000004E-3</v>
      </c>
      <c r="G920">
        <v>1</v>
      </c>
      <c r="H920">
        <v>0</v>
      </c>
      <c r="I920">
        <v>3</v>
      </c>
      <c r="J920" s="61">
        <f t="shared" ca="1" si="290"/>
        <v>2.0362656250000047E-3</v>
      </c>
      <c r="K920" s="61">
        <f t="shared" ca="1" si="291"/>
        <v>1.1148041744382027E-5</v>
      </c>
      <c r="L920" s="82">
        <f t="shared" ca="1" si="292"/>
        <v>194</v>
      </c>
      <c r="M920" s="16">
        <f t="shared" ca="1" si="293"/>
        <v>806</v>
      </c>
      <c r="N920" s="3">
        <f t="shared" ca="1" si="294"/>
        <v>5</v>
      </c>
      <c r="O920" s="19">
        <f t="shared" ca="1" si="295"/>
        <v>2.8178718937399587</v>
      </c>
      <c r="P920" s="19">
        <f t="shared" ca="1" si="296"/>
        <v>28.178718937399587</v>
      </c>
      <c r="Q920" s="19">
        <f t="shared" ca="1" si="297"/>
        <v>28.178718937399587</v>
      </c>
      <c r="R920" s="19">
        <f t="shared" ca="1" si="298"/>
        <v>2.8178718937399587</v>
      </c>
      <c r="S920" s="19">
        <f t="shared" ca="1" si="299"/>
        <v>2.8178718937399587</v>
      </c>
      <c r="T920" s="19">
        <f t="shared" ca="1" si="300"/>
        <v>3.1413753501733894E-5</v>
      </c>
      <c r="U920" s="19">
        <f t="shared" ca="1" si="301"/>
        <v>1453.3251747165598</v>
      </c>
      <c r="V920" s="19">
        <f t="shared" ca="1" si="302"/>
        <v>1.620172971590151E-2</v>
      </c>
      <c r="W920" s="82">
        <f t="shared" ca="1" si="303"/>
        <v>3775.1772106481485</v>
      </c>
      <c r="X920" s="19">
        <f t="shared" ca="1" si="304"/>
        <v>4.2085833136745257E-2</v>
      </c>
      <c r="Y920" s="19">
        <f t="shared" si="305"/>
        <v>0</v>
      </c>
      <c r="Z920" s="82">
        <f t="shared" ca="1" si="306"/>
        <v>3775.1772106481485</v>
      </c>
      <c r="AA920" s="19">
        <f t="shared" ca="1" si="307"/>
        <v>4.2085833136745257E-2</v>
      </c>
    </row>
    <row r="921" spans="1:27" ht="12.75" customHeight="1" x14ac:dyDescent="0.2">
      <c r="A921">
        <v>2</v>
      </c>
      <c r="B921">
        <v>3</v>
      </c>
      <c r="C921">
        <f t="shared" ca="1" si="286"/>
        <v>7</v>
      </c>
      <c r="D921">
        <f t="shared" ca="1" si="287"/>
        <v>6</v>
      </c>
      <c r="E921">
        <f t="shared" ca="1" si="288"/>
        <v>2</v>
      </c>
      <c r="F921" s="61">
        <f t="shared" ca="1" si="289"/>
        <v>5.4747482880000004E-3</v>
      </c>
      <c r="G921">
        <v>1</v>
      </c>
      <c r="H921">
        <v>0</v>
      </c>
      <c r="I921">
        <v>2</v>
      </c>
      <c r="J921" s="61">
        <f t="shared" ca="1" si="290"/>
        <v>8.0378906250000291E-5</v>
      </c>
      <c r="K921" s="61">
        <f t="shared" ca="1" si="291"/>
        <v>4.4005427938350162E-7</v>
      </c>
      <c r="L921" s="82">
        <f t="shared" ca="1" si="292"/>
        <v>183</v>
      </c>
      <c r="M921" s="16">
        <f t="shared" ca="1" si="293"/>
        <v>817</v>
      </c>
      <c r="N921" s="3">
        <f t="shared" ca="1" si="294"/>
        <v>5</v>
      </c>
      <c r="O921" s="19">
        <f t="shared" ca="1" si="295"/>
        <v>2.8178718937399587</v>
      </c>
      <c r="P921" s="19">
        <f t="shared" ca="1" si="296"/>
        <v>28.178718937399587</v>
      </c>
      <c r="Q921" s="19">
        <f t="shared" ca="1" si="297"/>
        <v>28.178718937399587</v>
      </c>
      <c r="R921" s="19">
        <f t="shared" ca="1" si="298"/>
        <v>2.8178718937399587</v>
      </c>
      <c r="S921" s="19">
        <f t="shared" ca="1" si="299"/>
        <v>2.8178718937399587</v>
      </c>
      <c r="T921" s="19">
        <f t="shared" ca="1" si="300"/>
        <v>1.2400165855947606E-6</v>
      </c>
      <c r="U921" s="19">
        <f t="shared" ca="1" si="301"/>
        <v>1442.3251747165598</v>
      </c>
      <c r="V921" s="19">
        <f t="shared" ca="1" si="302"/>
        <v>6.3470136539657876E-4</v>
      </c>
      <c r="W921" s="82">
        <f t="shared" ca="1" si="303"/>
        <v>3289.2719806134264</v>
      </c>
      <c r="X921" s="19">
        <f t="shared" ca="1" si="304"/>
        <v>1.4474582111251844E-3</v>
      </c>
      <c r="Y921" s="19">
        <f t="shared" si="305"/>
        <v>0</v>
      </c>
      <c r="Z921" s="82">
        <f t="shared" ca="1" si="306"/>
        <v>3289.2719806134264</v>
      </c>
      <c r="AA921" s="19">
        <f t="shared" ca="1" si="307"/>
        <v>1.4474582111251844E-3</v>
      </c>
    </row>
    <row r="922" spans="1:27" ht="12.75" customHeight="1" x14ac:dyDescent="0.2">
      <c r="A922">
        <v>2</v>
      </c>
      <c r="B922">
        <v>3</v>
      </c>
      <c r="C922">
        <f t="shared" ca="1" si="286"/>
        <v>7</v>
      </c>
      <c r="D922">
        <f t="shared" ca="1" si="287"/>
        <v>6</v>
      </c>
      <c r="E922">
        <f t="shared" ca="1" si="288"/>
        <v>2</v>
      </c>
      <c r="F922" s="61">
        <f t="shared" ca="1" si="289"/>
        <v>5.4747482880000004E-3</v>
      </c>
      <c r="G922">
        <v>1</v>
      </c>
      <c r="H922">
        <v>0</v>
      </c>
      <c r="I922">
        <v>1</v>
      </c>
      <c r="J922" s="61">
        <f t="shared" ca="1" si="290"/>
        <v>1.6921875000000077E-6</v>
      </c>
      <c r="K922" s="61">
        <f t="shared" ca="1" si="291"/>
        <v>9.2643006186000421E-9</v>
      </c>
      <c r="L922" s="82">
        <f t="shared" ca="1" si="292"/>
        <v>172</v>
      </c>
      <c r="M922" s="16">
        <f t="shared" ca="1" si="293"/>
        <v>828</v>
      </c>
      <c r="N922" s="3">
        <f t="shared" ca="1" si="294"/>
        <v>5</v>
      </c>
      <c r="O922" s="19">
        <f t="shared" ca="1" si="295"/>
        <v>2.8178718937399587</v>
      </c>
      <c r="P922" s="19">
        <f t="shared" ca="1" si="296"/>
        <v>28.178718937399587</v>
      </c>
      <c r="Q922" s="19">
        <f t="shared" ca="1" si="297"/>
        <v>28.178718937399587</v>
      </c>
      <c r="R922" s="19">
        <f t="shared" ca="1" si="298"/>
        <v>2.8178718937399587</v>
      </c>
      <c r="S922" s="19">
        <f t="shared" ca="1" si="299"/>
        <v>2.8178718937399587</v>
      </c>
      <c r="T922" s="19">
        <f t="shared" ca="1" si="300"/>
        <v>2.6105612328310772E-8</v>
      </c>
      <c r="U922" s="19">
        <f t="shared" ca="1" si="301"/>
        <v>1431.3251747165598</v>
      </c>
      <c r="V922" s="19">
        <f t="shared" ca="1" si="302"/>
        <v>1.3260226701544439E-5</v>
      </c>
      <c r="W922" s="82">
        <f t="shared" ca="1" si="303"/>
        <v>2803.3667505787039</v>
      </c>
      <c r="X922" s="19">
        <f t="shared" ca="1" si="304"/>
        <v>2.5971232321549076E-5</v>
      </c>
      <c r="Y922" s="19">
        <f t="shared" si="305"/>
        <v>0</v>
      </c>
      <c r="Z922" s="82">
        <f t="shared" ca="1" si="306"/>
        <v>2803.3667505787039</v>
      </c>
      <c r="AA922" s="19">
        <f t="shared" ca="1" si="307"/>
        <v>2.5971232321549076E-5</v>
      </c>
    </row>
    <row r="923" spans="1:27" ht="12.75" customHeight="1" x14ac:dyDescent="0.2">
      <c r="A923">
        <v>2</v>
      </c>
      <c r="B923">
        <v>3</v>
      </c>
      <c r="C923">
        <f t="shared" ca="1" si="286"/>
        <v>7</v>
      </c>
      <c r="D923">
        <f t="shared" ca="1" si="287"/>
        <v>6</v>
      </c>
      <c r="E923">
        <f t="shared" ca="1" si="288"/>
        <v>2</v>
      </c>
      <c r="F923" s="61">
        <f t="shared" ca="1" si="289"/>
        <v>5.4747482880000004E-3</v>
      </c>
      <c r="G923">
        <v>1</v>
      </c>
      <c r="H923">
        <v>0</v>
      </c>
      <c r="I923">
        <v>0</v>
      </c>
      <c r="J923" s="61">
        <f t="shared" ca="1" si="290"/>
        <v>1.4843750000000078E-8</v>
      </c>
      <c r="K923" s="61">
        <f t="shared" ca="1" si="291"/>
        <v>8.1265794900000433E-11</v>
      </c>
      <c r="L923" s="82">
        <f t="shared" ca="1" si="292"/>
        <v>161</v>
      </c>
      <c r="M923" s="16">
        <f t="shared" ca="1" si="293"/>
        <v>839</v>
      </c>
      <c r="N923" s="3">
        <f t="shared" ca="1" si="294"/>
        <v>5</v>
      </c>
      <c r="O923" s="19">
        <f t="shared" ca="1" si="295"/>
        <v>2.8178718937399587</v>
      </c>
      <c r="P923" s="19">
        <f t="shared" ca="1" si="296"/>
        <v>28.178718937399587</v>
      </c>
      <c r="Q923" s="19">
        <f t="shared" ca="1" si="297"/>
        <v>28.178718937399587</v>
      </c>
      <c r="R923" s="19">
        <f t="shared" ca="1" si="298"/>
        <v>2.8178718937399587</v>
      </c>
      <c r="S923" s="19">
        <f t="shared" ca="1" si="299"/>
        <v>2.8178718937399587</v>
      </c>
      <c r="T923" s="19">
        <f t="shared" ca="1" si="300"/>
        <v>2.289965993711473E-10</v>
      </c>
      <c r="U923" s="19">
        <f t="shared" ca="1" si="301"/>
        <v>1420.3251747165598</v>
      </c>
      <c r="V923" s="19">
        <f t="shared" ca="1" si="302"/>
        <v>1.1542385433982323E-7</v>
      </c>
      <c r="W923" s="82">
        <f t="shared" ca="1" si="303"/>
        <v>2317.4615205439818</v>
      </c>
      <c r="X923" s="19">
        <f t="shared" ca="1" si="304"/>
        <v>1.8833035261717036E-7</v>
      </c>
      <c r="Y923" s="19">
        <f t="shared" si="305"/>
        <v>0</v>
      </c>
      <c r="Z923" s="82">
        <f t="shared" ca="1" si="306"/>
        <v>2317.4615205439818</v>
      </c>
      <c r="AA923" s="19">
        <f t="shared" ca="1" si="307"/>
        <v>1.8833035261717036E-7</v>
      </c>
    </row>
    <row r="924" spans="1:27" ht="12.75" customHeight="1" x14ac:dyDescent="0.2">
      <c r="A924">
        <v>2</v>
      </c>
      <c r="B924">
        <v>3</v>
      </c>
      <c r="C924">
        <f t="shared" ca="1" si="286"/>
        <v>7</v>
      </c>
      <c r="D924">
        <f t="shared" ca="1" si="287"/>
        <v>6</v>
      </c>
      <c r="E924">
        <f t="shared" ca="1" si="288"/>
        <v>2</v>
      </c>
      <c r="F924" s="61">
        <f t="shared" ca="1" si="289"/>
        <v>5.4747482880000004E-3</v>
      </c>
      <c r="G924">
        <v>0</v>
      </c>
      <c r="H924">
        <v>1</v>
      </c>
      <c r="I924">
        <v>7</v>
      </c>
      <c r="J924" s="61">
        <f t="shared" ca="1" si="290"/>
        <v>0</v>
      </c>
      <c r="K924" s="61">
        <f t="shared" ca="1" si="291"/>
        <v>0</v>
      </c>
      <c r="L924" s="82">
        <f t="shared" ca="1" si="292"/>
        <v>238</v>
      </c>
      <c r="M924" s="16">
        <f t="shared" ca="1" si="293"/>
        <v>762</v>
      </c>
      <c r="N924" s="3">
        <f t="shared" ca="1" si="294"/>
        <v>5</v>
      </c>
      <c r="O924" s="19">
        <f t="shared" ca="1" si="295"/>
        <v>2.8178718937399587</v>
      </c>
      <c r="P924" s="19">
        <f t="shared" ca="1" si="296"/>
        <v>25.815886347750073</v>
      </c>
      <c r="Q924" s="19">
        <f t="shared" ca="1" si="297"/>
        <v>23.453053758100552</v>
      </c>
      <c r="R924" s="19">
        <f t="shared" ca="1" si="298"/>
        <v>2.4634470052925312</v>
      </c>
      <c r="S924" s="19">
        <f t="shared" ca="1" si="299"/>
        <v>2.8178718937399587</v>
      </c>
      <c r="T924" s="19">
        <f t="shared" ca="1" si="300"/>
        <v>0</v>
      </c>
      <c r="U924" s="19">
        <f t="shared" ca="1" si="301"/>
        <v>1497.3251747165598</v>
      </c>
      <c r="V924" s="19">
        <f t="shared" ca="1" si="302"/>
        <v>0</v>
      </c>
      <c r="W924" s="82">
        <f t="shared" ca="1" si="303"/>
        <v>3401.3366102430559</v>
      </c>
      <c r="X924" s="19">
        <f t="shared" ca="1" si="304"/>
        <v>0</v>
      </c>
      <c r="Y924" s="19">
        <f t="shared" si="305"/>
        <v>0</v>
      </c>
      <c r="Z924" s="82">
        <f t="shared" ca="1" si="306"/>
        <v>3401.3366102430559</v>
      </c>
      <c r="AA924" s="19">
        <f t="shared" ca="1" si="307"/>
        <v>0</v>
      </c>
    </row>
    <row r="925" spans="1:27" ht="12.75" customHeight="1" x14ac:dyDescent="0.2">
      <c r="A925">
        <v>2</v>
      </c>
      <c r="B925">
        <v>3</v>
      </c>
      <c r="C925">
        <f t="shared" ca="1" si="286"/>
        <v>7</v>
      </c>
      <c r="D925">
        <f t="shared" ca="1" si="287"/>
        <v>6</v>
      </c>
      <c r="E925">
        <f t="shared" ca="1" si="288"/>
        <v>2</v>
      </c>
      <c r="F925" s="61">
        <f t="shared" ca="1" si="289"/>
        <v>5.4747482880000004E-3</v>
      </c>
      <c r="G925">
        <v>0</v>
      </c>
      <c r="H925">
        <v>1</v>
      </c>
      <c r="I925">
        <v>6</v>
      </c>
      <c r="J925" s="61">
        <f t="shared" ca="1" si="290"/>
        <v>0</v>
      </c>
      <c r="K925" s="61">
        <f t="shared" ca="1" si="291"/>
        <v>0</v>
      </c>
      <c r="L925" s="82">
        <f t="shared" ca="1" si="292"/>
        <v>227</v>
      </c>
      <c r="M925" s="16">
        <f t="shared" ca="1" si="293"/>
        <v>773</v>
      </c>
      <c r="N925" s="3">
        <f t="shared" ca="1" si="294"/>
        <v>5</v>
      </c>
      <c r="O925" s="19">
        <f t="shared" ca="1" si="295"/>
        <v>2.8178718937399587</v>
      </c>
      <c r="P925" s="19">
        <f t="shared" ca="1" si="296"/>
        <v>28.178718937399587</v>
      </c>
      <c r="Q925" s="19">
        <f t="shared" ca="1" si="297"/>
        <v>26.288452865679979</v>
      </c>
      <c r="R925" s="19">
        <f t="shared" ca="1" si="298"/>
        <v>2.7233585901539783</v>
      </c>
      <c r="S925" s="19">
        <f t="shared" ca="1" si="299"/>
        <v>2.8178718937399587</v>
      </c>
      <c r="T925" s="19">
        <f t="shared" ca="1" si="300"/>
        <v>0</v>
      </c>
      <c r="U925" s="19">
        <f t="shared" ca="1" si="301"/>
        <v>1486.3251747165598</v>
      </c>
      <c r="V925" s="19">
        <f t="shared" ca="1" si="302"/>
        <v>0</v>
      </c>
      <c r="W925" s="82">
        <f t="shared" ca="1" si="303"/>
        <v>2915.4313802083334</v>
      </c>
      <c r="X925" s="19">
        <f t="shared" ca="1" si="304"/>
        <v>0</v>
      </c>
      <c r="Y925" s="19">
        <f t="shared" si="305"/>
        <v>0</v>
      </c>
      <c r="Z925" s="82">
        <f t="shared" ca="1" si="306"/>
        <v>2915.4313802083334</v>
      </c>
      <c r="AA925" s="19">
        <f t="shared" ca="1" si="307"/>
        <v>0</v>
      </c>
    </row>
    <row r="926" spans="1:27" ht="12.75" customHeight="1" x14ac:dyDescent="0.2">
      <c r="A926">
        <v>2</v>
      </c>
      <c r="B926">
        <v>3</v>
      </c>
      <c r="C926">
        <f t="shared" ca="1" si="286"/>
        <v>7</v>
      </c>
      <c r="D926">
        <f t="shared" ca="1" si="287"/>
        <v>6</v>
      </c>
      <c r="E926">
        <f t="shared" ca="1" si="288"/>
        <v>2</v>
      </c>
      <c r="F926" s="61">
        <f t="shared" ca="1" si="289"/>
        <v>5.4747482880000004E-3</v>
      </c>
      <c r="G926">
        <v>0</v>
      </c>
      <c r="H926">
        <v>1</v>
      </c>
      <c r="I926">
        <v>5</v>
      </c>
      <c r="J926" s="61">
        <f t="shared" ca="1" si="290"/>
        <v>0</v>
      </c>
      <c r="K926" s="61">
        <f t="shared" ca="1" si="291"/>
        <v>0</v>
      </c>
      <c r="L926" s="82">
        <f t="shared" ca="1" si="292"/>
        <v>216</v>
      </c>
      <c r="M926" s="16">
        <f t="shared" ca="1" si="293"/>
        <v>784</v>
      </c>
      <c r="N926" s="3">
        <f t="shared" ca="1" si="294"/>
        <v>5</v>
      </c>
      <c r="O926" s="19">
        <f t="shared" ca="1" si="295"/>
        <v>2.8178718937399587</v>
      </c>
      <c r="P926" s="19">
        <f t="shared" ca="1" si="296"/>
        <v>28.178718937399587</v>
      </c>
      <c r="Q926" s="19">
        <f t="shared" ca="1" si="297"/>
        <v>28.178718937399587</v>
      </c>
      <c r="R926" s="19">
        <f t="shared" ca="1" si="298"/>
        <v>2.8178718937399587</v>
      </c>
      <c r="S926" s="19">
        <f t="shared" ca="1" si="299"/>
        <v>2.8178718937399587</v>
      </c>
      <c r="T926" s="19">
        <f t="shared" ca="1" si="300"/>
        <v>0</v>
      </c>
      <c r="U926" s="19">
        <f t="shared" ca="1" si="301"/>
        <v>1475.3251747165598</v>
      </c>
      <c r="V926" s="19">
        <f t="shared" ca="1" si="302"/>
        <v>0</v>
      </c>
      <c r="W926" s="82">
        <f t="shared" ca="1" si="303"/>
        <v>2429.5261501736113</v>
      </c>
      <c r="X926" s="19">
        <f t="shared" ca="1" si="304"/>
        <v>0</v>
      </c>
      <c r="Y926" s="19">
        <f t="shared" si="305"/>
        <v>0</v>
      </c>
      <c r="Z926" s="82">
        <f t="shared" ca="1" si="306"/>
        <v>2429.5261501736113</v>
      </c>
      <c r="AA926" s="19">
        <f t="shared" ca="1" si="307"/>
        <v>0</v>
      </c>
    </row>
    <row r="927" spans="1:27" ht="12.75" customHeight="1" x14ac:dyDescent="0.2">
      <c r="A927">
        <v>2</v>
      </c>
      <c r="B927">
        <v>3</v>
      </c>
      <c r="C927">
        <f t="shared" ca="1" si="286"/>
        <v>7</v>
      </c>
      <c r="D927">
        <f t="shared" ca="1" si="287"/>
        <v>6</v>
      </c>
      <c r="E927">
        <f t="shared" ca="1" si="288"/>
        <v>2</v>
      </c>
      <c r="F927" s="61">
        <f t="shared" ca="1" si="289"/>
        <v>5.4747482880000004E-3</v>
      </c>
      <c r="G927">
        <v>0</v>
      </c>
      <c r="H927">
        <v>1</v>
      </c>
      <c r="I927">
        <v>4</v>
      </c>
      <c r="J927" s="61">
        <f t="shared" ca="1" si="290"/>
        <v>0</v>
      </c>
      <c r="K927" s="61">
        <f t="shared" ca="1" si="291"/>
        <v>0</v>
      </c>
      <c r="L927" s="82">
        <f t="shared" ca="1" si="292"/>
        <v>205</v>
      </c>
      <c r="M927" s="16">
        <f t="shared" ca="1" si="293"/>
        <v>795</v>
      </c>
      <c r="N927" s="3">
        <f t="shared" ca="1" si="294"/>
        <v>5</v>
      </c>
      <c r="O927" s="19">
        <f t="shared" ca="1" si="295"/>
        <v>2.8178718937399587</v>
      </c>
      <c r="P927" s="19">
        <f t="shared" ca="1" si="296"/>
        <v>28.178718937399587</v>
      </c>
      <c r="Q927" s="19">
        <f t="shared" ca="1" si="297"/>
        <v>28.178718937399587</v>
      </c>
      <c r="R927" s="19">
        <f t="shared" ca="1" si="298"/>
        <v>2.8178718937399587</v>
      </c>
      <c r="S927" s="19">
        <f t="shared" ca="1" si="299"/>
        <v>2.8178718937399587</v>
      </c>
      <c r="T927" s="19">
        <f t="shared" ca="1" si="300"/>
        <v>0</v>
      </c>
      <c r="U927" s="19">
        <f t="shared" ca="1" si="301"/>
        <v>1464.3251747165598</v>
      </c>
      <c r="V927" s="19">
        <f t="shared" ca="1" si="302"/>
        <v>0</v>
      </c>
      <c r="W927" s="82">
        <f t="shared" ca="1" si="303"/>
        <v>1943.620920138889</v>
      </c>
      <c r="X927" s="19">
        <f t="shared" ca="1" si="304"/>
        <v>0</v>
      </c>
      <c r="Y927" s="19">
        <f t="shared" si="305"/>
        <v>0</v>
      </c>
      <c r="Z927" s="82">
        <f t="shared" ca="1" si="306"/>
        <v>1943.620920138889</v>
      </c>
      <c r="AA927" s="19">
        <f t="shared" ca="1" si="307"/>
        <v>0</v>
      </c>
    </row>
    <row r="928" spans="1:27" ht="12.75" customHeight="1" x14ac:dyDescent="0.2">
      <c r="A928">
        <v>2</v>
      </c>
      <c r="B928">
        <v>3</v>
      </c>
      <c r="C928">
        <f t="shared" ca="1" si="286"/>
        <v>7</v>
      </c>
      <c r="D928">
        <f t="shared" ca="1" si="287"/>
        <v>6</v>
      </c>
      <c r="E928">
        <f t="shared" ca="1" si="288"/>
        <v>2</v>
      </c>
      <c r="F928" s="61">
        <f t="shared" ca="1" si="289"/>
        <v>5.4747482880000004E-3</v>
      </c>
      <c r="G928">
        <v>0</v>
      </c>
      <c r="H928">
        <v>1</v>
      </c>
      <c r="I928">
        <v>3</v>
      </c>
      <c r="J928" s="61">
        <f t="shared" ca="1" si="290"/>
        <v>0</v>
      </c>
      <c r="K928" s="61">
        <f t="shared" ca="1" si="291"/>
        <v>0</v>
      </c>
      <c r="L928" s="82">
        <f t="shared" ca="1" si="292"/>
        <v>194</v>
      </c>
      <c r="M928" s="16">
        <f t="shared" ca="1" si="293"/>
        <v>806</v>
      </c>
      <c r="N928" s="3">
        <f t="shared" ca="1" si="294"/>
        <v>5</v>
      </c>
      <c r="O928" s="19">
        <f t="shared" ca="1" si="295"/>
        <v>2.8178718937399587</v>
      </c>
      <c r="P928" s="19">
        <f t="shared" ca="1" si="296"/>
        <v>28.178718937399587</v>
      </c>
      <c r="Q928" s="19">
        <f t="shared" ca="1" si="297"/>
        <v>28.178718937399587</v>
      </c>
      <c r="R928" s="19">
        <f t="shared" ca="1" si="298"/>
        <v>2.8178718937399587</v>
      </c>
      <c r="S928" s="19">
        <f t="shared" ca="1" si="299"/>
        <v>2.8178718937399587</v>
      </c>
      <c r="T928" s="19">
        <f t="shared" ca="1" si="300"/>
        <v>0</v>
      </c>
      <c r="U928" s="19">
        <f t="shared" ca="1" si="301"/>
        <v>1453.3251747165598</v>
      </c>
      <c r="V928" s="19">
        <f t="shared" ca="1" si="302"/>
        <v>0</v>
      </c>
      <c r="W928" s="82">
        <f t="shared" ca="1" si="303"/>
        <v>1457.7156901041667</v>
      </c>
      <c r="X928" s="19">
        <f t="shared" ca="1" si="304"/>
        <v>0</v>
      </c>
      <c r="Y928" s="19">
        <f t="shared" si="305"/>
        <v>0</v>
      </c>
      <c r="Z928" s="82">
        <f t="shared" ca="1" si="306"/>
        <v>1457.7156901041667</v>
      </c>
      <c r="AA928" s="19">
        <f t="shared" ca="1" si="307"/>
        <v>0</v>
      </c>
    </row>
    <row r="929" spans="1:27" ht="12.75" customHeight="1" x14ac:dyDescent="0.2">
      <c r="A929">
        <v>2</v>
      </c>
      <c r="B929">
        <v>3</v>
      </c>
      <c r="C929">
        <f t="shared" ca="1" si="286"/>
        <v>7</v>
      </c>
      <c r="D929">
        <f t="shared" ca="1" si="287"/>
        <v>6</v>
      </c>
      <c r="E929">
        <f t="shared" ca="1" si="288"/>
        <v>2</v>
      </c>
      <c r="F929" s="61">
        <f t="shared" ca="1" si="289"/>
        <v>5.4747482880000004E-3</v>
      </c>
      <c r="G929">
        <v>0</v>
      </c>
      <c r="H929">
        <v>1</v>
      </c>
      <c r="I929">
        <v>2</v>
      </c>
      <c r="J929" s="61">
        <f t="shared" ca="1" si="290"/>
        <v>0</v>
      </c>
      <c r="K929" s="61">
        <f t="shared" ca="1" si="291"/>
        <v>0</v>
      </c>
      <c r="L929" s="82">
        <f t="shared" ca="1" si="292"/>
        <v>183</v>
      </c>
      <c r="M929" s="16">
        <f t="shared" ca="1" si="293"/>
        <v>817</v>
      </c>
      <c r="N929" s="3">
        <f t="shared" ca="1" si="294"/>
        <v>5</v>
      </c>
      <c r="O929" s="19">
        <f t="shared" ca="1" si="295"/>
        <v>2.8178718937399587</v>
      </c>
      <c r="P929" s="19">
        <f t="shared" ca="1" si="296"/>
        <v>28.178718937399587</v>
      </c>
      <c r="Q929" s="19">
        <f t="shared" ca="1" si="297"/>
        <v>28.178718937399587</v>
      </c>
      <c r="R929" s="19">
        <f t="shared" ca="1" si="298"/>
        <v>2.8178718937399587</v>
      </c>
      <c r="S929" s="19">
        <f t="shared" ca="1" si="299"/>
        <v>2.8178718937399587</v>
      </c>
      <c r="T929" s="19">
        <f t="shared" ca="1" si="300"/>
        <v>0</v>
      </c>
      <c r="U929" s="19">
        <f t="shared" ca="1" si="301"/>
        <v>1442.3251747165598</v>
      </c>
      <c r="V929" s="19">
        <f t="shared" ca="1" si="302"/>
        <v>0</v>
      </c>
      <c r="W929" s="82">
        <f t="shared" ca="1" si="303"/>
        <v>971.8104600694445</v>
      </c>
      <c r="X929" s="19">
        <f t="shared" ca="1" si="304"/>
        <v>0</v>
      </c>
      <c r="Y929" s="19">
        <f t="shared" si="305"/>
        <v>0</v>
      </c>
      <c r="Z929" s="82">
        <f t="shared" ca="1" si="306"/>
        <v>971.8104600694445</v>
      </c>
      <c r="AA929" s="19">
        <f t="shared" ca="1" si="307"/>
        <v>0</v>
      </c>
    </row>
    <row r="930" spans="1:27" ht="12.75" customHeight="1" x14ac:dyDescent="0.2">
      <c r="A930">
        <v>2</v>
      </c>
      <c r="B930">
        <v>3</v>
      </c>
      <c r="C930">
        <f t="shared" ca="1" si="286"/>
        <v>7</v>
      </c>
      <c r="D930">
        <f t="shared" ca="1" si="287"/>
        <v>6</v>
      </c>
      <c r="E930">
        <f t="shared" ca="1" si="288"/>
        <v>2</v>
      </c>
      <c r="F930" s="61">
        <f t="shared" ca="1" si="289"/>
        <v>5.4747482880000004E-3</v>
      </c>
      <c r="G930">
        <v>0</v>
      </c>
      <c r="H930">
        <v>1</v>
      </c>
      <c r="I930">
        <v>1</v>
      </c>
      <c r="J930" s="61">
        <f t="shared" ca="1" si="290"/>
        <v>0</v>
      </c>
      <c r="K930" s="61">
        <f t="shared" ca="1" si="291"/>
        <v>0</v>
      </c>
      <c r="L930" s="82">
        <f t="shared" ca="1" si="292"/>
        <v>172</v>
      </c>
      <c r="M930" s="16">
        <f t="shared" ca="1" si="293"/>
        <v>828</v>
      </c>
      <c r="N930" s="3">
        <f t="shared" ca="1" si="294"/>
        <v>5</v>
      </c>
      <c r="O930" s="19">
        <f t="shared" ca="1" si="295"/>
        <v>2.8178718937399587</v>
      </c>
      <c r="P930" s="19">
        <f t="shared" ca="1" si="296"/>
        <v>28.178718937399587</v>
      </c>
      <c r="Q930" s="19">
        <f t="shared" ca="1" si="297"/>
        <v>28.178718937399587</v>
      </c>
      <c r="R930" s="19">
        <f t="shared" ca="1" si="298"/>
        <v>2.8178718937399587</v>
      </c>
      <c r="S930" s="19">
        <f t="shared" ca="1" si="299"/>
        <v>2.8178718937399587</v>
      </c>
      <c r="T930" s="19">
        <f t="shared" ca="1" si="300"/>
        <v>0</v>
      </c>
      <c r="U930" s="19">
        <f t="shared" ca="1" si="301"/>
        <v>1431.3251747165598</v>
      </c>
      <c r="V930" s="19">
        <f t="shared" ca="1" si="302"/>
        <v>0</v>
      </c>
      <c r="W930" s="82">
        <f t="shared" ca="1" si="303"/>
        <v>485.90523003472225</v>
      </c>
      <c r="X930" s="19">
        <f t="shared" ca="1" si="304"/>
        <v>0</v>
      </c>
      <c r="Y930" s="19">
        <f t="shared" si="305"/>
        <v>0</v>
      </c>
      <c r="Z930" s="82">
        <f t="shared" ca="1" si="306"/>
        <v>485.90523003472225</v>
      </c>
      <c r="AA930" s="19">
        <f t="shared" ca="1" si="307"/>
        <v>0</v>
      </c>
    </row>
    <row r="931" spans="1:27" ht="12.75" customHeight="1" x14ac:dyDescent="0.2">
      <c r="A931">
        <v>2</v>
      </c>
      <c r="B931">
        <v>3</v>
      </c>
      <c r="C931">
        <f t="shared" ca="1" si="286"/>
        <v>7</v>
      </c>
      <c r="D931">
        <f t="shared" ca="1" si="287"/>
        <v>6</v>
      </c>
      <c r="E931">
        <f t="shared" ca="1" si="288"/>
        <v>2</v>
      </c>
      <c r="F931" s="61">
        <f t="shared" ca="1" si="289"/>
        <v>5.4747482880000004E-3</v>
      </c>
      <c r="G931">
        <v>0</v>
      </c>
      <c r="H931">
        <v>1</v>
      </c>
      <c r="I931">
        <v>0</v>
      </c>
      <c r="J931" s="61">
        <f t="shared" ca="1" si="290"/>
        <v>0</v>
      </c>
      <c r="K931" s="61">
        <f t="shared" ca="1" si="291"/>
        <v>0</v>
      </c>
      <c r="L931" s="82">
        <f t="shared" ca="1" si="292"/>
        <v>161</v>
      </c>
      <c r="M931" s="16">
        <f t="shared" ca="1" si="293"/>
        <v>839</v>
      </c>
      <c r="N931" s="3">
        <f t="shared" ca="1" si="294"/>
        <v>5</v>
      </c>
      <c r="O931" s="19">
        <f t="shared" ca="1" si="295"/>
        <v>2.8178718937399587</v>
      </c>
      <c r="P931" s="19">
        <f t="shared" ca="1" si="296"/>
        <v>28.178718937399587</v>
      </c>
      <c r="Q931" s="19">
        <f t="shared" ca="1" si="297"/>
        <v>28.178718937399587</v>
      </c>
      <c r="R931" s="19">
        <f t="shared" ca="1" si="298"/>
        <v>2.8178718937399587</v>
      </c>
      <c r="S931" s="19">
        <f t="shared" ca="1" si="299"/>
        <v>2.8178718937399587</v>
      </c>
      <c r="T931" s="19">
        <f t="shared" ca="1" si="300"/>
        <v>0</v>
      </c>
      <c r="U931" s="19">
        <f t="shared" ca="1" si="301"/>
        <v>1420.3251747165598</v>
      </c>
      <c r="V931" s="19">
        <f t="shared" ca="1" si="302"/>
        <v>0</v>
      </c>
      <c r="W931" s="82">
        <f t="shared" ca="1" si="303"/>
        <v>0</v>
      </c>
      <c r="X931" s="19">
        <f t="shared" ca="1" si="304"/>
        <v>0</v>
      </c>
      <c r="Y931" s="19">
        <f t="shared" si="305"/>
        <v>0</v>
      </c>
      <c r="Z931" s="82">
        <f t="shared" ca="1" si="306"/>
        <v>0</v>
      </c>
      <c r="AA931" s="19">
        <f t="shared" ca="1" si="307"/>
        <v>0</v>
      </c>
    </row>
    <row r="932" spans="1:27" ht="12.75" customHeight="1" x14ac:dyDescent="0.2">
      <c r="A932">
        <v>2</v>
      </c>
      <c r="B932">
        <v>3</v>
      </c>
      <c r="C932">
        <f t="shared" ca="1" si="286"/>
        <v>7</v>
      </c>
      <c r="D932">
        <f t="shared" ca="1" si="287"/>
        <v>6</v>
      </c>
      <c r="E932">
        <f t="shared" ca="1" si="288"/>
        <v>2</v>
      </c>
      <c r="F932" s="61">
        <f t="shared" ca="1" si="289"/>
        <v>5.4747482880000004E-3</v>
      </c>
      <c r="G932">
        <v>0</v>
      </c>
      <c r="H932">
        <v>0</v>
      </c>
      <c r="I932">
        <v>7</v>
      </c>
      <c r="J932" s="61">
        <f t="shared" ca="1" si="290"/>
        <v>0</v>
      </c>
      <c r="K932" s="61">
        <f t="shared" ca="1" si="291"/>
        <v>0</v>
      </c>
      <c r="L932" s="82">
        <f t="shared" ca="1" si="292"/>
        <v>77</v>
      </c>
      <c r="M932" s="16">
        <f t="shared" ca="1" si="293"/>
        <v>923</v>
      </c>
      <c r="N932" s="3">
        <f t="shared" ca="1" si="294"/>
        <v>5</v>
      </c>
      <c r="O932" s="19">
        <f t="shared" ca="1" si="295"/>
        <v>2.8178718937399587</v>
      </c>
      <c r="P932" s="19">
        <f t="shared" ca="1" si="296"/>
        <v>28.178718937399587</v>
      </c>
      <c r="Q932" s="19">
        <f t="shared" ca="1" si="297"/>
        <v>28.178718937399587</v>
      </c>
      <c r="R932" s="19">
        <f t="shared" ca="1" si="298"/>
        <v>2.8178718937399587</v>
      </c>
      <c r="S932" s="19">
        <f t="shared" ca="1" si="299"/>
        <v>2.8178718937399587</v>
      </c>
      <c r="T932" s="19">
        <f t="shared" ca="1" si="300"/>
        <v>0</v>
      </c>
      <c r="U932" s="19">
        <f t="shared" ca="1" si="301"/>
        <v>1336.3251747165598</v>
      </c>
      <c r="V932" s="19">
        <f t="shared" ca="1" si="302"/>
        <v>0</v>
      </c>
      <c r="W932" s="82">
        <f t="shared" ca="1" si="303"/>
        <v>3401.3366102430559</v>
      </c>
      <c r="X932" s="19">
        <f t="shared" ca="1" si="304"/>
        <v>0</v>
      </c>
      <c r="Y932" s="19">
        <f t="shared" si="305"/>
        <v>0</v>
      </c>
      <c r="Z932" s="82">
        <f t="shared" ca="1" si="306"/>
        <v>3401.3366102430559</v>
      </c>
      <c r="AA932" s="19">
        <f t="shared" ca="1" si="307"/>
        <v>0</v>
      </c>
    </row>
    <row r="933" spans="1:27" ht="12.75" customHeight="1" x14ac:dyDescent="0.2">
      <c r="A933">
        <v>2</v>
      </c>
      <c r="B933">
        <v>3</v>
      </c>
      <c r="C933">
        <f t="shared" ca="1" si="286"/>
        <v>7</v>
      </c>
      <c r="D933">
        <f t="shared" ca="1" si="287"/>
        <v>6</v>
      </c>
      <c r="E933">
        <f t="shared" ca="1" si="288"/>
        <v>2</v>
      </c>
      <c r="F933" s="61">
        <f t="shared" ca="1" si="289"/>
        <v>5.4747482880000004E-3</v>
      </c>
      <c r="G933">
        <v>0</v>
      </c>
      <c r="H933">
        <v>0</v>
      </c>
      <c r="I933">
        <v>6</v>
      </c>
      <c r="J933" s="61">
        <f t="shared" ca="1" si="290"/>
        <v>3.6754594531249997E-2</v>
      </c>
      <c r="K933" s="61">
        <f t="shared" ca="1" si="291"/>
        <v>2.012221534860951E-4</v>
      </c>
      <c r="L933" s="82">
        <f t="shared" ca="1" si="292"/>
        <v>66</v>
      </c>
      <c r="M933" s="16">
        <f t="shared" ca="1" si="293"/>
        <v>934</v>
      </c>
      <c r="N933" s="3">
        <f t="shared" ca="1" si="294"/>
        <v>5</v>
      </c>
      <c r="O933" s="19">
        <f t="shared" ca="1" si="295"/>
        <v>2.8178718937399587</v>
      </c>
      <c r="P933" s="19">
        <f t="shared" ca="1" si="296"/>
        <v>28.178718937399587</v>
      </c>
      <c r="Q933" s="19">
        <f t="shared" ca="1" si="297"/>
        <v>28.178718937399587</v>
      </c>
      <c r="R933" s="19">
        <f t="shared" ca="1" si="298"/>
        <v>2.8178718937399587</v>
      </c>
      <c r="S933" s="19">
        <f t="shared" ca="1" si="299"/>
        <v>2.8178718937399587</v>
      </c>
      <c r="T933" s="19">
        <f t="shared" ca="1" si="300"/>
        <v>5.6701825070629543E-4</v>
      </c>
      <c r="U933" s="19">
        <f t="shared" ca="1" si="301"/>
        <v>1325.3251747165598</v>
      </c>
      <c r="V933" s="19">
        <f t="shared" ca="1" si="302"/>
        <v>0.2666847857258014</v>
      </c>
      <c r="W933" s="82">
        <f t="shared" ca="1" si="303"/>
        <v>2915.4313802083334</v>
      </c>
      <c r="X933" s="19">
        <f t="shared" ca="1" si="304"/>
        <v>0.58664938066645933</v>
      </c>
      <c r="Y933" s="19">
        <f t="shared" si="305"/>
        <v>0</v>
      </c>
      <c r="Z933" s="82">
        <f t="shared" ca="1" si="306"/>
        <v>2915.4313802083334</v>
      </c>
      <c r="AA933" s="19">
        <f t="shared" ca="1" si="307"/>
        <v>0.58664938066645933</v>
      </c>
    </row>
    <row r="934" spans="1:27" ht="12.75" customHeight="1" x14ac:dyDescent="0.2">
      <c r="A934">
        <v>2</v>
      </c>
      <c r="B934">
        <v>3</v>
      </c>
      <c r="C934">
        <f t="shared" ca="1" si="286"/>
        <v>7</v>
      </c>
      <c r="D934">
        <f t="shared" ca="1" si="287"/>
        <v>6</v>
      </c>
      <c r="E934">
        <f t="shared" ca="1" si="288"/>
        <v>2</v>
      </c>
      <c r="F934" s="61">
        <f t="shared" ca="1" si="289"/>
        <v>5.4747482880000004E-3</v>
      </c>
      <c r="G934">
        <v>0</v>
      </c>
      <c r="H934">
        <v>0</v>
      </c>
      <c r="I934">
        <v>5</v>
      </c>
      <c r="J934" s="61">
        <f t="shared" ca="1" si="290"/>
        <v>1.1606714062500011E-2</v>
      </c>
      <c r="K934" s="61">
        <f t="shared" ca="1" si="291"/>
        <v>6.3543837942977468E-5</v>
      </c>
      <c r="L934" s="82">
        <f t="shared" ca="1" si="292"/>
        <v>55</v>
      </c>
      <c r="M934" s="16">
        <f t="shared" ca="1" si="293"/>
        <v>945</v>
      </c>
      <c r="N934" s="3">
        <f t="shared" ca="1" si="294"/>
        <v>5</v>
      </c>
      <c r="O934" s="19">
        <f t="shared" ca="1" si="295"/>
        <v>2.8178718937399587</v>
      </c>
      <c r="P934" s="19">
        <f t="shared" ca="1" si="296"/>
        <v>28.178718937399587</v>
      </c>
      <c r="Q934" s="19">
        <f t="shared" ca="1" si="297"/>
        <v>28.178718937399587</v>
      </c>
      <c r="R934" s="19">
        <f t="shared" ca="1" si="298"/>
        <v>2.8178718937399587</v>
      </c>
      <c r="S934" s="19">
        <f t="shared" ca="1" si="299"/>
        <v>2.8178718937399587</v>
      </c>
      <c r="T934" s="19">
        <f t="shared" ca="1" si="300"/>
        <v>1.7905839495988295E-4</v>
      </c>
      <c r="U934" s="19">
        <f t="shared" ca="1" si="301"/>
        <v>1314.3251747165598</v>
      </c>
      <c r="V934" s="19">
        <f t="shared" ca="1" si="302"/>
        <v>8.3517265906564622E-2</v>
      </c>
      <c r="W934" s="82">
        <f t="shared" ca="1" si="303"/>
        <v>2429.5261501736113</v>
      </c>
      <c r="X934" s="19">
        <f t="shared" ca="1" si="304"/>
        <v>0.15438141596485791</v>
      </c>
      <c r="Y934" s="19">
        <f t="shared" si="305"/>
        <v>0</v>
      </c>
      <c r="Z934" s="82">
        <f t="shared" ca="1" si="306"/>
        <v>2429.5261501736113</v>
      </c>
      <c r="AA934" s="19">
        <f t="shared" ca="1" si="307"/>
        <v>0.15438141596485791</v>
      </c>
    </row>
    <row r="935" spans="1:27" ht="12.75" customHeight="1" x14ac:dyDescent="0.2">
      <c r="A935">
        <v>2</v>
      </c>
      <c r="B935">
        <v>3</v>
      </c>
      <c r="C935">
        <f t="shared" ca="1" si="286"/>
        <v>7</v>
      </c>
      <c r="D935">
        <f t="shared" ca="1" si="287"/>
        <v>6</v>
      </c>
      <c r="E935">
        <f t="shared" ca="1" si="288"/>
        <v>2</v>
      </c>
      <c r="F935" s="61">
        <f t="shared" ca="1" si="289"/>
        <v>5.4747482880000004E-3</v>
      </c>
      <c r="G935">
        <v>0</v>
      </c>
      <c r="H935">
        <v>0</v>
      </c>
      <c r="I935">
        <v>4</v>
      </c>
      <c r="J935" s="61">
        <f t="shared" ca="1" si="290"/>
        <v>1.5271992187500026E-3</v>
      </c>
      <c r="K935" s="61">
        <f t="shared" ca="1" si="291"/>
        <v>8.3610313082865145E-6</v>
      </c>
      <c r="L935" s="82">
        <f t="shared" ca="1" si="292"/>
        <v>44</v>
      </c>
      <c r="M935" s="16">
        <f t="shared" ca="1" si="293"/>
        <v>956</v>
      </c>
      <c r="N935" s="3">
        <f t="shared" ca="1" si="294"/>
        <v>6</v>
      </c>
      <c r="O935" s="19">
        <f t="shared" ca="1" si="295"/>
        <v>3.3239268932937667</v>
      </c>
      <c r="P935" s="19">
        <f t="shared" ca="1" si="296"/>
        <v>33.239268932937669</v>
      </c>
      <c r="Q935" s="19">
        <f t="shared" ca="1" si="297"/>
        <v>28.178718937399587</v>
      </c>
      <c r="R935" s="19">
        <f t="shared" ca="1" si="298"/>
        <v>3.0708993935168629</v>
      </c>
      <c r="S935" s="19">
        <f t="shared" ca="1" si="299"/>
        <v>3.3239268932937667</v>
      </c>
      <c r="T935" s="19">
        <f t="shared" ca="1" si="300"/>
        <v>2.779145682128471E-5</v>
      </c>
      <c r="U935" s="19">
        <f t="shared" ca="1" si="301"/>
        <v>1495.4024523027438</v>
      </c>
      <c r="V935" s="19">
        <f t="shared" ca="1" si="302"/>
        <v>1.2503106722191673E-2</v>
      </c>
      <c r="W935" s="82">
        <f t="shared" ca="1" si="303"/>
        <v>1943.620920138889</v>
      </c>
      <c r="X935" s="19">
        <f t="shared" ca="1" si="304"/>
        <v>1.6250675364721894E-2</v>
      </c>
      <c r="Y935" s="19">
        <f t="shared" si="305"/>
        <v>0</v>
      </c>
      <c r="Z935" s="82">
        <f t="shared" ca="1" si="306"/>
        <v>1943.620920138889</v>
      </c>
      <c r="AA935" s="19">
        <f t="shared" ca="1" si="307"/>
        <v>1.6250675364721894E-2</v>
      </c>
    </row>
    <row r="936" spans="1:27" ht="12.75" customHeight="1" x14ac:dyDescent="0.2">
      <c r="A936">
        <v>2</v>
      </c>
      <c r="B936">
        <v>3</v>
      </c>
      <c r="C936">
        <f t="shared" ca="1" si="286"/>
        <v>7</v>
      </c>
      <c r="D936">
        <f t="shared" ca="1" si="287"/>
        <v>6</v>
      </c>
      <c r="E936">
        <f t="shared" ca="1" si="288"/>
        <v>2</v>
      </c>
      <c r="F936" s="61">
        <f t="shared" ca="1" si="289"/>
        <v>5.4747482880000004E-3</v>
      </c>
      <c r="G936">
        <v>0</v>
      </c>
      <c r="H936">
        <v>0</v>
      </c>
      <c r="I936">
        <v>3</v>
      </c>
      <c r="J936" s="61">
        <f t="shared" ca="1" si="290"/>
        <v>1.0717187500000027E-4</v>
      </c>
      <c r="K936" s="61">
        <f t="shared" ca="1" si="291"/>
        <v>5.8673903917800152E-7</v>
      </c>
      <c r="L936" s="82">
        <f t="shared" ca="1" si="292"/>
        <v>33</v>
      </c>
      <c r="M936" s="16">
        <f t="shared" ca="1" si="293"/>
        <v>967</v>
      </c>
      <c r="N936" s="3">
        <f t="shared" ca="1" si="294"/>
        <v>6</v>
      </c>
      <c r="O936" s="19">
        <f t="shared" ca="1" si="295"/>
        <v>3.3239268932937667</v>
      </c>
      <c r="P936" s="19">
        <f t="shared" ca="1" si="296"/>
        <v>33.239268932937669</v>
      </c>
      <c r="Q936" s="19">
        <f t="shared" ca="1" si="297"/>
        <v>33.239268932937669</v>
      </c>
      <c r="R936" s="19">
        <f t="shared" ca="1" si="298"/>
        <v>3.3239268932937671</v>
      </c>
      <c r="S936" s="19">
        <f t="shared" ca="1" si="299"/>
        <v>3.3239268932937667</v>
      </c>
      <c r="T936" s="19">
        <f t="shared" ca="1" si="300"/>
        <v>1.9502776716691041E-6</v>
      </c>
      <c r="U936" s="19">
        <f t="shared" ca="1" si="301"/>
        <v>1484.4024523027438</v>
      </c>
      <c r="V936" s="19">
        <f t="shared" ca="1" si="302"/>
        <v>8.7095686861758106E-4</v>
      </c>
      <c r="W936" s="82">
        <f t="shared" ca="1" si="303"/>
        <v>1457.7156901041667</v>
      </c>
      <c r="X936" s="19">
        <f t="shared" ca="1" si="304"/>
        <v>8.5529870340641623E-4</v>
      </c>
      <c r="Y936" s="19">
        <f t="shared" si="305"/>
        <v>0</v>
      </c>
      <c r="Z936" s="82">
        <f t="shared" ca="1" si="306"/>
        <v>1457.7156901041667</v>
      </c>
      <c r="AA936" s="19">
        <f t="shared" ca="1" si="307"/>
        <v>8.5529870340641623E-4</v>
      </c>
    </row>
    <row r="937" spans="1:27" ht="12.75" customHeight="1" x14ac:dyDescent="0.2">
      <c r="A937">
        <v>2</v>
      </c>
      <c r="B937">
        <v>3</v>
      </c>
      <c r="C937">
        <f t="shared" ca="1" si="286"/>
        <v>7</v>
      </c>
      <c r="D937">
        <f t="shared" ca="1" si="287"/>
        <v>6</v>
      </c>
      <c r="E937">
        <f t="shared" ca="1" si="288"/>
        <v>2</v>
      </c>
      <c r="F937" s="61">
        <f t="shared" ca="1" si="289"/>
        <v>5.4747482880000004E-3</v>
      </c>
      <c r="G937">
        <v>0</v>
      </c>
      <c r="H937">
        <v>0</v>
      </c>
      <c r="I937">
        <v>2</v>
      </c>
      <c r="J937" s="61">
        <f t="shared" ca="1" si="290"/>
        <v>4.2304687500000152E-6</v>
      </c>
      <c r="K937" s="61">
        <f t="shared" ca="1" si="291"/>
        <v>2.3160751546500084E-8</v>
      </c>
      <c r="L937" s="82">
        <f t="shared" ca="1" si="292"/>
        <v>22</v>
      </c>
      <c r="M937" s="16">
        <f t="shared" ca="1" si="293"/>
        <v>978</v>
      </c>
      <c r="N937" s="3">
        <f t="shared" ca="1" si="294"/>
        <v>6</v>
      </c>
      <c r="O937" s="19">
        <f t="shared" ca="1" si="295"/>
        <v>3.3239268932937667</v>
      </c>
      <c r="P937" s="19">
        <f t="shared" ca="1" si="296"/>
        <v>33.239268932937669</v>
      </c>
      <c r="Q937" s="19">
        <f t="shared" ca="1" si="297"/>
        <v>33.239268932937669</v>
      </c>
      <c r="R937" s="19">
        <f t="shared" ca="1" si="298"/>
        <v>3.3239268932937671</v>
      </c>
      <c r="S937" s="19">
        <f t="shared" ca="1" si="299"/>
        <v>3.3239268932937667</v>
      </c>
      <c r="T937" s="19">
        <f t="shared" ca="1" si="300"/>
        <v>7.6984644934306831E-8</v>
      </c>
      <c r="U937" s="19">
        <f t="shared" ca="1" si="301"/>
        <v>1473.4024523027438</v>
      </c>
      <c r="V937" s="19">
        <f t="shared" ca="1" si="302"/>
        <v>3.4125108125787786E-5</v>
      </c>
      <c r="W937" s="82">
        <f t="shared" ca="1" si="303"/>
        <v>971.8104600694445</v>
      </c>
      <c r="X937" s="19">
        <f t="shared" ca="1" si="304"/>
        <v>2.2507860615958343E-5</v>
      </c>
      <c r="Y937" s="19">
        <f t="shared" si="305"/>
        <v>0</v>
      </c>
      <c r="Z937" s="82">
        <f t="shared" ca="1" si="306"/>
        <v>971.8104600694445</v>
      </c>
      <c r="AA937" s="19">
        <f t="shared" ca="1" si="307"/>
        <v>2.2507860615958343E-5</v>
      </c>
    </row>
    <row r="938" spans="1:27" ht="12.75" customHeight="1" x14ac:dyDescent="0.2">
      <c r="A938">
        <v>2</v>
      </c>
      <c r="B938">
        <v>3</v>
      </c>
      <c r="C938">
        <f t="shared" ca="1" si="286"/>
        <v>7</v>
      </c>
      <c r="D938">
        <f t="shared" ca="1" si="287"/>
        <v>6</v>
      </c>
      <c r="E938">
        <f t="shared" ca="1" si="288"/>
        <v>2</v>
      </c>
      <c r="F938" s="61">
        <f t="shared" ca="1" si="289"/>
        <v>5.4747482880000004E-3</v>
      </c>
      <c r="G938">
        <v>0</v>
      </c>
      <c r="H938">
        <v>0</v>
      </c>
      <c r="I938">
        <v>1</v>
      </c>
      <c r="J938" s="61">
        <f t="shared" ca="1" si="290"/>
        <v>8.9062500000000418E-8</v>
      </c>
      <c r="K938" s="61">
        <f t="shared" ca="1" si="291"/>
        <v>4.8759476940000229E-10</v>
      </c>
      <c r="L938" s="82">
        <f t="shared" ca="1" si="292"/>
        <v>11</v>
      </c>
      <c r="M938" s="16">
        <f t="shared" ca="1" si="293"/>
        <v>989</v>
      </c>
      <c r="N938" s="3">
        <f t="shared" ca="1" si="294"/>
        <v>6</v>
      </c>
      <c r="O938" s="19">
        <f t="shared" ca="1" si="295"/>
        <v>3.3239268932937667</v>
      </c>
      <c r="P938" s="19">
        <f t="shared" ca="1" si="296"/>
        <v>33.239268932937669</v>
      </c>
      <c r="Q938" s="19">
        <f t="shared" ca="1" si="297"/>
        <v>33.239268932937669</v>
      </c>
      <c r="R938" s="19">
        <f t="shared" ca="1" si="298"/>
        <v>3.3239268932937671</v>
      </c>
      <c r="S938" s="19">
        <f t="shared" ca="1" si="299"/>
        <v>3.3239268932937667</v>
      </c>
      <c r="T938" s="19">
        <f t="shared" ca="1" si="300"/>
        <v>1.6207293670380401E-9</v>
      </c>
      <c r="U938" s="19">
        <f t="shared" ca="1" si="301"/>
        <v>1462.4024523027438</v>
      </c>
      <c r="V938" s="19">
        <f t="shared" ca="1" si="302"/>
        <v>7.1305978650055415E-7</v>
      </c>
      <c r="W938" s="82">
        <f t="shared" ca="1" si="303"/>
        <v>485.90523003472225</v>
      </c>
      <c r="X938" s="19">
        <f t="shared" ca="1" si="304"/>
        <v>2.3692484858903546E-7</v>
      </c>
      <c r="Y938" s="19">
        <f t="shared" si="305"/>
        <v>0</v>
      </c>
      <c r="Z938" s="82">
        <f t="shared" ca="1" si="306"/>
        <v>485.90523003472225</v>
      </c>
      <c r="AA938" s="19">
        <f t="shared" ca="1" si="307"/>
        <v>2.3692484858903546E-7</v>
      </c>
    </row>
    <row r="939" spans="1:27" ht="12.75" customHeight="1" x14ac:dyDescent="0.2">
      <c r="A939">
        <v>2</v>
      </c>
      <c r="B939">
        <v>3</v>
      </c>
      <c r="C939">
        <f t="shared" ca="1" si="286"/>
        <v>7</v>
      </c>
      <c r="D939">
        <f t="shared" ca="1" si="287"/>
        <v>6</v>
      </c>
      <c r="E939">
        <f t="shared" ca="1" si="288"/>
        <v>2</v>
      </c>
      <c r="F939" s="61">
        <f t="shared" ca="1" si="289"/>
        <v>5.4747482880000004E-3</v>
      </c>
      <c r="G939">
        <v>0</v>
      </c>
      <c r="H939">
        <v>0</v>
      </c>
      <c r="I939">
        <v>0</v>
      </c>
      <c r="J939" s="61">
        <f t="shared" ca="1" si="290"/>
        <v>7.812500000000041E-10</v>
      </c>
      <c r="K939" s="61">
        <f t="shared" ca="1" si="291"/>
        <v>4.2771471000000224E-12</v>
      </c>
      <c r="L939" s="82">
        <f t="shared" ca="1" si="292"/>
        <v>0</v>
      </c>
      <c r="M939" s="16">
        <f t="shared" ca="1" si="293"/>
        <v>1000</v>
      </c>
      <c r="N939" s="3">
        <f t="shared" ca="1" si="294"/>
        <v>6</v>
      </c>
      <c r="O939" s="19">
        <f t="shared" ca="1" si="295"/>
        <v>3.3239268932937667</v>
      </c>
      <c r="P939" s="19">
        <f t="shared" ca="1" si="296"/>
        <v>33.239268932937669</v>
      </c>
      <c r="Q939" s="19">
        <f t="shared" ca="1" si="297"/>
        <v>33.239268932937669</v>
      </c>
      <c r="R939" s="19">
        <f t="shared" ca="1" si="298"/>
        <v>3.3239268932937671</v>
      </c>
      <c r="S939" s="19">
        <f t="shared" ca="1" si="299"/>
        <v>3.3239268932937667</v>
      </c>
      <c r="T939" s="19">
        <f t="shared" ca="1" si="300"/>
        <v>1.4216924272263518E-11</v>
      </c>
      <c r="U939" s="19">
        <f t="shared" ca="1" si="301"/>
        <v>1451.4024523027438</v>
      </c>
      <c r="V939" s="19">
        <f t="shared" ca="1" si="302"/>
        <v>6.2078617897996015E-9</v>
      </c>
      <c r="W939" s="82">
        <f t="shared" ca="1" si="303"/>
        <v>0</v>
      </c>
      <c r="X939" s="19">
        <f t="shared" ca="1" si="304"/>
        <v>0</v>
      </c>
      <c r="Y939" s="19">
        <f t="shared" si="305"/>
        <v>0</v>
      </c>
      <c r="Z939" s="82">
        <f t="shared" ca="1" si="306"/>
        <v>0</v>
      </c>
      <c r="AA939" s="19">
        <f t="shared" ca="1" si="307"/>
        <v>0</v>
      </c>
    </row>
    <row r="940" spans="1:27" ht="12.75" customHeight="1" x14ac:dyDescent="0.2">
      <c r="A940">
        <v>3</v>
      </c>
      <c r="B940">
        <v>0</v>
      </c>
      <c r="C940">
        <f t="shared" ref="C940:C1003" ca="1" si="308">MIN(8, 1+$B$545+$B$544+A940+B940)</f>
        <v>5</v>
      </c>
      <c r="D940">
        <f t="shared" ref="D940:D1003" ca="1" si="309">C940-(1+$B$545)</f>
        <v>4</v>
      </c>
      <c r="E940">
        <f t="shared" ref="E940:E1003" ca="1" si="310">MIN(A940, C940-(1+$B$545+$B$544))</f>
        <v>3</v>
      </c>
      <c r="F940" s="61">
        <f t="shared" ref="F940:F1003" ca="1" si="311">IF(A940=3, Set2QA, IF(A940=2, (1-Set2QA)*Set2TA + (1-Set2QA)*(1-Set2TA)*(1-Set2DA)*Set2AM3*Set2AM33, IF(A940=1, (1-Set2QA)*(1-Set2TA)*Set2DA + (1-Set2QA)*(1-Set2TA)*(1-Set2DA)*Set2AM3*Set2AM32, (1-Set2QA)*(1-Set2TA)*(1-Set2DA)*(1-Set2AM3)))) * IF($B$544+$B$545&gt;0, IF(B940=3, Set2QA, IF(B940=2, (1-Set2QA)*Set2TA, IF(B940=1, (1-Set2QA)*(1-Set2TA)*Set2DA, (1-Set2QA)*(1-Set2TA)*(1-Set2DA)))), IF(B940=0, 1, 0))</f>
        <v>2.1510720000000001E-2</v>
      </c>
      <c r="G940">
        <v>1</v>
      </c>
      <c r="H940">
        <v>1</v>
      </c>
      <c r="I940">
        <v>7</v>
      </c>
      <c r="J940" s="61">
        <f t="shared" ref="J940:J1003" ca="1" si="312">POWER(95%,G940)*POWER(5%, 1-G940) * IF($B$545=0, IF(H940=0, 1, 0), POWER(Set2WSHitRate,H940)*POWER(1-Set2WSHitRate, 1-H940)) * IF(I940&lt;=D940, POWER(Set2WSHitRate, I940)*POWER(1-Set2WSHitRate, D940-I940)*COMBIN(D940,I940), 0)</f>
        <v>0</v>
      </c>
      <c r="K940" s="61">
        <f t="shared" ref="K940:K1003" ca="1" si="313">F940*J940</f>
        <v>0</v>
      </c>
      <c r="L940" s="82">
        <f t="shared" ref="L940:L1003" ca="1" si="314">MAX((G940+H940)*Set2WSTP + I940*$B$541, Set2SaveTP)</f>
        <v>399</v>
      </c>
      <c r="M940" s="16">
        <f t="shared" ref="M940:M1003" ca="1" si="315">MAX(Set2MinTP-(L940+Set2Regain), 0)</f>
        <v>601</v>
      </c>
      <c r="N940" s="3">
        <f t="shared" ref="N940:N1003" ca="1" si="316">CEILING(M940/Set2MeleeTP, 1)</f>
        <v>4</v>
      </c>
      <c r="O940" s="19">
        <f t="shared" ref="O940:O1003" ca="1" si="317">VLOOKUP(N940, AvgRoundsSet2, 2)</f>
        <v>2.3453053758100548</v>
      </c>
      <c r="P940" s="19">
        <f t="shared" ref="P940:P1003" ca="1" si="318">VLOOKUP(CEILING(MAX(M940-1, 0)/Set2MeleeTP, 1), AvgRoundsSet2, 2) + VLOOKUP(CEILING(MAX(M940-2, 0)/Set2MeleeTP, 1), AvgRoundsSet2, 2) + VLOOKUP(CEILING(MAX(M940-3, 0)/Set2MeleeTP, 1), AvgRoundsSet2, 2) + VLOOKUP(CEILING(MAX(M940-4, 0)/Set2MeleeTP, 1), AvgRoundsSet2, 2) + VLOOKUP(CEILING(MAX(M940-5, 0)/Set2MeleeTP, 1), AvgRoundsSet2, 2) + VLOOKUP(CEILING(MAX(M940-6, 0)/Set2MeleeTP, 1), AvgRoundsSet2, 2) + VLOOKUP(CEILING(MAX(M940-7, 0)/Set2MeleeTP, 1), AvgRoundsSet2, 2) + VLOOKUP(CEILING(MAX(M940-8, 0)/Set2MeleeTP, 1), AvgRoundsSet2, 2) + VLOOKUP(CEILING(MAX(M940-9, 0)/Set2MeleeTP, 1), AvgRoundsSet2, 2) + VLOOKUP(CEILING(MAX(M940-10, 0)/Set2MeleeTP, 1), AvgRoundsSet2, 2)</f>
        <v>23.453053758100552</v>
      </c>
      <c r="Q940" s="19">
        <f t="shared" ref="Q940:Q1003" ca="1" si="319">VLOOKUP(CEILING(MAX(M940-11, 0)/Set2MeleeTP, 1), AvgRoundsSet2, 2) + VLOOKUP(CEILING(MAX(M940-12, 0)/Set2MeleeTP, 1), AvgRoundsSet2, 2) + VLOOKUP(CEILING(MAX(M940-13, 0)/Set2MeleeTP, 1), AvgRoundsSet2, 2) + VLOOKUP(CEILING(MAX(M940-14, 0)/Set2MeleeTP, 1), AvgRoundsSet2, 2) + VLOOKUP(CEILING(MAX(M940-15, 0)/Set2MeleeTP, 1), AvgRoundsSet2, 2) + VLOOKUP(CEILING(MAX(M940-16, 0)/Set2MeleeTP, 1), AvgRoundsSet2, 2) + VLOOKUP(CEILING(MAX(M940-17, 0)/Set2MeleeTP, 1), AvgRoundsSet2, 2) + VLOOKUP(CEILING(MAX(M940-18, 0)/Set2MeleeTP, 1), AvgRoundsSet2, 2) + VLOOKUP(CEILING(MAX(M940-19, 0)/Set2MeleeTP, 1), AvgRoundsSet2, 2) + VLOOKUP(CEILING(MAX(M940-20, 0)/Set2MeleeTP, 1), AvgRoundsSet2, 2)</f>
        <v>23.453053758100552</v>
      </c>
      <c r="R940" s="19">
        <f t="shared" ref="R940:R1003" ca="1" si="320">(P940+Q940)/20</f>
        <v>2.3453053758100553</v>
      </c>
      <c r="S940" s="19">
        <f t="shared" ref="S940:S1003" ca="1" si="321">R940*Set2ConserveTP + O940*(1-Set2ConserveTP)</f>
        <v>2.3453053758100548</v>
      </c>
      <c r="T940" s="19">
        <f t="shared" ref="T940:T1003" ca="1" si="322">K940*S940</f>
        <v>0</v>
      </c>
      <c r="U940" s="19">
        <f t="shared" ref="U940:U1003" ca="1" si="323">MIN(L940+(S940+Set2OverTP)*AvgHitsPerRound2*Set2MeleeTP + Set2Regain + 10.5*Set2ConserveTP, 3000)</f>
        <v>1478.9587218163997</v>
      </c>
      <c r="V940" s="19">
        <f t="shared" ref="V940:V1003" ca="1" si="324">U940*K940</f>
        <v>0</v>
      </c>
      <c r="W940" s="82">
        <f t="shared" ref="W940:W1003" ca="1" si="325">G940*$K$547*((1-$L$547)*$L$551 + $L$547*$M$551*$M$547) + H940*$K$550*((1-$L$550)*$L$552 + $L$550*$M$552*$M$548) + I940*$K$548*((1-$L$548)*$L$551 + $L$548*$M$551*$M$548) + E940*$K$549*$L$549*$M$547</f>
        <v>5718.7981307870377</v>
      </c>
      <c r="X940" s="19">
        <f t="shared" ref="X940:X1003" ca="1" si="326">K940*W940</f>
        <v>0</v>
      </c>
      <c r="Y940" s="19">
        <f t="shared" ref="Y940:Y1003" si="327">IF($B$547=1, (VLOOKUP(C940, IF($B$548=10%,Souleater10,Souleater12), 6, 0) * $B$549), 0)</f>
        <v>0</v>
      </c>
      <c r="Z940" s="82">
        <f t="shared" ref="Z940:Z1003" ca="1" si="328">Y940+W940</f>
        <v>5718.7981307870377</v>
      </c>
      <c r="AA940" s="19">
        <f t="shared" ref="AA940:AA1003" ca="1" si="329">Z940*K940</f>
        <v>0</v>
      </c>
    </row>
    <row r="941" spans="1:27" ht="12.75" customHeight="1" x14ac:dyDescent="0.2">
      <c r="A941">
        <v>3</v>
      </c>
      <c r="B941">
        <v>0</v>
      </c>
      <c r="C941">
        <f t="shared" ca="1" si="308"/>
        <v>5</v>
      </c>
      <c r="D941">
        <f t="shared" ca="1" si="309"/>
        <v>4</v>
      </c>
      <c r="E941">
        <f t="shared" ca="1" si="310"/>
        <v>3</v>
      </c>
      <c r="F941" s="61">
        <f t="shared" ca="1" si="311"/>
        <v>2.1510720000000001E-2</v>
      </c>
      <c r="G941">
        <v>1</v>
      </c>
      <c r="H941">
        <v>1</v>
      </c>
      <c r="I941">
        <v>6</v>
      </c>
      <c r="J941" s="61">
        <f t="shared" ca="1" si="312"/>
        <v>0</v>
      </c>
      <c r="K941" s="61">
        <f t="shared" ca="1" si="313"/>
        <v>0</v>
      </c>
      <c r="L941" s="82">
        <f t="shared" ca="1" si="314"/>
        <v>388</v>
      </c>
      <c r="M941" s="16">
        <f t="shared" ca="1" si="315"/>
        <v>612</v>
      </c>
      <c r="N941" s="3">
        <f t="shared" ca="1" si="316"/>
        <v>4</v>
      </c>
      <c r="O941" s="19">
        <f t="shared" ca="1" si="317"/>
        <v>2.3453053758100548</v>
      </c>
      <c r="P941" s="19">
        <f t="shared" ca="1" si="318"/>
        <v>23.453053758100552</v>
      </c>
      <c r="Q941" s="19">
        <f t="shared" ca="1" si="319"/>
        <v>23.453053758100552</v>
      </c>
      <c r="R941" s="19">
        <f t="shared" ca="1" si="320"/>
        <v>2.3453053758100553</v>
      </c>
      <c r="S941" s="19">
        <f t="shared" ca="1" si="321"/>
        <v>2.3453053758100548</v>
      </c>
      <c r="T941" s="19">
        <f t="shared" ca="1" si="322"/>
        <v>0</v>
      </c>
      <c r="U941" s="19">
        <f t="shared" ca="1" si="323"/>
        <v>1467.9587218163997</v>
      </c>
      <c r="V941" s="19">
        <f t="shared" ca="1" si="324"/>
        <v>0</v>
      </c>
      <c r="W941" s="82">
        <f t="shared" ca="1" si="325"/>
        <v>5232.8929007523147</v>
      </c>
      <c r="X941" s="19">
        <f t="shared" ca="1" si="326"/>
        <v>0</v>
      </c>
      <c r="Y941" s="19">
        <f t="shared" si="327"/>
        <v>0</v>
      </c>
      <c r="Z941" s="82">
        <f t="shared" ca="1" si="328"/>
        <v>5232.8929007523147</v>
      </c>
      <c r="AA941" s="19">
        <f t="shared" ca="1" si="329"/>
        <v>0</v>
      </c>
    </row>
    <row r="942" spans="1:27" ht="12.75" customHeight="1" x14ac:dyDescent="0.2">
      <c r="A942">
        <v>3</v>
      </c>
      <c r="B942">
        <v>0</v>
      </c>
      <c r="C942">
        <f t="shared" ca="1" si="308"/>
        <v>5</v>
      </c>
      <c r="D942">
        <f t="shared" ca="1" si="309"/>
        <v>4</v>
      </c>
      <c r="E942">
        <f t="shared" ca="1" si="310"/>
        <v>3</v>
      </c>
      <c r="F942" s="61">
        <f t="shared" ca="1" si="311"/>
        <v>2.1510720000000001E-2</v>
      </c>
      <c r="G942">
        <v>1</v>
      </c>
      <c r="H942">
        <v>1</v>
      </c>
      <c r="I942">
        <v>5</v>
      </c>
      <c r="J942" s="61">
        <f t="shared" ca="1" si="312"/>
        <v>0</v>
      </c>
      <c r="K942" s="61">
        <f t="shared" ca="1" si="313"/>
        <v>0</v>
      </c>
      <c r="L942" s="82">
        <f t="shared" ca="1" si="314"/>
        <v>377</v>
      </c>
      <c r="M942" s="16">
        <f t="shared" ca="1" si="315"/>
        <v>623</v>
      </c>
      <c r="N942" s="3">
        <f t="shared" ca="1" si="316"/>
        <v>4</v>
      </c>
      <c r="O942" s="19">
        <f t="shared" ca="1" si="317"/>
        <v>2.3453053758100548</v>
      </c>
      <c r="P942" s="19">
        <f t="shared" ca="1" si="318"/>
        <v>23.453053758100552</v>
      </c>
      <c r="Q942" s="19">
        <f t="shared" ca="1" si="319"/>
        <v>23.453053758100552</v>
      </c>
      <c r="R942" s="19">
        <f t="shared" ca="1" si="320"/>
        <v>2.3453053758100553</v>
      </c>
      <c r="S942" s="19">
        <f t="shared" ca="1" si="321"/>
        <v>2.3453053758100548</v>
      </c>
      <c r="T942" s="19">
        <f t="shared" ca="1" si="322"/>
        <v>0</v>
      </c>
      <c r="U942" s="19">
        <f t="shared" ca="1" si="323"/>
        <v>1456.9587218163997</v>
      </c>
      <c r="V942" s="19">
        <f t="shared" ca="1" si="324"/>
        <v>0</v>
      </c>
      <c r="W942" s="82">
        <f t="shared" ca="1" si="325"/>
        <v>4746.9876707175936</v>
      </c>
      <c r="X942" s="19">
        <f t="shared" ca="1" si="326"/>
        <v>0</v>
      </c>
      <c r="Y942" s="19">
        <f t="shared" si="327"/>
        <v>0</v>
      </c>
      <c r="Z942" s="82">
        <f t="shared" ca="1" si="328"/>
        <v>4746.9876707175936</v>
      </c>
      <c r="AA942" s="19">
        <f t="shared" ca="1" si="329"/>
        <v>0</v>
      </c>
    </row>
    <row r="943" spans="1:27" ht="12.75" customHeight="1" x14ac:dyDescent="0.2">
      <c r="A943">
        <v>3</v>
      </c>
      <c r="B943">
        <v>0</v>
      </c>
      <c r="C943">
        <f t="shared" ca="1" si="308"/>
        <v>5</v>
      </c>
      <c r="D943">
        <f t="shared" ca="1" si="309"/>
        <v>4</v>
      </c>
      <c r="E943">
        <f t="shared" ca="1" si="310"/>
        <v>3</v>
      </c>
      <c r="F943" s="61">
        <f t="shared" ca="1" si="311"/>
        <v>2.1510720000000001E-2</v>
      </c>
      <c r="G943">
        <v>1</v>
      </c>
      <c r="H943">
        <v>1</v>
      </c>
      <c r="I943">
        <v>4</v>
      </c>
      <c r="J943" s="61">
        <f t="shared" ca="1" si="312"/>
        <v>0</v>
      </c>
      <c r="K943" s="61">
        <f t="shared" ca="1" si="313"/>
        <v>0</v>
      </c>
      <c r="L943" s="82">
        <f t="shared" ca="1" si="314"/>
        <v>366</v>
      </c>
      <c r="M943" s="16">
        <f t="shared" ca="1" si="315"/>
        <v>634</v>
      </c>
      <c r="N943" s="3">
        <f t="shared" ca="1" si="316"/>
        <v>4</v>
      </c>
      <c r="O943" s="19">
        <f t="shared" ca="1" si="317"/>
        <v>2.3453053758100548</v>
      </c>
      <c r="P943" s="19">
        <f t="shared" ca="1" si="318"/>
        <v>23.453053758100552</v>
      </c>
      <c r="Q943" s="19">
        <f t="shared" ca="1" si="319"/>
        <v>23.453053758100552</v>
      </c>
      <c r="R943" s="19">
        <f t="shared" ca="1" si="320"/>
        <v>2.3453053758100553</v>
      </c>
      <c r="S943" s="19">
        <f t="shared" ca="1" si="321"/>
        <v>2.3453053758100548</v>
      </c>
      <c r="T943" s="19">
        <f t="shared" ca="1" si="322"/>
        <v>0</v>
      </c>
      <c r="U943" s="19">
        <f t="shared" ca="1" si="323"/>
        <v>1445.9587218163997</v>
      </c>
      <c r="V943" s="19">
        <f t="shared" ca="1" si="324"/>
        <v>0</v>
      </c>
      <c r="W943" s="82">
        <f t="shared" ca="1" si="325"/>
        <v>4261.0824406828706</v>
      </c>
      <c r="X943" s="19">
        <f t="shared" ca="1" si="326"/>
        <v>0</v>
      </c>
      <c r="Y943" s="19">
        <f t="shared" si="327"/>
        <v>0</v>
      </c>
      <c r="Z943" s="82">
        <f t="shared" ca="1" si="328"/>
        <v>4261.0824406828706</v>
      </c>
      <c r="AA943" s="19">
        <f t="shared" ca="1" si="329"/>
        <v>0</v>
      </c>
    </row>
    <row r="944" spans="1:27" ht="12.75" customHeight="1" x14ac:dyDescent="0.2">
      <c r="A944">
        <v>3</v>
      </c>
      <c r="B944">
        <v>0</v>
      </c>
      <c r="C944">
        <f t="shared" ca="1" si="308"/>
        <v>5</v>
      </c>
      <c r="D944">
        <f t="shared" ca="1" si="309"/>
        <v>4</v>
      </c>
      <c r="E944">
        <f t="shared" ca="1" si="310"/>
        <v>3</v>
      </c>
      <c r="F944" s="61">
        <f t="shared" ca="1" si="311"/>
        <v>2.1510720000000001E-2</v>
      </c>
      <c r="G944">
        <v>1</v>
      </c>
      <c r="H944">
        <v>1</v>
      </c>
      <c r="I944">
        <v>3</v>
      </c>
      <c r="J944" s="61">
        <f t="shared" ca="1" si="312"/>
        <v>0</v>
      </c>
      <c r="K944" s="61">
        <f t="shared" ca="1" si="313"/>
        <v>0</v>
      </c>
      <c r="L944" s="82">
        <f t="shared" ca="1" si="314"/>
        <v>355</v>
      </c>
      <c r="M944" s="16">
        <f t="shared" ca="1" si="315"/>
        <v>645</v>
      </c>
      <c r="N944" s="3">
        <f t="shared" ca="1" si="316"/>
        <v>4</v>
      </c>
      <c r="O944" s="19">
        <f t="shared" ca="1" si="317"/>
        <v>2.3453053758100548</v>
      </c>
      <c r="P944" s="19">
        <f t="shared" ca="1" si="318"/>
        <v>23.453053758100552</v>
      </c>
      <c r="Q944" s="19">
        <f t="shared" ca="1" si="319"/>
        <v>23.453053758100552</v>
      </c>
      <c r="R944" s="19">
        <f t="shared" ca="1" si="320"/>
        <v>2.3453053758100553</v>
      </c>
      <c r="S944" s="19">
        <f t="shared" ca="1" si="321"/>
        <v>2.3453053758100548</v>
      </c>
      <c r="T944" s="19">
        <f t="shared" ca="1" si="322"/>
        <v>0</v>
      </c>
      <c r="U944" s="19">
        <f t="shared" ca="1" si="323"/>
        <v>1434.9587218163997</v>
      </c>
      <c r="V944" s="19">
        <f t="shared" ca="1" si="324"/>
        <v>0</v>
      </c>
      <c r="W944" s="82">
        <f t="shared" ca="1" si="325"/>
        <v>3775.1772106481485</v>
      </c>
      <c r="X944" s="19">
        <f t="shared" ca="1" si="326"/>
        <v>0</v>
      </c>
      <c r="Y944" s="19">
        <f t="shared" si="327"/>
        <v>0</v>
      </c>
      <c r="Z944" s="82">
        <f t="shared" ca="1" si="328"/>
        <v>3775.1772106481485</v>
      </c>
      <c r="AA944" s="19">
        <f t="shared" ca="1" si="329"/>
        <v>0</v>
      </c>
    </row>
    <row r="945" spans="1:27" ht="12.75" customHeight="1" x14ac:dyDescent="0.2">
      <c r="A945">
        <v>3</v>
      </c>
      <c r="B945">
        <v>0</v>
      </c>
      <c r="C945">
        <f t="shared" ca="1" si="308"/>
        <v>5</v>
      </c>
      <c r="D945">
        <f t="shared" ca="1" si="309"/>
        <v>4</v>
      </c>
      <c r="E945">
        <f t="shared" ca="1" si="310"/>
        <v>3</v>
      </c>
      <c r="F945" s="61">
        <f t="shared" ca="1" si="311"/>
        <v>2.1510720000000001E-2</v>
      </c>
      <c r="G945">
        <v>1</v>
      </c>
      <c r="H945">
        <v>1</v>
      </c>
      <c r="I945">
        <v>2</v>
      </c>
      <c r="J945" s="61">
        <f t="shared" ca="1" si="312"/>
        <v>0</v>
      </c>
      <c r="K945" s="61">
        <f t="shared" ca="1" si="313"/>
        <v>0</v>
      </c>
      <c r="L945" s="82">
        <f t="shared" ca="1" si="314"/>
        <v>344</v>
      </c>
      <c r="M945" s="16">
        <f t="shared" ca="1" si="315"/>
        <v>656</v>
      </c>
      <c r="N945" s="3">
        <f t="shared" ca="1" si="316"/>
        <v>4</v>
      </c>
      <c r="O945" s="19">
        <f t="shared" ca="1" si="317"/>
        <v>2.3453053758100548</v>
      </c>
      <c r="P945" s="19">
        <f t="shared" ca="1" si="318"/>
        <v>23.453053758100552</v>
      </c>
      <c r="Q945" s="19">
        <f t="shared" ca="1" si="319"/>
        <v>23.453053758100552</v>
      </c>
      <c r="R945" s="19">
        <f t="shared" ca="1" si="320"/>
        <v>2.3453053758100553</v>
      </c>
      <c r="S945" s="19">
        <f t="shared" ca="1" si="321"/>
        <v>2.3453053758100548</v>
      </c>
      <c r="T945" s="19">
        <f t="shared" ca="1" si="322"/>
        <v>0</v>
      </c>
      <c r="U945" s="19">
        <f t="shared" ca="1" si="323"/>
        <v>1423.9587218163997</v>
      </c>
      <c r="V945" s="19">
        <f t="shared" ca="1" si="324"/>
        <v>0</v>
      </c>
      <c r="W945" s="82">
        <f t="shared" ca="1" si="325"/>
        <v>3289.2719806134264</v>
      </c>
      <c r="X945" s="19">
        <f t="shared" ca="1" si="326"/>
        <v>0</v>
      </c>
      <c r="Y945" s="19">
        <f t="shared" si="327"/>
        <v>0</v>
      </c>
      <c r="Z945" s="82">
        <f t="shared" ca="1" si="328"/>
        <v>3289.2719806134264</v>
      </c>
      <c r="AA945" s="19">
        <f t="shared" ca="1" si="329"/>
        <v>0</v>
      </c>
    </row>
    <row r="946" spans="1:27" ht="12.75" customHeight="1" x14ac:dyDescent="0.2">
      <c r="A946">
        <v>3</v>
      </c>
      <c r="B946">
        <v>0</v>
      </c>
      <c r="C946">
        <f t="shared" ca="1" si="308"/>
        <v>5</v>
      </c>
      <c r="D946">
        <f t="shared" ca="1" si="309"/>
        <v>4</v>
      </c>
      <c r="E946">
        <f t="shared" ca="1" si="310"/>
        <v>3</v>
      </c>
      <c r="F946" s="61">
        <f t="shared" ca="1" si="311"/>
        <v>2.1510720000000001E-2</v>
      </c>
      <c r="G946">
        <v>1</v>
      </c>
      <c r="H946">
        <v>1</v>
      </c>
      <c r="I946">
        <v>1</v>
      </c>
      <c r="J946" s="61">
        <f t="shared" ca="1" si="312"/>
        <v>0</v>
      </c>
      <c r="K946" s="61">
        <f t="shared" ca="1" si="313"/>
        <v>0</v>
      </c>
      <c r="L946" s="82">
        <f t="shared" ca="1" si="314"/>
        <v>333</v>
      </c>
      <c r="M946" s="16">
        <f t="shared" ca="1" si="315"/>
        <v>667</v>
      </c>
      <c r="N946" s="3">
        <f t="shared" ca="1" si="316"/>
        <v>4</v>
      </c>
      <c r="O946" s="19">
        <f t="shared" ca="1" si="317"/>
        <v>2.3453053758100548</v>
      </c>
      <c r="P946" s="19">
        <f t="shared" ca="1" si="318"/>
        <v>23.453053758100552</v>
      </c>
      <c r="Q946" s="19">
        <f t="shared" ca="1" si="319"/>
        <v>23.453053758100552</v>
      </c>
      <c r="R946" s="19">
        <f t="shared" ca="1" si="320"/>
        <v>2.3453053758100553</v>
      </c>
      <c r="S946" s="19">
        <f t="shared" ca="1" si="321"/>
        <v>2.3453053758100548</v>
      </c>
      <c r="T946" s="19">
        <f t="shared" ca="1" si="322"/>
        <v>0</v>
      </c>
      <c r="U946" s="19">
        <f t="shared" ca="1" si="323"/>
        <v>1412.9587218163997</v>
      </c>
      <c r="V946" s="19">
        <f t="shared" ca="1" si="324"/>
        <v>0</v>
      </c>
      <c r="W946" s="82">
        <f t="shared" ca="1" si="325"/>
        <v>2803.3667505787039</v>
      </c>
      <c r="X946" s="19">
        <f t="shared" ca="1" si="326"/>
        <v>0</v>
      </c>
      <c r="Y946" s="19">
        <f t="shared" si="327"/>
        <v>0</v>
      </c>
      <c r="Z946" s="82">
        <f t="shared" ca="1" si="328"/>
        <v>2803.3667505787039</v>
      </c>
      <c r="AA946" s="19">
        <f t="shared" ca="1" si="329"/>
        <v>0</v>
      </c>
    </row>
    <row r="947" spans="1:27" ht="12.75" customHeight="1" x14ac:dyDescent="0.2">
      <c r="A947">
        <v>3</v>
      </c>
      <c r="B947">
        <v>0</v>
      </c>
      <c r="C947">
        <f t="shared" ca="1" si="308"/>
        <v>5</v>
      </c>
      <c r="D947">
        <f t="shared" ca="1" si="309"/>
        <v>4</v>
      </c>
      <c r="E947">
        <f t="shared" ca="1" si="310"/>
        <v>3</v>
      </c>
      <c r="F947" s="61">
        <f t="shared" ca="1" si="311"/>
        <v>2.1510720000000001E-2</v>
      </c>
      <c r="G947">
        <v>1</v>
      </c>
      <c r="H947">
        <v>1</v>
      </c>
      <c r="I947">
        <v>0</v>
      </c>
      <c r="J947" s="61">
        <f t="shared" ca="1" si="312"/>
        <v>0</v>
      </c>
      <c r="K947" s="61">
        <f t="shared" ca="1" si="313"/>
        <v>0</v>
      </c>
      <c r="L947" s="82">
        <f t="shared" ca="1" si="314"/>
        <v>322</v>
      </c>
      <c r="M947" s="16">
        <f t="shared" ca="1" si="315"/>
        <v>678</v>
      </c>
      <c r="N947" s="3">
        <f t="shared" ca="1" si="316"/>
        <v>4</v>
      </c>
      <c r="O947" s="19">
        <f t="shared" ca="1" si="317"/>
        <v>2.3453053758100548</v>
      </c>
      <c r="P947" s="19">
        <f t="shared" ca="1" si="318"/>
        <v>23.453053758100552</v>
      </c>
      <c r="Q947" s="19">
        <f t="shared" ca="1" si="319"/>
        <v>23.453053758100552</v>
      </c>
      <c r="R947" s="19">
        <f t="shared" ca="1" si="320"/>
        <v>2.3453053758100553</v>
      </c>
      <c r="S947" s="19">
        <f t="shared" ca="1" si="321"/>
        <v>2.3453053758100548</v>
      </c>
      <c r="T947" s="19">
        <f t="shared" ca="1" si="322"/>
        <v>0</v>
      </c>
      <c r="U947" s="19">
        <f t="shared" ca="1" si="323"/>
        <v>1401.9587218163997</v>
      </c>
      <c r="V947" s="19">
        <f t="shared" ca="1" si="324"/>
        <v>0</v>
      </c>
      <c r="W947" s="82">
        <f t="shared" ca="1" si="325"/>
        <v>2317.4615205439818</v>
      </c>
      <c r="X947" s="19">
        <f t="shared" ca="1" si="326"/>
        <v>0</v>
      </c>
      <c r="Y947" s="19">
        <f t="shared" si="327"/>
        <v>0</v>
      </c>
      <c r="Z947" s="82">
        <f t="shared" ca="1" si="328"/>
        <v>2317.4615205439818</v>
      </c>
      <c r="AA947" s="19">
        <f t="shared" ca="1" si="329"/>
        <v>0</v>
      </c>
    </row>
    <row r="948" spans="1:27" ht="12.75" customHeight="1" x14ac:dyDescent="0.2">
      <c r="A948">
        <v>3</v>
      </c>
      <c r="B948">
        <v>0</v>
      </c>
      <c r="C948">
        <f t="shared" ca="1" si="308"/>
        <v>5</v>
      </c>
      <c r="D948">
        <f t="shared" ca="1" si="309"/>
        <v>4</v>
      </c>
      <c r="E948">
        <f t="shared" ca="1" si="310"/>
        <v>3</v>
      </c>
      <c r="F948" s="61">
        <f t="shared" ca="1" si="311"/>
        <v>2.1510720000000001E-2</v>
      </c>
      <c r="G948">
        <v>1</v>
      </c>
      <c r="H948">
        <v>0</v>
      </c>
      <c r="I948">
        <v>7</v>
      </c>
      <c r="J948" s="61">
        <f t="shared" ca="1" si="312"/>
        <v>0</v>
      </c>
      <c r="K948" s="61">
        <f t="shared" ca="1" si="313"/>
        <v>0</v>
      </c>
      <c r="L948" s="82">
        <f t="shared" ca="1" si="314"/>
        <v>238</v>
      </c>
      <c r="M948" s="16">
        <f t="shared" ca="1" si="315"/>
        <v>762</v>
      </c>
      <c r="N948" s="3">
        <f t="shared" ca="1" si="316"/>
        <v>5</v>
      </c>
      <c r="O948" s="19">
        <f t="shared" ca="1" si="317"/>
        <v>2.8178718937399587</v>
      </c>
      <c r="P948" s="19">
        <f t="shared" ca="1" si="318"/>
        <v>25.815886347750073</v>
      </c>
      <c r="Q948" s="19">
        <f t="shared" ca="1" si="319"/>
        <v>23.453053758100552</v>
      </c>
      <c r="R948" s="19">
        <f t="shared" ca="1" si="320"/>
        <v>2.4634470052925312</v>
      </c>
      <c r="S948" s="19">
        <f t="shared" ca="1" si="321"/>
        <v>2.8178718937399587</v>
      </c>
      <c r="T948" s="19">
        <f t="shared" ca="1" si="322"/>
        <v>0</v>
      </c>
      <c r="U948" s="19">
        <f t="shared" ca="1" si="323"/>
        <v>1497.3251747165598</v>
      </c>
      <c r="V948" s="19">
        <f t="shared" ca="1" si="324"/>
        <v>0</v>
      </c>
      <c r="W948" s="82">
        <f t="shared" ca="1" si="325"/>
        <v>5718.7981307870377</v>
      </c>
      <c r="X948" s="19">
        <f t="shared" ca="1" si="326"/>
        <v>0</v>
      </c>
      <c r="Y948" s="19">
        <f t="shared" si="327"/>
        <v>0</v>
      </c>
      <c r="Z948" s="82">
        <f t="shared" ca="1" si="328"/>
        <v>5718.7981307870377</v>
      </c>
      <c r="AA948" s="19">
        <f t="shared" ca="1" si="329"/>
        <v>0</v>
      </c>
    </row>
    <row r="949" spans="1:27" ht="12.75" customHeight="1" x14ac:dyDescent="0.2">
      <c r="A949">
        <v>3</v>
      </c>
      <c r="B949">
        <v>0</v>
      </c>
      <c r="C949">
        <f t="shared" ca="1" si="308"/>
        <v>5</v>
      </c>
      <c r="D949">
        <f t="shared" ca="1" si="309"/>
        <v>4</v>
      </c>
      <c r="E949">
        <f t="shared" ca="1" si="310"/>
        <v>3</v>
      </c>
      <c r="F949" s="61">
        <f t="shared" ca="1" si="311"/>
        <v>2.1510720000000001E-2</v>
      </c>
      <c r="G949">
        <v>1</v>
      </c>
      <c r="H949">
        <v>0</v>
      </c>
      <c r="I949">
        <v>6</v>
      </c>
      <c r="J949" s="61">
        <f t="shared" ca="1" si="312"/>
        <v>0</v>
      </c>
      <c r="K949" s="61">
        <f t="shared" ca="1" si="313"/>
        <v>0</v>
      </c>
      <c r="L949" s="82">
        <f t="shared" ca="1" si="314"/>
        <v>227</v>
      </c>
      <c r="M949" s="16">
        <f t="shared" ca="1" si="315"/>
        <v>773</v>
      </c>
      <c r="N949" s="3">
        <f t="shared" ca="1" si="316"/>
        <v>5</v>
      </c>
      <c r="O949" s="19">
        <f t="shared" ca="1" si="317"/>
        <v>2.8178718937399587</v>
      </c>
      <c r="P949" s="19">
        <f t="shared" ca="1" si="318"/>
        <v>28.178718937399587</v>
      </c>
      <c r="Q949" s="19">
        <f t="shared" ca="1" si="319"/>
        <v>26.288452865679979</v>
      </c>
      <c r="R949" s="19">
        <f t="shared" ca="1" si="320"/>
        <v>2.7233585901539783</v>
      </c>
      <c r="S949" s="19">
        <f t="shared" ca="1" si="321"/>
        <v>2.8178718937399587</v>
      </c>
      <c r="T949" s="19">
        <f t="shared" ca="1" si="322"/>
        <v>0</v>
      </c>
      <c r="U949" s="19">
        <f t="shared" ca="1" si="323"/>
        <v>1486.3251747165598</v>
      </c>
      <c r="V949" s="19">
        <f t="shared" ca="1" si="324"/>
        <v>0</v>
      </c>
      <c r="W949" s="82">
        <f t="shared" ca="1" si="325"/>
        <v>5232.8929007523147</v>
      </c>
      <c r="X949" s="19">
        <f t="shared" ca="1" si="326"/>
        <v>0</v>
      </c>
      <c r="Y949" s="19">
        <f t="shared" si="327"/>
        <v>0</v>
      </c>
      <c r="Z949" s="82">
        <f t="shared" ca="1" si="328"/>
        <v>5232.8929007523147</v>
      </c>
      <c r="AA949" s="19">
        <f t="shared" ca="1" si="329"/>
        <v>0</v>
      </c>
    </row>
    <row r="950" spans="1:27" ht="12.75" customHeight="1" x14ac:dyDescent="0.2">
      <c r="A950">
        <v>3</v>
      </c>
      <c r="B950">
        <v>0</v>
      </c>
      <c r="C950">
        <f t="shared" ca="1" si="308"/>
        <v>5</v>
      </c>
      <c r="D950">
        <f t="shared" ca="1" si="309"/>
        <v>4</v>
      </c>
      <c r="E950">
        <f t="shared" ca="1" si="310"/>
        <v>3</v>
      </c>
      <c r="F950" s="61">
        <f t="shared" ca="1" si="311"/>
        <v>2.1510720000000001E-2</v>
      </c>
      <c r="G950">
        <v>1</v>
      </c>
      <c r="H950">
        <v>0</v>
      </c>
      <c r="I950">
        <v>5</v>
      </c>
      <c r="J950" s="61">
        <f t="shared" ca="1" si="312"/>
        <v>0</v>
      </c>
      <c r="K950" s="61">
        <f t="shared" ca="1" si="313"/>
        <v>0</v>
      </c>
      <c r="L950" s="82">
        <f t="shared" ca="1" si="314"/>
        <v>216</v>
      </c>
      <c r="M950" s="16">
        <f t="shared" ca="1" si="315"/>
        <v>784</v>
      </c>
      <c r="N950" s="3">
        <f t="shared" ca="1" si="316"/>
        <v>5</v>
      </c>
      <c r="O950" s="19">
        <f t="shared" ca="1" si="317"/>
        <v>2.8178718937399587</v>
      </c>
      <c r="P950" s="19">
        <f t="shared" ca="1" si="318"/>
        <v>28.178718937399587</v>
      </c>
      <c r="Q950" s="19">
        <f t="shared" ca="1" si="319"/>
        <v>28.178718937399587</v>
      </c>
      <c r="R950" s="19">
        <f t="shared" ca="1" si="320"/>
        <v>2.8178718937399587</v>
      </c>
      <c r="S950" s="19">
        <f t="shared" ca="1" si="321"/>
        <v>2.8178718937399587</v>
      </c>
      <c r="T950" s="19">
        <f t="shared" ca="1" si="322"/>
        <v>0</v>
      </c>
      <c r="U950" s="19">
        <f t="shared" ca="1" si="323"/>
        <v>1475.3251747165598</v>
      </c>
      <c r="V950" s="19">
        <f t="shared" ca="1" si="324"/>
        <v>0</v>
      </c>
      <c r="W950" s="82">
        <f t="shared" ca="1" si="325"/>
        <v>4746.9876707175936</v>
      </c>
      <c r="X950" s="19">
        <f t="shared" ca="1" si="326"/>
        <v>0</v>
      </c>
      <c r="Y950" s="19">
        <f t="shared" si="327"/>
        <v>0</v>
      </c>
      <c r="Z950" s="82">
        <f t="shared" ca="1" si="328"/>
        <v>4746.9876707175936</v>
      </c>
      <c r="AA950" s="19">
        <f t="shared" ca="1" si="329"/>
        <v>0</v>
      </c>
    </row>
    <row r="951" spans="1:27" ht="12.75" customHeight="1" x14ac:dyDescent="0.2">
      <c r="A951">
        <v>3</v>
      </c>
      <c r="B951">
        <v>0</v>
      </c>
      <c r="C951">
        <f t="shared" ca="1" si="308"/>
        <v>5</v>
      </c>
      <c r="D951">
        <f t="shared" ca="1" si="309"/>
        <v>4</v>
      </c>
      <c r="E951">
        <f t="shared" ca="1" si="310"/>
        <v>3</v>
      </c>
      <c r="F951" s="61">
        <f t="shared" ca="1" si="311"/>
        <v>2.1510720000000001E-2</v>
      </c>
      <c r="G951">
        <v>1</v>
      </c>
      <c r="H951">
        <v>0</v>
      </c>
      <c r="I951">
        <v>4</v>
      </c>
      <c r="J951" s="61">
        <f t="shared" ca="1" si="312"/>
        <v>0.77378093749999999</v>
      </c>
      <c r="K951" s="61">
        <f t="shared" ca="1" si="313"/>
        <v>1.66445850879E-2</v>
      </c>
      <c r="L951" s="82">
        <f t="shared" ca="1" si="314"/>
        <v>205</v>
      </c>
      <c r="M951" s="16">
        <f t="shared" ca="1" si="315"/>
        <v>795</v>
      </c>
      <c r="N951" s="3">
        <f t="shared" ca="1" si="316"/>
        <v>5</v>
      </c>
      <c r="O951" s="19">
        <f t="shared" ca="1" si="317"/>
        <v>2.8178718937399587</v>
      </c>
      <c r="P951" s="19">
        <f t="shared" ca="1" si="318"/>
        <v>28.178718937399587</v>
      </c>
      <c r="Q951" s="19">
        <f t="shared" ca="1" si="319"/>
        <v>28.178718937399587</v>
      </c>
      <c r="R951" s="19">
        <f t="shared" ca="1" si="320"/>
        <v>2.8178718937399587</v>
      </c>
      <c r="S951" s="19">
        <f t="shared" ca="1" si="321"/>
        <v>2.8178718937399587</v>
      </c>
      <c r="T951" s="19">
        <f t="shared" ca="1" si="322"/>
        <v>4.6902308502156646E-2</v>
      </c>
      <c r="U951" s="19">
        <f t="shared" ca="1" si="323"/>
        <v>1464.3251747165598</v>
      </c>
      <c r="V951" s="19">
        <f t="shared" ca="1" si="324"/>
        <v>24.373084966923813</v>
      </c>
      <c r="W951" s="82">
        <f t="shared" ca="1" si="325"/>
        <v>4261.0824406828706</v>
      </c>
      <c r="X951" s="19">
        <f t="shared" ca="1" si="326"/>
        <v>70.923949250502645</v>
      </c>
      <c r="Y951" s="19">
        <f t="shared" si="327"/>
        <v>0</v>
      </c>
      <c r="Z951" s="82">
        <f t="shared" ca="1" si="328"/>
        <v>4261.0824406828706</v>
      </c>
      <c r="AA951" s="19">
        <f t="shared" ca="1" si="329"/>
        <v>70.923949250502645</v>
      </c>
    </row>
    <row r="952" spans="1:27" ht="12.75" customHeight="1" x14ac:dyDescent="0.2">
      <c r="A952">
        <v>3</v>
      </c>
      <c r="B952">
        <v>0</v>
      </c>
      <c r="C952">
        <f t="shared" ca="1" si="308"/>
        <v>5</v>
      </c>
      <c r="D952">
        <f t="shared" ca="1" si="309"/>
        <v>4</v>
      </c>
      <c r="E952">
        <f t="shared" ca="1" si="310"/>
        <v>3</v>
      </c>
      <c r="F952" s="61">
        <f t="shared" ca="1" si="311"/>
        <v>2.1510720000000001E-2</v>
      </c>
      <c r="G952">
        <v>1</v>
      </c>
      <c r="H952">
        <v>0</v>
      </c>
      <c r="I952">
        <v>3</v>
      </c>
      <c r="J952" s="61">
        <f t="shared" ca="1" si="312"/>
        <v>0.16290125000000011</v>
      </c>
      <c r="K952" s="61">
        <f t="shared" ca="1" si="313"/>
        <v>3.5041231764000023E-3</v>
      </c>
      <c r="L952" s="82">
        <f t="shared" ca="1" si="314"/>
        <v>194</v>
      </c>
      <c r="M952" s="16">
        <f t="shared" ca="1" si="315"/>
        <v>806</v>
      </c>
      <c r="N952" s="3">
        <f t="shared" ca="1" si="316"/>
        <v>5</v>
      </c>
      <c r="O952" s="19">
        <f t="shared" ca="1" si="317"/>
        <v>2.8178718937399587</v>
      </c>
      <c r="P952" s="19">
        <f t="shared" ca="1" si="318"/>
        <v>28.178718937399587</v>
      </c>
      <c r="Q952" s="19">
        <f t="shared" ca="1" si="319"/>
        <v>28.178718937399587</v>
      </c>
      <c r="R952" s="19">
        <f t="shared" ca="1" si="320"/>
        <v>2.8178718937399587</v>
      </c>
      <c r="S952" s="19">
        <f t="shared" ca="1" si="321"/>
        <v>2.8178718937399587</v>
      </c>
      <c r="T952" s="19">
        <f t="shared" ca="1" si="322"/>
        <v>9.8741702109803545E-3</v>
      </c>
      <c r="U952" s="19">
        <f t="shared" ca="1" si="323"/>
        <v>1453.3251747165598</v>
      </c>
      <c r="V952" s="19">
        <f t="shared" ca="1" si="324"/>
        <v>5.0926304275698797</v>
      </c>
      <c r="W952" s="82">
        <f t="shared" ca="1" si="325"/>
        <v>3775.1772106481485</v>
      </c>
      <c r="X952" s="19">
        <f t="shared" ca="1" si="326"/>
        <v>13.22868595884929</v>
      </c>
      <c r="Y952" s="19">
        <f t="shared" si="327"/>
        <v>0</v>
      </c>
      <c r="Z952" s="82">
        <f t="shared" ca="1" si="328"/>
        <v>3775.1772106481485</v>
      </c>
      <c r="AA952" s="19">
        <f t="shared" ca="1" si="329"/>
        <v>13.22868595884929</v>
      </c>
    </row>
    <row r="953" spans="1:27" ht="12.75" customHeight="1" x14ac:dyDescent="0.2">
      <c r="A953">
        <v>3</v>
      </c>
      <c r="B953">
        <v>0</v>
      </c>
      <c r="C953">
        <f t="shared" ca="1" si="308"/>
        <v>5</v>
      </c>
      <c r="D953">
        <f t="shared" ca="1" si="309"/>
        <v>4</v>
      </c>
      <c r="E953">
        <f t="shared" ca="1" si="310"/>
        <v>3</v>
      </c>
      <c r="F953" s="61">
        <f t="shared" ca="1" si="311"/>
        <v>2.1510720000000001E-2</v>
      </c>
      <c r="G953">
        <v>1</v>
      </c>
      <c r="H953">
        <v>0</v>
      </c>
      <c r="I953">
        <v>2</v>
      </c>
      <c r="J953" s="61">
        <f t="shared" ca="1" si="312"/>
        <v>1.2860625000000021E-2</v>
      </c>
      <c r="K953" s="61">
        <f t="shared" ca="1" si="313"/>
        <v>2.7664130340000049E-4</v>
      </c>
      <c r="L953" s="82">
        <f t="shared" ca="1" si="314"/>
        <v>183</v>
      </c>
      <c r="M953" s="16">
        <f t="shared" ca="1" si="315"/>
        <v>817</v>
      </c>
      <c r="N953" s="3">
        <f t="shared" ca="1" si="316"/>
        <v>5</v>
      </c>
      <c r="O953" s="19">
        <f t="shared" ca="1" si="317"/>
        <v>2.8178718937399587</v>
      </c>
      <c r="P953" s="19">
        <f t="shared" ca="1" si="318"/>
        <v>28.178718937399587</v>
      </c>
      <c r="Q953" s="19">
        <f t="shared" ca="1" si="319"/>
        <v>28.178718937399587</v>
      </c>
      <c r="R953" s="19">
        <f t="shared" ca="1" si="320"/>
        <v>2.8178718937399587</v>
      </c>
      <c r="S953" s="19">
        <f t="shared" ca="1" si="321"/>
        <v>2.8178718937399587</v>
      </c>
      <c r="T953" s="19">
        <f t="shared" ca="1" si="322"/>
        <v>7.7953975349844982E-4</v>
      </c>
      <c r="U953" s="19">
        <f t="shared" ca="1" si="323"/>
        <v>1442.3251747165598</v>
      </c>
      <c r="V953" s="19">
        <f t="shared" ca="1" si="324"/>
        <v>0.39900671626022255</v>
      </c>
      <c r="W953" s="82">
        <f t="shared" ca="1" si="325"/>
        <v>3289.2719806134264</v>
      </c>
      <c r="X953" s="19">
        <f t="shared" ca="1" si="326"/>
        <v>0.90994848795399941</v>
      </c>
      <c r="Y953" s="19">
        <f t="shared" si="327"/>
        <v>0</v>
      </c>
      <c r="Z953" s="82">
        <f t="shared" ca="1" si="328"/>
        <v>3289.2719806134264</v>
      </c>
      <c r="AA953" s="19">
        <f t="shared" ca="1" si="329"/>
        <v>0.90994848795399941</v>
      </c>
    </row>
    <row r="954" spans="1:27" ht="12.75" customHeight="1" x14ac:dyDescent="0.2">
      <c r="A954">
        <v>3</v>
      </c>
      <c r="B954">
        <v>0</v>
      </c>
      <c r="C954">
        <f t="shared" ca="1" si="308"/>
        <v>5</v>
      </c>
      <c r="D954">
        <f t="shared" ca="1" si="309"/>
        <v>4</v>
      </c>
      <c r="E954">
        <f t="shared" ca="1" si="310"/>
        <v>3</v>
      </c>
      <c r="F954" s="61">
        <f t="shared" ca="1" si="311"/>
        <v>2.1510720000000001E-2</v>
      </c>
      <c r="G954">
        <v>1</v>
      </c>
      <c r="H954">
        <v>0</v>
      </c>
      <c r="I954">
        <v>1</v>
      </c>
      <c r="J954" s="61">
        <f t="shared" ca="1" si="312"/>
        <v>4.5125000000000118E-4</v>
      </c>
      <c r="K954" s="61">
        <f t="shared" ca="1" si="313"/>
        <v>9.7067124000000261E-6</v>
      </c>
      <c r="L954" s="82">
        <f t="shared" ca="1" si="314"/>
        <v>172</v>
      </c>
      <c r="M954" s="16">
        <f t="shared" ca="1" si="315"/>
        <v>828</v>
      </c>
      <c r="N954" s="3">
        <f t="shared" ca="1" si="316"/>
        <v>5</v>
      </c>
      <c r="O954" s="19">
        <f t="shared" ca="1" si="317"/>
        <v>2.8178718937399587</v>
      </c>
      <c r="P954" s="19">
        <f t="shared" ca="1" si="318"/>
        <v>28.178718937399587</v>
      </c>
      <c r="Q954" s="19">
        <f t="shared" ca="1" si="319"/>
        <v>28.178718937399587</v>
      </c>
      <c r="R954" s="19">
        <f t="shared" ca="1" si="320"/>
        <v>2.8178718937399587</v>
      </c>
      <c r="S954" s="19">
        <f t="shared" ca="1" si="321"/>
        <v>2.8178718937399587</v>
      </c>
      <c r="T954" s="19">
        <f t="shared" ca="1" si="322"/>
        <v>2.7352272052577215E-5</v>
      </c>
      <c r="U954" s="19">
        <f t="shared" ca="1" si="323"/>
        <v>1431.3251747165598</v>
      </c>
      <c r="V954" s="19">
        <f t="shared" ca="1" si="324"/>
        <v>1.3893461821853435E-2</v>
      </c>
      <c r="W954" s="82">
        <f t="shared" ca="1" si="325"/>
        <v>2803.3667505787039</v>
      </c>
      <c r="X954" s="19">
        <f t="shared" ca="1" si="326"/>
        <v>2.7211474799590085E-2</v>
      </c>
      <c r="Y954" s="19">
        <f t="shared" si="327"/>
        <v>0</v>
      </c>
      <c r="Z954" s="82">
        <f t="shared" ca="1" si="328"/>
        <v>2803.3667505787039</v>
      </c>
      <c r="AA954" s="19">
        <f t="shared" ca="1" si="329"/>
        <v>2.7211474799590085E-2</v>
      </c>
    </row>
    <row r="955" spans="1:27" ht="12.75" customHeight="1" x14ac:dyDescent="0.2">
      <c r="A955">
        <v>3</v>
      </c>
      <c r="B955">
        <v>0</v>
      </c>
      <c r="C955">
        <f t="shared" ca="1" si="308"/>
        <v>5</v>
      </c>
      <c r="D955">
        <f t="shared" ca="1" si="309"/>
        <v>4</v>
      </c>
      <c r="E955">
        <f t="shared" ca="1" si="310"/>
        <v>3</v>
      </c>
      <c r="F955" s="61">
        <f t="shared" ca="1" si="311"/>
        <v>2.1510720000000001E-2</v>
      </c>
      <c r="G955">
        <v>1</v>
      </c>
      <c r="H955">
        <v>0</v>
      </c>
      <c r="I955">
        <v>0</v>
      </c>
      <c r="J955" s="61">
        <f t="shared" ca="1" si="312"/>
        <v>5.9375000000000207E-6</v>
      </c>
      <c r="K955" s="61">
        <f t="shared" ca="1" si="313"/>
        <v>1.2771990000000044E-7</v>
      </c>
      <c r="L955" s="82">
        <f t="shared" ca="1" si="314"/>
        <v>161</v>
      </c>
      <c r="M955" s="16">
        <f t="shared" ca="1" si="315"/>
        <v>839</v>
      </c>
      <c r="N955" s="3">
        <f t="shared" ca="1" si="316"/>
        <v>5</v>
      </c>
      <c r="O955" s="19">
        <f t="shared" ca="1" si="317"/>
        <v>2.8178718937399587</v>
      </c>
      <c r="P955" s="19">
        <f t="shared" ca="1" si="318"/>
        <v>28.178718937399587</v>
      </c>
      <c r="Q955" s="19">
        <f t="shared" ca="1" si="319"/>
        <v>28.178718937399587</v>
      </c>
      <c r="R955" s="19">
        <f t="shared" ca="1" si="320"/>
        <v>2.8178718937399587</v>
      </c>
      <c r="S955" s="19">
        <f t="shared" ca="1" si="321"/>
        <v>2.8178718937399587</v>
      </c>
      <c r="T955" s="19">
        <f t="shared" ca="1" si="322"/>
        <v>3.5989831648127938E-7</v>
      </c>
      <c r="U955" s="19">
        <f t="shared" ca="1" si="323"/>
        <v>1420.3251747165598</v>
      </c>
      <c r="V955" s="19">
        <f t="shared" ca="1" si="324"/>
        <v>1.8140378928228218E-4</v>
      </c>
      <c r="W955" s="82">
        <f t="shared" ca="1" si="325"/>
        <v>2317.4615205439818</v>
      </c>
      <c r="X955" s="19">
        <f t="shared" ca="1" si="326"/>
        <v>2.9598595365772632E-4</v>
      </c>
      <c r="Y955" s="19">
        <f t="shared" si="327"/>
        <v>0</v>
      </c>
      <c r="Z955" s="82">
        <f t="shared" ca="1" si="328"/>
        <v>2317.4615205439818</v>
      </c>
      <c r="AA955" s="19">
        <f t="shared" ca="1" si="329"/>
        <v>2.9598595365772632E-4</v>
      </c>
    </row>
    <row r="956" spans="1:27" ht="12.75" customHeight="1" x14ac:dyDescent="0.2">
      <c r="A956">
        <v>3</v>
      </c>
      <c r="B956">
        <v>0</v>
      </c>
      <c r="C956">
        <f t="shared" ca="1" si="308"/>
        <v>5</v>
      </c>
      <c r="D956">
        <f t="shared" ca="1" si="309"/>
        <v>4</v>
      </c>
      <c r="E956">
        <f t="shared" ca="1" si="310"/>
        <v>3</v>
      </c>
      <c r="F956" s="61">
        <f t="shared" ca="1" si="311"/>
        <v>2.1510720000000001E-2</v>
      </c>
      <c r="G956">
        <v>0</v>
      </c>
      <c r="H956">
        <v>1</v>
      </c>
      <c r="I956">
        <v>7</v>
      </c>
      <c r="J956" s="61">
        <f t="shared" ca="1" si="312"/>
        <v>0</v>
      </c>
      <c r="K956" s="61">
        <f t="shared" ca="1" si="313"/>
        <v>0</v>
      </c>
      <c r="L956" s="82">
        <f t="shared" ca="1" si="314"/>
        <v>238</v>
      </c>
      <c r="M956" s="16">
        <f t="shared" ca="1" si="315"/>
        <v>762</v>
      </c>
      <c r="N956" s="3">
        <f t="shared" ca="1" si="316"/>
        <v>5</v>
      </c>
      <c r="O956" s="19">
        <f t="shared" ca="1" si="317"/>
        <v>2.8178718937399587</v>
      </c>
      <c r="P956" s="19">
        <f t="shared" ca="1" si="318"/>
        <v>25.815886347750073</v>
      </c>
      <c r="Q956" s="19">
        <f t="shared" ca="1" si="319"/>
        <v>23.453053758100552</v>
      </c>
      <c r="R956" s="19">
        <f t="shared" ca="1" si="320"/>
        <v>2.4634470052925312</v>
      </c>
      <c r="S956" s="19">
        <f t="shared" ca="1" si="321"/>
        <v>2.8178718937399587</v>
      </c>
      <c r="T956" s="19">
        <f t="shared" ca="1" si="322"/>
        <v>0</v>
      </c>
      <c r="U956" s="19">
        <f t="shared" ca="1" si="323"/>
        <v>1497.3251747165598</v>
      </c>
      <c r="V956" s="19">
        <f t="shared" ca="1" si="324"/>
        <v>0</v>
      </c>
      <c r="W956" s="82">
        <f t="shared" ca="1" si="325"/>
        <v>3401.3366102430559</v>
      </c>
      <c r="X956" s="19">
        <f t="shared" ca="1" si="326"/>
        <v>0</v>
      </c>
      <c r="Y956" s="19">
        <f t="shared" si="327"/>
        <v>0</v>
      </c>
      <c r="Z956" s="82">
        <f t="shared" ca="1" si="328"/>
        <v>3401.3366102430559</v>
      </c>
      <c r="AA956" s="19">
        <f t="shared" ca="1" si="329"/>
        <v>0</v>
      </c>
    </row>
    <row r="957" spans="1:27" ht="12.75" customHeight="1" x14ac:dyDescent="0.2">
      <c r="A957">
        <v>3</v>
      </c>
      <c r="B957">
        <v>0</v>
      </c>
      <c r="C957">
        <f t="shared" ca="1" si="308"/>
        <v>5</v>
      </c>
      <c r="D957">
        <f t="shared" ca="1" si="309"/>
        <v>4</v>
      </c>
      <c r="E957">
        <f t="shared" ca="1" si="310"/>
        <v>3</v>
      </c>
      <c r="F957" s="61">
        <f t="shared" ca="1" si="311"/>
        <v>2.1510720000000001E-2</v>
      </c>
      <c r="G957">
        <v>0</v>
      </c>
      <c r="H957">
        <v>1</v>
      </c>
      <c r="I957">
        <v>6</v>
      </c>
      <c r="J957" s="61">
        <f t="shared" ca="1" si="312"/>
        <v>0</v>
      </c>
      <c r="K957" s="61">
        <f t="shared" ca="1" si="313"/>
        <v>0</v>
      </c>
      <c r="L957" s="82">
        <f t="shared" ca="1" si="314"/>
        <v>227</v>
      </c>
      <c r="M957" s="16">
        <f t="shared" ca="1" si="315"/>
        <v>773</v>
      </c>
      <c r="N957" s="3">
        <f t="shared" ca="1" si="316"/>
        <v>5</v>
      </c>
      <c r="O957" s="19">
        <f t="shared" ca="1" si="317"/>
        <v>2.8178718937399587</v>
      </c>
      <c r="P957" s="19">
        <f t="shared" ca="1" si="318"/>
        <v>28.178718937399587</v>
      </c>
      <c r="Q957" s="19">
        <f t="shared" ca="1" si="319"/>
        <v>26.288452865679979</v>
      </c>
      <c r="R957" s="19">
        <f t="shared" ca="1" si="320"/>
        <v>2.7233585901539783</v>
      </c>
      <c r="S957" s="19">
        <f t="shared" ca="1" si="321"/>
        <v>2.8178718937399587</v>
      </c>
      <c r="T957" s="19">
        <f t="shared" ca="1" si="322"/>
        <v>0</v>
      </c>
      <c r="U957" s="19">
        <f t="shared" ca="1" si="323"/>
        <v>1486.3251747165598</v>
      </c>
      <c r="V957" s="19">
        <f t="shared" ca="1" si="324"/>
        <v>0</v>
      </c>
      <c r="W957" s="82">
        <f t="shared" ca="1" si="325"/>
        <v>2915.4313802083334</v>
      </c>
      <c r="X957" s="19">
        <f t="shared" ca="1" si="326"/>
        <v>0</v>
      </c>
      <c r="Y957" s="19">
        <f t="shared" si="327"/>
        <v>0</v>
      </c>
      <c r="Z957" s="82">
        <f t="shared" ca="1" si="328"/>
        <v>2915.4313802083334</v>
      </c>
      <c r="AA957" s="19">
        <f t="shared" ca="1" si="329"/>
        <v>0</v>
      </c>
    </row>
    <row r="958" spans="1:27" ht="12.75" customHeight="1" x14ac:dyDescent="0.2">
      <c r="A958">
        <v>3</v>
      </c>
      <c r="B958">
        <v>0</v>
      </c>
      <c r="C958">
        <f t="shared" ca="1" si="308"/>
        <v>5</v>
      </c>
      <c r="D958">
        <f t="shared" ca="1" si="309"/>
        <v>4</v>
      </c>
      <c r="E958">
        <f t="shared" ca="1" si="310"/>
        <v>3</v>
      </c>
      <c r="F958" s="61">
        <f t="shared" ca="1" si="311"/>
        <v>2.1510720000000001E-2</v>
      </c>
      <c r="G958">
        <v>0</v>
      </c>
      <c r="H958">
        <v>1</v>
      </c>
      <c r="I958">
        <v>5</v>
      </c>
      <c r="J958" s="61">
        <f t="shared" ca="1" si="312"/>
        <v>0</v>
      </c>
      <c r="K958" s="61">
        <f t="shared" ca="1" si="313"/>
        <v>0</v>
      </c>
      <c r="L958" s="82">
        <f t="shared" ca="1" si="314"/>
        <v>216</v>
      </c>
      <c r="M958" s="16">
        <f t="shared" ca="1" si="315"/>
        <v>784</v>
      </c>
      <c r="N958" s="3">
        <f t="shared" ca="1" si="316"/>
        <v>5</v>
      </c>
      <c r="O958" s="19">
        <f t="shared" ca="1" si="317"/>
        <v>2.8178718937399587</v>
      </c>
      <c r="P958" s="19">
        <f t="shared" ca="1" si="318"/>
        <v>28.178718937399587</v>
      </c>
      <c r="Q958" s="19">
        <f t="shared" ca="1" si="319"/>
        <v>28.178718937399587</v>
      </c>
      <c r="R958" s="19">
        <f t="shared" ca="1" si="320"/>
        <v>2.8178718937399587</v>
      </c>
      <c r="S958" s="19">
        <f t="shared" ca="1" si="321"/>
        <v>2.8178718937399587</v>
      </c>
      <c r="T958" s="19">
        <f t="shared" ca="1" si="322"/>
        <v>0</v>
      </c>
      <c r="U958" s="19">
        <f t="shared" ca="1" si="323"/>
        <v>1475.3251747165598</v>
      </c>
      <c r="V958" s="19">
        <f t="shared" ca="1" si="324"/>
        <v>0</v>
      </c>
      <c r="W958" s="82">
        <f t="shared" ca="1" si="325"/>
        <v>2429.5261501736113</v>
      </c>
      <c r="X958" s="19">
        <f t="shared" ca="1" si="326"/>
        <v>0</v>
      </c>
      <c r="Y958" s="19">
        <f t="shared" si="327"/>
        <v>0</v>
      </c>
      <c r="Z958" s="82">
        <f t="shared" ca="1" si="328"/>
        <v>2429.5261501736113</v>
      </c>
      <c r="AA958" s="19">
        <f t="shared" ca="1" si="329"/>
        <v>0</v>
      </c>
    </row>
    <row r="959" spans="1:27" ht="12.75" customHeight="1" x14ac:dyDescent="0.2">
      <c r="A959">
        <v>3</v>
      </c>
      <c r="B959">
        <v>0</v>
      </c>
      <c r="C959">
        <f t="shared" ca="1" si="308"/>
        <v>5</v>
      </c>
      <c r="D959">
        <f t="shared" ca="1" si="309"/>
        <v>4</v>
      </c>
      <c r="E959">
        <f t="shared" ca="1" si="310"/>
        <v>3</v>
      </c>
      <c r="F959" s="61">
        <f t="shared" ca="1" si="311"/>
        <v>2.1510720000000001E-2</v>
      </c>
      <c r="G959">
        <v>0</v>
      </c>
      <c r="H959">
        <v>1</v>
      </c>
      <c r="I959">
        <v>4</v>
      </c>
      <c r="J959" s="61">
        <f t="shared" ca="1" si="312"/>
        <v>0</v>
      </c>
      <c r="K959" s="61">
        <f t="shared" ca="1" si="313"/>
        <v>0</v>
      </c>
      <c r="L959" s="82">
        <f t="shared" ca="1" si="314"/>
        <v>205</v>
      </c>
      <c r="M959" s="16">
        <f t="shared" ca="1" si="315"/>
        <v>795</v>
      </c>
      <c r="N959" s="3">
        <f t="shared" ca="1" si="316"/>
        <v>5</v>
      </c>
      <c r="O959" s="19">
        <f t="shared" ca="1" si="317"/>
        <v>2.8178718937399587</v>
      </c>
      <c r="P959" s="19">
        <f t="shared" ca="1" si="318"/>
        <v>28.178718937399587</v>
      </c>
      <c r="Q959" s="19">
        <f t="shared" ca="1" si="319"/>
        <v>28.178718937399587</v>
      </c>
      <c r="R959" s="19">
        <f t="shared" ca="1" si="320"/>
        <v>2.8178718937399587</v>
      </c>
      <c r="S959" s="19">
        <f t="shared" ca="1" si="321"/>
        <v>2.8178718937399587</v>
      </c>
      <c r="T959" s="19">
        <f t="shared" ca="1" si="322"/>
        <v>0</v>
      </c>
      <c r="U959" s="19">
        <f t="shared" ca="1" si="323"/>
        <v>1464.3251747165598</v>
      </c>
      <c r="V959" s="19">
        <f t="shared" ca="1" si="324"/>
        <v>0</v>
      </c>
      <c r="W959" s="82">
        <f t="shared" ca="1" si="325"/>
        <v>1943.620920138889</v>
      </c>
      <c r="X959" s="19">
        <f t="shared" ca="1" si="326"/>
        <v>0</v>
      </c>
      <c r="Y959" s="19">
        <f t="shared" si="327"/>
        <v>0</v>
      </c>
      <c r="Z959" s="82">
        <f t="shared" ca="1" si="328"/>
        <v>1943.620920138889</v>
      </c>
      <c r="AA959" s="19">
        <f t="shared" ca="1" si="329"/>
        <v>0</v>
      </c>
    </row>
    <row r="960" spans="1:27" ht="12.75" customHeight="1" x14ac:dyDescent="0.2">
      <c r="A960">
        <v>3</v>
      </c>
      <c r="B960">
        <v>0</v>
      </c>
      <c r="C960">
        <f t="shared" ca="1" si="308"/>
        <v>5</v>
      </c>
      <c r="D960">
        <f t="shared" ca="1" si="309"/>
        <v>4</v>
      </c>
      <c r="E960">
        <f t="shared" ca="1" si="310"/>
        <v>3</v>
      </c>
      <c r="F960" s="61">
        <f t="shared" ca="1" si="311"/>
        <v>2.1510720000000001E-2</v>
      </c>
      <c r="G960">
        <v>0</v>
      </c>
      <c r="H960">
        <v>1</v>
      </c>
      <c r="I960">
        <v>3</v>
      </c>
      <c r="J960" s="61">
        <f t="shared" ca="1" si="312"/>
        <v>0</v>
      </c>
      <c r="K960" s="61">
        <f t="shared" ca="1" si="313"/>
        <v>0</v>
      </c>
      <c r="L960" s="82">
        <f t="shared" ca="1" si="314"/>
        <v>194</v>
      </c>
      <c r="M960" s="16">
        <f t="shared" ca="1" si="315"/>
        <v>806</v>
      </c>
      <c r="N960" s="3">
        <f t="shared" ca="1" si="316"/>
        <v>5</v>
      </c>
      <c r="O960" s="19">
        <f t="shared" ca="1" si="317"/>
        <v>2.8178718937399587</v>
      </c>
      <c r="P960" s="19">
        <f t="shared" ca="1" si="318"/>
        <v>28.178718937399587</v>
      </c>
      <c r="Q960" s="19">
        <f t="shared" ca="1" si="319"/>
        <v>28.178718937399587</v>
      </c>
      <c r="R960" s="19">
        <f t="shared" ca="1" si="320"/>
        <v>2.8178718937399587</v>
      </c>
      <c r="S960" s="19">
        <f t="shared" ca="1" si="321"/>
        <v>2.8178718937399587</v>
      </c>
      <c r="T960" s="19">
        <f t="shared" ca="1" si="322"/>
        <v>0</v>
      </c>
      <c r="U960" s="19">
        <f t="shared" ca="1" si="323"/>
        <v>1453.3251747165598</v>
      </c>
      <c r="V960" s="19">
        <f t="shared" ca="1" si="324"/>
        <v>0</v>
      </c>
      <c r="W960" s="82">
        <f t="shared" ca="1" si="325"/>
        <v>1457.7156901041667</v>
      </c>
      <c r="X960" s="19">
        <f t="shared" ca="1" si="326"/>
        <v>0</v>
      </c>
      <c r="Y960" s="19">
        <f t="shared" si="327"/>
        <v>0</v>
      </c>
      <c r="Z960" s="82">
        <f t="shared" ca="1" si="328"/>
        <v>1457.7156901041667</v>
      </c>
      <c r="AA960" s="19">
        <f t="shared" ca="1" si="329"/>
        <v>0</v>
      </c>
    </row>
    <row r="961" spans="1:27" ht="12.75" customHeight="1" x14ac:dyDescent="0.2">
      <c r="A961">
        <v>3</v>
      </c>
      <c r="B961">
        <v>0</v>
      </c>
      <c r="C961">
        <f t="shared" ca="1" si="308"/>
        <v>5</v>
      </c>
      <c r="D961">
        <f t="shared" ca="1" si="309"/>
        <v>4</v>
      </c>
      <c r="E961">
        <f t="shared" ca="1" si="310"/>
        <v>3</v>
      </c>
      <c r="F961" s="61">
        <f t="shared" ca="1" si="311"/>
        <v>2.1510720000000001E-2</v>
      </c>
      <c r="G961">
        <v>0</v>
      </c>
      <c r="H961">
        <v>1</v>
      </c>
      <c r="I961">
        <v>2</v>
      </c>
      <c r="J961" s="61">
        <f t="shared" ca="1" si="312"/>
        <v>0</v>
      </c>
      <c r="K961" s="61">
        <f t="shared" ca="1" si="313"/>
        <v>0</v>
      </c>
      <c r="L961" s="82">
        <f t="shared" ca="1" si="314"/>
        <v>183</v>
      </c>
      <c r="M961" s="16">
        <f t="shared" ca="1" si="315"/>
        <v>817</v>
      </c>
      <c r="N961" s="3">
        <f t="shared" ca="1" si="316"/>
        <v>5</v>
      </c>
      <c r="O961" s="19">
        <f t="shared" ca="1" si="317"/>
        <v>2.8178718937399587</v>
      </c>
      <c r="P961" s="19">
        <f t="shared" ca="1" si="318"/>
        <v>28.178718937399587</v>
      </c>
      <c r="Q961" s="19">
        <f t="shared" ca="1" si="319"/>
        <v>28.178718937399587</v>
      </c>
      <c r="R961" s="19">
        <f t="shared" ca="1" si="320"/>
        <v>2.8178718937399587</v>
      </c>
      <c r="S961" s="19">
        <f t="shared" ca="1" si="321"/>
        <v>2.8178718937399587</v>
      </c>
      <c r="T961" s="19">
        <f t="shared" ca="1" si="322"/>
        <v>0</v>
      </c>
      <c r="U961" s="19">
        <f t="shared" ca="1" si="323"/>
        <v>1442.3251747165598</v>
      </c>
      <c r="V961" s="19">
        <f t="shared" ca="1" si="324"/>
        <v>0</v>
      </c>
      <c r="W961" s="82">
        <f t="shared" ca="1" si="325"/>
        <v>971.8104600694445</v>
      </c>
      <c r="X961" s="19">
        <f t="shared" ca="1" si="326"/>
        <v>0</v>
      </c>
      <c r="Y961" s="19">
        <f t="shared" si="327"/>
        <v>0</v>
      </c>
      <c r="Z961" s="82">
        <f t="shared" ca="1" si="328"/>
        <v>971.8104600694445</v>
      </c>
      <c r="AA961" s="19">
        <f t="shared" ca="1" si="329"/>
        <v>0</v>
      </c>
    </row>
    <row r="962" spans="1:27" ht="12.75" customHeight="1" x14ac:dyDescent="0.2">
      <c r="A962">
        <v>3</v>
      </c>
      <c r="B962">
        <v>0</v>
      </c>
      <c r="C962">
        <f t="shared" ca="1" si="308"/>
        <v>5</v>
      </c>
      <c r="D962">
        <f t="shared" ca="1" si="309"/>
        <v>4</v>
      </c>
      <c r="E962">
        <f t="shared" ca="1" si="310"/>
        <v>3</v>
      </c>
      <c r="F962" s="61">
        <f t="shared" ca="1" si="311"/>
        <v>2.1510720000000001E-2</v>
      </c>
      <c r="G962">
        <v>0</v>
      </c>
      <c r="H962">
        <v>1</v>
      </c>
      <c r="I962">
        <v>1</v>
      </c>
      <c r="J962" s="61">
        <f t="shared" ca="1" si="312"/>
        <v>0</v>
      </c>
      <c r="K962" s="61">
        <f t="shared" ca="1" si="313"/>
        <v>0</v>
      </c>
      <c r="L962" s="82">
        <f t="shared" ca="1" si="314"/>
        <v>172</v>
      </c>
      <c r="M962" s="16">
        <f t="shared" ca="1" si="315"/>
        <v>828</v>
      </c>
      <c r="N962" s="3">
        <f t="shared" ca="1" si="316"/>
        <v>5</v>
      </c>
      <c r="O962" s="19">
        <f t="shared" ca="1" si="317"/>
        <v>2.8178718937399587</v>
      </c>
      <c r="P962" s="19">
        <f t="shared" ca="1" si="318"/>
        <v>28.178718937399587</v>
      </c>
      <c r="Q962" s="19">
        <f t="shared" ca="1" si="319"/>
        <v>28.178718937399587</v>
      </c>
      <c r="R962" s="19">
        <f t="shared" ca="1" si="320"/>
        <v>2.8178718937399587</v>
      </c>
      <c r="S962" s="19">
        <f t="shared" ca="1" si="321"/>
        <v>2.8178718937399587</v>
      </c>
      <c r="T962" s="19">
        <f t="shared" ca="1" si="322"/>
        <v>0</v>
      </c>
      <c r="U962" s="19">
        <f t="shared" ca="1" si="323"/>
        <v>1431.3251747165598</v>
      </c>
      <c r="V962" s="19">
        <f t="shared" ca="1" si="324"/>
        <v>0</v>
      </c>
      <c r="W962" s="82">
        <f t="shared" ca="1" si="325"/>
        <v>485.90523003472225</v>
      </c>
      <c r="X962" s="19">
        <f t="shared" ca="1" si="326"/>
        <v>0</v>
      </c>
      <c r="Y962" s="19">
        <f t="shared" si="327"/>
        <v>0</v>
      </c>
      <c r="Z962" s="82">
        <f t="shared" ca="1" si="328"/>
        <v>485.90523003472225</v>
      </c>
      <c r="AA962" s="19">
        <f t="shared" ca="1" si="329"/>
        <v>0</v>
      </c>
    </row>
    <row r="963" spans="1:27" ht="12.75" customHeight="1" x14ac:dyDescent="0.2">
      <c r="A963">
        <v>3</v>
      </c>
      <c r="B963">
        <v>0</v>
      </c>
      <c r="C963">
        <f t="shared" ca="1" si="308"/>
        <v>5</v>
      </c>
      <c r="D963">
        <f t="shared" ca="1" si="309"/>
        <v>4</v>
      </c>
      <c r="E963">
        <f t="shared" ca="1" si="310"/>
        <v>3</v>
      </c>
      <c r="F963" s="61">
        <f t="shared" ca="1" si="311"/>
        <v>2.1510720000000001E-2</v>
      </c>
      <c r="G963">
        <v>0</v>
      </c>
      <c r="H963">
        <v>1</v>
      </c>
      <c r="I963">
        <v>0</v>
      </c>
      <c r="J963" s="61">
        <f t="shared" ca="1" si="312"/>
        <v>0</v>
      </c>
      <c r="K963" s="61">
        <f t="shared" ca="1" si="313"/>
        <v>0</v>
      </c>
      <c r="L963" s="82">
        <f t="shared" ca="1" si="314"/>
        <v>161</v>
      </c>
      <c r="M963" s="16">
        <f t="shared" ca="1" si="315"/>
        <v>839</v>
      </c>
      <c r="N963" s="3">
        <f t="shared" ca="1" si="316"/>
        <v>5</v>
      </c>
      <c r="O963" s="19">
        <f t="shared" ca="1" si="317"/>
        <v>2.8178718937399587</v>
      </c>
      <c r="P963" s="19">
        <f t="shared" ca="1" si="318"/>
        <v>28.178718937399587</v>
      </c>
      <c r="Q963" s="19">
        <f t="shared" ca="1" si="319"/>
        <v>28.178718937399587</v>
      </c>
      <c r="R963" s="19">
        <f t="shared" ca="1" si="320"/>
        <v>2.8178718937399587</v>
      </c>
      <c r="S963" s="19">
        <f t="shared" ca="1" si="321"/>
        <v>2.8178718937399587</v>
      </c>
      <c r="T963" s="19">
        <f t="shared" ca="1" si="322"/>
        <v>0</v>
      </c>
      <c r="U963" s="19">
        <f t="shared" ca="1" si="323"/>
        <v>1420.3251747165598</v>
      </c>
      <c r="V963" s="19">
        <f t="shared" ca="1" si="324"/>
        <v>0</v>
      </c>
      <c r="W963" s="82">
        <f t="shared" ca="1" si="325"/>
        <v>0</v>
      </c>
      <c r="X963" s="19">
        <f t="shared" ca="1" si="326"/>
        <v>0</v>
      </c>
      <c r="Y963" s="19">
        <f t="shared" si="327"/>
        <v>0</v>
      </c>
      <c r="Z963" s="82">
        <f t="shared" ca="1" si="328"/>
        <v>0</v>
      </c>
      <c r="AA963" s="19">
        <f t="shared" ca="1" si="329"/>
        <v>0</v>
      </c>
    </row>
    <row r="964" spans="1:27" ht="12.75" customHeight="1" x14ac:dyDescent="0.2">
      <c r="A964">
        <v>3</v>
      </c>
      <c r="B964">
        <v>0</v>
      </c>
      <c r="C964">
        <f t="shared" ca="1" si="308"/>
        <v>5</v>
      </c>
      <c r="D964">
        <f t="shared" ca="1" si="309"/>
        <v>4</v>
      </c>
      <c r="E964">
        <f t="shared" ca="1" si="310"/>
        <v>3</v>
      </c>
      <c r="F964" s="61">
        <f t="shared" ca="1" si="311"/>
        <v>2.1510720000000001E-2</v>
      </c>
      <c r="G964">
        <v>0</v>
      </c>
      <c r="H964">
        <v>0</v>
      </c>
      <c r="I964">
        <v>7</v>
      </c>
      <c r="J964" s="61">
        <f t="shared" ca="1" si="312"/>
        <v>0</v>
      </c>
      <c r="K964" s="61">
        <f t="shared" ca="1" si="313"/>
        <v>0</v>
      </c>
      <c r="L964" s="82">
        <f t="shared" ca="1" si="314"/>
        <v>77</v>
      </c>
      <c r="M964" s="16">
        <f t="shared" ca="1" si="315"/>
        <v>923</v>
      </c>
      <c r="N964" s="3">
        <f t="shared" ca="1" si="316"/>
        <v>5</v>
      </c>
      <c r="O964" s="19">
        <f t="shared" ca="1" si="317"/>
        <v>2.8178718937399587</v>
      </c>
      <c r="P964" s="19">
        <f t="shared" ca="1" si="318"/>
        <v>28.178718937399587</v>
      </c>
      <c r="Q964" s="19">
        <f t="shared" ca="1" si="319"/>
        <v>28.178718937399587</v>
      </c>
      <c r="R964" s="19">
        <f t="shared" ca="1" si="320"/>
        <v>2.8178718937399587</v>
      </c>
      <c r="S964" s="19">
        <f t="shared" ca="1" si="321"/>
        <v>2.8178718937399587</v>
      </c>
      <c r="T964" s="19">
        <f t="shared" ca="1" si="322"/>
        <v>0</v>
      </c>
      <c r="U964" s="19">
        <f t="shared" ca="1" si="323"/>
        <v>1336.3251747165598</v>
      </c>
      <c r="V964" s="19">
        <f t="shared" ca="1" si="324"/>
        <v>0</v>
      </c>
      <c r="W964" s="82">
        <f t="shared" ca="1" si="325"/>
        <v>3401.3366102430559</v>
      </c>
      <c r="X964" s="19">
        <f t="shared" ca="1" si="326"/>
        <v>0</v>
      </c>
      <c r="Y964" s="19">
        <f t="shared" si="327"/>
        <v>0</v>
      </c>
      <c r="Z964" s="82">
        <f t="shared" ca="1" si="328"/>
        <v>3401.3366102430559</v>
      </c>
      <c r="AA964" s="19">
        <f t="shared" ca="1" si="329"/>
        <v>0</v>
      </c>
    </row>
    <row r="965" spans="1:27" ht="12.75" customHeight="1" x14ac:dyDescent="0.2">
      <c r="A965">
        <v>3</v>
      </c>
      <c r="B965">
        <v>0</v>
      </c>
      <c r="C965">
        <f t="shared" ca="1" si="308"/>
        <v>5</v>
      </c>
      <c r="D965">
        <f t="shared" ca="1" si="309"/>
        <v>4</v>
      </c>
      <c r="E965">
        <f t="shared" ca="1" si="310"/>
        <v>3</v>
      </c>
      <c r="F965" s="61">
        <f t="shared" ca="1" si="311"/>
        <v>2.1510720000000001E-2</v>
      </c>
      <c r="G965">
        <v>0</v>
      </c>
      <c r="H965">
        <v>0</v>
      </c>
      <c r="I965">
        <v>6</v>
      </c>
      <c r="J965" s="61">
        <f t="shared" ca="1" si="312"/>
        <v>0</v>
      </c>
      <c r="K965" s="61">
        <f t="shared" ca="1" si="313"/>
        <v>0</v>
      </c>
      <c r="L965" s="82">
        <f t="shared" ca="1" si="314"/>
        <v>66</v>
      </c>
      <c r="M965" s="16">
        <f t="shared" ca="1" si="315"/>
        <v>934</v>
      </c>
      <c r="N965" s="3">
        <f t="shared" ca="1" si="316"/>
        <v>5</v>
      </c>
      <c r="O965" s="19">
        <f t="shared" ca="1" si="317"/>
        <v>2.8178718937399587</v>
      </c>
      <c r="P965" s="19">
        <f t="shared" ca="1" si="318"/>
        <v>28.178718937399587</v>
      </c>
      <c r="Q965" s="19">
        <f t="shared" ca="1" si="319"/>
        <v>28.178718937399587</v>
      </c>
      <c r="R965" s="19">
        <f t="shared" ca="1" si="320"/>
        <v>2.8178718937399587</v>
      </c>
      <c r="S965" s="19">
        <f t="shared" ca="1" si="321"/>
        <v>2.8178718937399587</v>
      </c>
      <c r="T965" s="19">
        <f t="shared" ca="1" si="322"/>
        <v>0</v>
      </c>
      <c r="U965" s="19">
        <f t="shared" ca="1" si="323"/>
        <v>1325.3251747165598</v>
      </c>
      <c r="V965" s="19">
        <f t="shared" ca="1" si="324"/>
        <v>0</v>
      </c>
      <c r="W965" s="82">
        <f t="shared" ca="1" si="325"/>
        <v>2915.4313802083334</v>
      </c>
      <c r="X965" s="19">
        <f t="shared" ca="1" si="326"/>
        <v>0</v>
      </c>
      <c r="Y965" s="19">
        <f t="shared" si="327"/>
        <v>0</v>
      </c>
      <c r="Z965" s="82">
        <f t="shared" ca="1" si="328"/>
        <v>2915.4313802083334</v>
      </c>
      <c r="AA965" s="19">
        <f t="shared" ca="1" si="329"/>
        <v>0</v>
      </c>
    </row>
    <row r="966" spans="1:27" ht="12.75" customHeight="1" x14ac:dyDescent="0.2">
      <c r="A966">
        <v>3</v>
      </c>
      <c r="B966">
        <v>0</v>
      </c>
      <c r="C966">
        <f t="shared" ca="1" si="308"/>
        <v>5</v>
      </c>
      <c r="D966">
        <f t="shared" ca="1" si="309"/>
        <v>4</v>
      </c>
      <c r="E966">
        <f t="shared" ca="1" si="310"/>
        <v>3</v>
      </c>
      <c r="F966" s="61">
        <f t="shared" ca="1" si="311"/>
        <v>2.1510720000000001E-2</v>
      </c>
      <c r="G966">
        <v>0</v>
      </c>
      <c r="H966">
        <v>0</v>
      </c>
      <c r="I966">
        <v>5</v>
      </c>
      <c r="J966" s="61">
        <f t="shared" ca="1" si="312"/>
        <v>0</v>
      </c>
      <c r="K966" s="61">
        <f t="shared" ca="1" si="313"/>
        <v>0</v>
      </c>
      <c r="L966" s="82">
        <f t="shared" ca="1" si="314"/>
        <v>55</v>
      </c>
      <c r="M966" s="16">
        <f t="shared" ca="1" si="315"/>
        <v>945</v>
      </c>
      <c r="N966" s="3">
        <f t="shared" ca="1" si="316"/>
        <v>5</v>
      </c>
      <c r="O966" s="19">
        <f t="shared" ca="1" si="317"/>
        <v>2.8178718937399587</v>
      </c>
      <c r="P966" s="19">
        <f t="shared" ca="1" si="318"/>
        <v>28.178718937399587</v>
      </c>
      <c r="Q966" s="19">
        <f t="shared" ca="1" si="319"/>
        <v>28.178718937399587</v>
      </c>
      <c r="R966" s="19">
        <f t="shared" ca="1" si="320"/>
        <v>2.8178718937399587</v>
      </c>
      <c r="S966" s="19">
        <f t="shared" ca="1" si="321"/>
        <v>2.8178718937399587</v>
      </c>
      <c r="T966" s="19">
        <f t="shared" ca="1" si="322"/>
        <v>0</v>
      </c>
      <c r="U966" s="19">
        <f t="shared" ca="1" si="323"/>
        <v>1314.3251747165598</v>
      </c>
      <c r="V966" s="19">
        <f t="shared" ca="1" si="324"/>
        <v>0</v>
      </c>
      <c r="W966" s="82">
        <f t="shared" ca="1" si="325"/>
        <v>2429.5261501736113</v>
      </c>
      <c r="X966" s="19">
        <f t="shared" ca="1" si="326"/>
        <v>0</v>
      </c>
      <c r="Y966" s="19">
        <f t="shared" si="327"/>
        <v>0</v>
      </c>
      <c r="Z966" s="82">
        <f t="shared" ca="1" si="328"/>
        <v>2429.5261501736113</v>
      </c>
      <c r="AA966" s="19">
        <f t="shared" ca="1" si="329"/>
        <v>0</v>
      </c>
    </row>
    <row r="967" spans="1:27" ht="12.75" customHeight="1" x14ac:dyDescent="0.2">
      <c r="A967">
        <v>3</v>
      </c>
      <c r="B967">
        <v>0</v>
      </c>
      <c r="C967">
        <f t="shared" ca="1" si="308"/>
        <v>5</v>
      </c>
      <c r="D967">
        <f t="shared" ca="1" si="309"/>
        <v>4</v>
      </c>
      <c r="E967">
        <f t="shared" ca="1" si="310"/>
        <v>3</v>
      </c>
      <c r="F967" s="61">
        <f t="shared" ca="1" si="311"/>
        <v>2.1510720000000001E-2</v>
      </c>
      <c r="G967">
        <v>0</v>
      </c>
      <c r="H967">
        <v>0</v>
      </c>
      <c r="I967">
        <v>4</v>
      </c>
      <c r="J967" s="61">
        <f t="shared" ca="1" si="312"/>
        <v>4.0725312499999999E-2</v>
      </c>
      <c r="K967" s="61">
        <f t="shared" ca="1" si="313"/>
        <v>8.7603079410000003E-4</v>
      </c>
      <c r="L967" s="82">
        <f t="shared" ca="1" si="314"/>
        <v>44</v>
      </c>
      <c r="M967" s="16">
        <f t="shared" ca="1" si="315"/>
        <v>956</v>
      </c>
      <c r="N967" s="3">
        <f t="shared" ca="1" si="316"/>
        <v>6</v>
      </c>
      <c r="O967" s="19">
        <f t="shared" ca="1" si="317"/>
        <v>3.3239268932937667</v>
      </c>
      <c r="P967" s="19">
        <f t="shared" ca="1" si="318"/>
        <v>33.239268932937669</v>
      </c>
      <c r="Q967" s="19">
        <f t="shared" ca="1" si="319"/>
        <v>28.178718937399587</v>
      </c>
      <c r="R967" s="19">
        <f t="shared" ca="1" si="320"/>
        <v>3.0708993935168629</v>
      </c>
      <c r="S967" s="19">
        <f t="shared" ca="1" si="321"/>
        <v>3.3239268932937667</v>
      </c>
      <c r="T967" s="19">
        <f t="shared" ca="1" si="322"/>
        <v>2.9118623158624845E-3</v>
      </c>
      <c r="U967" s="19">
        <f t="shared" ca="1" si="323"/>
        <v>1495.4024523027438</v>
      </c>
      <c r="V967" s="19">
        <f t="shared" ca="1" si="324"/>
        <v>1.31001859778986</v>
      </c>
      <c r="W967" s="82">
        <f t="shared" ca="1" si="325"/>
        <v>1943.620920138889</v>
      </c>
      <c r="X967" s="19">
        <f t="shared" ca="1" si="326"/>
        <v>1.7026717780986438</v>
      </c>
      <c r="Y967" s="19">
        <f t="shared" si="327"/>
        <v>0</v>
      </c>
      <c r="Z967" s="82">
        <f t="shared" ca="1" si="328"/>
        <v>1943.620920138889</v>
      </c>
      <c r="AA967" s="19">
        <f t="shared" ca="1" si="329"/>
        <v>1.7026717780986438</v>
      </c>
    </row>
    <row r="968" spans="1:27" ht="12.75" customHeight="1" x14ac:dyDescent="0.2">
      <c r="A968">
        <v>3</v>
      </c>
      <c r="B968">
        <v>0</v>
      </c>
      <c r="C968">
        <f t="shared" ca="1" si="308"/>
        <v>5</v>
      </c>
      <c r="D968">
        <f t="shared" ca="1" si="309"/>
        <v>4</v>
      </c>
      <c r="E968">
        <f t="shared" ca="1" si="310"/>
        <v>3</v>
      </c>
      <c r="F968" s="61">
        <f t="shared" ca="1" si="311"/>
        <v>2.1510720000000001E-2</v>
      </c>
      <c r="G968">
        <v>0</v>
      </c>
      <c r="H968">
        <v>0</v>
      </c>
      <c r="I968">
        <v>3</v>
      </c>
      <c r="J968" s="61">
        <f t="shared" ca="1" si="312"/>
        <v>8.5737500000000067E-3</v>
      </c>
      <c r="K968" s="61">
        <f t="shared" ca="1" si="313"/>
        <v>1.8442753560000014E-4</v>
      </c>
      <c r="L968" s="82">
        <f t="shared" ca="1" si="314"/>
        <v>33</v>
      </c>
      <c r="M968" s="16">
        <f t="shared" ca="1" si="315"/>
        <v>967</v>
      </c>
      <c r="N968" s="3">
        <f t="shared" ca="1" si="316"/>
        <v>6</v>
      </c>
      <c r="O968" s="19">
        <f t="shared" ca="1" si="317"/>
        <v>3.3239268932937667</v>
      </c>
      <c r="P968" s="19">
        <f t="shared" ca="1" si="318"/>
        <v>33.239268932937669</v>
      </c>
      <c r="Q968" s="19">
        <f t="shared" ca="1" si="319"/>
        <v>33.239268932937669</v>
      </c>
      <c r="R968" s="19">
        <f t="shared" ca="1" si="320"/>
        <v>3.3239268932937671</v>
      </c>
      <c r="S968" s="19">
        <f t="shared" ca="1" si="321"/>
        <v>3.3239268932937667</v>
      </c>
      <c r="T968" s="19">
        <f t="shared" ca="1" si="322"/>
        <v>6.1302364544473398E-4</v>
      </c>
      <c r="U968" s="19">
        <f t="shared" ca="1" si="323"/>
        <v>1484.4024523027438</v>
      </c>
      <c r="V968" s="19">
        <f t="shared" ca="1" si="324"/>
        <v>0.27376468611679178</v>
      </c>
      <c r="W968" s="82">
        <f t="shared" ca="1" si="325"/>
        <v>1457.7156901041667</v>
      </c>
      <c r="X968" s="19">
        <f t="shared" ca="1" si="326"/>
        <v>0.26884291233136498</v>
      </c>
      <c r="Y968" s="19">
        <f t="shared" si="327"/>
        <v>0</v>
      </c>
      <c r="Z968" s="82">
        <f t="shared" ca="1" si="328"/>
        <v>1457.7156901041667</v>
      </c>
      <c r="AA968" s="19">
        <f t="shared" ca="1" si="329"/>
        <v>0.26884291233136498</v>
      </c>
    </row>
    <row r="969" spans="1:27" ht="12.75" customHeight="1" x14ac:dyDescent="0.2">
      <c r="A969">
        <v>3</v>
      </c>
      <c r="B969">
        <v>0</v>
      </c>
      <c r="C969">
        <f t="shared" ca="1" si="308"/>
        <v>5</v>
      </c>
      <c r="D969">
        <f t="shared" ca="1" si="309"/>
        <v>4</v>
      </c>
      <c r="E969">
        <f t="shared" ca="1" si="310"/>
        <v>3</v>
      </c>
      <c r="F969" s="61">
        <f t="shared" ca="1" si="311"/>
        <v>2.1510720000000001E-2</v>
      </c>
      <c r="G969">
        <v>0</v>
      </c>
      <c r="H969">
        <v>0</v>
      </c>
      <c r="I969">
        <v>2</v>
      </c>
      <c r="J969" s="61">
        <f t="shared" ca="1" si="312"/>
        <v>6.7687500000000126E-4</v>
      </c>
      <c r="K969" s="61">
        <f t="shared" ca="1" si="313"/>
        <v>1.4560068600000027E-5</v>
      </c>
      <c r="L969" s="82">
        <f t="shared" ca="1" si="314"/>
        <v>22</v>
      </c>
      <c r="M969" s="16">
        <f t="shared" ca="1" si="315"/>
        <v>978</v>
      </c>
      <c r="N969" s="3">
        <f t="shared" ca="1" si="316"/>
        <v>6</v>
      </c>
      <c r="O969" s="19">
        <f t="shared" ca="1" si="317"/>
        <v>3.3239268932937667</v>
      </c>
      <c r="P969" s="19">
        <f t="shared" ca="1" si="318"/>
        <v>33.239268932937669</v>
      </c>
      <c r="Q969" s="19">
        <f t="shared" ca="1" si="319"/>
        <v>33.239268932937669</v>
      </c>
      <c r="R969" s="19">
        <f t="shared" ca="1" si="320"/>
        <v>3.3239268932937671</v>
      </c>
      <c r="S969" s="19">
        <f t="shared" ca="1" si="321"/>
        <v>3.3239268932937667</v>
      </c>
      <c r="T969" s="19">
        <f t="shared" ca="1" si="322"/>
        <v>4.8396603587742215E-5</v>
      </c>
      <c r="U969" s="19">
        <f t="shared" ca="1" si="323"/>
        <v>1473.4024523027438</v>
      </c>
      <c r="V969" s="19">
        <f t="shared" ca="1" si="324"/>
        <v>2.1452840780936216E-2</v>
      </c>
      <c r="W969" s="82">
        <f t="shared" ca="1" si="325"/>
        <v>971.8104600694445</v>
      </c>
      <c r="X969" s="19">
        <f t="shared" ca="1" si="326"/>
        <v>1.4149626964808698E-2</v>
      </c>
      <c r="Y969" s="19">
        <f t="shared" si="327"/>
        <v>0</v>
      </c>
      <c r="Z969" s="82">
        <f t="shared" ca="1" si="328"/>
        <v>971.8104600694445</v>
      </c>
      <c r="AA969" s="19">
        <f t="shared" ca="1" si="329"/>
        <v>1.4149626964808698E-2</v>
      </c>
    </row>
    <row r="970" spans="1:27" ht="12.75" customHeight="1" x14ac:dyDescent="0.2">
      <c r="A970">
        <v>3</v>
      </c>
      <c r="B970">
        <v>0</v>
      </c>
      <c r="C970">
        <f t="shared" ca="1" si="308"/>
        <v>5</v>
      </c>
      <c r="D970">
        <f t="shared" ca="1" si="309"/>
        <v>4</v>
      </c>
      <c r="E970">
        <f t="shared" ca="1" si="310"/>
        <v>3</v>
      </c>
      <c r="F970" s="61">
        <f t="shared" ca="1" si="311"/>
        <v>2.1510720000000001E-2</v>
      </c>
      <c r="G970">
        <v>0</v>
      </c>
      <c r="H970">
        <v>0</v>
      </c>
      <c r="I970">
        <v>1</v>
      </c>
      <c r="J970" s="61">
        <f t="shared" ca="1" si="312"/>
        <v>2.3750000000000062E-5</v>
      </c>
      <c r="K970" s="61">
        <f t="shared" ca="1" si="313"/>
        <v>5.1087960000000133E-7</v>
      </c>
      <c r="L970" s="82">
        <f t="shared" ca="1" si="314"/>
        <v>11</v>
      </c>
      <c r="M970" s="16">
        <f t="shared" ca="1" si="315"/>
        <v>989</v>
      </c>
      <c r="N970" s="3">
        <f t="shared" ca="1" si="316"/>
        <v>6</v>
      </c>
      <c r="O970" s="19">
        <f t="shared" ca="1" si="317"/>
        <v>3.3239268932937667</v>
      </c>
      <c r="P970" s="19">
        <f t="shared" ca="1" si="318"/>
        <v>33.239268932937669</v>
      </c>
      <c r="Q970" s="19">
        <f t="shared" ca="1" si="319"/>
        <v>33.239268932937669</v>
      </c>
      <c r="R970" s="19">
        <f t="shared" ca="1" si="320"/>
        <v>3.3239268932937671</v>
      </c>
      <c r="S970" s="19">
        <f t="shared" ca="1" si="321"/>
        <v>3.3239268932937667</v>
      </c>
      <c r="T970" s="19">
        <f t="shared" ca="1" si="322"/>
        <v>1.6981264416751666E-6</v>
      </c>
      <c r="U970" s="19">
        <f t="shared" ca="1" si="323"/>
        <v>1462.4024523027438</v>
      </c>
      <c r="V970" s="19">
        <f t="shared" ca="1" si="324"/>
        <v>7.4711157987144671E-4</v>
      </c>
      <c r="W970" s="82">
        <f t="shared" ca="1" si="325"/>
        <v>485.90523003472225</v>
      </c>
      <c r="X970" s="19">
        <f t="shared" ca="1" si="326"/>
        <v>2.4823906955804756E-4</v>
      </c>
      <c r="Y970" s="19">
        <f t="shared" si="327"/>
        <v>0</v>
      </c>
      <c r="Z970" s="82">
        <f t="shared" ca="1" si="328"/>
        <v>485.90523003472225</v>
      </c>
      <c r="AA970" s="19">
        <f t="shared" ca="1" si="329"/>
        <v>2.4823906955804756E-4</v>
      </c>
    </row>
    <row r="971" spans="1:27" ht="12.75" customHeight="1" x14ac:dyDescent="0.2">
      <c r="A971">
        <v>3</v>
      </c>
      <c r="B971">
        <v>0</v>
      </c>
      <c r="C971">
        <f t="shared" ca="1" si="308"/>
        <v>5</v>
      </c>
      <c r="D971">
        <f t="shared" ca="1" si="309"/>
        <v>4</v>
      </c>
      <c r="E971">
        <f t="shared" ca="1" si="310"/>
        <v>3</v>
      </c>
      <c r="F971" s="61">
        <f t="shared" ca="1" si="311"/>
        <v>2.1510720000000001E-2</v>
      </c>
      <c r="G971">
        <v>0</v>
      </c>
      <c r="H971">
        <v>0</v>
      </c>
      <c r="I971">
        <v>0</v>
      </c>
      <c r="J971" s="61">
        <f t="shared" ca="1" si="312"/>
        <v>3.1250000000000114E-7</v>
      </c>
      <c r="K971" s="61">
        <f t="shared" ca="1" si="313"/>
        <v>6.722100000000025E-9</v>
      </c>
      <c r="L971" s="82">
        <f t="shared" ca="1" si="314"/>
        <v>0</v>
      </c>
      <c r="M971" s="16">
        <f t="shared" ca="1" si="315"/>
        <v>1000</v>
      </c>
      <c r="N971" s="3">
        <f t="shared" ca="1" si="316"/>
        <v>6</v>
      </c>
      <c r="O971" s="19">
        <f t="shared" ca="1" si="317"/>
        <v>3.3239268932937667</v>
      </c>
      <c r="P971" s="19">
        <f t="shared" ca="1" si="318"/>
        <v>33.239268932937669</v>
      </c>
      <c r="Q971" s="19">
        <f t="shared" ca="1" si="319"/>
        <v>33.239268932937669</v>
      </c>
      <c r="R971" s="19">
        <f t="shared" ca="1" si="320"/>
        <v>3.3239268932937671</v>
      </c>
      <c r="S971" s="19">
        <f t="shared" ca="1" si="321"/>
        <v>3.3239268932937667</v>
      </c>
      <c r="T971" s="19">
        <f t="shared" ca="1" si="322"/>
        <v>2.234376896941011E-8</v>
      </c>
      <c r="U971" s="19">
        <f t="shared" ca="1" si="323"/>
        <v>1451.4024523027438</v>
      </c>
      <c r="V971" s="19">
        <f t="shared" ca="1" si="324"/>
        <v>9.7564724246243103E-6</v>
      </c>
      <c r="W971" s="82">
        <f t="shared" ca="1" si="325"/>
        <v>0</v>
      </c>
      <c r="X971" s="19">
        <f t="shared" ca="1" si="326"/>
        <v>0</v>
      </c>
      <c r="Y971" s="19">
        <f t="shared" si="327"/>
        <v>0</v>
      </c>
      <c r="Z971" s="82">
        <f t="shared" ca="1" si="328"/>
        <v>0</v>
      </c>
      <c r="AA971" s="19">
        <f t="shared" ca="1" si="329"/>
        <v>0</v>
      </c>
    </row>
    <row r="972" spans="1:27" ht="12.75" customHeight="1" x14ac:dyDescent="0.2">
      <c r="A972">
        <v>3</v>
      </c>
      <c r="B972">
        <v>1</v>
      </c>
      <c r="C972">
        <f t="shared" ca="1" si="308"/>
        <v>6</v>
      </c>
      <c r="D972">
        <f t="shared" ca="1" si="309"/>
        <v>5</v>
      </c>
      <c r="E972">
        <f t="shared" ca="1" si="310"/>
        <v>3</v>
      </c>
      <c r="F972" s="61">
        <f t="shared" ca="1" si="311"/>
        <v>6.4252799999999994E-3</v>
      </c>
      <c r="G972">
        <v>1</v>
      </c>
      <c r="H972">
        <v>1</v>
      </c>
      <c r="I972">
        <v>7</v>
      </c>
      <c r="J972" s="61">
        <f t="shared" ca="1" si="312"/>
        <v>0</v>
      </c>
      <c r="K972" s="61">
        <f t="shared" ca="1" si="313"/>
        <v>0</v>
      </c>
      <c r="L972" s="82">
        <f t="shared" ca="1" si="314"/>
        <v>399</v>
      </c>
      <c r="M972" s="16">
        <f t="shared" ca="1" si="315"/>
        <v>601</v>
      </c>
      <c r="N972" s="3">
        <f t="shared" ca="1" si="316"/>
        <v>4</v>
      </c>
      <c r="O972" s="19">
        <f t="shared" ca="1" si="317"/>
        <v>2.3453053758100548</v>
      </c>
      <c r="P972" s="19">
        <f t="shared" ca="1" si="318"/>
        <v>23.453053758100552</v>
      </c>
      <c r="Q972" s="19">
        <f t="shared" ca="1" si="319"/>
        <v>23.453053758100552</v>
      </c>
      <c r="R972" s="19">
        <f t="shared" ca="1" si="320"/>
        <v>2.3453053758100553</v>
      </c>
      <c r="S972" s="19">
        <f t="shared" ca="1" si="321"/>
        <v>2.3453053758100548</v>
      </c>
      <c r="T972" s="19">
        <f t="shared" ca="1" si="322"/>
        <v>0</v>
      </c>
      <c r="U972" s="19">
        <f t="shared" ca="1" si="323"/>
        <v>1478.9587218163997</v>
      </c>
      <c r="V972" s="19">
        <f t="shared" ca="1" si="324"/>
        <v>0</v>
      </c>
      <c r="W972" s="82">
        <f t="shared" ca="1" si="325"/>
        <v>5718.7981307870377</v>
      </c>
      <c r="X972" s="19">
        <f t="shared" ca="1" si="326"/>
        <v>0</v>
      </c>
      <c r="Y972" s="19">
        <f t="shared" si="327"/>
        <v>0</v>
      </c>
      <c r="Z972" s="82">
        <f t="shared" ca="1" si="328"/>
        <v>5718.7981307870377</v>
      </c>
      <c r="AA972" s="19">
        <f t="shared" ca="1" si="329"/>
        <v>0</v>
      </c>
    </row>
    <row r="973" spans="1:27" ht="12.75" customHeight="1" x14ac:dyDescent="0.2">
      <c r="A973">
        <v>3</v>
      </c>
      <c r="B973">
        <v>1</v>
      </c>
      <c r="C973">
        <f t="shared" ca="1" si="308"/>
        <v>6</v>
      </c>
      <c r="D973">
        <f t="shared" ca="1" si="309"/>
        <v>5</v>
      </c>
      <c r="E973">
        <f t="shared" ca="1" si="310"/>
        <v>3</v>
      </c>
      <c r="F973" s="61">
        <f t="shared" ca="1" si="311"/>
        <v>6.4252799999999994E-3</v>
      </c>
      <c r="G973">
        <v>1</v>
      </c>
      <c r="H973">
        <v>1</v>
      </c>
      <c r="I973">
        <v>6</v>
      </c>
      <c r="J973" s="61">
        <f t="shared" ca="1" si="312"/>
        <v>0</v>
      </c>
      <c r="K973" s="61">
        <f t="shared" ca="1" si="313"/>
        <v>0</v>
      </c>
      <c r="L973" s="82">
        <f t="shared" ca="1" si="314"/>
        <v>388</v>
      </c>
      <c r="M973" s="16">
        <f t="shared" ca="1" si="315"/>
        <v>612</v>
      </c>
      <c r="N973" s="3">
        <f t="shared" ca="1" si="316"/>
        <v>4</v>
      </c>
      <c r="O973" s="19">
        <f t="shared" ca="1" si="317"/>
        <v>2.3453053758100548</v>
      </c>
      <c r="P973" s="19">
        <f t="shared" ca="1" si="318"/>
        <v>23.453053758100552</v>
      </c>
      <c r="Q973" s="19">
        <f t="shared" ca="1" si="319"/>
        <v>23.453053758100552</v>
      </c>
      <c r="R973" s="19">
        <f t="shared" ca="1" si="320"/>
        <v>2.3453053758100553</v>
      </c>
      <c r="S973" s="19">
        <f t="shared" ca="1" si="321"/>
        <v>2.3453053758100548</v>
      </c>
      <c r="T973" s="19">
        <f t="shared" ca="1" si="322"/>
        <v>0</v>
      </c>
      <c r="U973" s="19">
        <f t="shared" ca="1" si="323"/>
        <v>1467.9587218163997</v>
      </c>
      <c r="V973" s="19">
        <f t="shared" ca="1" si="324"/>
        <v>0</v>
      </c>
      <c r="W973" s="82">
        <f t="shared" ca="1" si="325"/>
        <v>5232.8929007523147</v>
      </c>
      <c r="X973" s="19">
        <f t="shared" ca="1" si="326"/>
        <v>0</v>
      </c>
      <c r="Y973" s="19">
        <f t="shared" si="327"/>
        <v>0</v>
      </c>
      <c r="Z973" s="82">
        <f t="shared" ca="1" si="328"/>
        <v>5232.8929007523147</v>
      </c>
      <c r="AA973" s="19">
        <f t="shared" ca="1" si="329"/>
        <v>0</v>
      </c>
    </row>
    <row r="974" spans="1:27" ht="12.75" customHeight="1" x14ac:dyDescent="0.2">
      <c r="A974">
        <v>3</v>
      </c>
      <c r="B974">
        <v>1</v>
      </c>
      <c r="C974">
        <f t="shared" ca="1" si="308"/>
        <v>6</v>
      </c>
      <c r="D974">
        <f t="shared" ca="1" si="309"/>
        <v>5</v>
      </c>
      <c r="E974">
        <f t="shared" ca="1" si="310"/>
        <v>3</v>
      </c>
      <c r="F974" s="61">
        <f t="shared" ca="1" si="311"/>
        <v>6.4252799999999994E-3</v>
      </c>
      <c r="G974">
        <v>1</v>
      </c>
      <c r="H974">
        <v>1</v>
      </c>
      <c r="I974">
        <v>5</v>
      </c>
      <c r="J974" s="61">
        <f t="shared" ca="1" si="312"/>
        <v>0</v>
      </c>
      <c r="K974" s="61">
        <f t="shared" ca="1" si="313"/>
        <v>0</v>
      </c>
      <c r="L974" s="82">
        <f t="shared" ca="1" si="314"/>
        <v>377</v>
      </c>
      <c r="M974" s="16">
        <f t="shared" ca="1" si="315"/>
        <v>623</v>
      </c>
      <c r="N974" s="3">
        <f t="shared" ca="1" si="316"/>
        <v>4</v>
      </c>
      <c r="O974" s="19">
        <f t="shared" ca="1" si="317"/>
        <v>2.3453053758100548</v>
      </c>
      <c r="P974" s="19">
        <f t="shared" ca="1" si="318"/>
        <v>23.453053758100552</v>
      </c>
      <c r="Q974" s="19">
        <f t="shared" ca="1" si="319"/>
        <v>23.453053758100552</v>
      </c>
      <c r="R974" s="19">
        <f t="shared" ca="1" si="320"/>
        <v>2.3453053758100553</v>
      </c>
      <c r="S974" s="19">
        <f t="shared" ca="1" si="321"/>
        <v>2.3453053758100548</v>
      </c>
      <c r="T974" s="19">
        <f t="shared" ca="1" si="322"/>
        <v>0</v>
      </c>
      <c r="U974" s="19">
        <f t="shared" ca="1" si="323"/>
        <v>1456.9587218163997</v>
      </c>
      <c r="V974" s="19">
        <f t="shared" ca="1" si="324"/>
        <v>0</v>
      </c>
      <c r="W974" s="82">
        <f t="shared" ca="1" si="325"/>
        <v>4746.9876707175936</v>
      </c>
      <c r="X974" s="19">
        <f t="shared" ca="1" si="326"/>
        <v>0</v>
      </c>
      <c r="Y974" s="19">
        <f t="shared" si="327"/>
        <v>0</v>
      </c>
      <c r="Z974" s="82">
        <f t="shared" ca="1" si="328"/>
        <v>4746.9876707175936</v>
      </c>
      <c r="AA974" s="19">
        <f t="shared" ca="1" si="329"/>
        <v>0</v>
      </c>
    </row>
    <row r="975" spans="1:27" ht="12.75" customHeight="1" x14ac:dyDescent="0.2">
      <c r="A975">
        <v>3</v>
      </c>
      <c r="B975">
        <v>1</v>
      </c>
      <c r="C975">
        <f t="shared" ca="1" si="308"/>
        <v>6</v>
      </c>
      <c r="D975">
        <f t="shared" ca="1" si="309"/>
        <v>5</v>
      </c>
      <c r="E975">
        <f t="shared" ca="1" si="310"/>
        <v>3</v>
      </c>
      <c r="F975" s="61">
        <f t="shared" ca="1" si="311"/>
        <v>6.4252799999999994E-3</v>
      </c>
      <c r="G975">
        <v>1</v>
      </c>
      <c r="H975">
        <v>1</v>
      </c>
      <c r="I975">
        <v>4</v>
      </c>
      <c r="J975" s="61">
        <f t="shared" ca="1" si="312"/>
        <v>0</v>
      </c>
      <c r="K975" s="61">
        <f t="shared" ca="1" si="313"/>
        <v>0</v>
      </c>
      <c r="L975" s="82">
        <f t="shared" ca="1" si="314"/>
        <v>366</v>
      </c>
      <c r="M975" s="16">
        <f t="shared" ca="1" si="315"/>
        <v>634</v>
      </c>
      <c r="N975" s="3">
        <f t="shared" ca="1" si="316"/>
        <v>4</v>
      </c>
      <c r="O975" s="19">
        <f t="shared" ca="1" si="317"/>
        <v>2.3453053758100548</v>
      </c>
      <c r="P975" s="19">
        <f t="shared" ca="1" si="318"/>
        <v>23.453053758100552</v>
      </c>
      <c r="Q975" s="19">
        <f t="shared" ca="1" si="319"/>
        <v>23.453053758100552</v>
      </c>
      <c r="R975" s="19">
        <f t="shared" ca="1" si="320"/>
        <v>2.3453053758100553</v>
      </c>
      <c r="S975" s="19">
        <f t="shared" ca="1" si="321"/>
        <v>2.3453053758100548</v>
      </c>
      <c r="T975" s="19">
        <f t="shared" ca="1" si="322"/>
        <v>0</v>
      </c>
      <c r="U975" s="19">
        <f t="shared" ca="1" si="323"/>
        <v>1445.9587218163997</v>
      </c>
      <c r="V975" s="19">
        <f t="shared" ca="1" si="324"/>
        <v>0</v>
      </c>
      <c r="W975" s="82">
        <f t="shared" ca="1" si="325"/>
        <v>4261.0824406828706</v>
      </c>
      <c r="X975" s="19">
        <f t="shared" ca="1" si="326"/>
        <v>0</v>
      </c>
      <c r="Y975" s="19">
        <f t="shared" si="327"/>
        <v>0</v>
      </c>
      <c r="Z975" s="82">
        <f t="shared" ca="1" si="328"/>
        <v>4261.0824406828706</v>
      </c>
      <c r="AA975" s="19">
        <f t="shared" ca="1" si="329"/>
        <v>0</v>
      </c>
    </row>
    <row r="976" spans="1:27" ht="12.75" customHeight="1" x14ac:dyDescent="0.2">
      <c r="A976">
        <v>3</v>
      </c>
      <c r="B976">
        <v>1</v>
      </c>
      <c r="C976">
        <f t="shared" ca="1" si="308"/>
        <v>6</v>
      </c>
      <c r="D976">
        <f t="shared" ca="1" si="309"/>
        <v>5</v>
      </c>
      <c r="E976">
        <f t="shared" ca="1" si="310"/>
        <v>3</v>
      </c>
      <c r="F976" s="61">
        <f t="shared" ca="1" si="311"/>
        <v>6.4252799999999994E-3</v>
      </c>
      <c r="G976">
        <v>1</v>
      </c>
      <c r="H976">
        <v>1</v>
      </c>
      <c r="I976">
        <v>3</v>
      </c>
      <c r="J976" s="61">
        <f t="shared" ca="1" si="312"/>
        <v>0</v>
      </c>
      <c r="K976" s="61">
        <f t="shared" ca="1" si="313"/>
        <v>0</v>
      </c>
      <c r="L976" s="82">
        <f t="shared" ca="1" si="314"/>
        <v>355</v>
      </c>
      <c r="M976" s="16">
        <f t="shared" ca="1" si="315"/>
        <v>645</v>
      </c>
      <c r="N976" s="3">
        <f t="shared" ca="1" si="316"/>
        <v>4</v>
      </c>
      <c r="O976" s="19">
        <f t="shared" ca="1" si="317"/>
        <v>2.3453053758100548</v>
      </c>
      <c r="P976" s="19">
        <f t="shared" ca="1" si="318"/>
        <v>23.453053758100552</v>
      </c>
      <c r="Q976" s="19">
        <f t="shared" ca="1" si="319"/>
        <v>23.453053758100552</v>
      </c>
      <c r="R976" s="19">
        <f t="shared" ca="1" si="320"/>
        <v>2.3453053758100553</v>
      </c>
      <c r="S976" s="19">
        <f t="shared" ca="1" si="321"/>
        <v>2.3453053758100548</v>
      </c>
      <c r="T976" s="19">
        <f t="shared" ca="1" si="322"/>
        <v>0</v>
      </c>
      <c r="U976" s="19">
        <f t="shared" ca="1" si="323"/>
        <v>1434.9587218163997</v>
      </c>
      <c r="V976" s="19">
        <f t="shared" ca="1" si="324"/>
        <v>0</v>
      </c>
      <c r="W976" s="82">
        <f t="shared" ca="1" si="325"/>
        <v>3775.1772106481485</v>
      </c>
      <c r="X976" s="19">
        <f t="shared" ca="1" si="326"/>
        <v>0</v>
      </c>
      <c r="Y976" s="19">
        <f t="shared" si="327"/>
        <v>0</v>
      </c>
      <c r="Z976" s="82">
        <f t="shared" ca="1" si="328"/>
        <v>3775.1772106481485</v>
      </c>
      <c r="AA976" s="19">
        <f t="shared" ca="1" si="329"/>
        <v>0</v>
      </c>
    </row>
    <row r="977" spans="1:27" ht="12.75" customHeight="1" x14ac:dyDescent="0.2">
      <c r="A977">
        <v>3</v>
      </c>
      <c r="B977">
        <v>1</v>
      </c>
      <c r="C977">
        <f t="shared" ca="1" si="308"/>
        <v>6</v>
      </c>
      <c r="D977">
        <f t="shared" ca="1" si="309"/>
        <v>5</v>
      </c>
      <c r="E977">
        <f t="shared" ca="1" si="310"/>
        <v>3</v>
      </c>
      <c r="F977" s="61">
        <f t="shared" ca="1" si="311"/>
        <v>6.4252799999999994E-3</v>
      </c>
      <c r="G977">
        <v>1</v>
      </c>
      <c r="H977">
        <v>1</v>
      </c>
      <c r="I977">
        <v>2</v>
      </c>
      <c r="J977" s="61">
        <f t="shared" ca="1" si="312"/>
        <v>0</v>
      </c>
      <c r="K977" s="61">
        <f t="shared" ca="1" si="313"/>
        <v>0</v>
      </c>
      <c r="L977" s="82">
        <f t="shared" ca="1" si="314"/>
        <v>344</v>
      </c>
      <c r="M977" s="16">
        <f t="shared" ca="1" si="315"/>
        <v>656</v>
      </c>
      <c r="N977" s="3">
        <f t="shared" ca="1" si="316"/>
        <v>4</v>
      </c>
      <c r="O977" s="19">
        <f t="shared" ca="1" si="317"/>
        <v>2.3453053758100548</v>
      </c>
      <c r="P977" s="19">
        <f t="shared" ca="1" si="318"/>
        <v>23.453053758100552</v>
      </c>
      <c r="Q977" s="19">
        <f t="shared" ca="1" si="319"/>
        <v>23.453053758100552</v>
      </c>
      <c r="R977" s="19">
        <f t="shared" ca="1" si="320"/>
        <v>2.3453053758100553</v>
      </c>
      <c r="S977" s="19">
        <f t="shared" ca="1" si="321"/>
        <v>2.3453053758100548</v>
      </c>
      <c r="T977" s="19">
        <f t="shared" ca="1" si="322"/>
        <v>0</v>
      </c>
      <c r="U977" s="19">
        <f t="shared" ca="1" si="323"/>
        <v>1423.9587218163997</v>
      </c>
      <c r="V977" s="19">
        <f t="shared" ca="1" si="324"/>
        <v>0</v>
      </c>
      <c r="W977" s="82">
        <f t="shared" ca="1" si="325"/>
        <v>3289.2719806134264</v>
      </c>
      <c r="X977" s="19">
        <f t="shared" ca="1" si="326"/>
        <v>0</v>
      </c>
      <c r="Y977" s="19">
        <f t="shared" si="327"/>
        <v>0</v>
      </c>
      <c r="Z977" s="82">
        <f t="shared" ca="1" si="328"/>
        <v>3289.2719806134264</v>
      </c>
      <c r="AA977" s="19">
        <f t="shared" ca="1" si="329"/>
        <v>0</v>
      </c>
    </row>
    <row r="978" spans="1:27" ht="12.75" customHeight="1" x14ac:dyDescent="0.2">
      <c r="A978">
        <v>3</v>
      </c>
      <c r="B978">
        <v>1</v>
      </c>
      <c r="C978">
        <f t="shared" ca="1" si="308"/>
        <v>6</v>
      </c>
      <c r="D978">
        <f t="shared" ca="1" si="309"/>
        <v>5</v>
      </c>
      <c r="E978">
        <f t="shared" ca="1" si="310"/>
        <v>3</v>
      </c>
      <c r="F978" s="61">
        <f t="shared" ca="1" si="311"/>
        <v>6.4252799999999994E-3</v>
      </c>
      <c r="G978">
        <v>1</v>
      </c>
      <c r="H978">
        <v>1</v>
      </c>
      <c r="I978">
        <v>1</v>
      </c>
      <c r="J978" s="61">
        <f t="shared" ca="1" si="312"/>
        <v>0</v>
      </c>
      <c r="K978" s="61">
        <f t="shared" ca="1" si="313"/>
        <v>0</v>
      </c>
      <c r="L978" s="82">
        <f t="shared" ca="1" si="314"/>
        <v>333</v>
      </c>
      <c r="M978" s="16">
        <f t="shared" ca="1" si="315"/>
        <v>667</v>
      </c>
      <c r="N978" s="3">
        <f t="shared" ca="1" si="316"/>
        <v>4</v>
      </c>
      <c r="O978" s="19">
        <f t="shared" ca="1" si="317"/>
        <v>2.3453053758100548</v>
      </c>
      <c r="P978" s="19">
        <f t="shared" ca="1" si="318"/>
        <v>23.453053758100552</v>
      </c>
      <c r="Q978" s="19">
        <f t="shared" ca="1" si="319"/>
        <v>23.453053758100552</v>
      </c>
      <c r="R978" s="19">
        <f t="shared" ca="1" si="320"/>
        <v>2.3453053758100553</v>
      </c>
      <c r="S978" s="19">
        <f t="shared" ca="1" si="321"/>
        <v>2.3453053758100548</v>
      </c>
      <c r="T978" s="19">
        <f t="shared" ca="1" si="322"/>
        <v>0</v>
      </c>
      <c r="U978" s="19">
        <f t="shared" ca="1" si="323"/>
        <v>1412.9587218163997</v>
      </c>
      <c r="V978" s="19">
        <f t="shared" ca="1" si="324"/>
        <v>0</v>
      </c>
      <c r="W978" s="82">
        <f t="shared" ca="1" si="325"/>
        <v>2803.3667505787039</v>
      </c>
      <c r="X978" s="19">
        <f t="shared" ca="1" si="326"/>
        <v>0</v>
      </c>
      <c r="Y978" s="19">
        <f t="shared" si="327"/>
        <v>0</v>
      </c>
      <c r="Z978" s="82">
        <f t="shared" ca="1" si="328"/>
        <v>2803.3667505787039</v>
      </c>
      <c r="AA978" s="19">
        <f t="shared" ca="1" si="329"/>
        <v>0</v>
      </c>
    </row>
    <row r="979" spans="1:27" ht="12.75" customHeight="1" x14ac:dyDescent="0.2">
      <c r="A979">
        <v>3</v>
      </c>
      <c r="B979">
        <v>1</v>
      </c>
      <c r="C979">
        <f t="shared" ca="1" si="308"/>
        <v>6</v>
      </c>
      <c r="D979">
        <f t="shared" ca="1" si="309"/>
        <v>5</v>
      </c>
      <c r="E979">
        <f t="shared" ca="1" si="310"/>
        <v>3</v>
      </c>
      <c r="F979" s="61">
        <f t="shared" ca="1" si="311"/>
        <v>6.4252799999999994E-3</v>
      </c>
      <c r="G979">
        <v>1</v>
      </c>
      <c r="H979">
        <v>1</v>
      </c>
      <c r="I979">
        <v>0</v>
      </c>
      <c r="J979" s="61">
        <f t="shared" ca="1" si="312"/>
        <v>0</v>
      </c>
      <c r="K979" s="61">
        <f t="shared" ca="1" si="313"/>
        <v>0</v>
      </c>
      <c r="L979" s="82">
        <f t="shared" ca="1" si="314"/>
        <v>322</v>
      </c>
      <c r="M979" s="16">
        <f t="shared" ca="1" si="315"/>
        <v>678</v>
      </c>
      <c r="N979" s="3">
        <f t="shared" ca="1" si="316"/>
        <v>4</v>
      </c>
      <c r="O979" s="19">
        <f t="shared" ca="1" si="317"/>
        <v>2.3453053758100548</v>
      </c>
      <c r="P979" s="19">
        <f t="shared" ca="1" si="318"/>
        <v>23.453053758100552</v>
      </c>
      <c r="Q979" s="19">
        <f t="shared" ca="1" si="319"/>
        <v>23.453053758100552</v>
      </c>
      <c r="R979" s="19">
        <f t="shared" ca="1" si="320"/>
        <v>2.3453053758100553</v>
      </c>
      <c r="S979" s="19">
        <f t="shared" ca="1" si="321"/>
        <v>2.3453053758100548</v>
      </c>
      <c r="T979" s="19">
        <f t="shared" ca="1" si="322"/>
        <v>0</v>
      </c>
      <c r="U979" s="19">
        <f t="shared" ca="1" si="323"/>
        <v>1401.9587218163997</v>
      </c>
      <c r="V979" s="19">
        <f t="shared" ca="1" si="324"/>
        <v>0</v>
      </c>
      <c r="W979" s="82">
        <f t="shared" ca="1" si="325"/>
        <v>2317.4615205439818</v>
      </c>
      <c r="X979" s="19">
        <f t="shared" ca="1" si="326"/>
        <v>0</v>
      </c>
      <c r="Y979" s="19">
        <f t="shared" si="327"/>
        <v>0</v>
      </c>
      <c r="Z979" s="82">
        <f t="shared" ca="1" si="328"/>
        <v>2317.4615205439818</v>
      </c>
      <c r="AA979" s="19">
        <f t="shared" ca="1" si="329"/>
        <v>0</v>
      </c>
    </row>
    <row r="980" spans="1:27" ht="12.75" customHeight="1" x14ac:dyDescent="0.2">
      <c r="A980">
        <v>3</v>
      </c>
      <c r="B980">
        <v>1</v>
      </c>
      <c r="C980">
        <f t="shared" ca="1" si="308"/>
        <v>6</v>
      </c>
      <c r="D980">
        <f t="shared" ca="1" si="309"/>
        <v>5</v>
      </c>
      <c r="E980">
        <f t="shared" ca="1" si="310"/>
        <v>3</v>
      </c>
      <c r="F980" s="61">
        <f t="shared" ca="1" si="311"/>
        <v>6.4252799999999994E-3</v>
      </c>
      <c r="G980">
        <v>1</v>
      </c>
      <c r="H980">
        <v>0</v>
      </c>
      <c r="I980">
        <v>7</v>
      </c>
      <c r="J980" s="61">
        <f t="shared" ca="1" si="312"/>
        <v>0</v>
      </c>
      <c r="K980" s="61">
        <f t="shared" ca="1" si="313"/>
        <v>0</v>
      </c>
      <c r="L980" s="82">
        <f t="shared" ca="1" si="314"/>
        <v>238</v>
      </c>
      <c r="M980" s="16">
        <f t="shared" ca="1" si="315"/>
        <v>762</v>
      </c>
      <c r="N980" s="3">
        <f t="shared" ca="1" si="316"/>
        <v>5</v>
      </c>
      <c r="O980" s="19">
        <f t="shared" ca="1" si="317"/>
        <v>2.8178718937399587</v>
      </c>
      <c r="P980" s="19">
        <f t="shared" ca="1" si="318"/>
        <v>25.815886347750073</v>
      </c>
      <c r="Q980" s="19">
        <f t="shared" ca="1" si="319"/>
        <v>23.453053758100552</v>
      </c>
      <c r="R980" s="19">
        <f t="shared" ca="1" si="320"/>
        <v>2.4634470052925312</v>
      </c>
      <c r="S980" s="19">
        <f t="shared" ca="1" si="321"/>
        <v>2.8178718937399587</v>
      </c>
      <c r="T980" s="19">
        <f t="shared" ca="1" si="322"/>
        <v>0</v>
      </c>
      <c r="U980" s="19">
        <f t="shared" ca="1" si="323"/>
        <v>1497.3251747165598</v>
      </c>
      <c r="V980" s="19">
        <f t="shared" ca="1" si="324"/>
        <v>0</v>
      </c>
      <c r="W980" s="82">
        <f t="shared" ca="1" si="325"/>
        <v>5718.7981307870377</v>
      </c>
      <c r="X980" s="19">
        <f t="shared" ca="1" si="326"/>
        <v>0</v>
      </c>
      <c r="Y980" s="19">
        <f t="shared" si="327"/>
        <v>0</v>
      </c>
      <c r="Z980" s="82">
        <f t="shared" ca="1" si="328"/>
        <v>5718.7981307870377</v>
      </c>
      <c r="AA980" s="19">
        <f t="shared" ca="1" si="329"/>
        <v>0</v>
      </c>
    </row>
    <row r="981" spans="1:27" ht="12.75" customHeight="1" x14ac:dyDescent="0.2">
      <c r="A981">
        <v>3</v>
      </c>
      <c r="B981">
        <v>1</v>
      </c>
      <c r="C981">
        <f t="shared" ca="1" si="308"/>
        <v>6</v>
      </c>
      <c r="D981">
        <f t="shared" ca="1" si="309"/>
        <v>5</v>
      </c>
      <c r="E981">
        <f t="shared" ca="1" si="310"/>
        <v>3</v>
      </c>
      <c r="F981" s="61">
        <f t="shared" ca="1" si="311"/>
        <v>6.4252799999999994E-3</v>
      </c>
      <c r="G981">
        <v>1</v>
      </c>
      <c r="H981">
        <v>0</v>
      </c>
      <c r="I981">
        <v>6</v>
      </c>
      <c r="J981" s="61">
        <f t="shared" ca="1" si="312"/>
        <v>0</v>
      </c>
      <c r="K981" s="61">
        <f t="shared" ca="1" si="313"/>
        <v>0</v>
      </c>
      <c r="L981" s="82">
        <f t="shared" ca="1" si="314"/>
        <v>227</v>
      </c>
      <c r="M981" s="16">
        <f t="shared" ca="1" si="315"/>
        <v>773</v>
      </c>
      <c r="N981" s="3">
        <f t="shared" ca="1" si="316"/>
        <v>5</v>
      </c>
      <c r="O981" s="19">
        <f t="shared" ca="1" si="317"/>
        <v>2.8178718937399587</v>
      </c>
      <c r="P981" s="19">
        <f t="shared" ca="1" si="318"/>
        <v>28.178718937399587</v>
      </c>
      <c r="Q981" s="19">
        <f t="shared" ca="1" si="319"/>
        <v>26.288452865679979</v>
      </c>
      <c r="R981" s="19">
        <f t="shared" ca="1" si="320"/>
        <v>2.7233585901539783</v>
      </c>
      <c r="S981" s="19">
        <f t="shared" ca="1" si="321"/>
        <v>2.8178718937399587</v>
      </c>
      <c r="T981" s="19">
        <f t="shared" ca="1" si="322"/>
        <v>0</v>
      </c>
      <c r="U981" s="19">
        <f t="shared" ca="1" si="323"/>
        <v>1486.3251747165598</v>
      </c>
      <c r="V981" s="19">
        <f t="shared" ca="1" si="324"/>
        <v>0</v>
      </c>
      <c r="W981" s="82">
        <f t="shared" ca="1" si="325"/>
        <v>5232.8929007523147</v>
      </c>
      <c r="X981" s="19">
        <f t="shared" ca="1" si="326"/>
        <v>0</v>
      </c>
      <c r="Y981" s="19">
        <f t="shared" si="327"/>
        <v>0</v>
      </c>
      <c r="Z981" s="82">
        <f t="shared" ca="1" si="328"/>
        <v>5232.8929007523147</v>
      </c>
      <c r="AA981" s="19">
        <f t="shared" ca="1" si="329"/>
        <v>0</v>
      </c>
    </row>
    <row r="982" spans="1:27" ht="12.75" customHeight="1" x14ac:dyDescent="0.2">
      <c r="A982">
        <v>3</v>
      </c>
      <c r="B982">
        <v>1</v>
      </c>
      <c r="C982">
        <f t="shared" ca="1" si="308"/>
        <v>6</v>
      </c>
      <c r="D982">
        <f t="shared" ca="1" si="309"/>
        <v>5</v>
      </c>
      <c r="E982">
        <f t="shared" ca="1" si="310"/>
        <v>3</v>
      </c>
      <c r="F982" s="61">
        <f t="shared" ca="1" si="311"/>
        <v>6.4252799999999994E-3</v>
      </c>
      <c r="G982">
        <v>1</v>
      </c>
      <c r="H982">
        <v>0</v>
      </c>
      <c r="I982">
        <v>5</v>
      </c>
      <c r="J982" s="61">
        <f t="shared" ca="1" si="312"/>
        <v>0.73509189062499991</v>
      </c>
      <c r="K982" s="61">
        <f t="shared" ca="1" si="313"/>
        <v>4.7231712229949992E-3</v>
      </c>
      <c r="L982" s="82">
        <f t="shared" ca="1" si="314"/>
        <v>216</v>
      </c>
      <c r="M982" s="16">
        <f t="shared" ca="1" si="315"/>
        <v>784</v>
      </c>
      <c r="N982" s="3">
        <f t="shared" ca="1" si="316"/>
        <v>5</v>
      </c>
      <c r="O982" s="19">
        <f t="shared" ca="1" si="317"/>
        <v>2.8178718937399587</v>
      </c>
      <c r="P982" s="19">
        <f t="shared" ca="1" si="318"/>
        <v>28.178718937399587</v>
      </c>
      <c r="Q982" s="19">
        <f t="shared" ca="1" si="319"/>
        <v>28.178718937399587</v>
      </c>
      <c r="R982" s="19">
        <f t="shared" ca="1" si="320"/>
        <v>2.8178718937399587</v>
      </c>
      <c r="S982" s="19">
        <f t="shared" ca="1" si="321"/>
        <v>2.8178718937399587</v>
      </c>
      <c r="T982" s="19">
        <f t="shared" ca="1" si="322"/>
        <v>1.3309291438598995E-2</v>
      </c>
      <c r="U982" s="19">
        <f t="shared" ca="1" si="323"/>
        <v>1475.3251747165598</v>
      </c>
      <c r="V982" s="19">
        <f t="shared" ca="1" si="324"/>
        <v>6.9682134097813249</v>
      </c>
      <c r="W982" s="82">
        <f t="shared" ca="1" si="325"/>
        <v>4746.9876707175936</v>
      </c>
      <c r="X982" s="19">
        <f t="shared" ca="1" si="326"/>
        <v>22.420835562245397</v>
      </c>
      <c r="Y982" s="19">
        <f t="shared" si="327"/>
        <v>0</v>
      </c>
      <c r="Z982" s="82">
        <f t="shared" ca="1" si="328"/>
        <v>4746.9876707175936</v>
      </c>
      <c r="AA982" s="19">
        <f t="shared" ca="1" si="329"/>
        <v>22.420835562245397</v>
      </c>
    </row>
    <row r="983" spans="1:27" ht="12.75" customHeight="1" x14ac:dyDescent="0.2">
      <c r="A983">
        <v>3</v>
      </c>
      <c r="B983">
        <v>1</v>
      </c>
      <c r="C983">
        <f t="shared" ca="1" si="308"/>
        <v>6</v>
      </c>
      <c r="D983">
        <f t="shared" ca="1" si="309"/>
        <v>5</v>
      </c>
      <c r="E983">
        <f t="shared" ca="1" si="310"/>
        <v>3</v>
      </c>
      <c r="F983" s="61">
        <f t="shared" ca="1" si="311"/>
        <v>6.4252799999999994E-3</v>
      </c>
      <c r="G983">
        <v>1</v>
      </c>
      <c r="H983">
        <v>0</v>
      </c>
      <c r="I983">
        <v>4</v>
      </c>
      <c r="J983" s="61">
        <f t="shared" ca="1" si="312"/>
        <v>0.19344523437500014</v>
      </c>
      <c r="K983" s="61">
        <f t="shared" ca="1" si="313"/>
        <v>1.2429397955250007E-3</v>
      </c>
      <c r="L983" s="82">
        <f t="shared" ca="1" si="314"/>
        <v>205</v>
      </c>
      <c r="M983" s="16">
        <f t="shared" ca="1" si="315"/>
        <v>795</v>
      </c>
      <c r="N983" s="3">
        <f t="shared" ca="1" si="316"/>
        <v>5</v>
      </c>
      <c r="O983" s="19">
        <f t="shared" ca="1" si="317"/>
        <v>2.8178718937399587</v>
      </c>
      <c r="P983" s="19">
        <f t="shared" ca="1" si="318"/>
        <v>28.178718937399587</v>
      </c>
      <c r="Q983" s="19">
        <f t="shared" ca="1" si="319"/>
        <v>28.178718937399587</v>
      </c>
      <c r="R983" s="19">
        <f t="shared" ca="1" si="320"/>
        <v>2.8178718937399587</v>
      </c>
      <c r="S983" s="19">
        <f t="shared" ca="1" si="321"/>
        <v>2.8178718937399587</v>
      </c>
      <c r="T983" s="19">
        <f t="shared" ca="1" si="322"/>
        <v>3.5024451154207908E-3</v>
      </c>
      <c r="U983" s="19">
        <f t="shared" ca="1" si="323"/>
        <v>1464.3251747165598</v>
      </c>
      <c r="V983" s="19">
        <f t="shared" ca="1" si="324"/>
        <v>1.8200680332443118</v>
      </c>
      <c r="W983" s="82">
        <f t="shared" ca="1" si="325"/>
        <v>4261.0824406828706</v>
      </c>
      <c r="X983" s="19">
        <f t="shared" ca="1" si="326"/>
        <v>5.2962689375375378</v>
      </c>
      <c r="Y983" s="19">
        <f t="shared" si="327"/>
        <v>0</v>
      </c>
      <c r="Z983" s="82">
        <f t="shared" ca="1" si="328"/>
        <v>4261.0824406828706</v>
      </c>
      <c r="AA983" s="19">
        <f t="shared" ca="1" si="329"/>
        <v>5.2962689375375378</v>
      </c>
    </row>
    <row r="984" spans="1:27" ht="12.75" customHeight="1" x14ac:dyDescent="0.2">
      <c r="A984">
        <v>3</v>
      </c>
      <c r="B984">
        <v>1</v>
      </c>
      <c r="C984">
        <f t="shared" ca="1" si="308"/>
        <v>6</v>
      </c>
      <c r="D984">
        <f t="shared" ca="1" si="309"/>
        <v>5</v>
      </c>
      <c r="E984">
        <f t="shared" ca="1" si="310"/>
        <v>3</v>
      </c>
      <c r="F984" s="61">
        <f t="shared" ca="1" si="311"/>
        <v>6.4252799999999994E-3</v>
      </c>
      <c r="G984">
        <v>1</v>
      </c>
      <c r="H984">
        <v>0</v>
      </c>
      <c r="I984">
        <v>3</v>
      </c>
      <c r="J984" s="61">
        <f t="shared" ca="1" si="312"/>
        <v>2.0362656250000031E-2</v>
      </c>
      <c r="K984" s="61">
        <f t="shared" ca="1" si="313"/>
        <v>1.3083576795000018E-4</v>
      </c>
      <c r="L984" s="82">
        <f t="shared" ca="1" si="314"/>
        <v>194</v>
      </c>
      <c r="M984" s="16">
        <f t="shared" ca="1" si="315"/>
        <v>806</v>
      </c>
      <c r="N984" s="3">
        <f t="shared" ca="1" si="316"/>
        <v>5</v>
      </c>
      <c r="O984" s="19">
        <f t="shared" ca="1" si="317"/>
        <v>2.8178718937399587</v>
      </c>
      <c r="P984" s="19">
        <f t="shared" ca="1" si="318"/>
        <v>28.178718937399587</v>
      </c>
      <c r="Q984" s="19">
        <f t="shared" ca="1" si="319"/>
        <v>28.178718937399587</v>
      </c>
      <c r="R984" s="19">
        <f t="shared" ca="1" si="320"/>
        <v>2.8178718937399587</v>
      </c>
      <c r="S984" s="19">
        <f t="shared" ca="1" si="321"/>
        <v>2.8178718937399587</v>
      </c>
      <c r="T984" s="19">
        <f t="shared" ca="1" si="322"/>
        <v>3.686784332021888E-4</v>
      </c>
      <c r="U984" s="19">
        <f t="shared" ca="1" si="323"/>
        <v>1453.3251747165598</v>
      </c>
      <c r="V984" s="19">
        <f t="shared" ca="1" si="324"/>
        <v>0.1901469153151093</v>
      </c>
      <c r="W984" s="82">
        <f t="shared" ca="1" si="325"/>
        <v>3775.1772106481485</v>
      </c>
      <c r="X984" s="19">
        <f t="shared" ca="1" si="326"/>
        <v>0.49392820950249011</v>
      </c>
      <c r="Y984" s="19">
        <f t="shared" si="327"/>
        <v>0</v>
      </c>
      <c r="Z984" s="82">
        <f t="shared" ca="1" si="328"/>
        <v>3775.1772106481485</v>
      </c>
      <c r="AA984" s="19">
        <f t="shared" ca="1" si="329"/>
        <v>0.49392820950249011</v>
      </c>
    </row>
    <row r="985" spans="1:27" ht="12.75" customHeight="1" x14ac:dyDescent="0.2">
      <c r="A985">
        <v>3</v>
      </c>
      <c r="B985">
        <v>1</v>
      </c>
      <c r="C985">
        <f t="shared" ca="1" si="308"/>
        <v>6</v>
      </c>
      <c r="D985">
        <f t="shared" ca="1" si="309"/>
        <v>5</v>
      </c>
      <c r="E985">
        <f t="shared" ca="1" si="310"/>
        <v>3</v>
      </c>
      <c r="F985" s="61">
        <f t="shared" ca="1" si="311"/>
        <v>6.4252799999999994E-3</v>
      </c>
      <c r="G985">
        <v>1</v>
      </c>
      <c r="H985">
        <v>0</v>
      </c>
      <c r="I985">
        <v>2</v>
      </c>
      <c r="J985" s="61">
        <f t="shared" ca="1" si="312"/>
        <v>1.0717187500000028E-3</v>
      </c>
      <c r="K985" s="61">
        <f t="shared" ca="1" si="313"/>
        <v>6.8860930500000169E-6</v>
      </c>
      <c r="L985" s="82">
        <f t="shared" ca="1" si="314"/>
        <v>183</v>
      </c>
      <c r="M985" s="16">
        <f t="shared" ca="1" si="315"/>
        <v>817</v>
      </c>
      <c r="N985" s="3">
        <f t="shared" ca="1" si="316"/>
        <v>5</v>
      </c>
      <c r="O985" s="19">
        <f t="shared" ca="1" si="317"/>
        <v>2.8178718937399587</v>
      </c>
      <c r="P985" s="19">
        <f t="shared" ca="1" si="318"/>
        <v>28.178718937399587</v>
      </c>
      <c r="Q985" s="19">
        <f t="shared" ca="1" si="319"/>
        <v>28.178718937399587</v>
      </c>
      <c r="R985" s="19">
        <f t="shared" ca="1" si="320"/>
        <v>2.8178718937399587</v>
      </c>
      <c r="S985" s="19">
        <f t="shared" ca="1" si="321"/>
        <v>2.8178718937399587</v>
      </c>
      <c r="T985" s="19">
        <f t="shared" ca="1" si="322"/>
        <v>1.9404128063273117E-5</v>
      </c>
      <c r="U985" s="19">
        <f t="shared" ca="1" si="323"/>
        <v>1442.3251747165598</v>
      </c>
      <c r="V985" s="19">
        <f t="shared" ca="1" si="324"/>
        <v>9.931985361455762E-3</v>
      </c>
      <c r="W985" s="82">
        <f t="shared" ca="1" si="325"/>
        <v>3289.2719806134264</v>
      </c>
      <c r="X985" s="19">
        <f t="shared" ca="1" si="326"/>
        <v>2.2650232925261905E-2</v>
      </c>
      <c r="Y985" s="19">
        <f t="shared" si="327"/>
        <v>0</v>
      </c>
      <c r="Z985" s="82">
        <f t="shared" ca="1" si="328"/>
        <v>3289.2719806134264</v>
      </c>
      <c r="AA985" s="19">
        <f t="shared" ca="1" si="329"/>
        <v>2.2650232925261905E-2</v>
      </c>
    </row>
    <row r="986" spans="1:27" ht="12.75" customHeight="1" x14ac:dyDescent="0.2">
      <c r="A986">
        <v>3</v>
      </c>
      <c r="B986">
        <v>1</v>
      </c>
      <c r="C986">
        <f t="shared" ca="1" si="308"/>
        <v>6</v>
      </c>
      <c r="D986">
        <f t="shared" ca="1" si="309"/>
        <v>5</v>
      </c>
      <c r="E986">
        <f t="shared" ca="1" si="310"/>
        <v>3</v>
      </c>
      <c r="F986" s="61">
        <f t="shared" ca="1" si="311"/>
        <v>6.4252799999999994E-3</v>
      </c>
      <c r="G986">
        <v>1</v>
      </c>
      <c r="H986">
        <v>0</v>
      </c>
      <c r="I986">
        <v>1</v>
      </c>
      <c r="J986" s="61">
        <f t="shared" ca="1" si="312"/>
        <v>2.8203125000000098E-5</v>
      </c>
      <c r="K986" s="61">
        <f t="shared" ca="1" si="313"/>
        <v>1.8121297500000062E-7</v>
      </c>
      <c r="L986" s="82">
        <f t="shared" ca="1" si="314"/>
        <v>172</v>
      </c>
      <c r="M986" s="16">
        <f t="shared" ca="1" si="315"/>
        <v>828</v>
      </c>
      <c r="N986" s="3">
        <f t="shared" ca="1" si="316"/>
        <v>5</v>
      </c>
      <c r="O986" s="19">
        <f t="shared" ca="1" si="317"/>
        <v>2.8178718937399587</v>
      </c>
      <c r="P986" s="19">
        <f t="shared" ca="1" si="318"/>
        <v>28.178718937399587</v>
      </c>
      <c r="Q986" s="19">
        <f t="shared" ca="1" si="319"/>
        <v>28.178718937399587</v>
      </c>
      <c r="R986" s="19">
        <f t="shared" ca="1" si="320"/>
        <v>2.8178718937399587</v>
      </c>
      <c r="S986" s="19">
        <f t="shared" ca="1" si="321"/>
        <v>2.8178718937399587</v>
      </c>
      <c r="T986" s="19">
        <f t="shared" ca="1" si="322"/>
        <v>5.1063494903350351E-7</v>
      </c>
      <c r="U986" s="19">
        <f t="shared" ca="1" si="323"/>
        <v>1431.3251747165598</v>
      </c>
      <c r="V986" s="19">
        <f t="shared" ca="1" si="324"/>
        <v>2.5937469310278349E-4</v>
      </c>
      <c r="W986" s="82">
        <f t="shared" ca="1" si="325"/>
        <v>2803.3667505787039</v>
      </c>
      <c r="X986" s="19">
        <f t="shared" ca="1" si="326"/>
        <v>5.0800642888845164E-4</v>
      </c>
      <c r="Y986" s="19">
        <f t="shared" si="327"/>
        <v>0</v>
      </c>
      <c r="Z986" s="82">
        <f t="shared" ca="1" si="328"/>
        <v>2803.3667505787039</v>
      </c>
      <c r="AA986" s="19">
        <f t="shared" ca="1" si="329"/>
        <v>5.0800642888845164E-4</v>
      </c>
    </row>
    <row r="987" spans="1:27" ht="12.75" customHeight="1" x14ac:dyDescent="0.2">
      <c r="A987">
        <v>3</v>
      </c>
      <c r="B987">
        <v>1</v>
      </c>
      <c r="C987">
        <f t="shared" ca="1" si="308"/>
        <v>6</v>
      </c>
      <c r="D987">
        <f t="shared" ca="1" si="309"/>
        <v>5</v>
      </c>
      <c r="E987">
        <f t="shared" ca="1" si="310"/>
        <v>3</v>
      </c>
      <c r="F987" s="61">
        <f t="shared" ca="1" si="311"/>
        <v>6.4252799999999994E-3</v>
      </c>
      <c r="G987">
        <v>1</v>
      </c>
      <c r="H987">
        <v>0</v>
      </c>
      <c r="I987">
        <v>0</v>
      </c>
      <c r="J987" s="61">
        <f t="shared" ca="1" si="312"/>
        <v>2.9687500000000134E-7</v>
      </c>
      <c r="K987" s="61">
        <f t="shared" ca="1" si="313"/>
        <v>1.9075050000000085E-9</v>
      </c>
      <c r="L987" s="82">
        <f t="shared" ca="1" si="314"/>
        <v>161</v>
      </c>
      <c r="M987" s="16">
        <f t="shared" ca="1" si="315"/>
        <v>839</v>
      </c>
      <c r="N987" s="3">
        <f t="shared" ca="1" si="316"/>
        <v>5</v>
      </c>
      <c r="O987" s="19">
        <f t="shared" ca="1" si="317"/>
        <v>2.8178718937399587</v>
      </c>
      <c r="P987" s="19">
        <f t="shared" ca="1" si="318"/>
        <v>28.178718937399587</v>
      </c>
      <c r="Q987" s="19">
        <f t="shared" ca="1" si="319"/>
        <v>28.178718937399587</v>
      </c>
      <c r="R987" s="19">
        <f t="shared" ca="1" si="320"/>
        <v>2.8178718937399587</v>
      </c>
      <c r="S987" s="19">
        <f t="shared" ca="1" si="321"/>
        <v>2.8178718937399587</v>
      </c>
      <c r="T987" s="19">
        <f t="shared" ca="1" si="322"/>
        <v>5.3751047266684639E-9</v>
      </c>
      <c r="U987" s="19">
        <f t="shared" ca="1" si="323"/>
        <v>1420.3251747165598</v>
      </c>
      <c r="V987" s="19">
        <f t="shared" ca="1" si="324"/>
        <v>2.7092773723977236E-6</v>
      </c>
      <c r="W987" s="82">
        <f t="shared" ca="1" si="325"/>
        <v>2317.4615205439818</v>
      </c>
      <c r="X987" s="19">
        <f t="shared" ca="1" si="326"/>
        <v>4.4205694377452675E-6</v>
      </c>
      <c r="Y987" s="19">
        <f t="shared" si="327"/>
        <v>0</v>
      </c>
      <c r="Z987" s="82">
        <f t="shared" ca="1" si="328"/>
        <v>2317.4615205439818</v>
      </c>
      <c r="AA987" s="19">
        <f t="shared" ca="1" si="329"/>
        <v>4.4205694377452675E-6</v>
      </c>
    </row>
    <row r="988" spans="1:27" ht="12.75" customHeight="1" x14ac:dyDescent="0.2">
      <c r="A988">
        <v>3</v>
      </c>
      <c r="B988">
        <v>1</v>
      </c>
      <c r="C988">
        <f t="shared" ca="1" si="308"/>
        <v>6</v>
      </c>
      <c r="D988">
        <f t="shared" ca="1" si="309"/>
        <v>5</v>
      </c>
      <c r="E988">
        <f t="shared" ca="1" si="310"/>
        <v>3</v>
      </c>
      <c r="F988" s="61">
        <f t="shared" ca="1" si="311"/>
        <v>6.4252799999999994E-3</v>
      </c>
      <c r="G988">
        <v>0</v>
      </c>
      <c r="H988">
        <v>1</v>
      </c>
      <c r="I988">
        <v>7</v>
      </c>
      <c r="J988" s="61">
        <f t="shared" ca="1" si="312"/>
        <v>0</v>
      </c>
      <c r="K988" s="61">
        <f t="shared" ca="1" si="313"/>
        <v>0</v>
      </c>
      <c r="L988" s="82">
        <f t="shared" ca="1" si="314"/>
        <v>238</v>
      </c>
      <c r="M988" s="16">
        <f t="shared" ca="1" si="315"/>
        <v>762</v>
      </c>
      <c r="N988" s="3">
        <f t="shared" ca="1" si="316"/>
        <v>5</v>
      </c>
      <c r="O988" s="19">
        <f t="shared" ca="1" si="317"/>
        <v>2.8178718937399587</v>
      </c>
      <c r="P988" s="19">
        <f t="shared" ca="1" si="318"/>
        <v>25.815886347750073</v>
      </c>
      <c r="Q988" s="19">
        <f t="shared" ca="1" si="319"/>
        <v>23.453053758100552</v>
      </c>
      <c r="R988" s="19">
        <f t="shared" ca="1" si="320"/>
        <v>2.4634470052925312</v>
      </c>
      <c r="S988" s="19">
        <f t="shared" ca="1" si="321"/>
        <v>2.8178718937399587</v>
      </c>
      <c r="T988" s="19">
        <f t="shared" ca="1" si="322"/>
        <v>0</v>
      </c>
      <c r="U988" s="19">
        <f t="shared" ca="1" si="323"/>
        <v>1497.3251747165598</v>
      </c>
      <c r="V988" s="19">
        <f t="shared" ca="1" si="324"/>
        <v>0</v>
      </c>
      <c r="W988" s="82">
        <f t="shared" ca="1" si="325"/>
        <v>3401.3366102430559</v>
      </c>
      <c r="X988" s="19">
        <f t="shared" ca="1" si="326"/>
        <v>0</v>
      </c>
      <c r="Y988" s="19">
        <f t="shared" si="327"/>
        <v>0</v>
      </c>
      <c r="Z988" s="82">
        <f t="shared" ca="1" si="328"/>
        <v>3401.3366102430559</v>
      </c>
      <c r="AA988" s="19">
        <f t="shared" ca="1" si="329"/>
        <v>0</v>
      </c>
    </row>
    <row r="989" spans="1:27" ht="12.75" customHeight="1" x14ac:dyDescent="0.2">
      <c r="A989">
        <v>3</v>
      </c>
      <c r="B989">
        <v>1</v>
      </c>
      <c r="C989">
        <f t="shared" ca="1" si="308"/>
        <v>6</v>
      </c>
      <c r="D989">
        <f t="shared" ca="1" si="309"/>
        <v>5</v>
      </c>
      <c r="E989">
        <f t="shared" ca="1" si="310"/>
        <v>3</v>
      </c>
      <c r="F989" s="61">
        <f t="shared" ca="1" si="311"/>
        <v>6.4252799999999994E-3</v>
      </c>
      <c r="G989">
        <v>0</v>
      </c>
      <c r="H989">
        <v>1</v>
      </c>
      <c r="I989">
        <v>6</v>
      </c>
      <c r="J989" s="61">
        <f t="shared" ca="1" si="312"/>
        <v>0</v>
      </c>
      <c r="K989" s="61">
        <f t="shared" ca="1" si="313"/>
        <v>0</v>
      </c>
      <c r="L989" s="82">
        <f t="shared" ca="1" si="314"/>
        <v>227</v>
      </c>
      <c r="M989" s="16">
        <f t="shared" ca="1" si="315"/>
        <v>773</v>
      </c>
      <c r="N989" s="3">
        <f t="shared" ca="1" si="316"/>
        <v>5</v>
      </c>
      <c r="O989" s="19">
        <f t="shared" ca="1" si="317"/>
        <v>2.8178718937399587</v>
      </c>
      <c r="P989" s="19">
        <f t="shared" ca="1" si="318"/>
        <v>28.178718937399587</v>
      </c>
      <c r="Q989" s="19">
        <f t="shared" ca="1" si="319"/>
        <v>26.288452865679979</v>
      </c>
      <c r="R989" s="19">
        <f t="shared" ca="1" si="320"/>
        <v>2.7233585901539783</v>
      </c>
      <c r="S989" s="19">
        <f t="shared" ca="1" si="321"/>
        <v>2.8178718937399587</v>
      </c>
      <c r="T989" s="19">
        <f t="shared" ca="1" si="322"/>
        <v>0</v>
      </c>
      <c r="U989" s="19">
        <f t="shared" ca="1" si="323"/>
        <v>1486.3251747165598</v>
      </c>
      <c r="V989" s="19">
        <f t="shared" ca="1" si="324"/>
        <v>0</v>
      </c>
      <c r="W989" s="82">
        <f t="shared" ca="1" si="325"/>
        <v>2915.4313802083334</v>
      </c>
      <c r="X989" s="19">
        <f t="shared" ca="1" si="326"/>
        <v>0</v>
      </c>
      <c r="Y989" s="19">
        <f t="shared" si="327"/>
        <v>0</v>
      </c>
      <c r="Z989" s="82">
        <f t="shared" ca="1" si="328"/>
        <v>2915.4313802083334</v>
      </c>
      <c r="AA989" s="19">
        <f t="shared" ca="1" si="329"/>
        <v>0</v>
      </c>
    </row>
    <row r="990" spans="1:27" ht="12.75" customHeight="1" x14ac:dyDescent="0.2">
      <c r="A990">
        <v>3</v>
      </c>
      <c r="B990">
        <v>1</v>
      </c>
      <c r="C990">
        <f t="shared" ca="1" si="308"/>
        <v>6</v>
      </c>
      <c r="D990">
        <f t="shared" ca="1" si="309"/>
        <v>5</v>
      </c>
      <c r="E990">
        <f t="shared" ca="1" si="310"/>
        <v>3</v>
      </c>
      <c r="F990" s="61">
        <f t="shared" ca="1" si="311"/>
        <v>6.4252799999999994E-3</v>
      </c>
      <c r="G990">
        <v>0</v>
      </c>
      <c r="H990">
        <v>1</v>
      </c>
      <c r="I990">
        <v>5</v>
      </c>
      <c r="J990" s="61">
        <f t="shared" ca="1" si="312"/>
        <v>0</v>
      </c>
      <c r="K990" s="61">
        <f t="shared" ca="1" si="313"/>
        <v>0</v>
      </c>
      <c r="L990" s="82">
        <f t="shared" ca="1" si="314"/>
        <v>216</v>
      </c>
      <c r="M990" s="16">
        <f t="shared" ca="1" si="315"/>
        <v>784</v>
      </c>
      <c r="N990" s="3">
        <f t="shared" ca="1" si="316"/>
        <v>5</v>
      </c>
      <c r="O990" s="19">
        <f t="shared" ca="1" si="317"/>
        <v>2.8178718937399587</v>
      </c>
      <c r="P990" s="19">
        <f t="shared" ca="1" si="318"/>
        <v>28.178718937399587</v>
      </c>
      <c r="Q990" s="19">
        <f t="shared" ca="1" si="319"/>
        <v>28.178718937399587</v>
      </c>
      <c r="R990" s="19">
        <f t="shared" ca="1" si="320"/>
        <v>2.8178718937399587</v>
      </c>
      <c r="S990" s="19">
        <f t="shared" ca="1" si="321"/>
        <v>2.8178718937399587</v>
      </c>
      <c r="T990" s="19">
        <f t="shared" ca="1" si="322"/>
        <v>0</v>
      </c>
      <c r="U990" s="19">
        <f t="shared" ca="1" si="323"/>
        <v>1475.3251747165598</v>
      </c>
      <c r="V990" s="19">
        <f t="shared" ca="1" si="324"/>
        <v>0</v>
      </c>
      <c r="W990" s="82">
        <f t="shared" ca="1" si="325"/>
        <v>2429.5261501736113</v>
      </c>
      <c r="X990" s="19">
        <f t="shared" ca="1" si="326"/>
        <v>0</v>
      </c>
      <c r="Y990" s="19">
        <f t="shared" si="327"/>
        <v>0</v>
      </c>
      <c r="Z990" s="82">
        <f t="shared" ca="1" si="328"/>
        <v>2429.5261501736113</v>
      </c>
      <c r="AA990" s="19">
        <f t="shared" ca="1" si="329"/>
        <v>0</v>
      </c>
    </row>
    <row r="991" spans="1:27" ht="12.75" customHeight="1" x14ac:dyDescent="0.2">
      <c r="A991">
        <v>3</v>
      </c>
      <c r="B991">
        <v>1</v>
      </c>
      <c r="C991">
        <f t="shared" ca="1" si="308"/>
        <v>6</v>
      </c>
      <c r="D991">
        <f t="shared" ca="1" si="309"/>
        <v>5</v>
      </c>
      <c r="E991">
        <f t="shared" ca="1" si="310"/>
        <v>3</v>
      </c>
      <c r="F991" s="61">
        <f t="shared" ca="1" si="311"/>
        <v>6.4252799999999994E-3</v>
      </c>
      <c r="G991">
        <v>0</v>
      </c>
      <c r="H991">
        <v>1</v>
      </c>
      <c r="I991">
        <v>4</v>
      </c>
      <c r="J991" s="61">
        <f t="shared" ca="1" si="312"/>
        <v>0</v>
      </c>
      <c r="K991" s="61">
        <f t="shared" ca="1" si="313"/>
        <v>0</v>
      </c>
      <c r="L991" s="82">
        <f t="shared" ca="1" si="314"/>
        <v>205</v>
      </c>
      <c r="M991" s="16">
        <f t="shared" ca="1" si="315"/>
        <v>795</v>
      </c>
      <c r="N991" s="3">
        <f t="shared" ca="1" si="316"/>
        <v>5</v>
      </c>
      <c r="O991" s="19">
        <f t="shared" ca="1" si="317"/>
        <v>2.8178718937399587</v>
      </c>
      <c r="P991" s="19">
        <f t="shared" ca="1" si="318"/>
        <v>28.178718937399587</v>
      </c>
      <c r="Q991" s="19">
        <f t="shared" ca="1" si="319"/>
        <v>28.178718937399587</v>
      </c>
      <c r="R991" s="19">
        <f t="shared" ca="1" si="320"/>
        <v>2.8178718937399587</v>
      </c>
      <c r="S991" s="19">
        <f t="shared" ca="1" si="321"/>
        <v>2.8178718937399587</v>
      </c>
      <c r="T991" s="19">
        <f t="shared" ca="1" si="322"/>
        <v>0</v>
      </c>
      <c r="U991" s="19">
        <f t="shared" ca="1" si="323"/>
        <v>1464.3251747165598</v>
      </c>
      <c r="V991" s="19">
        <f t="shared" ca="1" si="324"/>
        <v>0</v>
      </c>
      <c r="W991" s="82">
        <f t="shared" ca="1" si="325"/>
        <v>1943.620920138889</v>
      </c>
      <c r="X991" s="19">
        <f t="shared" ca="1" si="326"/>
        <v>0</v>
      </c>
      <c r="Y991" s="19">
        <f t="shared" si="327"/>
        <v>0</v>
      </c>
      <c r="Z991" s="82">
        <f t="shared" ca="1" si="328"/>
        <v>1943.620920138889</v>
      </c>
      <c r="AA991" s="19">
        <f t="shared" ca="1" si="329"/>
        <v>0</v>
      </c>
    </row>
    <row r="992" spans="1:27" ht="12.75" customHeight="1" x14ac:dyDescent="0.2">
      <c r="A992">
        <v>3</v>
      </c>
      <c r="B992">
        <v>1</v>
      </c>
      <c r="C992">
        <f t="shared" ca="1" si="308"/>
        <v>6</v>
      </c>
      <c r="D992">
        <f t="shared" ca="1" si="309"/>
        <v>5</v>
      </c>
      <c r="E992">
        <f t="shared" ca="1" si="310"/>
        <v>3</v>
      </c>
      <c r="F992" s="61">
        <f t="shared" ca="1" si="311"/>
        <v>6.4252799999999994E-3</v>
      </c>
      <c r="G992">
        <v>0</v>
      </c>
      <c r="H992">
        <v>1</v>
      </c>
      <c r="I992">
        <v>3</v>
      </c>
      <c r="J992" s="61">
        <f t="shared" ca="1" si="312"/>
        <v>0</v>
      </c>
      <c r="K992" s="61">
        <f t="shared" ca="1" si="313"/>
        <v>0</v>
      </c>
      <c r="L992" s="82">
        <f t="shared" ca="1" si="314"/>
        <v>194</v>
      </c>
      <c r="M992" s="16">
        <f t="shared" ca="1" si="315"/>
        <v>806</v>
      </c>
      <c r="N992" s="3">
        <f t="shared" ca="1" si="316"/>
        <v>5</v>
      </c>
      <c r="O992" s="19">
        <f t="shared" ca="1" si="317"/>
        <v>2.8178718937399587</v>
      </c>
      <c r="P992" s="19">
        <f t="shared" ca="1" si="318"/>
        <v>28.178718937399587</v>
      </c>
      <c r="Q992" s="19">
        <f t="shared" ca="1" si="319"/>
        <v>28.178718937399587</v>
      </c>
      <c r="R992" s="19">
        <f t="shared" ca="1" si="320"/>
        <v>2.8178718937399587</v>
      </c>
      <c r="S992" s="19">
        <f t="shared" ca="1" si="321"/>
        <v>2.8178718937399587</v>
      </c>
      <c r="T992" s="19">
        <f t="shared" ca="1" si="322"/>
        <v>0</v>
      </c>
      <c r="U992" s="19">
        <f t="shared" ca="1" si="323"/>
        <v>1453.3251747165598</v>
      </c>
      <c r="V992" s="19">
        <f t="shared" ca="1" si="324"/>
        <v>0</v>
      </c>
      <c r="W992" s="82">
        <f t="shared" ca="1" si="325"/>
        <v>1457.7156901041667</v>
      </c>
      <c r="X992" s="19">
        <f t="shared" ca="1" si="326"/>
        <v>0</v>
      </c>
      <c r="Y992" s="19">
        <f t="shared" si="327"/>
        <v>0</v>
      </c>
      <c r="Z992" s="82">
        <f t="shared" ca="1" si="328"/>
        <v>1457.7156901041667</v>
      </c>
      <c r="AA992" s="19">
        <f t="shared" ca="1" si="329"/>
        <v>0</v>
      </c>
    </row>
    <row r="993" spans="1:27" ht="12.75" customHeight="1" x14ac:dyDescent="0.2">
      <c r="A993">
        <v>3</v>
      </c>
      <c r="B993">
        <v>1</v>
      </c>
      <c r="C993">
        <f t="shared" ca="1" si="308"/>
        <v>6</v>
      </c>
      <c r="D993">
        <f t="shared" ca="1" si="309"/>
        <v>5</v>
      </c>
      <c r="E993">
        <f t="shared" ca="1" si="310"/>
        <v>3</v>
      </c>
      <c r="F993" s="61">
        <f t="shared" ca="1" si="311"/>
        <v>6.4252799999999994E-3</v>
      </c>
      <c r="G993">
        <v>0</v>
      </c>
      <c r="H993">
        <v>1</v>
      </c>
      <c r="I993">
        <v>2</v>
      </c>
      <c r="J993" s="61">
        <f t="shared" ca="1" si="312"/>
        <v>0</v>
      </c>
      <c r="K993" s="61">
        <f t="shared" ca="1" si="313"/>
        <v>0</v>
      </c>
      <c r="L993" s="82">
        <f t="shared" ca="1" si="314"/>
        <v>183</v>
      </c>
      <c r="M993" s="16">
        <f t="shared" ca="1" si="315"/>
        <v>817</v>
      </c>
      <c r="N993" s="3">
        <f t="shared" ca="1" si="316"/>
        <v>5</v>
      </c>
      <c r="O993" s="19">
        <f t="shared" ca="1" si="317"/>
        <v>2.8178718937399587</v>
      </c>
      <c r="P993" s="19">
        <f t="shared" ca="1" si="318"/>
        <v>28.178718937399587</v>
      </c>
      <c r="Q993" s="19">
        <f t="shared" ca="1" si="319"/>
        <v>28.178718937399587</v>
      </c>
      <c r="R993" s="19">
        <f t="shared" ca="1" si="320"/>
        <v>2.8178718937399587</v>
      </c>
      <c r="S993" s="19">
        <f t="shared" ca="1" si="321"/>
        <v>2.8178718937399587</v>
      </c>
      <c r="T993" s="19">
        <f t="shared" ca="1" si="322"/>
        <v>0</v>
      </c>
      <c r="U993" s="19">
        <f t="shared" ca="1" si="323"/>
        <v>1442.3251747165598</v>
      </c>
      <c r="V993" s="19">
        <f t="shared" ca="1" si="324"/>
        <v>0</v>
      </c>
      <c r="W993" s="82">
        <f t="shared" ca="1" si="325"/>
        <v>971.8104600694445</v>
      </c>
      <c r="X993" s="19">
        <f t="shared" ca="1" si="326"/>
        <v>0</v>
      </c>
      <c r="Y993" s="19">
        <f t="shared" si="327"/>
        <v>0</v>
      </c>
      <c r="Z993" s="82">
        <f t="shared" ca="1" si="328"/>
        <v>971.8104600694445</v>
      </c>
      <c r="AA993" s="19">
        <f t="shared" ca="1" si="329"/>
        <v>0</v>
      </c>
    </row>
    <row r="994" spans="1:27" ht="12.75" customHeight="1" x14ac:dyDescent="0.2">
      <c r="A994">
        <v>3</v>
      </c>
      <c r="B994">
        <v>1</v>
      </c>
      <c r="C994">
        <f t="shared" ca="1" si="308"/>
        <v>6</v>
      </c>
      <c r="D994">
        <f t="shared" ca="1" si="309"/>
        <v>5</v>
      </c>
      <c r="E994">
        <f t="shared" ca="1" si="310"/>
        <v>3</v>
      </c>
      <c r="F994" s="61">
        <f t="shared" ca="1" si="311"/>
        <v>6.4252799999999994E-3</v>
      </c>
      <c r="G994">
        <v>0</v>
      </c>
      <c r="H994">
        <v>1</v>
      </c>
      <c r="I994">
        <v>1</v>
      </c>
      <c r="J994" s="61">
        <f t="shared" ca="1" si="312"/>
        <v>0</v>
      </c>
      <c r="K994" s="61">
        <f t="shared" ca="1" si="313"/>
        <v>0</v>
      </c>
      <c r="L994" s="82">
        <f t="shared" ca="1" si="314"/>
        <v>172</v>
      </c>
      <c r="M994" s="16">
        <f t="shared" ca="1" si="315"/>
        <v>828</v>
      </c>
      <c r="N994" s="3">
        <f t="shared" ca="1" si="316"/>
        <v>5</v>
      </c>
      <c r="O994" s="19">
        <f t="shared" ca="1" si="317"/>
        <v>2.8178718937399587</v>
      </c>
      <c r="P994" s="19">
        <f t="shared" ca="1" si="318"/>
        <v>28.178718937399587</v>
      </c>
      <c r="Q994" s="19">
        <f t="shared" ca="1" si="319"/>
        <v>28.178718937399587</v>
      </c>
      <c r="R994" s="19">
        <f t="shared" ca="1" si="320"/>
        <v>2.8178718937399587</v>
      </c>
      <c r="S994" s="19">
        <f t="shared" ca="1" si="321"/>
        <v>2.8178718937399587</v>
      </c>
      <c r="T994" s="19">
        <f t="shared" ca="1" si="322"/>
        <v>0</v>
      </c>
      <c r="U994" s="19">
        <f t="shared" ca="1" si="323"/>
        <v>1431.3251747165598</v>
      </c>
      <c r="V994" s="19">
        <f t="shared" ca="1" si="324"/>
        <v>0</v>
      </c>
      <c r="W994" s="82">
        <f t="shared" ca="1" si="325"/>
        <v>485.90523003472225</v>
      </c>
      <c r="X994" s="19">
        <f t="shared" ca="1" si="326"/>
        <v>0</v>
      </c>
      <c r="Y994" s="19">
        <f t="shared" si="327"/>
        <v>0</v>
      </c>
      <c r="Z994" s="82">
        <f t="shared" ca="1" si="328"/>
        <v>485.90523003472225</v>
      </c>
      <c r="AA994" s="19">
        <f t="shared" ca="1" si="329"/>
        <v>0</v>
      </c>
    </row>
    <row r="995" spans="1:27" ht="12.75" customHeight="1" x14ac:dyDescent="0.2">
      <c r="A995">
        <v>3</v>
      </c>
      <c r="B995">
        <v>1</v>
      </c>
      <c r="C995">
        <f t="shared" ca="1" si="308"/>
        <v>6</v>
      </c>
      <c r="D995">
        <f t="shared" ca="1" si="309"/>
        <v>5</v>
      </c>
      <c r="E995">
        <f t="shared" ca="1" si="310"/>
        <v>3</v>
      </c>
      <c r="F995" s="61">
        <f t="shared" ca="1" si="311"/>
        <v>6.4252799999999994E-3</v>
      </c>
      <c r="G995">
        <v>0</v>
      </c>
      <c r="H995">
        <v>1</v>
      </c>
      <c r="I995">
        <v>0</v>
      </c>
      <c r="J995" s="61">
        <f t="shared" ca="1" si="312"/>
        <v>0</v>
      </c>
      <c r="K995" s="61">
        <f t="shared" ca="1" si="313"/>
        <v>0</v>
      </c>
      <c r="L995" s="82">
        <f t="shared" ca="1" si="314"/>
        <v>161</v>
      </c>
      <c r="M995" s="16">
        <f t="shared" ca="1" si="315"/>
        <v>839</v>
      </c>
      <c r="N995" s="3">
        <f t="shared" ca="1" si="316"/>
        <v>5</v>
      </c>
      <c r="O995" s="19">
        <f t="shared" ca="1" si="317"/>
        <v>2.8178718937399587</v>
      </c>
      <c r="P995" s="19">
        <f t="shared" ca="1" si="318"/>
        <v>28.178718937399587</v>
      </c>
      <c r="Q995" s="19">
        <f t="shared" ca="1" si="319"/>
        <v>28.178718937399587</v>
      </c>
      <c r="R995" s="19">
        <f t="shared" ca="1" si="320"/>
        <v>2.8178718937399587</v>
      </c>
      <c r="S995" s="19">
        <f t="shared" ca="1" si="321"/>
        <v>2.8178718937399587</v>
      </c>
      <c r="T995" s="19">
        <f t="shared" ca="1" si="322"/>
        <v>0</v>
      </c>
      <c r="U995" s="19">
        <f t="shared" ca="1" si="323"/>
        <v>1420.3251747165598</v>
      </c>
      <c r="V995" s="19">
        <f t="shared" ca="1" si="324"/>
        <v>0</v>
      </c>
      <c r="W995" s="82">
        <f t="shared" ca="1" si="325"/>
        <v>0</v>
      </c>
      <c r="X995" s="19">
        <f t="shared" ca="1" si="326"/>
        <v>0</v>
      </c>
      <c r="Y995" s="19">
        <f t="shared" si="327"/>
        <v>0</v>
      </c>
      <c r="Z995" s="82">
        <f t="shared" ca="1" si="328"/>
        <v>0</v>
      </c>
      <c r="AA995" s="19">
        <f t="shared" ca="1" si="329"/>
        <v>0</v>
      </c>
    </row>
    <row r="996" spans="1:27" ht="12.75" customHeight="1" x14ac:dyDescent="0.2">
      <c r="A996">
        <v>3</v>
      </c>
      <c r="B996">
        <v>1</v>
      </c>
      <c r="C996">
        <f t="shared" ca="1" si="308"/>
        <v>6</v>
      </c>
      <c r="D996">
        <f t="shared" ca="1" si="309"/>
        <v>5</v>
      </c>
      <c r="E996">
        <f t="shared" ca="1" si="310"/>
        <v>3</v>
      </c>
      <c r="F996" s="61">
        <f t="shared" ca="1" si="311"/>
        <v>6.4252799999999994E-3</v>
      </c>
      <c r="G996">
        <v>0</v>
      </c>
      <c r="H996">
        <v>0</v>
      </c>
      <c r="I996">
        <v>7</v>
      </c>
      <c r="J996" s="61">
        <f t="shared" ca="1" si="312"/>
        <v>0</v>
      </c>
      <c r="K996" s="61">
        <f t="shared" ca="1" si="313"/>
        <v>0</v>
      </c>
      <c r="L996" s="82">
        <f t="shared" ca="1" si="314"/>
        <v>77</v>
      </c>
      <c r="M996" s="16">
        <f t="shared" ca="1" si="315"/>
        <v>923</v>
      </c>
      <c r="N996" s="3">
        <f t="shared" ca="1" si="316"/>
        <v>5</v>
      </c>
      <c r="O996" s="19">
        <f t="shared" ca="1" si="317"/>
        <v>2.8178718937399587</v>
      </c>
      <c r="P996" s="19">
        <f t="shared" ca="1" si="318"/>
        <v>28.178718937399587</v>
      </c>
      <c r="Q996" s="19">
        <f t="shared" ca="1" si="319"/>
        <v>28.178718937399587</v>
      </c>
      <c r="R996" s="19">
        <f t="shared" ca="1" si="320"/>
        <v>2.8178718937399587</v>
      </c>
      <c r="S996" s="19">
        <f t="shared" ca="1" si="321"/>
        <v>2.8178718937399587</v>
      </c>
      <c r="T996" s="19">
        <f t="shared" ca="1" si="322"/>
        <v>0</v>
      </c>
      <c r="U996" s="19">
        <f t="shared" ca="1" si="323"/>
        <v>1336.3251747165598</v>
      </c>
      <c r="V996" s="19">
        <f t="shared" ca="1" si="324"/>
        <v>0</v>
      </c>
      <c r="W996" s="82">
        <f t="shared" ca="1" si="325"/>
        <v>3401.3366102430559</v>
      </c>
      <c r="X996" s="19">
        <f t="shared" ca="1" si="326"/>
        <v>0</v>
      </c>
      <c r="Y996" s="19">
        <f t="shared" si="327"/>
        <v>0</v>
      </c>
      <c r="Z996" s="82">
        <f t="shared" ca="1" si="328"/>
        <v>3401.3366102430559</v>
      </c>
      <c r="AA996" s="19">
        <f t="shared" ca="1" si="329"/>
        <v>0</v>
      </c>
    </row>
    <row r="997" spans="1:27" ht="12.75" customHeight="1" x14ac:dyDescent="0.2">
      <c r="A997">
        <v>3</v>
      </c>
      <c r="B997">
        <v>1</v>
      </c>
      <c r="C997">
        <f t="shared" ca="1" si="308"/>
        <v>6</v>
      </c>
      <c r="D997">
        <f t="shared" ca="1" si="309"/>
        <v>5</v>
      </c>
      <c r="E997">
        <f t="shared" ca="1" si="310"/>
        <v>3</v>
      </c>
      <c r="F997" s="61">
        <f t="shared" ca="1" si="311"/>
        <v>6.4252799999999994E-3</v>
      </c>
      <c r="G997">
        <v>0</v>
      </c>
      <c r="H997">
        <v>0</v>
      </c>
      <c r="I997">
        <v>6</v>
      </c>
      <c r="J997" s="61">
        <f t="shared" ca="1" si="312"/>
        <v>0</v>
      </c>
      <c r="K997" s="61">
        <f t="shared" ca="1" si="313"/>
        <v>0</v>
      </c>
      <c r="L997" s="82">
        <f t="shared" ca="1" si="314"/>
        <v>66</v>
      </c>
      <c r="M997" s="16">
        <f t="shared" ca="1" si="315"/>
        <v>934</v>
      </c>
      <c r="N997" s="3">
        <f t="shared" ca="1" si="316"/>
        <v>5</v>
      </c>
      <c r="O997" s="19">
        <f t="shared" ca="1" si="317"/>
        <v>2.8178718937399587</v>
      </c>
      <c r="P997" s="19">
        <f t="shared" ca="1" si="318"/>
        <v>28.178718937399587</v>
      </c>
      <c r="Q997" s="19">
        <f t="shared" ca="1" si="319"/>
        <v>28.178718937399587</v>
      </c>
      <c r="R997" s="19">
        <f t="shared" ca="1" si="320"/>
        <v>2.8178718937399587</v>
      </c>
      <c r="S997" s="19">
        <f t="shared" ca="1" si="321"/>
        <v>2.8178718937399587</v>
      </c>
      <c r="T997" s="19">
        <f t="shared" ca="1" si="322"/>
        <v>0</v>
      </c>
      <c r="U997" s="19">
        <f t="shared" ca="1" si="323"/>
        <v>1325.3251747165598</v>
      </c>
      <c r="V997" s="19">
        <f t="shared" ca="1" si="324"/>
        <v>0</v>
      </c>
      <c r="W997" s="82">
        <f t="shared" ca="1" si="325"/>
        <v>2915.4313802083334</v>
      </c>
      <c r="X997" s="19">
        <f t="shared" ca="1" si="326"/>
        <v>0</v>
      </c>
      <c r="Y997" s="19">
        <f t="shared" si="327"/>
        <v>0</v>
      </c>
      <c r="Z997" s="82">
        <f t="shared" ca="1" si="328"/>
        <v>2915.4313802083334</v>
      </c>
      <c r="AA997" s="19">
        <f t="shared" ca="1" si="329"/>
        <v>0</v>
      </c>
    </row>
    <row r="998" spans="1:27" ht="12.75" customHeight="1" x14ac:dyDescent="0.2">
      <c r="A998">
        <v>3</v>
      </c>
      <c r="B998">
        <v>1</v>
      </c>
      <c r="C998">
        <f t="shared" ca="1" si="308"/>
        <v>6</v>
      </c>
      <c r="D998">
        <f t="shared" ca="1" si="309"/>
        <v>5</v>
      </c>
      <c r="E998">
        <f t="shared" ca="1" si="310"/>
        <v>3</v>
      </c>
      <c r="F998" s="61">
        <f t="shared" ca="1" si="311"/>
        <v>6.4252799999999994E-3</v>
      </c>
      <c r="G998">
        <v>0</v>
      </c>
      <c r="H998">
        <v>0</v>
      </c>
      <c r="I998">
        <v>5</v>
      </c>
      <c r="J998" s="61">
        <f t="shared" ca="1" si="312"/>
        <v>3.8689046875000001E-2</v>
      </c>
      <c r="K998" s="61">
        <f t="shared" ca="1" si="313"/>
        <v>2.4858795910499999E-4</v>
      </c>
      <c r="L998" s="82">
        <f t="shared" ca="1" si="314"/>
        <v>55</v>
      </c>
      <c r="M998" s="16">
        <f t="shared" ca="1" si="315"/>
        <v>945</v>
      </c>
      <c r="N998" s="3">
        <f t="shared" ca="1" si="316"/>
        <v>5</v>
      </c>
      <c r="O998" s="19">
        <f t="shared" ca="1" si="317"/>
        <v>2.8178718937399587</v>
      </c>
      <c r="P998" s="19">
        <f t="shared" ca="1" si="318"/>
        <v>28.178718937399587</v>
      </c>
      <c r="Q998" s="19">
        <f t="shared" ca="1" si="319"/>
        <v>28.178718937399587</v>
      </c>
      <c r="R998" s="19">
        <f t="shared" ca="1" si="320"/>
        <v>2.8178718937399587</v>
      </c>
      <c r="S998" s="19">
        <f t="shared" ca="1" si="321"/>
        <v>2.8178718937399587</v>
      </c>
      <c r="T998" s="19">
        <f t="shared" ca="1" si="322"/>
        <v>7.0048902308415774E-4</v>
      </c>
      <c r="U998" s="19">
        <f t="shared" ca="1" si="323"/>
        <v>1314.3251747165598</v>
      </c>
      <c r="V998" s="19">
        <f t="shared" ca="1" si="324"/>
        <v>0.32672541278311212</v>
      </c>
      <c r="W998" s="82">
        <f t="shared" ca="1" si="325"/>
        <v>2429.5261501736113</v>
      </c>
      <c r="X998" s="19">
        <f t="shared" ca="1" si="326"/>
        <v>0.60395094726388576</v>
      </c>
      <c r="Y998" s="19">
        <f t="shared" si="327"/>
        <v>0</v>
      </c>
      <c r="Z998" s="82">
        <f t="shared" ca="1" si="328"/>
        <v>2429.5261501736113</v>
      </c>
      <c r="AA998" s="19">
        <f t="shared" ca="1" si="329"/>
        <v>0.60395094726388576</v>
      </c>
    </row>
    <row r="999" spans="1:27" ht="12.75" customHeight="1" x14ac:dyDescent="0.2">
      <c r="A999">
        <v>3</v>
      </c>
      <c r="B999">
        <v>1</v>
      </c>
      <c r="C999">
        <f t="shared" ca="1" si="308"/>
        <v>6</v>
      </c>
      <c r="D999">
        <f t="shared" ca="1" si="309"/>
        <v>5</v>
      </c>
      <c r="E999">
        <f t="shared" ca="1" si="310"/>
        <v>3</v>
      </c>
      <c r="F999" s="61">
        <f t="shared" ca="1" si="311"/>
        <v>6.4252799999999994E-3</v>
      </c>
      <c r="G999">
        <v>0</v>
      </c>
      <c r="H999">
        <v>0</v>
      </c>
      <c r="I999">
        <v>4</v>
      </c>
      <c r="J999" s="61">
        <f t="shared" ca="1" si="312"/>
        <v>1.0181328125000009E-2</v>
      </c>
      <c r="K999" s="61">
        <f t="shared" ca="1" si="313"/>
        <v>6.5417883975000052E-5</v>
      </c>
      <c r="L999" s="82">
        <f t="shared" ca="1" si="314"/>
        <v>44</v>
      </c>
      <c r="M999" s="16">
        <f t="shared" ca="1" si="315"/>
        <v>956</v>
      </c>
      <c r="N999" s="3">
        <f t="shared" ca="1" si="316"/>
        <v>6</v>
      </c>
      <c r="O999" s="19">
        <f t="shared" ca="1" si="317"/>
        <v>3.3239268932937667</v>
      </c>
      <c r="P999" s="19">
        <f t="shared" ca="1" si="318"/>
        <v>33.239268932937669</v>
      </c>
      <c r="Q999" s="19">
        <f t="shared" ca="1" si="319"/>
        <v>28.178718937399587</v>
      </c>
      <c r="R999" s="19">
        <f t="shared" ca="1" si="320"/>
        <v>3.0708993935168629</v>
      </c>
      <c r="S999" s="19">
        <f t="shared" ca="1" si="321"/>
        <v>3.3239268932937667</v>
      </c>
      <c r="T999" s="19">
        <f t="shared" ca="1" si="322"/>
        <v>2.17444263846874E-4</v>
      </c>
      <c r="U999" s="19">
        <f t="shared" ca="1" si="323"/>
        <v>1495.4024523027438</v>
      </c>
      <c r="V999" s="19">
        <f t="shared" ca="1" si="324"/>
        <v>9.7826064120671435E-2</v>
      </c>
      <c r="W999" s="82">
        <f t="shared" ca="1" si="325"/>
        <v>1943.620920138889</v>
      </c>
      <c r="X999" s="19">
        <f t="shared" ca="1" si="326"/>
        <v>0.12714756784502868</v>
      </c>
      <c r="Y999" s="19">
        <f t="shared" si="327"/>
        <v>0</v>
      </c>
      <c r="Z999" s="82">
        <f t="shared" ca="1" si="328"/>
        <v>1943.620920138889</v>
      </c>
      <c r="AA999" s="19">
        <f t="shared" ca="1" si="329"/>
        <v>0.12714756784502868</v>
      </c>
    </row>
    <row r="1000" spans="1:27" ht="12.75" customHeight="1" x14ac:dyDescent="0.2">
      <c r="A1000">
        <v>3</v>
      </c>
      <c r="B1000">
        <v>1</v>
      </c>
      <c r="C1000">
        <f t="shared" ca="1" si="308"/>
        <v>6</v>
      </c>
      <c r="D1000">
        <f t="shared" ca="1" si="309"/>
        <v>5</v>
      </c>
      <c r="E1000">
        <f t="shared" ca="1" si="310"/>
        <v>3</v>
      </c>
      <c r="F1000" s="61">
        <f t="shared" ca="1" si="311"/>
        <v>6.4252799999999994E-3</v>
      </c>
      <c r="G1000">
        <v>0</v>
      </c>
      <c r="H1000">
        <v>0</v>
      </c>
      <c r="I1000">
        <v>3</v>
      </c>
      <c r="J1000" s="61">
        <f t="shared" ca="1" si="312"/>
        <v>1.0717187500000017E-3</v>
      </c>
      <c r="K1000" s="61">
        <f t="shared" ca="1" si="313"/>
        <v>6.8860930500000102E-6</v>
      </c>
      <c r="L1000" s="82">
        <f t="shared" ca="1" si="314"/>
        <v>33</v>
      </c>
      <c r="M1000" s="16">
        <f t="shared" ca="1" si="315"/>
        <v>967</v>
      </c>
      <c r="N1000" s="3">
        <f t="shared" ca="1" si="316"/>
        <v>6</v>
      </c>
      <c r="O1000" s="19">
        <f t="shared" ca="1" si="317"/>
        <v>3.3239268932937667</v>
      </c>
      <c r="P1000" s="19">
        <f t="shared" ca="1" si="318"/>
        <v>33.239268932937669</v>
      </c>
      <c r="Q1000" s="19">
        <f t="shared" ca="1" si="319"/>
        <v>33.239268932937669</v>
      </c>
      <c r="R1000" s="19">
        <f t="shared" ca="1" si="320"/>
        <v>3.3239268932937671</v>
      </c>
      <c r="S1000" s="19">
        <f t="shared" ca="1" si="321"/>
        <v>3.3239268932937667</v>
      </c>
      <c r="T1000" s="19">
        <f t="shared" ca="1" si="322"/>
        <v>2.2888869878618334E-5</v>
      </c>
      <c r="U1000" s="19">
        <f t="shared" ca="1" si="323"/>
        <v>1484.4024523027438</v>
      </c>
      <c r="V1000" s="19">
        <f t="shared" ca="1" si="324"/>
        <v>1.0221733410204896E-2</v>
      </c>
      <c r="W1000" s="82">
        <f t="shared" ca="1" si="325"/>
        <v>1457.7156901041667</v>
      </c>
      <c r="X1000" s="19">
        <f t="shared" ca="1" si="326"/>
        <v>1.003796588250227E-2</v>
      </c>
      <c r="Y1000" s="19">
        <f t="shared" si="327"/>
        <v>0</v>
      </c>
      <c r="Z1000" s="82">
        <f t="shared" ca="1" si="328"/>
        <v>1457.7156901041667</v>
      </c>
      <c r="AA1000" s="19">
        <f t="shared" ca="1" si="329"/>
        <v>1.003796588250227E-2</v>
      </c>
    </row>
    <row r="1001" spans="1:27" ht="12.75" customHeight="1" x14ac:dyDescent="0.2">
      <c r="A1001">
        <v>3</v>
      </c>
      <c r="B1001">
        <v>1</v>
      </c>
      <c r="C1001">
        <f t="shared" ca="1" si="308"/>
        <v>6</v>
      </c>
      <c r="D1001">
        <f t="shared" ca="1" si="309"/>
        <v>5</v>
      </c>
      <c r="E1001">
        <f t="shared" ca="1" si="310"/>
        <v>3</v>
      </c>
      <c r="F1001" s="61">
        <f t="shared" ca="1" si="311"/>
        <v>6.4252799999999994E-3</v>
      </c>
      <c r="G1001">
        <v>0</v>
      </c>
      <c r="H1001">
        <v>0</v>
      </c>
      <c r="I1001">
        <v>2</v>
      </c>
      <c r="J1001" s="61">
        <f t="shared" ca="1" si="312"/>
        <v>5.6406250000000155E-5</v>
      </c>
      <c r="K1001" s="61">
        <f t="shared" ca="1" si="313"/>
        <v>3.6242595000000098E-7</v>
      </c>
      <c r="L1001" s="82">
        <f t="shared" ca="1" si="314"/>
        <v>22</v>
      </c>
      <c r="M1001" s="16">
        <f t="shared" ca="1" si="315"/>
        <v>978</v>
      </c>
      <c r="N1001" s="3">
        <f t="shared" ca="1" si="316"/>
        <v>6</v>
      </c>
      <c r="O1001" s="19">
        <f t="shared" ca="1" si="317"/>
        <v>3.3239268932937667</v>
      </c>
      <c r="P1001" s="19">
        <f t="shared" ca="1" si="318"/>
        <v>33.239268932937669</v>
      </c>
      <c r="Q1001" s="19">
        <f t="shared" ca="1" si="319"/>
        <v>33.239268932937669</v>
      </c>
      <c r="R1001" s="19">
        <f t="shared" ca="1" si="320"/>
        <v>3.3239268932937671</v>
      </c>
      <c r="S1001" s="19">
        <f t="shared" ca="1" si="321"/>
        <v>3.3239268932937667</v>
      </c>
      <c r="T1001" s="19">
        <f t="shared" ca="1" si="322"/>
        <v>1.2046773620325453E-6</v>
      </c>
      <c r="U1001" s="19">
        <f t="shared" ca="1" si="323"/>
        <v>1473.4024523027438</v>
      </c>
      <c r="V1001" s="19">
        <f t="shared" ca="1" si="324"/>
        <v>5.33999283508153E-4</v>
      </c>
      <c r="W1001" s="82">
        <f t="shared" ca="1" si="325"/>
        <v>971.8104600694445</v>
      </c>
      <c r="X1001" s="19">
        <f t="shared" ca="1" si="326"/>
        <v>3.5220932921060645E-4</v>
      </c>
      <c r="Y1001" s="19">
        <f t="shared" si="327"/>
        <v>0</v>
      </c>
      <c r="Z1001" s="82">
        <f t="shared" ca="1" si="328"/>
        <v>971.8104600694445</v>
      </c>
      <c r="AA1001" s="19">
        <f t="shared" ca="1" si="329"/>
        <v>3.5220932921060645E-4</v>
      </c>
    </row>
    <row r="1002" spans="1:27" ht="12.75" customHeight="1" x14ac:dyDescent="0.2">
      <c r="A1002">
        <v>3</v>
      </c>
      <c r="B1002">
        <v>1</v>
      </c>
      <c r="C1002">
        <f t="shared" ca="1" si="308"/>
        <v>6</v>
      </c>
      <c r="D1002">
        <f t="shared" ca="1" si="309"/>
        <v>5</v>
      </c>
      <c r="E1002">
        <f t="shared" ca="1" si="310"/>
        <v>3</v>
      </c>
      <c r="F1002" s="61">
        <f t="shared" ca="1" si="311"/>
        <v>6.4252799999999994E-3</v>
      </c>
      <c r="G1002">
        <v>0</v>
      </c>
      <c r="H1002">
        <v>0</v>
      </c>
      <c r="I1002">
        <v>1</v>
      </c>
      <c r="J1002" s="61">
        <f t="shared" ca="1" si="312"/>
        <v>1.4843750000000054E-6</v>
      </c>
      <c r="K1002" s="61">
        <f t="shared" ca="1" si="313"/>
        <v>9.537525000000033E-9</v>
      </c>
      <c r="L1002" s="82">
        <f t="shared" ca="1" si="314"/>
        <v>11</v>
      </c>
      <c r="M1002" s="16">
        <f t="shared" ca="1" si="315"/>
        <v>989</v>
      </c>
      <c r="N1002" s="3">
        <f t="shared" ca="1" si="316"/>
        <v>6</v>
      </c>
      <c r="O1002" s="19">
        <f t="shared" ca="1" si="317"/>
        <v>3.3239268932937667</v>
      </c>
      <c r="P1002" s="19">
        <f t="shared" ca="1" si="318"/>
        <v>33.239268932937669</v>
      </c>
      <c r="Q1002" s="19">
        <f t="shared" ca="1" si="319"/>
        <v>33.239268932937669</v>
      </c>
      <c r="R1002" s="19">
        <f t="shared" ca="1" si="320"/>
        <v>3.3239268932937671</v>
      </c>
      <c r="S1002" s="19">
        <f t="shared" ca="1" si="321"/>
        <v>3.3239268932937667</v>
      </c>
      <c r="T1002" s="19">
        <f t="shared" ca="1" si="322"/>
        <v>3.1702035842961739E-8</v>
      </c>
      <c r="U1002" s="19">
        <f t="shared" ca="1" si="323"/>
        <v>1462.4024523027438</v>
      </c>
      <c r="V1002" s="19">
        <f t="shared" ca="1" si="324"/>
        <v>1.3947699948898775E-5</v>
      </c>
      <c r="W1002" s="82">
        <f t="shared" ca="1" si="325"/>
        <v>485.90523003472225</v>
      </c>
      <c r="X1002" s="19">
        <f t="shared" ca="1" si="326"/>
        <v>4.6343332790869301E-6</v>
      </c>
      <c r="Y1002" s="19">
        <f t="shared" si="327"/>
        <v>0</v>
      </c>
      <c r="Z1002" s="82">
        <f t="shared" ca="1" si="328"/>
        <v>485.90523003472225</v>
      </c>
      <c r="AA1002" s="19">
        <f t="shared" ca="1" si="329"/>
        <v>4.6343332790869301E-6</v>
      </c>
    </row>
    <row r="1003" spans="1:27" ht="12.75" customHeight="1" x14ac:dyDescent="0.2">
      <c r="A1003">
        <v>3</v>
      </c>
      <c r="B1003">
        <v>1</v>
      </c>
      <c r="C1003">
        <f t="shared" ca="1" si="308"/>
        <v>6</v>
      </c>
      <c r="D1003">
        <f t="shared" ca="1" si="309"/>
        <v>5</v>
      </c>
      <c r="E1003">
        <f t="shared" ca="1" si="310"/>
        <v>3</v>
      </c>
      <c r="F1003" s="61">
        <f t="shared" ca="1" si="311"/>
        <v>6.4252799999999994E-3</v>
      </c>
      <c r="G1003">
        <v>0</v>
      </c>
      <c r="H1003">
        <v>0</v>
      </c>
      <c r="I1003">
        <v>0</v>
      </c>
      <c r="J1003" s="61">
        <f t="shared" ca="1" si="312"/>
        <v>1.5625000000000072E-8</v>
      </c>
      <c r="K1003" s="61">
        <f t="shared" ca="1" si="313"/>
        <v>1.0039500000000046E-10</v>
      </c>
      <c r="L1003" s="82">
        <f t="shared" ca="1" si="314"/>
        <v>0</v>
      </c>
      <c r="M1003" s="16">
        <f t="shared" ca="1" si="315"/>
        <v>1000</v>
      </c>
      <c r="N1003" s="3">
        <f t="shared" ca="1" si="316"/>
        <v>6</v>
      </c>
      <c r="O1003" s="19">
        <f t="shared" ca="1" si="317"/>
        <v>3.3239268932937667</v>
      </c>
      <c r="P1003" s="19">
        <f t="shared" ca="1" si="318"/>
        <v>33.239268932937669</v>
      </c>
      <c r="Q1003" s="19">
        <f t="shared" ca="1" si="319"/>
        <v>33.239268932937669</v>
      </c>
      <c r="R1003" s="19">
        <f t="shared" ca="1" si="320"/>
        <v>3.3239268932937671</v>
      </c>
      <c r="S1003" s="19">
        <f t="shared" ca="1" si="321"/>
        <v>3.3239268932937667</v>
      </c>
      <c r="T1003" s="19">
        <f t="shared" ca="1" si="322"/>
        <v>3.3370564045222925E-10</v>
      </c>
      <c r="U1003" s="19">
        <f t="shared" ca="1" si="323"/>
        <v>1451.4024523027438</v>
      </c>
      <c r="V1003" s="19">
        <f t="shared" ca="1" si="324"/>
        <v>1.4571354919893462E-7</v>
      </c>
      <c r="W1003" s="82">
        <f t="shared" ca="1" si="325"/>
        <v>0</v>
      </c>
      <c r="X1003" s="19">
        <f t="shared" ca="1" si="326"/>
        <v>0</v>
      </c>
      <c r="Y1003" s="19">
        <f t="shared" si="327"/>
        <v>0</v>
      </c>
      <c r="Z1003" s="82">
        <f t="shared" ca="1" si="328"/>
        <v>0</v>
      </c>
      <c r="AA1003" s="19">
        <f t="shared" ca="1" si="329"/>
        <v>0</v>
      </c>
    </row>
    <row r="1004" spans="1:27" ht="12.75" customHeight="1" x14ac:dyDescent="0.2">
      <c r="A1004">
        <v>3</v>
      </c>
      <c r="B1004">
        <v>2</v>
      </c>
      <c r="C1004">
        <f t="shared" ref="C1004:C1067" ca="1" si="330">MIN(8, 1+$B$545+$B$544+A1004+B1004)</f>
        <v>7</v>
      </c>
      <c r="D1004">
        <f t="shared" ref="D1004:D1067" ca="1" si="331">C1004-(1+$B$545)</f>
        <v>6</v>
      </c>
      <c r="E1004">
        <f t="shared" ref="E1004:E1067" ca="1" si="332">MIN(A1004, C1004-(1+$B$545+$B$544))</f>
        <v>3</v>
      </c>
      <c r="F1004" s="61">
        <f t="shared" ref="F1004:F1067" ca="1" si="333">IF(A1004=3, Set2QA, IF(A1004=2, (1-Set2QA)*Set2TA + (1-Set2QA)*(1-Set2TA)*(1-Set2DA)*Set2AM3*Set2AM33, IF(A1004=1, (1-Set2QA)*(1-Set2TA)*Set2DA + (1-Set2QA)*(1-Set2TA)*(1-Set2DA)*Set2AM3*Set2AM32, (1-Set2QA)*(1-Set2TA)*(1-Set2DA)*(1-Set2AM3)))) * IF($B$544+$B$545&gt;0, IF(B1004=3, Set2QA, IF(B1004=2, (1-Set2QA)*Set2TA, IF(B1004=1, (1-Set2QA)*(1-Set2TA)*Set2DA, (1-Set2QA)*(1-Set2TA)*(1-Set2DA)))), IF(B1004=0, 1, 0))</f>
        <v>1.1639999999999999E-3</v>
      </c>
      <c r="G1004">
        <v>1</v>
      </c>
      <c r="H1004">
        <v>1</v>
      </c>
      <c r="I1004">
        <v>7</v>
      </c>
      <c r="J1004" s="61">
        <f t="shared" ref="J1004:J1067" ca="1" si="334">POWER(95%,G1004)*POWER(5%, 1-G1004) * IF($B$545=0, IF(H1004=0, 1, 0), POWER(Set2WSHitRate,H1004)*POWER(1-Set2WSHitRate, 1-H1004)) * IF(I1004&lt;=D1004, POWER(Set2WSHitRate, I1004)*POWER(1-Set2WSHitRate, D1004-I1004)*COMBIN(D1004,I1004), 0)</f>
        <v>0</v>
      </c>
      <c r="K1004" s="61">
        <f t="shared" ref="K1004:K1067" ca="1" si="335">F1004*J1004</f>
        <v>0</v>
      </c>
      <c r="L1004" s="82">
        <f t="shared" ref="L1004:L1067" ca="1" si="336">MAX((G1004+H1004)*Set2WSTP + I1004*$B$541, Set2SaveTP)</f>
        <v>399</v>
      </c>
      <c r="M1004" s="16">
        <f t="shared" ref="M1004:M1067" ca="1" si="337">MAX(Set2MinTP-(L1004+Set2Regain), 0)</f>
        <v>601</v>
      </c>
      <c r="N1004" s="3">
        <f t="shared" ref="N1004:N1067" ca="1" si="338">CEILING(M1004/Set2MeleeTP, 1)</f>
        <v>4</v>
      </c>
      <c r="O1004" s="19">
        <f t="shared" ref="O1004:O1067" ca="1" si="339">VLOOKUP(N1004, AvgRoundsSet2, 2)</f>
        <v>2.3453053758100548</v>
      </c>
      <c r="P1004" s="19">
        <f t="shared" ref="P1004:P1067" ca="1" si="340">VLOOKUP(CEILING(MAX(M1004-1, 0)/Set2MeleeTP, 1), AvgRoundsSet2, 2) + VLOOKUP(CEILING(MAX(M1004-2, 0)/Set2MeleeTP, 1), AvgRoundsSet2, 2) + VLOOKUP(CEILING(MAX(M1004-3, 0)/Set2MeleeTP, 1), AvgRoundsSet2, 2) + VLOOKUP(CEILING(MAX(M1004-4, 0)/Set2MeleeTP, 1), AvgRoundsSet2, 2) + VLOOKUP(CEILING(MAX(M1004-5, 0)/Set2MeleeTP, 1), AvgRoundsSet2, 2) + VLOOKUP(CEILING(MAX(M1004-6, 0)/Set2MeleeTP, 1), AvgRoundsSet2, 2) + VLOOKUP(CEILING(MAX(M1004-7, 0)/Set2MeleeTP, 1), AvgRoundsSet2, 2) + VLOOKUP(CEILING(MAX(M1004-8, 0)/Set2MeleeTP, 1), AvgRoundsSet2, 2) + VLOOKUP(CEILING(MAX(M1004-9, 0)/Set2MeleeTP, 1), AvgRoundsSet2, 2) + VLOOKUP(CEILING(MAX(M1004-10, 0)/Set2MeleeTP, 1), AvgRoundsSet2, 2)</f>
        <v>23.453053758100552</v>
      </c>
      <c r="Q1004" s="19">
        <f t="shared" ref="Q1004:Q1067" ca="1" si="341">VLOOKUP(CEILING(MAX(M1004-11, 0)/Set2MeleeTP, 1), AvgRoundsSet2, 2) + VLOOKUP(CEILING(MAX(M1004-12, 0)/Set2MeleeTP, 1), AvgRoundsSet2, 2) + VLOOKUP(CEILING(MAX(M1004-13, 0)/Set2MeleeTP, 1), AvgRoundsSet2, 2) + VLOOKUP(CEILING(MAX(M1004-14, 0)/Set2MeleeTP, 1), AvgRoundsSet2, 2) + VLOOKUP(CEILING(MAX(M1004-15, 0)/Set2MeleeTP, 1), AvgRoundsSet2, 2) + VLOOKUP(CEILING(MAX(M1004-16, 0)/Set2MeleeTP, 1), AvgRoundsSet2, 2) + VLOOKUP(CEILING(MAX(M1004-17, 0)/Set2MeleeTP, 1), AvgRoundsSet2, 2) + VLOOKUP(CEILING(MAX(M1004-18, 0)/Set2MeleeTP, 1), AvgRoundsSet2, 2) + VLOOKUP(CEILING(MAX(M1004-19, 0)/Set2MeleeTP, 1), AvgRoundsSet2, 2) + VLOOKUP(CEILING(MAX(M1004-20, 0)/Set2MeleeTP, 1), AvgRoundsSet2, 2)</f>
        <v>23.453053758100552</v>
      </c>
      <c r="R1004" s="19">
        <f t="shared" ref="R1004:R1067" ca="1" si="342">(P1004+Q1004)/20</f>
        <v>2.3453053758100553</v>
      </c>
      <c r="S1004" s="19">
        <f t="shared" ref="S1004:S1067" ca="1" si="343">R1004*Set2ConserveTP + O1004*(1-Set2ConserveTP)</f>
        <v>2.3453053758100548</v>
      </c>
      <c r="T1004" s="19">
        <f t="shared" ref="T1004:T1067" ca="1" si="344">K1004*S1004</f>
        <v>0</v>
      </c>
      <c r="U1004" s="19">
        <f t="shared" ref="U1004:U1067" ca="1" si="345">MIN(L1004+(S1004+Set2OverTP)*AvgHitsPerRound2*Set2MeleeTP + Set2Regain + 10.5*Set2ConserveTP, 3000)</f>
        <v>1478.9587218163997</v>
      </c>
      <c r="V1004" s="19">
        <f t="shared" ref="V1004:V1067" ca="1" si="346">U1004*K1004</f>
        <v>0</v>
      </c>
      <c r="W1004" s="82">
        <f t="shared" ref="W1004:W1067" ca="1" si="347">G1004*$K$547*((1-$L$547)*$L$551 + $L$547*$M$551*$M$547) + H1004*$K$550*((1-$L$550)*$L$552 + $L$550*$M$552*$M$548) + I1004*$K$548*((1-$L$548)*$L$551 + $L$548*$M$551*$M$548) + E1004*$K$549*$L$549*$M$547</f>
        <v>5718.7981307870377</v>
      </c>
      <c r="X1004" s="19">
        <f t="shared" ref="X1004:X1067" ca="1" si="348">K1004*W1004</f>
        <v>0</v>
      </c>
      <c r="Y1004" s="19">
        <f t="shared" ref="Y1004:Y1067" si="349">IF($B$547=1, (VLOOKUP(C1004, IF($B$548=10%,Souleater10,Souleater12), 6, 0) * $B$549), 0)</f>
        <v>0</v>
      </c>
      <c r="Z1004" s="82">
        <f t="shared" ref="Z1004:Z1067" ca="1" si="350">Y1004+W1004</f>
        <v>5718.7981307870377</v>
      </c>
      <c r="AA1004" s="19">
        <f t="shared" ref="AA1004:AA1067" ca="1" si="351">Z1004*K1004</f>
        <v>0</v>
      </c>
    </row>
    <row r="1005" spans="1:27" ht="12.75" customHeight="1" x14ac:dyDescent="0.2">
      <c r="A1005">
        <v>3</v>
      </c>
      <c r="B1005">
        <v>2</v>
      </c>
      <c r="C1005">
        <f t="shared" ca="1" si="330"/>
        <v>7</v>
      </c>
      <c r="D1005">
        <f t="shared" ca="1" si="331"/>
        <v>6</v>
      </c>
      <c r="E1005">
        <f t="shared" ca="1" si="332"/>
        <v>3</v>
      </c>
      <c r="F1005" s="61">
        <f t="shared" ca="1" si="333"/>
        <v>1.1639999999999999E-3</v>
      </c>
      <c r="G1005">
        <v>1</v>
      </c>
      <c r="H1005">
        <v>1</v>
      </c>
      <c r="I1005">
        <v>6</v>
      </c>
      <c r="J1005" s="61">
        <f t="shared" ca="1" si="334"/>
        <v>0</v>
      </c>
      <c r="K1005" s="61">
        <f t="shared" ca="1" si="335"/>
        <v>0</v>
      </c>
      <c r="L1005" s="82">
        <f t="shared" ca="1" si="336"/>
        <v>388</v>
      </c>
      <c r="M1005" s="16">
        <f t="shared" ca="1" si="337"/>
        <v>612</v>
      </c>
      <c r="N1005" s="3">
        <f t="shared" ca="1" si="338"/>
        <v>4</v>
      </c>
      <c r="O1005" s="19">
        <f t="shared" ca="1" si="339"/>
        <v>2.3453053758100548</v>
      </c>
      <c r="P1005" s="19">
        <f t="shared" ca="1" si="340"/>
        <v>23.453053758100552</v>
      </c>
      <c r="Q1005" s="19">
        <f t="shared" ca="1" si="341"/>
        <v>23.453053758100552</v>
      </c>
      <c r="R1005" s="19">
        <f t="shared" ca="1" si="342"/>
        <v>2.3453053758100553</v>
      </c>
      <c r="S1005" s="19">
        <f t="shared" ca="1" si="343"/>
        <v>2.3453053758100548</v>
      </c>
      <c r="T1005" s="19">
        <f t="shared" ca="1" si="344"/>
        <v>0</v>
      </c>
      <c r="U1005" s="19">
        <f t="shared" ca="1" si="345"/>
        <v>1467.9587218163997</v>
      </c>
      <c r="V1005" s="19">
        <f t="shared" ca="1" si="346"/>
        <v>0</v>
      </c>
      <c r="W1005" s="82">
        <f t="shared" ca="1" si="347"/>
        <v>5232.8929007523147</v>
      </c>
      <c r="X1005" s="19">
        <f t="shared" ca="1" si="348"/>
        <v>0</v>
      </c>
      <c r="Y1005" s="19">
        <f t="shared" si="349"/>
        <v>0</v>
      </c>
      <c r="Z1005" s="82">
        <f t="shared" ca="1" si="350"/>
        <v>5232.8929007523147</v>
      </c>
      <c r="AA1005" s="19">
        <f t="shared" ca="1" si="351"/>
        <v>0</v>
      </c>
    </row>
    <row r="1006" spans="1:27" ht="12.75" customHeight="1" x14ac:dyDescent="0.2">
      <c r="A1006">
        <v>3</v>
      </c>
      <c r="B1006">
        <v>2</v>
      </c>
      <c r="C1006">
        <f t="shared" ca="1" si="330"/>
        <v>7</v>
      </c>
      <c r="D1006">
        <f t="shared" ca="1" si="331"/>
        <v>6</v>
      </c>
      <c r="E1006">
        <f t="shared" ca="1" si="332"/>
        <v>3</v>
      </c>
      <c r="F1006" s="61">
        <f t="shared" ca="1" si="333"/>
        <v>1.1639999999999999E-3</v>
      </c>
      <c r="G1006">
        <v>1</v>
      </c>
      <c r="H1006">
        <v>1</v>
      </c>
      <c r="I1006">
        <v>5</v>
      </c>
      <c r="J1006" s="61">
        <f t="shared" ca="1" si="334"/>
        <v>0</v>
      </c>
      <c r="K1006" s="61">
        <f t="shared" ca="1" si="335"/>
        <v>0</v>
      </c>
      <c r="L1006" s="82">
        <f t="shared" ca="1" si="336"/>
        <v>377</v>
      </c>
      <c r="M1006" s="16">
        <f t="shared" ca="1" si="337"/>
        <v>623</v>
      </c>
      <c r="N1006" s="3">
        <f t="shared" ca="1" si="338"/>
        <v>4</v>
      </c>
      <c r="O1006" s="19">
        <f t="shared" ca="1" si="339"/>
        <v>2.3453053758100548</v>
      </c>
      <c r="P1006" s="19">
        <f t="shared" ca="1" si="340"/>
        <v>23.453053758100552</v>
      </c>
      <c r="Q1006" s="19">
        <f t="shared" ca="1" si="341"/>
        <v>23.453053758100552</v>
      </c>
      <c r="R1006" s="19">
        <f t="shared" ca="1" si="342"/>
        <v>2.3453053758100553</v>
      </c>
      <c r="S1006" s="19">
        <f t="shared" ca="1" si="343"/>
        <v>2.3453053758100548</v>
      </c>
      <c r="T1006" s="19">
        <f t="shared" ca="1" si="344"/>
        <v>0</v>
      </c>
      <c r="U1006" s="19">
        <f t="shared" ca="1" si="345"/>
        <v>1456.9587218163997</v>
      </c>
      <c r="V1006" s="19">
        <f t="shared" ca="1" si="346"/>
        <v>0</v>
      </c>
      <c r="W1006" s="82">
        <f t="shared" ca="1" si="347"/>
        <v>4746.9876707175936</v>
      </c>
      <c r="X1006" s="19">
        <f t="shared" ca="1" si="348"/>
        <v>0</v>
      </c>
      <c r="Y1006" s="19">
        <f t="shared" si="349"/>
        <v>0</v>
      </c>
      <c r="Z1006" s="82">
        <f t="shared" ca="1" si="350"/>
        <v>4746.9876707175936</v>
      </c>
      <c r="AA1006" s="19">
        <f t="shared" ca="1" si="351"/>
        <v>0</v>
      </c>
    </row>
    <row r="1007" spans="1:27" ht="12.75" customHeight="1" x14ac:dyDescent="0.2">
      <c r="A1007">
        <v>3</v>
      </c>
      <c r="B1007">
        <v>2</v>
      </c>
      <c r="C1007">
        <f t="shared" ca="1" si="330"/>
        <v>7</v>
      </c>
      <c r="D1007">
        <f t="shared" ca="1" si="331"/>
        <v>6</v>
      </c>
      <c r="E1007">
        <f t="shared" ca="1" si="332"/>
        <v>3</v>
      </c>
      <c r="F1007" s="61">
        <f t="shared" ca="1" si="333"/>
        <v>1.1639999999999999E-3</v>
      </c>
      <c r="G1007">
        <v>1</v>
      </c>
      <c r="H1007">
        <v>1</v>
      </c>
      <c r="I1007">
        <v>4</v>
      </c>
      <c r="J1007" s="61">
        <f t="shared" ca="1" si="334"/>
        <v>0</v>
      </c>
      <c r="K1007" s="61">
        <f t="shared" ca="1" si="335"/>
        <v>0</v>
      </c>
      <c r="L1007" s="82">
        <f t="shared" ca="1" si="336"/>
        <v>366</v>
      </c>
      <c r="M1007" s="16">
        <f t="shared" ca="1" si="337"/>
        <v>634</v>
      </c>
      <c r="N1007" s="3">
        <f t="shared" ca="1" si="338"/>
        <v>4</v>
      </c>
      <c r="O1007" s="19">
        <f t="shared" ca="1" si="339"/>
        <v>2.3453053758100548</v>
      </c>
      <c r="P1007" s="19">
        <f t="shared" ca="1" si="340"/>
        <v>23.453053758100552</v>
      </c>
      <c r="Q1007" s="19">
        <f t="shared" ca="1" si="341"/>
        <v>23.453053758100552</v>
      </c>
      <c r="R1007" s="19">
        <f t="shared" ca="1" si="342"/>
        <v>2.3453053758100553</v>
      </c>
      <c r="S1007" s="19">
        <f t="shared" ca="1" si="343"/>
        <v>2.3453053758100548</v>
      </c>
      <c r="T1007" s="19">
        <f t="shared" ca="1" si="344"/>
        <v>0</v>
      </c>
      <c r="U1007" s="19">
        <f t="shared" ca="1" si="345"/>
        <v>1445.9587218163997</v>
      </c>
      <c r="V1007" s="19">
        <f t="shared" ca="1" si="346"/>
        <v>0</v>
      </c>
      <c r="W1007" s="82">
        <f t="shared" ca="1" si="347"/>
        <v>4261.0824406828706</v>
      </c>
      <c r="X1007" s="19">
        <f t="shared" ca="1" si="348"/>
        <v>0</v>
      </c>
      <c r="Y1007" s="19">
        <f t="shared" si="349"/>
        <v>0</v>
      </c>
      <c r="Z1007" s="82">
        <f t="shared" ca="1" si="350"/>
        <v>4261.0824406828706</v>
      </c>
      <c r="AA1007" s="19">
        <f t="shared" ca="1" si="351"/>
        <v>0</v>
      </c>
    </row>
    <row r="1008" spans="1:27" ht="12.75" customHeight="1" x14ac:dyDescent="0.2">
      <c r="A1008">
        <v>3</v>
      </c>
      <c r="B1008">
        <v>2</v>
      </c>
      <c r="C1008">
        <f t="shared" ca="1" si="330"/>
        <v>7</v>
      </c>
      <c r="D1008">
        <f t="shared" ca="1" si="331"/>
        <v>6</v>
      </c>
      <c r="E1008">
        <f t="shared" ca="1" si="332"/>
        <v>3</v>
      </c>
      <c r="F1008" s="61">
        <f t="shared" ca="1" si="333"/>
        <v>1.1639999999999999E-3</v>
      </c>
      <c r="G1008">
        <v>1</v>
      </c>
      <c r="H1008">
        <v>1</v>
      </c>
      <c r="I1008">
        <v>3</v>
      </c>
      <c r="J1008" s="61">
        <f t="shared" ca="1" si="334"/>
        <v>0</v>
      </c>
      <c r="K1008" s="61">
        <f t="shared" ca="1" si="335"/>
        <v>0</v>
      </c>
      <c r="L1008" s="82">
        <f t="shared" ca="1" si="336"/>
        <v>355</v>
      </c>
      <c r="M1008" s="16">
        <f t="shared" ca="1" si="337"/>
        <v>645</v>
      </c>
      <c r="N1008" s="3">
        <f t="shared" ca="1" si="338"/>
        <v>4</v>
      </c>
      <c r="O1008" s="19">
        <f t="shared" ca="1" si="339"/>
        <v>2.3453053758100548</v>
      </c>
      <c r="P1008" s="19">
        <f t="shared" ca="1" si="340"/>
        <v>23.453053758100552</v>
      </c>
      <c r="Q1008" s="19">
        <f t="shared" ca="1" si="341"/>
        <v>23.453053758100552</v>
      </c>
      <c r="R1008" s="19">
        <f t="shared" ca="1" si="342"/>
        <v>2.3453053758100553</v>
      </c>
      <c r="S1008" s="19">
        <f t="shared" ca="1" si="343"/>
        <v>2.3453053758100548</v>
      </c>
      <c r="T1008" s="19">
        <f t="shared" ca="1" si="344"/>
        <v>0</v>
      </c>
      <c r="U1008" s="19">
        <f t="shared" ca="1" si="345"/>
        <v>1434.9587218163997</v>
      </c>
      <c r="V1008" s="19">
        <f t="shared" ca="1" si="346"/>
        <v>0</v>
      </c>
      <c r="W1008" s="82">
        <f t="shared" ca="1" si="347"/>
        <v>3775.1772106481485</v>
      </c>
      <c r="X1008" s="19">
        <f t="shared" ca="1" si="348"/>
        <v>0</v>
      </c>
      <c r="Y1008" s="19">
        <f t="shared" si="349"/>
        <v>0</v>
      </c>
      <c r="Z1008" s="82">
        <f t="shared" ca="1" si="350"/>
        <v>3775.1772106481485</v>
      </c>
      <c r="AA1008" s="19">
        <f t="shared" ca="1" si="351"/>
        <v>0</v>
      </c>
    </row>
    <row r="1009" spans="1:27" ht="12.75" customHeight="1" x14ac:dyDescent="0.2">
      <c r="A1009">
        <v>3</v>
      </c>
      <c r="B1009">
        <v>2</v>
      </c>
      <c r="C1009">
        <f t="shared" ca="1" si="330"/>
        <v>7</v>
      </c>
      <c r="D1009">
        <f t="shared" ca="1" si="331"/>
        <v>6</v>
      </c>
      <c r="E1009">
        <f t="shared" ca="1" si="332"/>
        <v>3</v>
      </c>
      <c r="F1009" s="61">
        <f t="shared" ca="1" si="333"/>
        <v>1.1639999999999999E-3</v>
      </c>
      <c r="G1009">
        <v>1</v>
      </c>
      <c r="H1009">
        <v>1</v>
      </c>
      <c r="I1009">
        <v>2</v>
      </c>
      <c r="J1009" s="61">
        <f t="shared" ca="1" si="334"/>
        <v>0</v>
      </c>
      <c r="K1009" s="61">
        <f t="shared" ca="1" si="335"/>
        <v>0</v>
      </c>
      <c r="L1009" s="82">
        <f t="shared" ca="1" si="336"/>
        <v>344</v>
      </c>
      <c r="M1009" s="16">
        <f t="shared" ca="1" si="337"/>
        <v>656</v>
      </c>
      <c r="N1009" s="3">
        <f t="shared" ca="1" si="338"/>
        <v>4</v>
      </c>
      <c r="O1009" s="19">
        <f t="shared" ca="1" si="339"/>
        <v>2.3453053758100548</v>
      </c>
      <c r="P1009" s="19">
        <f t="shared" ca="1" si="340"/>
        <v>23.453053758100552</v>
      </c>
      <c r="Q1009" s="19">
        <f t="shared" ca="1" si="341"/>
        <v>23.453053758100552</v>
      </c>
      <c r="R1009" s="19">
        <f t="shared" ca="1" si="342"/>
        <v>2.3453053758100553</v>
      </c>
      <c r="S1009" s="19">
        <f t="shared" ca="1" si="343"/>
        <v>2.3453053758100548</v>
      </c>
      <c r="T1009" s="19">
        <f t="shared" ca="1" si="344"/>
        <v>0</v>
      </c>
      <c r="U1009" s="19">
        <f t="shared" ca="1" si="345"/>
        <v>1423.9587218163997</v>
      </c>
      <c r="V1009" s="19">
        <f t="shared" ca="1" si="346"/>
        <v>0</v>
      </c>
      <c r="W1009" s="82">
        <f t="shared" ca="1" si="347"/>
        <v>3289.2719806134264</v>
      </c>
      <c r="X1009" s="19">
        <f t="shared" ca="1" si="348"/>
        <v>0</v>
      </c>
      <c r="Y1009" s="19">
        <f t="shared" si="349"/>
        <v>0</v>
      </c>
      <c r="Z1009" s="82">
        <f t="shared" ca="1" si="350"/>
        <v>3289.2719806134264</v>
      </c>
      <c r="AA1009" s="19">
        <f t="shared" ca="1" si="351"/>
        <v>0</v>
      </c>
    </row>
    <row r="1010" spans="1:27" ht="12.75" customHeight="1" x14ac:dyDescent="0.2">
      <c r="A1010">
        <v>3</v>
      </c>
      <c r="B1010">
        <v>2</v>
      </c>
      <c r="C1010">
        <f t="shared" ca="1" si="330"/>
        <v>7</v>
      </c>
      <c r="D1010">
        <f t="shared" ca="1" si="331"/>
        <v>6</v>
      </c>
      <c r="E1010">
        <f t="shared" ca="1" si="332"/>
        <v>3</v>
      </c>
      <c r="F1010" s="61">
        <f t="shared" ca="1" si="333"/>
        <v>1.1639999999999999E-3</v>
      </c>
      <c r="G1010">
        <v>1</v>
      </c>
      <c r="H1010">
        <v>1</v>
      </c>
      <c r="I1010">
        <v>1</v>
      </c>
      <c r="J1010" s="61">
        <f t="shared" ca="1" si="334"/>
        <v>0</v>
      </c>
      <c r="K1010" s="61">
        <f t="shared" ca="1" si="335"/>
        <v>0</v>
      </c>
      <c r="L1010" s="82">
        <f t="shared" ca="1" si="336"/>
        <v>333</v>
      </c>
      <c r="M1010" s="16">
        <f t="shared" ca="1" si="337"/>
        <v>667</v>
      </c>
      <c r="N1010" s="3">
        <f t="shared" ca="1" si="338"/>
        <v>4</v>
      </c>
      <c r="O1010" s="19">
        <f t="shared" ca="1" si="339"/>
        <v>2.3453053758100548</v>
      </c>
      <c r="P1010" s="19">
        <f t="shared" ca="1" si="340"/>
        <v>23.453053758100552</v>
      </c>
      <c r="Q1010" s="19">
        <f t="shared" ca="1" si="341"/>
        <v>23.453053758100552</v>
      </c>
      <c r="R1010" s="19">
        <f t="shared" ca="1" si="342"/>
        <v>2.3453053758100553</v>
      </c>
      <c r="S1010" s="19">
        <f t="shared" ca="1" si="343"/>
        <v>2.3453053758100548</v>
      </c>
      <c r="T1010" s="19">
        <f t="shared" ca="1" si="344"/>
        <v>0</v>
      </c>
      <c r="U1010" s="19">
        <f t="shared" ca="1" si="345"/>
        <v>1412.9587218163997</v>
      </c>
      <c r="V1010" s="19">
        <f t="shared" ca="1" si="346"/>
        <v>0</v>
      </c>
      <c r="W1010" s="82">
        <f t="shared" ca="1" si="347"/>
        <v>2803.3667505787039</v>
      </c>
      <c r="X1010" s="19">
        <f t="shared" ca="1" si="348"/>
        <v>0</v>
      </c>
      <c r="Y1010" s="19">
        <f t="shared" si="349"/>
        <v>0</v>
      </c>
      <c r="Z1010" s="82">
        <f t="shared" ca="1" si="350"/>
        <v>2803.3667505787039</v>
      </c>
      <c r="AA1010" s="19">
        <f t="shared" ca="1" si="351"/>
        <v>0</v>
      </c>
    </row>
    <row r="1011" spans="1:27" ht="12.75" customHeight="1" x14ac:dyDescent="0.2">
      <c r="A1011">
        <v>3</v>
      </c>
      <c r="B1011">
        <v>2</v>
      </c>
      <c r="C1011">
        <f t="shared" ca="1" si="330"/>
        <v>7</v>
      </c>
      <c r="D1011">
        <f t="shared" ca="1" si="331"/>
        <v>6</v>
      </c>
      <c r="E1011">
        <f t="shared" ca="1" si="332"/>
        <v>3</v>
      </c>
      <c r="F1011" s="61">
        <f t="shared" ca="1" si="333"/>
        <v>1.1639999999999999E-3</v>
      </c>
      <c r="G1011">
        <v>1</v>
      </c>
      <c r="H1011">
        <v>1</v>
      </c>
      <c r="I1011">
        <v>0</v>
      </c>
      <c r="J1011" s="61">
        <f t="shared" ca="1" si="334"/>
        <v>0</v>
      </c>
      <c r="K1011" s="61">
        <f t="shared" ca="1" si="335"/>
        <v>0</v>
      </c>
      <c r="L1011" s="82">
        <f t="shared" ca="1" si="336"/>
        <v>322</v>
      </c>
      <c r="M1011" s="16">
        <f t="shared" ca="1" si="337"/>
        <v>678</v>
      </c>
      <c r="N1011" s="3">
        <f t="shared" ca="1" si="338"/>
        <v>4</v>
      </c>
      <c r="O1011" s="19">
        <f t="shared" ca="1" si="339"/>
        <v>2.3453053758100548</v>
      </c>
      <c r="P1011" s="19">
        <f t="shared" ca="1" si="340"/>
        <v>23.453053758100552</v>
      </c>
      <c r="Q1011" s="19">
        <f t="shared" ca="1" si="341"/>
        <v>23.453053758100552</v>
      </c>
      <c r="R1011" s="19">
        <f t="shared" ca="1" si="342"/>
        <v>2.3453053758100553</v>
      </c>
      <c r="S1011" s="19">
        <f t="shared" ca="1" si="343"/>
        <v>2.3453053758100548</v>
      </c>
      <c r="T1011" s="19">
        <f t="shared" ca="1" si="344"/>
        <v>0</v>
      </c>
      <c r="U1011" s="19">
        <f t="shared" ca="1" si="345"/>
        <v>1401.9587218163997</v>
      </c>
      <c r="V1011" s="19">
        <f t="shared" ca="1" si="346"/>
        <v>0</v>
      </c>
      <c r="W1011" s="82">
        <f t="shared" ca="1" si="347"/>
        <v>2317.4615205439818</v>
      </c>
      <c r="X1011" s="19">
        <f t="shared" ca="1" si="348"/>
        <v>0</v>
      </c>
      <c r="Y1011" s="19">
        <f t="shared" si="349"/>
        <v>0</v>
      </c>
      <c r="Z1011" s="82">
        <f t="shared" ca="1" si="350"/>
        <v>2317.4615205439818</v>
      </c>
      <c r="AA1011" s="19">
        <f t="shared" ca="1" si="351"/>
        <v>0</v>
      </c>
    </row>
    <row r="1012" spans="1:27" ht="12.75" customHeight="1" x14ac:dyDescent="0.2">
      <c r="A1012">
        <v>3</v>
      </c>
      <c r="B1012">
        <v>2</v>
      </c>
      <c r="C1012">
        <f t="shared" ca="1" si="330"/>
        <v>7</v>
      </c>
      <c r="D1012">
        <f t="shared" ca="1" si="331"/>
        <v>6</v>
      </c>
      <c r="E1012">
        <f t="shared" ca="1" si="332"/>
        <v>3</v>
      </c>
      <c r="F1012" s="61">
        <f t="shared" ca="1" si="333"/>
        <v>1.1639999999999999E-3</v>
      </c>
      <c r="G1012">
        <v>1</v>
      </c>
      <c r="H1012">
        <v>0</v>
      </c>
      <c r="I1012">
        <v>7</v>
      </c>
      <c r="J1012" s="61">
        <f t="shared" ca="1" si="334"/>
        <v>0</v>
      </c>
      <c r="K1012" s="61">
        <f t="shared" ca="1" si="335"/>
        <v>0</v>
      </c>
      <c r="L1012" s="82">
        <f t="shared" ca="1" si="336"/>
        <v>238</v>
      </c>
      <c r="M1012" s="16">
        <f t="shared" ca="1" si="337"/>
        <v>762</v>
      </c>
      <c r="N1012" s="3">
        <f t="shared" ca="1" si="338"/>
        <v>5</v>
      </c>
      <c r="O1012" s="19">
        <f t="shared" ca="1" si="339"/>
        <v>2.8178718937399587</v>
      </c>
      <c r="P1012" s="19">
        <f t="shared" ca="1" si="340"/>
        <v>25.815886347750073</v>
      </c>
      <c r="Q1012" s="19">
        <f t="shared" ca="1" si="341"/>
        <v>23.453053758100552</v>
      </c>
      <c r="R1012" s="19">
        <f t="shared" ca="1" si="342"/>
        <v>2.4634470052925312</v>
      </c>
      <c r="S1012" s="19">
        <f t="shared" ca="1" si="343"/>
        <v>2.8178718937399587</v>
      </c>
      <c r="T1012" s="19">
        <f t="shared" ca="1" si="344"/>
        <v>0</v>
      </c>
      <c r="U1012" s="19">
        <f t="shared" ca="1" si="345"/>
        <v>1497.3251747165598</v>
      </c>
      <c r="V1012" s="19">
        <f t="shared" ca="1" si="346"/>
        <v>0</v>
      </c>
      <c r="W1012" s="82">
        <f t="shared" ca="1" si="347"/>
        <v>5718.7981307870377</v>
      </c>
      <c r="X1012" s="19">
        <f t="shared" ca="1" si="348"/>
        <v>0</v>
      </c>
      <c r="Y1012" s="19">
        <f t="shared" si="349"/>
        <v>0</v>
      </c>
      <c r="Z1012" s="82">
        <f t="shared" ca="1" si="350"/>
        <v>5718.7981307870377</v>
      </c>
      <c r="AA1012" s="19">
        <f t="shared" ca="1" si="351"/>
        <v>0</v>
      </c>
    </row>
    <row r="1013" spans="1:27" ht="12.75" customHeight="1" x14ac:dyDescent="0.2">
      <c r="A1013">
        <v>3</v>
      </c>
      <c r="B1013">
        <v>2</v>
      </c>
      <c r="C1013">
        <f t="shared" ca="1" si="330"/>
        <v>7</v>
      </c>
      <c r="D1013">
        <f t="shared" ca="1" si="331"/>
        <v>6</v>
      </c>
      <c r="E1013">
        <f t="shared" ca="1" si="332"/>
        <v>3</v>
      </c>
      <c r="F1013" s="61">
        <f t="shared" ca="1" si="333"/>
        <v>1.1639999999999999E-3</v>
      </c>
      <c r="G1013">
        <v>1</v>
      </c>
      <c r="H1013">
        <v>0</v>
      </c>
      <c r="I1013">
        <v>6</v>
      </c>
      <c r="J1013" s="61">
        <f t="shared" ca="1" si="334"/>
        <v>0.69833729609374984</v>
      </c>
      <c r="K1013" s="61">
        <f t="shared" ca="1" si="335"/>
        <v>8.1286461265312469E-4</v>
      </c>
      <c r="L1013" s="82">
        <f t="shared" ca="1" si="336"/>
        <v>227</v>
      </c>
      <c r="M1013" s="16">
        <f t="shared" ca="1" si="337"/>
        <v>773</v>
      </c>
      <c r="N1013" s="3">
        <f t="shared" ca="1" si="338"/>
        <v>5</v>
      </c>
      <c r="O1013" s="19">
        <f t="shared" ca="1" si="339"/>
        <v>2.8178718937399587</v>
      </c>
      <c r="P1013" s="19">
        <f t="shared" ca="1" si="340"/>
        <v>28.178718937399587</v>
      </c>
      <c r="Q1013" s="19">
        <f t="shared" ca="1" si="341"/>
        <v>26.288452865679979</v>
      </c>
      <c r="R1013" s="19">
        <f t="shared" ca="1" si="342"/>
        <v>2.7233585901539783</v>
      </c>
      <c r="S1013" s="19">
        <f t="shared" ca="1" si="343"/>
        <v>2.8178718937399587</v>
      </c>
      <c r="T1013" s="19">
        <f t="shared" ca="1" si="344"/>
        <v>2.2905483454110586E-3</v>
      </c>
      <c r="U1013" s="19">
        <f t="shared" ca="1" si="345"/>
        <v>1486.3251747165598</v>
      </c>
      <c r="V1013" s="19">
        <f t="shared" ca="1" si="346"/>
        <v>1.2081811374225642</v>
      </c>
      <c r="W1013" s="82">
        <f t="shared" ca="1" si="347"/>
        <v>5232.8929007523147</v>
      </c>
      <c r="X1013" s="19">
        <f t="shared" ca="1" si="348"/>
        <v>4.2536334608253163</v>
      </c>
      <c r="Y1013" s="19">
        <f t="shared" si="349"/>
        <v>0</v>
      </c>
      <c r="Z1013" s="82">
        <f t="shared" ca="1" si="350"/>
        <v>5232.8929007523147</v>
      </c>
      <c r="AA1013" s="19">
        <f t="shared" ca="1" si="351"/>
        <v>4.2536334608253163</v>
      </c>
    </row>
    <row r="1014" spans="1:27" ht="12.75" customHeight="1" x14ac:dyDescent="0.2">
      <c r="A1014">
        <v>3</v>
      </c>
      <c r="B1014">
        <v>2</v>
      </c>
      <c r="C1014">
        <f t="shared" ca="1" si="330"/>
        <v>7</v>
      </c>
      <c r="D1014">
        <f t="shared" ca="1" si="331"/>
        <v>6</v>
      </c>
      <c r="E1014">
        <f t="shared" ca="1" si="332"/>
        <v>3</v>
      </c>
      <c r="F1014" s="61">
        <f t="shared" ca="1" si="333"/>
        <v>1.1639999999999999E-3</v>
      </c>
      <c r="G1014">
        <v>1</v>
      </c>
      <c r="H1014">
        <v>0</v>
      </c>
      <c r="I1014">
        <v>5</v>
      </c>
      <c r="J1014" s="61">
        <f t="shared" ca="1" si="334"/>
        <v>0.22052756718750019</v>
      </c>
      <c r="K1014" s="61">
        <f t="shared" ca="1" si="335"/>
        <v>2.5669408820625021E-4</v>
      </c>
      <c r="L1014" s="82">
        <f t="shared" ca="1" si="336"/>
        <v>216</v>
      </c>
      <c r="M1014" s="16">
        <f t="shared" ca="1" si="337"/>
        <v>784</v>
      </c>
      <c r="N1014" s="3">
        <f t="shared" ca="1" si="338"/>
        <v>5</v>
      </c>
      <c r="O1014" s="19">
        <f t="shared" ca="1" si="339"/>
        <v>2.8178718937399587</v>
      </c>
      <c r="P1014" s="19">
        <f t="shared" ca="1" si="340"/>
        <v>28.178718937399587</v>
      </c>
      <c r="Q1014" s="19">
        <f t="shared" ca="1" si="341"/>
        <v>28.178718937399587</v>
      </c>
      <c r="R1014" s="19">
        <f t="shared" ca="1" si="342"/>
        <v>2.8178718937399587</v>
      </c>
      <c r="S1014" s="19">
        <f t="shared" ca="1" si="343"/>
        <v>2.8178718937399587</v>
      </c>
      <c r="T1014" s="19">
        <f t="shared" ca="1" si="344"/>
        <v>7.2333105644559832E-4</v>
      </c>
      <c r="U1014" s="19">
        <f t="shared" ca="1" si="345"/>
        <v>1475.3251747165598</v>
      </c>
      <c r="V1014" s="19">
        <f t="shared" ca="1" si="346"/>
        <v>0.3787072505315941</v>
      </c>
      <c r="W1014" s="82">
        <f t="shared" ca="1" si="347"/>
        <v>4746.9876707175936</v>
      </c>
      <c r="X1014" s="19">
        <f t="shared" ca="1" si="348"/>
        <v>1.2185236718611643</v>
      </c>
      <c r="Y1014" s="19">
        <f t="shared" si="349"/>
        <v>0</v>
      </c>
      <c r="Z1014" s="82">
        <f t="shared" ca="1" si="350"/>
        <v>4746.9876707175936</v>
      </c>
      <c r="AA1014" s="19">
        <f t="shared" ca="1" si="351"/>
        <v>1.2185236718611643</v>
      </c>
    </row>
    <row r="1015" spans="1:27" ht="12.75" customHeight="1" x14ac:dyDescent="0.2">
      <c r="A1015">
        <v>3</v>
      </c>
      <c r="B1015">
        <v>2</v>
      </c>
      <c r="C1015">
        <f t="shared" ca="1" si="330"/>
        <v>7</v>
      </c>
      <c r="D1015">
        <f t="shared" ca="1" si="331"/>
        <v>6</v>
      </c>
      <c r="E1015">
        <f t="shared" ca="1" si="332"/>
        <v>3</v>
      </c>
      <c r="F1015" s="61">
        <f t="shared" ca="1" si="333"/>
        <v>1.1639999999999999E-3</v>
      </c>
      <c r="G1015">
        <v>1</v>
      </c>
      <c r="H1015">
        <v>0</v>
      </c>
      <c r="I1015">
        <v>4</v>
      </c>
      <c r="J1015" s="61">
        <f t="shared" ca="1" si="334"/>
        <v>2.9016785156250047E-2</v>
      </c>
      <c r="K1015" s="61">
        <f t="shared" ca="1" si="335"/>
        <v>3.3775537921875054E-5</v>
      </c>
      <c r="L1015" s="82">
        <f t="shared" ca="1" si="336"/>
        <v>205</v>
      </c>
      <c r="M1015" s="16">
        <f t="shared" ca="1" si="337"/>
        <v>795</v>
      </c>
      <c r="N1015" s="3">
        <f t="shared" ca="1" si="338"/>
        <v>5</v>
      </c>
      <c r="O1015" s="19">
        <f t="shared" ca="1" si="339"/>
        <v>2.8178718937399587</v>
      </c>
      <c r="P1015" s="19">
        <f t="shared" ca="1" si="340"/>
        <v>28.178718937399587</v>
      </c>
      <c r="Q1015" s="19">
        <f t="shared" ca="1" si="341"/>
        <v>28.178718937399587</v>
      </c>
      <c r="R1015" s="19">
        <f t="shared" ca="1" si="342"/>
        <v>2.8178718937399587</v>
      </c>
      <c r="S1015" s="19">
        <f t="shared" ca="1" si="343"/>
        <v>2.8178718937399587</v>
      </c>
      <c r="T1015" s="19">
        <f t="shared" ca="1" si="344"/>
        <v>9.5175139005999849E-5</v>
      </c>
      <c r="U1015" s="19">
        <f t="shared" ca="1" si="345"/>
        <v>1464.3251747165598</v>
      </c>
      <c r="V1015" s="19">
        <f t="shared" ca="1" si="346"/>
        <v>4.9458370468595476E-2</v>
      </c>
      <c r="W1015" s="82">
        <f t="shared" ca="1" si="347"/>
        <v>4261.0824406828706</v>
      </c>
      <c r="X1015" s="19">
        <f t="shared" ca="1" si="348"/>
        <v>0.1439203515635202</v>
      </c>
      <c r="Y1015" s="19">
        <f t="shared" si="349"/>
        <v>0</v>
      </c>
      <c r="Z1015" s="82">
        <f t="shared" ca="1" si="350"/>
        <v>4261.0824406828706</v>
      </c>
      <c r="AA1015" s="19">
        <f t="shared" ca="1" si="351"/>
        <v>0.1439203515635202</v>
      </c>
    </row>
    <row r="1016" spans="1:27" ht="12.75" customHeight="1" x14ac:dyDescent="0.2">
      <c r="A1016">
        <v>3</v>
      </c>
      <c r="B1016">
        <v>2</v>
      </c>
      <c r="C1016">
        <f t="shared" ca="1" si="330"/>
        <v>7</v>
      </c>
      <c r="D1016">
        <f t="shared" ca="1" si="331"/>
        <v>6</v>
      </c>
      <c r="E1016">
        <f t="shared" ca="1" si="332"/>
        <v>3</v>
      </c>
      <c r="F1016" s="61">
        <f t="shared" ca="1" si="333"/>
        <v>1.1639999999999999E-3</v>
      </c>
      <c r="G1016">
        <v>1</v>
      </c>
      <c r="H1016">
        <v>0</v>
      </c>
      <c r="I1016">
        <v>3</v>
      </c>
      <c r="J1016" s="61">
        <f t="shared" ca="1" si="334"/>
        <v>2.0362656250000047E-3</v>
      </c>
      <c r="K1016" s="61">
        <f t="shared" ca="1" si="335"/>
        <v>2.3702131875000051E-6</v>
      </c>
      <c r="L1016" s="82">
        <f t="shared" ca="1" si="336"/>
        <v>194</v>
      </c>
      <c r="M1016" s="16">
        <f t="shared" ca="1" si="337"/>
        <v>806</v>
      </c>
      <c r="N1016" s="3">
        <f t="shared" ca="1" si="338"/>
        <v>5</v>
      </c>
      <c r="O1016" s="19">
        <f t="shared" ca="1" si="339"/>
        <v>2.8178718937399587</v>
      </c>
      <c r="P1016" s="19">
        <f t="shared" ca="1" si="340"/>
        <v>28.178718937399587</v>
      </c>
      <c r="Q1016" s="19">
        <f t="shared" ca="1" si="341"/>
        <v>28.178718937399587</v>
      </c>
      <c r="R1016" s="19">
        <f t="shared" ca="1" si="342"/>
        <v>2.8178718937399587</v>
      </c>
      <c r="S1016" s="19">
        <f t="shared" ca="1" si="343"/>
        <v>2.8178718937399587</v>
      </c>
      <c r="T1016" s="19">
        <f t="shared" ca="1" si="344"/>
        <v>6.6789571232280631E-6</v>
      </c>
      <c r="U1016" s="19">
        <f t="shared" ca="1" si="345"/>
        <v>1453.3251747165598</v>
      </c>
      <c r="V1016" s="19">
        <f t="shared" ca="1" si="346"/>
        <v>3.4446904948389392E-3</v>
      </c>
      <c r="W1016" s="82">
        <f t="shared" ca="1" si="347"/>
        <v>3775.1772106481485</v>
      </c>
      <c r="X1016" s="19">
        <f t="shared" ca="1" si="348"/>
        <v>8.9479748098277266E-3</v>
      </c>
      <c r="Y1016" s="19">
        <f t="shared" si="349"/>
        <v>0</v>
      </c>
      <c r="Z1016" s="82">
        <f t="shared" ca="1" si="350"/>
        <v>3775.1772106481485</v>
      </c>
      <c r="AA1016" s="19">
        <f t="shared" ca="1" si="351"/>
        <v>8.9479748098277266E-3</v>
      </c>
    </row>
    <row r="1017" spans="1:27" ht="12.75" customHeight="1" x14ac:dyDescent="0.2">
      <c r="A1017">
        <v>3</v>
      </c>
      <c r="B1017">
        <v>2</v>
      </c>
      <c r="C1017">
        <f t="shared" ca="1" si="330"/>
        <v>7</v>
      </c>
      <c r="D1017">
        <f t="shared" ca="1" si="331"/>
        <v>6</v>
      </c>
      <c r="E1017">
        <f t="shared" ca="1" si="332"/>
        <v>3</v>
      </c>
      <c r="F1017" s="61">
        <f t="shared" ca="1" si="333"/>
        <v>1.1639999999999999E-3</v>
      </c>
      <c r="G1017">
        <v>1</v>
      </c>
      <c r="H1017">
        <v>0</v>
      </c>
      <c r="I1017">
        <v>2</v>
      </c>
      <c r="J1017" s="61">
        <f t="shared" ca="1" si="334"/>
        <v>8.0378906250000291E-5</v>
      </c>
      <c r="K1017" s="61">
        <f t="shared" ca="1" si="335"/>
        <v>9.3561046875000329E-8</v>
      </c>
      <c r="L1017" s="82">
        <f t="shared" ca="1" si="336"/>
        <v>183</v>
      </c>
      <c r="M1017" s="16">
        <f t="shared" ca="1" si="337"/>
        <v>817</v>
      </c>
      <c r="N1017" s="3">
        <f t="shared" ca="1" si="338"/>
        <v>5</v>
      </c>
      <c r="O1017" s="19">
        <f t="shared" ca="1" si="339"/>
        <v>2.8178718937399587</v>
      </c>
      <c r="P1017" s="19">
        <f t="shared" ca="1" si="340"/>
        <v>28.178718937399587</v>
      </c>
      <c r="Q1017" s="19">
        <f t="shared" ca="1" si="341"/>
        <v>28.178718937399587</v>
      </c>
      <c r="R1017" s="19">
        <f t="shared" ca="1" si="342"/>
        <v>2.8178718937399587</v>
      </c>
      <c r="S1017" s="19">
        <f t="shared" ca="1" si="343"/>
        <v>2.8178718937399587</v>
      </c>
      <c r="T1017" s="19">
        <f t="shared" ca="1" si="344"/>
        <v>2.6364304433795024E-7</v>
      </c>
      <c r="U1017" s="19">
        <f t="shared" ca="1" si="345"/>
        <v>1442.3251747165598</v>
      </c>
      <c r="V1017" s="19">
        <f t="shared" ca="1" si="346"/>
        <v>1.349454532806491E-4</v>
      </c>
      <c r="W1017" s="82">
        <f t="shared" ca="1" si="347"/>
        <v>3289.2719806134264</v>
      </c>
      <c r="X1017" s="19">
        <f t="shared" ca="1" si="348"/>
        <v>3.0774772996279798E-4</v>
      </c>
      <c r="Y1017" s="19">
        <f t="shared" si="349"/>
        <v>0</v>
      </c>
      <c r="Z1017" s="82">
        <f t="shared" ca="1" si="350"/>
        <v>3289.2719806134264</v>
      </c>
      <c r="AA1017" s="19">
        <f t="shared" ca="1" si="351"/>
        <v>3.0774772996279798E-4</v>
      </c>
    </row>
    <row r="1018" spans="1:27" ht="12.75" customHeight="1" x14ac:dyDescent="0.2">
      <c r="A1018">
        <v>3</v>
      </c>
      <c r="B1018">
        <v>2</v>
      </c>
      <c r="C1018">
        <f t="shared" ca="1" si="330"/>
        <v>7</v>
      </c>
      <c r="D1018">
        <f t="shared" ca="1" si="331"/>
        <v>6</v>
      </c>
      <c r="E1018">
        <f t="shared" ca="1" si="332"/>
        <v>3</v>
      </c>
      <c r="F1018" s="61">
        <f t="shared" ca="1" si="333"/>
        <v>1.1639999999999999E-3</v>
      </c>
      <c r="G1018">
        <v>1</v>
      </c>
      <c r="H1018">
        <v>0</v>
      </c>
      <c r="I1018">
        <v>1</v>
      </c>
      <c r="J1018" s="61">
        <f t="shared" ca="1" si="334"/>
        <v>1.6921875000000077E-6</v>
      </c>
      <c r="K1018" s="61">
        <f t="shared" ca="1" si="335"/>
        <v>1.9697062500000085E-9</v>
      </c>
      <c r="L1018" s="82">
        <f t="shared" ca="1" si="336"/>
        <v>172</v>
      </c>
      <c r="M1018" s="16">
        <f t="shared" ca="1" si="337"/>
        <v>828</v>
      </c>
      <c r="N1018" s="3">
        <f t="shared" ca="1" si="338"/>
        <v>5</v>
      </c>
      <c r="O1018" s="19">
        <f t="shared" ca="1" si="339"/>
        <v>2.8178718937399587</v>
      </c>
      <c r="P1018" s="19">
        <f t="shared" ca="1" si="340"/>
        <v>28.178718937399587</v>
      </c>
      <c r="Q1018" s="19">
        <f t="shared" ca="1" si="341"/>
        <v>28.178718937399587</v>
      </c>
      <c r="R1018" s="19">
        <f t="shared" ca="1" si="342"/>
        <v>2.8178718937399587</v>
      </c>
      <c r="S1018" s="19">
        <f t="shared" ca="1" si="343"/>
        <v>2.8178718937399587</v>
      </c>
      <c r="T1018" s="19">
        <f t="shared" ca="1" si="344"/>
        <v>5.5503798807989563E-9</v>
      </c>
      <c r="U1018" s="19">
        <f t="shared" ca="1" si="345"/>
        <v>1431.3251747165598</v>
      </c>
      <c r="V1018" s="19">
        <f t="shared" ca="1" si="346"/>
        <v>2.8192901424215618E-6</v>
      </c>
      <c r="W1018" s="82">
        <f t="shared" ca="1" si="347"/>
        <v>2803.3667505787039</v>
      </c>
      <c r="X1018" s="19">
        <f t="shared" ca="1" si="348"/>
        <v>5.5218090096570877E-6</v>
      </c>
      <c r="Y1018" s="19">
        <f t="shared" si="349"/>
        <v>0</v>
      </c>
      <c r="Z1018" s="82">
        <f t="shared" ca="1" si="350"/>
        <v>2803.3667505787039</v>
      </c>
      <c r="AA1018" s="19">
        <f t="shared" ca="1" si="351"/>
        <v>5.5218090096570877E-6</v>
      </c>
    </row>
    <row r="1019" spans="1:27" ht="12.75" customHeight="1" x14ac:dyDescent="0.2">
      <c r="A1019">
        <v>3</v>
      </c>
      <c r="B1019">
        <v>2</v>
      </c>
      <c r="C1019">
        <f t="shared" ca="1" si="330"/>
        <v>7</v>
      </c>
      <c r="D1019">
        <f t="shared" ca="1" si="331"/>
        <v>6</v>
      </c>
      <c r="E1019">
        <f t="shared" ca="1" si="332"/>
        <v>3</v>
      </c>
      <c r="F1019" s="61">
        <f t="shared" ca="1" si="333"/>
        <v>1.1639999999999999E-3</v>
      </c>
      <c r="G1019">
        <v>1</v>
      </c>
      <c r="H1019">
        <v>0</v>
      </c>
      <c r="I1019">
        <v>0</v>
      </c>
      <c r="J1019" s="61">
        <f t="shared" ca="1" si="334"/>
        <v>1.4843750000000078E-8</v>
      </c>
      <c r="K1019" s="61">
        <f t="shared" ca="1" si="335"/>
        <v>1.7278125000000088E-11</v>
      </c>
      <c r="L1019" s="82">
        <f t="shared" ca="1" si="336"/>
        <v>161</v>
      </c>
      <c r="M1019" s="16">
        <f t="shared" ca="1" si="337"/>
        <v>839</v>
      </c>
      <c r="N1019" s="3">
        <f t="shared" ca="1" si="338"/>
        <v>5</v>
      </c>
      <c r="O1019" s="19">
        <f t="shared" ca="1" si="339"/>
        <v>2.8178718937399587</v>
      </c>
      <c r="P1019" s="19">
        <f t="shared" ca="1" si="340"/>
        <v>28.178718937399587</v>
      </c>
      <c r="Q1019" s="19">
        <f t="shared" ca="1" si="341"/>
        <v>28.178718937399587</v>
      </c>
      <c r="R1019" s="19">
        <f t="shared" ca="1" si="342"/>
        <v>2.8178718937399587</v>
      </c>
      <c r="S1019" s="19">
        <f t="shared" ca="1" si="343"/>
        <v>2.8178718937399587</v>
      </c>
      <c r="T1019" s="19">
        <f t="shared" ca="1" si="344"/>
        <v>4.868754281402597E-11</v>
      </c>
      <c r="U1019" s="19">
        <f t="shared" ca="1" si="345"/>
        <v>1420.3251747165598</v>
      </c>
      <c r="V1019" s="19">
        <f t="shared" ca="1" si="346"/>
        <v>2.4540555909399684E-8</v>
      </c>
      <c r="W1019" s="82">
        <f t="shared" ca="1" si="347"/>
        <v>2317.4615205439818</v>
      </c>
      <c r="X1019" s="19">
        <f t="shared" ca="1" si="348"/>
        <v>4.0041389834649189E-8</v>
      </c>
      <c r="Y1019" s="19">
        <f t="shared" si="349"/>
        <v>0</v>
      </c>
      <c r="Z1019" s="82">
        <f t="shared" ca="1" si="350"/>
        <v>2317.4615205439818</v>
      </c>
      <c r="AA1019" s="19">
        <f t="shared" ca="1" si="351"/>
        <v>4.0041389834649189E-8</v>
      </c>
    </row>
    <row r="1020" spans="1:27" ht="12.75" customHeight="1" x14ac:dyDescent="0.2">
      <c r="A1020">
        <v>3</v>
      </c>
      <c r="B1020">
        <v>2</v>
      </c>
      <c r="C1020">
        <f t="shared" ca="1" si="330"/>
        <v>7</v>
      </c>
      <c r="D1020">
        <f t="shared" ca="1" si="331"/>
        <v>6</v>
      </c>
      <c r="E1020">
        <f t="shared" ca="1" si="332"/>
        <v>3</v>
      </c>
      <c r="F1020" s="61">
        <f t="shared" ca="1" si="333"/>
        <v>1.1639999999999999E-3</v>
      </c>
      <c r="G1020">
        <v>0</v>
      </c>
      <c r="H1020">
        <v>1</v>
      </c>
      <c r="I1020">
        <v>7</v>
      </c>
      <c r="J1020" s="61">
        <f t="shared" ca="1" si="334"/>
        <v>0</v>
      </c>
      <c r="K1020" s="61">
        <f t="shared" ca="1" si="335"/>
        <v>0</v>
      </c>
      <c r="L1020" s="82">
        <f t="shared" ca="1" si="336"/>
        <v>238</v>
      </c>
      <c r="M1020" s="16">
        <f t="shared" ca="1" si="337"/>
        <v>762</v>
      </c>
      <c r="N1020" s="3">
        <f t="shared" ca="1" si="338"/>
        <v>5</v>
      </c>
      <c r="O1020" s="19">
        <f t="shared" ca="1" si="339"/>
        <v>2.8178718937399587</v>
      </c>
      <c r="P1020" s="19">
        <f t="shared" ca="1" si="340"/>
        <v>25.815886347750073</v>
      </c>
      <c r="Q1020" s="19">
        <f t="shared" ca="1" si="341"/>
        <v>23.453053758100552</v>
      </c>
      <c r="R1020" s="19">
        <f t="shared" ca="1" si="342"/>
        <v>2.4634470052925312</v>
      </c>
      <c r="S1020" s="19">
        <f t="shared" ca="1" si="343"/>
        <v>2.8178718937399587</v>
      </c>
      <c r="T1020" s="19">
        <f t="shared" ca="1" si="344"/>
        <v>0</v>
      </c>
      <c r="U1020" s="19">
        <f t="shared" ca="1" si="345"/>
        <v>1497.3251747165598</v>
      </c>
      <c r="V1020" s="19">
        <f t="shared" ca="1" si="346"/>
        <v>0</v>
      </c>
      <c r="W1020" s="82">
        <f t="shared" ca="1" si="347"/>
        <v>3401.3366102430559</v>
      </c>
      <c r="X1020" s="19">
        <f t="shared" ca="1" si="348"/>
        <v>0</v>
      </c>
      <c r="Y1020" s="19">
        <f t="shared" si="349"/>
        <v>0</v>
      </c>
      <c r="Z1020" s="82">
        <f t="shared" ca="1" si="350"/>
        <v>3401.3366102430559</v>
      </c>
      <c r="AA1020" s="19">
        <f t="shared" ca="1" si="351"/>
        <v>0</v>
      </c>
    </row>
    <row r="1021" spans="1:27" ht="12.75" customHeight="1" x14ac:dyDescent="0.2">
      <c r="A1021">
        <v>3</v>
      </c>
      <c r="B1021">
        <v>2</v>
      </c>
      <c r="C1021">
        <f t="shared" ca="1" si="330"/>
        <v>7</v>
      </c>
      <c r="D1021">
        <f t="shared" ca="1" si="331"/>
        <v>6</v>
      </c>
      <c r="E1021">
        <f t="shared" ca="1" si="332"/>
        <v>3</v>
      </c>
      <c r="F1021" s="61">
        <f t="shared" ca="1" si="333"/>
        <v>1.1639999999999999E-3</v>
      </c>
      <c r="G1021">
        <v>0</v>
      </c>
      <c r="H1021">
        <v>1</v>
      </c>
      <c r="I1021">
        <v>6</v>
      </c>
      <c r="J1021" s="61">
        <f t="shared" ca="1" si="334"/>
        <v>0</v>
      </c>
      <c r="K1021" s="61">
        <f t="shared" ca="1" si="335"/>
        <v>0</v>
      </c>
      <c r="L1021" s="82">
        <f t="shared" ca="1" si="336"/>
        <v>227</v>
      </c>
      <c r="M1021" s="16">
        <f t="shared" ca="1" si="337"/>
        <v>773</v>
      </c>
      <c r="N1021" s="3">
        <f t="shared" ca="1" si="338"/>
        <v>5</v>
      </c>
      <c r="O1021" s="19">
        <f t="shared" ca="1" si="339"/>
        <v>2.8178718937399587</v>
      </c>
      <c r="P1021" s="19">
        <f t="shared" ca="1" si="340"/>
        <v>28.178718937399587</v>
      </c>
      <c r="Q1021" s="19">
        <f t="shared" ca="1" si="341"/>
        <v>26.288452865679979</v>
      </c>
      <c r="R1021" s="19">
        <f t="shared" ca="1" si="342"/>
        <v>2.7233585901539783</v>
      </c>
      <c r="S1021" s="19">
        <f t="shared" ca="1" si="343"/>
        <v>2.8178718937399587</v>
      </c>
      <c r="T1021" s="19">
        <f t="shared" ca="1" si="344"/>
        <v>0</v>
      </c>
      <c r="U1021" s="19">
        <f t="shared" ca="1" si="345"/>
        <v>1486.3251747165598</v>
      </c>
      <c r="V1021" s="19">
        <f t="shared" ca="1" si="346"/>
        <v>0</v>
      </c>
      <c r="W1021" s="82">
        <f t="shared" ca="1" si="347"/>
        <v>2915.4313802083334</v>
      </c>
      <c r="X1021" s="19">
        <f t="shared" ca="1" si="348"/>
        <v>0</v>
      </c>
      <c r="Y1021" s="19">
        <f t="shared" si="349"/>
        <v>0</v>
      </c>
      <c r="Z1021" s="82">
        <f t="shared" ca="1" si="350"/>
        <v>2915.4313802083334</v>
      </c>
      <c r="AA1021" s="19">
        <f t="shared" ca="1" si="351"/>
        <v>0</v>
      </c>
    </row>
    <row r="1022" spans="1:27" ht="12.75" customHeight="1" x14ac:dyDescent="0.2">
      <c r="A1022">
        <v>3</v>
      </c>
      <c r="B1022">
        <v>2</v>
      </c>
      <c r="C1022">
        <f t="shared" ca="1" si="330"/>
        <v>7</v>
      </c>
      <c r="D1022">
        <f t="shared" ca="1" si="331"/>
        <v>6</v>
      </c>
      <c r="E1022">
        <f t="shared" ca="1" si="332"/>
        <v>3</v>
      </c>
      <c r="F1022" s="61">
        <f t="shared" ca="1" si="333"/>
        <v>1.1639999999999999E-3</v>
      </c>
      <c r="G1022">
        <v>0</v>
      </c>
      <c r="H1022">
        <v>1</v>
      </c>
      <c r="I1022">
        <v>5</v>
      </c>
      <c r="J1022" s="61">
        <f t="shared" ca="1" si="334"/>
        <v>0</v>
      </c>
      <c r="K1022" s="61">
        <f t="shared" ca="1" si="335"/>
        <v>0</v>
      </c>
      <c r="L1022" s="82">
        <f t="shared" ca="1" si="336"/>
        <v>216</v>
      </c>
      <c r="M1022" s="16">
        <f t="shared" ca="1" si="337"/>
        <v>784</v>
      </c>
      <c r="N1022" s="3">
        <f t="shared" ca="1" si="338"/>
        <v>5</v>
      </c>
      <c r="O1022" s="19">
        <f t="shared" ca="1" si="339"/>
        <v>2.8178718937399587</v>
      </c>
      <c r="P1022" s="19">
        <f t="shared" ca="1" si="340"/>
        <v>28.178718937399587</v>
      </c>
      <c r="Q1022" s="19">
        <f t="shared" ca="1" si="341"/>
        <v>28.178718937399587</v>
      </c>
      <c r="R1022" s="19">
        <f t="shared" ca="1" si="342"/>
        <v>2.8178718937399587</v>
      </c>
      <c r="S1022" s="19">
        <f t="shared" ca="1" si="343"/>
        <v>2.8178718937399587</v>
      </c>
      <c r="T1022" s="19">
        <f t="shared" ca="1" si="344"/>
        <v>0</v>
      </c>
      <c r="U1022" s="19">
        <f t="shared" ca="1" si="345"/>
        <v>1475.3251747165598</v>
      </c>
      <c r="V1022" s="19">
        <f t="shared" ca="1" si="346"/>
        <v>0</v>
      </c>
      <c r="W1022" s="82">
        <f t="shared" ca="1" si="347"/>
        <v>2429.5261501736113</v>
      </c>
      <c r="X1022" s="19">
        <f t="shared" ca="1" si="348"/>
        <v>0</v>
      </c>
      <c r="Y1022" s="19">
        <f t="shared" si="349"/>
        <v>0</v>
      </c>
      <c r="Z1022" s="82">
        <f t="shared" ca="1" si="350"/>
        <v>2429.5261501736113</v>
      </c>
      <c r="AA1022" s="19">
        <f t="shared" ca="1" si="351"/>
        <v>0</v>
      </c>
    </row>
    <row r="1023" spans="1:27" ht="12.75" customHeight="1" x14ac:dyDescent="0.2">
      <c r="A1023">
        <v>3</v>
      </c>
      <c r="B1023">
        <v>2</v>
      </c>
      <c r="C1023">
        <f t="shared" ca="1" si="330"/>
        <v>7</v>
      </c>
      <c r="D1023">
        <f t="shared" ca="1" si="331"/>
        <v>6</v>
      </c>
      <c r="E1023">
        <f t="shared" ca="1" si="332"/>
        <v>3</v>
      </c>
      <c r="F1023" s="61">
        <f t="shared" ca="1" si="333"/>
        <v>1.1639999999999999E-3</v>
      </c>
      <c r="G1023">
        <v>0</v>
      </c>
      <c r="H1023">
        <v>1</v>
      </c>
      <c r="I1023">
        <v>4</v>
      </c>
      <c r="J1023" s="61">
        <f t="shared" ca="1" si="334"/>
        <v>0</v>
      </c>
      <c r="K1023" s="61">
        <f t="shared" ca="1" si="335"/>
        <v>0</v>
      </c>
      <c r="L1023" s="82">
        <f t="shared" ca="1" si="336"/>
        <v>205</v>
      </c>
      <c r="M1023" s="16">
        <f t="shared" ca="1" si="337"/>
        <v>795</v>
      </c>
      <c r="N1023" s="3">
        <f t="shared" ca="1" si="338"/>
        <v>5</v>
      </c>
      <c r="O1023" s="19">
        <f t="shared" ca="1" si="339"/>
        <v>2.8178718937399587</v>
      </c>
      <c r="P1023" s="19">
        <f t="shared" ca="1" si="340"/>
        <v>28.178718937399587</v>
      </c>
      <c r="Q1023" s="19">
        <f t="shared" ca="1" si="341"/>
        <v>28.178718937399587</v>
      </c>
      <c r="R1023" s="19">
        <f t="shared" ca="1" si="342"/>
        <v>2.8178718937399587</v>
      </c>
      <c r="S1023" s="19">
        <f t="shared" ca="1" si="343"/>
        <v>2.8178718937399587</v>
      </c>
      <c r="T1023" s="19">
        <f t="shared" ca="1" si="344"/>
        <v>0</v>
      </c>
      <c r="U1023" s="19">
        <f t="shared" ca="1" si="345"/>
        <v>1464.3251747165598</v>
      </c>
      <c r="V1023" s="19">
        <f t="shared" ca="1" si="346"/>
        <v>0</v>
      </c>
      <c r="W1023" s="82">
        <f t="shared" ca="1" si="347"/>
        <v>1943.620920138889</v>
      </c>
      <c r="X1023" s="19">
        <f t="shared" ca="1" si="348"/>
        <v>0</v>
      </c>
      <c r="Y1023" s="19">
        <f t="shared" si="349"/>
        <v>0</v>
      </c>
      <c r="Z1023" s="82">
        <f t="shared" ca="1" si="350"/>
        <v>1943.620920138889</v>
      </c>
      <c r="AA1023" s="19">
        <f t="shared" ca="1" si="351"/>
        <v>0</v>
      </c>
    </row>
    <row r="1024" spans="1:27" ht="12.75" customHeight="1" x14ac:dyDescent="0.2">
      <c r="A1024">
        <v>3</v>
      </c>
      <c r="B1024">
        <v>2</v>
      </c>
      <c r="C1024">
        <f t="shared" ca="1" si="330"/>
        <v>7</v>
      </c>
      <c r="D1024">
        <f t="shared" ca="1" si="331"/>
        <v>6</v>
      </c>
      <c r="E1024">
        <f t="shared" ca="1" si="332"/>
        <v>3</v>
      </c>
      <c r="F1024" s="61">
        <f t="shared" ca="1" si="333"/>
        <v>1.1639999999999999E-3</v>
      </c>
      <c r="G1024">
        <v>0</v>
      </c>
      <c r="H1024">
        <v>1</v>
      </c>
      <c r="I1024">
        <v>3</v>
      </c>
      <c r="J1024" s="61">
        <f t="shared" ca="1" si="334"/>
        <v>0</v>
      </c>
      <c r="K1024" s="61">
        <f t="shared" ca="1" si="335"/>
        <v>0</v>
      </c>
      <c r="L1024" s="82">
        <f t="shared" ca="1" si="336"/>
        <v>194</v>
      </c>
      <c r="M1024" s="16">
        <f t="shared" ca="1" si="337"/>
        <v>806</v>
      </c>
      <c r="N1024" s="3">
        <f t="shared" ca="1" si="338"/>
        <v>5</v>
      </c>
      <c r="O1024" s="19">
        <f t="shared" ca="1" si="339"/>
        <v>2.8178718937399587</v>
      </c>
      <c r="P1024" s="19">
        <f t="shared" ca="1" si="340"/>
        <v>28.178718937399587</v>
      </c>
      <c r="Q1024" s="19">
        <f t="shared" ca="1" si="341"/>
        <v>28.178718937399587</v>
      </c>
      <c r="R1024" s="19">
        <f t="shared" ca="1" si="342"/>
        <v>2.8178718937399587</v>
      </c>
      <c r="S1024" s="19">
        <f t="shared" ca="1" si="343"/>
        <v>2.8178718937399587</v>
      </c>
      <c r="T1024" s="19">
        <f t="shared" ca="1" si="344"/>
        <v>0</v>
      </c>
      <c r="U1024" s="19">
        <f t="shared" ca="1" si="345"/>
        <v>1453.3251747165598</v>
      </c>
      <c r="V1024" s="19">
        <f t="shared" ca="1" si="346"/>
        <v>0</v>
      </c>
      <c r="W1024" s="82">
        <f t="shared" ca="1" si="347"/>
        <v>1457.7156901041667</v>
      </c>
      <c r="X1024" s="19">
        <f t="shared" ca="1" si="348"/>
        <v>0</v>
      </c>
      <c r="Y1024" s="19">
        <f t="shared" si="349"/>
        <v>0</v>
      </c>
      <c r="Z1024" s="82">
        <f t="shared" ca="1" si="350"/>
        <v>1457.7156901041667</v>
      </c>
      <c r="AA1024" s="19">
        <f t="shared" ca="1" si="351"/>
        <v>0</v>
      </c>
    </row>
    <row r="1025" spans="1:27" ht="12.75" customHeight="1" x14ac:dyDescent="0.2">
      <c r="A1025">
        <v>3</v>
      </c>
      <c r="B1025">
        <v>2</v>
      </c>
      <c r="C1025">
        <f t="shared" ca="1" si="330"/>
        <v>7</v>
      </c>
      <c r="D1025">
        <f t="shared" ca="1" si="331"/>
        <v>6</v>
      </c>
      <c r="E1025">
        <f t="shared" ca="1" si="332"/>
        <v>3</v>
      </c>
      <c r="F1025" s="61">
        <f t="shared" ca="1" si="333"/>
        <v>1.1639999999999999E-3</v>
      </c>
      <c r="G1025">
        <v>0</v>
      </c>
      <c r="H1025">
        <v>1</v>
      </c>
      <c r="I1025">
        <v>2</v>
      </c>
      <c r="J1025" s="61">
        <f t="shared" ca="1" si="334"/>
        <v>0</v>
      </c>
      <c r="K1025" s="61">
        <f t="shared" ca="1" si="335"/>
        <v>0</v>
      </c>
      <c r="L1025" s="82">
        <f t="shared" ca="1" si="336"/>
        <v>183</v>
      </c>
      <c r="M1025" s="16">
        <f t="shared" ca="1" si="337"/>
        <v>817</v>
      </c>
      <c r="N1025" s="3">
        <f t="shared" ca="1" si="338"/>
        <v>5</v>
      </c>
      <c r="O1025" s="19">
        <f t="shared" ca="1" si="339"/>
        <v>2.8178718937399587</v>
      </c>
      <c r="P1025" s="19">
        <f t="shared" ca="1" si="340"/>
        <v>28.178718937399587</v>
      </c>
      <c r="Q1025" s="19">
        <f t="shared" ca="1" si="341"/>
        <v>28.178718937399587</v>
      </c>
      <c r="R1025" s="19">
        <f t="shared" ca="1" si="342"/>
        <v>2.8178718937399587</v>
      </c>
      <c r="S1025" s="19">
        <f t="shared" ca="1" si="343"/>
        <v>2.8178718937399587</v>
      </c>
      <c r="T1025" s="19">
        <f t="shared" ca="1" si="344"/>
        <v>0</v>
      </c>
      <c r="U1025" s="19">
        <f t="shared" ca="1" si="345"/>
        <v>1442.3251747165598</v>
      </c>
      <c r="V1025" s="19">
        <f t="shared" ca="1" si="346"/>
        <v>0</v>
      </c>
      <c r="W1025" s="82">
        <f t="shared" ca="1" si="347"/>
        <v>971.8104600694445</v>
      </c>
      <c r="X1025" s="19">
        <f t="shared" ca="1" si="348"/>
        <v>0</v>
      </c>
      <c r="Y1025" s="19">
        <f t="shared" si="349"/>
        <v>0</v>
      </c>
      <c r="Z1025" s="82">
        <f t="shared" ca="1" si="350"/>
        <v>971.8104600694445</v>
      </c>
      <c r="AA1025" s="19">
        <f t="shared" ca="1" si="351"/>
        <v>0</v>
      </c>
    </row>
    <row r="1026" spans="1:27" ht="12.75" customHeight="1" x14ac:dyDescent="0.2">
      <c r="A1026">
        <v>3</v>
      </c>
      <c r="B1026">
        <v>2</v>
      </c>
      <c r="C1026">
        <f t="shared" ca="1" si="330"/>
        <v>7</v>
      </c>
      <c r="D1026">
        <f t="shared" ca="1" si="331"/>
        <v>6</v>
      </c>
      <c r="E1026">
        <f t="shared" ca="1" si="332"/>
        <v>3</v>
      </c>
      <c r="F1026" s="61">
        <f t="shared" ca="1" si="333"/>
        <v>1.1639999999999999E-3</v>
      </c>
      <c r="G1026">
        <v>0</v>
      </c>
      <c r="H1026">
        <v>1</v>
      </c>
      <c r="I1026">
        <v>1</v>
      </c>
      <c r="J1026" s="61">
        <f t="shared" ca="1" si="334"/>
        <v>0</v>
      </c>
      <c r="K1026" s="61">
        <f t="shared" ca="1" si="335"/>
        <v>0</v>
      </c>
      <c r="L1026" s="82">
        <f t="shared" ca="1" si="336"/>
        <v>172</v>
      </c>
      <c r="M1026" s="16">
        <f t="shared" ca="1" si="337"/>
        <v>828</v>
      </c>
      <c r="N1026" s="3">
        <f t="shared" ca="1" si="338"/>
        <v>5</v>
      </c>
      <c r="O1026" s="19">
        <f t="shared" ca="1" si="339"/>
        <v>2.8178718937399587</v>
      </c>
      <c r="P1026" s="19">
        <f t="shared" ca="1" si="340"/>
        <v>28.178718937399587</v>
      </c>
      <c r="Q1026" s="19">
        <f t="shared" ca="1" si="341"/>
        <v>28.178718937399587</v>
      </c>
      <c r="R1026" s="19">
        <f t="shared" ca="1" si="342"/>
        <v>2.8178718937399587</v>
      </c>
      <c r="S1026" s="19">
        <f t="shared" ca="1" si="343"/>
        <v>2.8178718937399587</v>
      </c>
      <c r="T1026" s="19">
        <f t="shared" ca="1" si="344"/>
        <v>0</v>
      </c>
      <c r="U1026" s="19">
        <f t="shared" ca="1" si="345"/>
        <v>1431.3251747165598</v>
      </c>
      <c r="V1026" s="19">
        <f t="shared" ca="1" si="346"/>
        <v>0</v>
      </c>
      <c r="W1026" s="82">
        <f t="shared" ca="1" si="347"/>
        <v>485.90523003472225</v>
      </c>
      <c r="X1026" s="19">
        <f t="shared" ca="1" si="348"/>
        <v>0</v>
      </c>
      <c r="Y1026" s="19">
        <f t="shared" si="349"/>
        <v>0</v>
      </c>
      <c r="Z1026" s="82">
        <f t="shared" ca="1" si="350"/>
        <v>485.90523003472225</v>
      </c>
      <c r="AA1026" s="19">
        <f t="shared" ca="1" si="351"/>
        <v>0</v>
      </c>
    </row>
    <row r="1027" spans="1:27" ht="12.75" customHeight="1" x14ac:dyDescent="0.2">
      <c r="A1027">
        <v>3</v>
      </c>
      <c r="B1027">
        <v>2</v>
      </c>
      <c r="C1027">
        <f t="shared" ca="1" si="330"/>
        <v>7</v>
      </c>
      <c r="D1027">
        <f t="shared" ca="1" si="331"/>
        <v>6</v>
      </c>
      <c r="E1027">
        <f t="shared" ca="1" si="332"/>
        <v>3</v>
      </c>
      <c r="F1027" s="61">
        <f t="shared" ca="1" si="333"/>
        <v>1.1639999999999999E-3</v>
      </c>
      <c r="G1027">
        <v>0</v>
      </c>
      <c r="H1027">
        <v>1</v>
      </c>
      <c r="I1027">
        <v>0</v>
      </c>
      <c r="J1027" s="61">
        <f t="shared" ca="1" si="334"/>
        <v>0</v>
      </c>
      <c r="K1027" s="61">
        <f t="shared" ca="1" si="335"/>
        <v>0</v>
      </c>
      <c r="L1027" s="82">
        <f t="shared" ca="1" si="336"/>
        <v>161</v>
      </c>
      <c r="M1027" s="16">
        <f t="shared" ca="1" si="337"/>
        <v>839</v>
      </c>
      <c r="N1027" s="3">
        <f t="shared" ca="1" si="338"/>
        <v>5</v>
      </c>
      <c r="O1027" s="19">
        <f t="shared" ca="1" si="339"/>
        <v>2.8178718937399587</v>
      </c>
      <c r="P1027" s="19">
        <f t="shared" ca="1" si="340"/>
        <v>28.178718937399587</v>
      </c>
      <c r="Q1027" s="19">
        <f t="shared" ca="1" si="341"/>
        <v>28.178718937399587</v>
      </c>
      <c r="R1027" s="19">
        <f t="shared" ca="1" si="342"/>
        <v>2.8178718937399587</v>
      </c>
      <c r="S1027" s="19">
        <f t="shared" ca="1" si="343"/>
        <v>2.8178718937399587</v>
      </c>
      <c r="T1027" s="19">
        <f t="shared" ca="1" si="344"/>
        <v>0</v>
      </c>
      <c r="U1027" s="19">
        <f t="shared" ca="1" si="345"/>
        <v>1420.3251747165598</v>
      </c>
      <c r="V1027" s="19">
        <f t="shared" ca="1" si="346"/>
        <v>0</v>
      </c>
      <c r="W1027" s="82">
        <f t="shared" ca="1" si="347"/>
        <v>0</v>
      </c>
      <c r="X1027" s="19">
        <f t="shared" ca="1" si="348"/>
        <v>0</v>
      </c>
      <c r="Y1027" s="19">
        <f t="shared" si="349"/>
        <v>0</v>
      </c>
      <c r="Z1027" s="82">
        <f t="shared" ca="1" si="350"/>
        <v>0</v>
      </c>
      <c r="AA1027" s="19">
        <f t="shared" ca="1" si="351"/>
        <v>0</v>
      </c>
    </row>
    <row r="1028" spans="1:27" ht="12.75" customHeight="1" x14ac:dyDescent="0.2">
      <c r="A1028">
        <v>3</v>
      </c>
      <c r="B1028">
        <v>2</v>
      </c>
      <c r="C1028">
        <f t="shared" ca="1" si="330"/>
        <v>7</v>
      </c>
      <c r="D1028">
        <f t="shared" ca="1" si="331"/>
        <v>6</v>
      </c>
      <c r="E1028">
        <f t="shared" ca="1" si="332"/>
        <v>3</v>
      </c>
      <c r="F1028" s="61">
        <f t="shared" ca="1" si="333"/>
        <v>1.1639999999999999E-3</v>
      </c>
      <c r="G1028">
        <v>0</v>
      </c>
      <c r="H1028">
        <v>0</v>
      </c>
      <c r="I1028">
        <v>7</v>
      </c>
      <c r="J1028" s="61">
        <f t="shared" ca="1" si="334"/>
        <v>0</v>
      </c>
      <c r="K1028" s="61">
        <f t="shared" ca="1" si="335"/>
        <v>0</v>
      </c>
      <c r="L1028" s="82">
        <f t="shared" ca="1" si="336"/>
        <v>77</v>
      </c>
      <c r="M1028" s="16">
        <f t="shared" ca="1" si="337"/>
        <v>923</v>
      </c>
      <c r="N1028" s="3">
        <f t="shared" ca="1" si="338"/>
        <v>5</v>
      </c>
      <c r="O1028" s="19">
        <f t="shared" ca="1" si="339"/>
        <v>2.8178718937399587</v>
      </c>
      <c r="P1028" s="19">
        <f t="shared" ca="1" si="340"/>
        <v>28.178718937399587</v>
      </c>
      <c r="Q1028" s="19">
        <f t="shared" ca="1" si="341"/>
        <v>28.178718937399587</v>
      </c>
      <c r="R1028" s="19">
        <f t="shared" ca="1" si="342"/>
        <v>2.8178718937399587</v>
      </c>
      <c r="S1028" s="19">
        <f t="shared" ca="1" si="343"/>
        <v>2.8178718937399587</v>
      </c>
      <c r="T1028" s="19">
        <f t="shared" ca="1" si="344"/>
        <v>0</v>
      </c>
      <c r="U1028" s="19">
        <f t="shared" ca="1" si="345"/>
        <v>1336.3251747165598</v>
      </c>
      <c r="V1028" s="19">
        <f t="shared" ca="1" si="346"/>
        <v>0</v>
      </c>
      <c r="W1028" s="82">
        <f t="shared" ca="1" si="347"/>
        <v>3401.3366102430559</v>
      </c>
      <c r="X1028" s="19">
        <f t="shared" ca="1" si="348"/>
        <v>0</v>
      </c>
      <c r="Y1028" s="19">
        <f t="shared" si="349"/>
        <v>0</v>
      </c>
      <c r="Z1028" s="82">
        <f t="shared" ca="1" si="350"/>
        <v>3401.3366102430559</v>
      </c>
      <c r="AA1028" s="19">
        <f t="shared" ca="1" si="351"/>
        <v>0</v>
      </c>
    </row>
    <row r="1029" spans="1:27" ht="12.75" customHeight="1" x14ac:dyDescent="0.2">
      <c r="A1029">
        <v>3</v>
      </c>
      <c r="B1029">
        <v>2</v>
      </c>
      <c r="C1029">
        <f t="shared" ca="1" si="330"/>
        <v>7</v>
      </c>
      <c r="D1029">
        <f t="shared" ca="1" si="331"/>
        <v>6</v>
      </c>
      <c r="E1029">
        <f t="shared" ca="1" si="332"/>
        <v>3</v>
      </c>
      <c r="F1029" s="61">
        <f t="shared" ca="1" si="333"/>
        <v>1.1639999999999999E-3</v>
      </c>
      <c r="G1029">
        <v>0</v>
      </c>
      <c r="H1029">
        <v>0</v>
      </c>
      <c r="I1029">
        <v>6</v>
      </c>
      <c r="J1029" s="61">
        <f t="shared" ca="1" si="334"/>
        <v>3.6754594531249997E-2</v>
      </c>
      <c r="K1029" s="61">
        <f t="shared" ca="1" si="335"/>
        <v>4.2782348034374992E-5</v>
      </c>
      <c r="L1029" s="82">
        <f t="shared" ca="1" si="336"/>
        <v>66</v>
      </c>
      <c r="M1029" s="16">
        <f t="shared" ca="1" si="337"/>
        <v>934</v>
      </c>
      <c r="N1029" s="3">
        <f t="shared" ca="1" si="338"/>
        <v>5</v>
      </c>
      <c r="O1029" s="19">
        <f t="shared" ca="1" si="339"/>
        <v>2.8178718937399587</v>
      </c>
      <c r="P1029" s="19">
        <f t="shared" ca="1" si="340"/>
        <v>28.178718937399587</v>
      </c>
      <c r="Q1029" s="19">
        <f t="shared" ca="1" si="341"/>
        <v>28.178718937399587</v>
      </c>
      <c r="R1029" s="19">
        <f t="shared" ca="1" si="342"/>
        <v>2.8178718937399587</v>
      </c>
      <c r="S1029" s="19">
        <f t="shared" ca="1" si="343"/>
        <v>2.8178718937399587</v>
      </c>
      <c r="T1029" s="19">
        <f t="shared" ca="1" si="344"/>
        <v>1.2055517607426626E-4</v>
      </c>
      <c r="U1029" s="19">
        <f t="shared" ca="1" si="345"/>
        <v>1325.3251747165598</v>
      </c>
      <c r="V1029" s="19">
        <f t="shared" ca="1" si="346"/>
        <v>5.6700522883442704E-2</v>
      </c>
      <c r="W1029" s="82">
        <f t="shared" ca="1" si="347"/>
        <v>2915.4313802083334</v>
      </c>
      <c r="X1029" s="19">
        <f t="shared" ca="1" si="348"/>
        <v>0.12472899997841116</v>
      </c>
      <c r="Y1029" s="19">
        <f t="shared" si="349"/>
        <v>0</v>
      </c>
      <c r="Z1029" s="82">
        <f t="shared" ca="1" si="350"/>
        <v>2915.4313802083334</v>
      </c>
      <c r="AA1029" s="19">
        <f t="shared" ca="1" si="351"/>
        <v>0.12472899997841116</v>
      </c>
    </row>
    <row r="1030" spans="1:27" ht="12.75" customHeight="1" x14ac:dyDescent="0.2">
      <c r="A1030">
        <v>3</v>
      </c>
      <c r="B1030">
        <v>2</v>
      </c>
      <c r="C1030">
        <f t="shared" ca="1" si="330"/>
        <v>7</v>
      </c>
      <c r="D1030">
        <f t="shared" ca="1" si="331"/>
        <v>6</v>
      </c>
      <c r="E1030">
        <f t="shared" ca="1" si="332"/>
        <v>3</v>
      </c>
      <c r="F1030" s="61">
        <f t="shared" ca="1" si="333"/>
        <v>1.1639999999999999E-3</v>
      </c>
      <c r="G1030">
        <v>0</v>
      </c>
      <c r="H1030">
        <v>0</v>
      </c>
      <c r="I1030">
        <v>5</v>
      </c>
      <c r="J1030" s="61">
        <f t="shared" ca="1" si="334"/>
        <v>1.1606714062500011E-2</v>
      </c>
      <c r="K1030" s="61">
        <f t="shared" ca="1" si="335"/>
        <v>1.3510215168750011E-5</v>
      </c>
      <c r="L1030" s="82">
        <f t="shared" ca="1" si="336"/>
        <v>55</v>
      </c>
      <c r="M1030" s="16">
        <f t="shared" ca="1" si="337"/>
        <v>945</v>
      </c>
      <c r="N1030" s="3">
        <f t="shared" ca="1" si="338"/>
        <v>5</v>
      </c>
      <c r="O1030" s="19">
        <f t="shared" ca="1" si="339"/>
        <v>2.8178718937399587</v>
      </c>
      <c r="P1030" s="19">
        <f t="shared" ca="1" si="340"/>
        <v>28.178718937399587</v>
      </c>
      <c r="Q1030" s="19">
        <f t="shared" ca="1" si="341"/>
        <v>28.178718937399587</v>
      </c>
      <c r="R1030" s="19">
        <f t="shared" ca="1" si="342"/>
        <v>2.8178718937399587</v>
      </c>
      <c r="S1030" s="19">
        <f t="shared" ca="1" si="343"/>
        <v>2.8178718937399587</v>
      </c>
      <c r="T1030" s="19">
        <f t="shared" ca="1" si="344"/>
        <v>3.8070055602399908E-5</v>
      </c>
      <c r="U1030" s="19">
        <f t="shared" ca="1" si="345"/>
        <v>1314.3251747165598</v>
      </c>
      <c r="V1030" s="19">
        <f t="shared" ca="1" si="346"/>
        <v>1.7756815912125676E-2</v>
      </c>
      <c r="W1030" s="82">
        <f t="shared" ca="1" si="347"/>
        <v>2429.5261501736113</v>
      </c>
      <c r="X1030" s="19">
        <f t="shared" ca="1" si="348"/>
        <v>3.2823421046950338E-2</v>
      </c>
      <c r="Y1030" s="19">
        <f t="shared" si="349"/>
        <v>0</v>
      </c>
      <c r="Z1030" s="82">
        <f t="shared" ca="1" si="350"/>
        <v>2429.5261501736113</v>
      </c>
      <c r="AA1030" s="19">
        <f t="shared" ca="1" si="351"/>
        <v>3.2823421046950338E-2</v>
      </c>
    </row>
    <row r="1031" spans="1:27" ht="12.75" customHeight="1" x14ac:dyDescent="0.2">
      <c r="A1031">
        <v>3</v>
      </c>
      <c r="B1031">
        <v>2</v>
      </c>
      <c r="C1031">
        <f t="shared" ca="1" si="330"/>
        <v>7</v>
      </c>
      <c r="D1031">
        <f t="shared" ca="1" si="331"/>
        <v>6</v>
      </c>
      <c r="E1031">
        <f t="shared" ca="1" si="332"/>
        <v>3</v>
      </c>
      <c r="F1031" s="61">
        <f t="shared" ca="1" si="333"/>
        <v>1.1639999999999999E-3</v>
      </c>
      <c r="G1031">
        <v>0</v>
      </c>
      <c r="H1031">
        <v>0</v>
      </c>
      <c r="I1031">
        <v>4</v>
      </c>
      <c r="J1031" s="61">
        <f t="shared" ca="1" si="334"/>
        <v>1.5271992187500026E-3</v>
      </c>
      <c r="K1031" s="61">
        <f t="shared" ca="1" si="335"/>
        <v>1.7776598906250029E-6</v>
      </c>
      <c r="L1031" s="82">
        <f t="shared" ca="1" si="336"/>
        <v>44</v>
      </c>
      <c r="M1031" s="16">
        <f t="shared" ca="1" si="337"/>
        <v>956</v>
      </c>
      <c r="N1031" s="3">
        <f t="shared" ca="1" si="338"/>
        <v>6</v>
      </c>
      <c r="O1031" s="19">
        <f t="shared" ca="1" si="339"/>
        <v>3.3239268932937667</v>
      </c>
      <c r="P1031" s="19">
        <f t="shared" ca="1" si="340"/>
        <v>33.239268932937669</v>
      </c>
      <c r="Q1031" s="19">
        <f t="shared" ca="1" si="341"/>
        <v>28.178718937399587</v>
      </c>
      <c r="R1031" s="19">
        <f t="shared" ca="1" si="342"/>
        <v>3.0708993935168629</v>
      </c>
      <c r="S1031" s="19">
        <f t="shared" ca="1" si="343"/>
        <v>3.3239268932937667</v>
      </c>
      <c r="T1031" s="19">
        <f t="shared" ca="1" si="344"/>
        <v>5.9088115175781028E-6</v>
      </c>
      <c r="U1031" s="19">
        <f t="shared" ca="1" si="345"/>
        <v>1495.4024523027438</v>
      </c>
      <c r="V1031" s="19">
        <f t="shared" ca="1" si="346"/>
        <v>2.6583169598008564E-3</v>
      </c>
      <c r="W1031" s="82">
        <f t="shared" ca="1" si="347"/>
        <v>1943.620920138889</v>
      </c>
      <c r="X1031" s="19">
        <f t="shared" ca="1" si="348"/>
        <v>3.455096952310565E-3</v>
      </c>
      <c r="Y1031" s="19">
        <f t="shared" si="349"/>
        <v>0</v>
      </c>
      <c r="Z1031" s="82">
        <f t="shared" ca="1" si="350"/>
        <v>1943.620920138889</v>
      </c>
      <c r="AA1031" s="19">
        <f t="shared" ca="1" si="351"/>
        <v>3.455096952310565E-3</v>
      </c>
    </row>
    <row r="1032" spans="1:27" ht="12.75" customHeight="1" x14ac:dyDescent="0.2">
      <c r="A1032">
        <v>3</v>
      </c>
      <c r="B1032">
        <v>2</v>
      </c>
      <c r="C1032">
        <f t="shared" ca="1" si="330"/>
        <v>7</v>
      </c>
      <c r="D1032">
        <f t="shared" ca="1" si="331"/>
        <v>6</v>
      </c>
      <c r="E1032">
        <f t="shared" ca="1" si="332"/>
        <v>3</v>
      </c>
      <c r="F1032" s="61">
        <f t="shared" ca="1" si="333"/>
        <v>1.1639999999999999E-3</v>
      </c>
      <c r="G1032">
        <v>0</v>
      </c>
      <c r="H1032">
        <v>0</v>
      </c>
      <c r="I1032">
        <v>3</v>
      </c>
      <c r="J1032" s="61">
        <f t="shared" ca="1" si="334"/>
        <v>1.0717187500000027E-4</v>
      </c>
      <c r="K1032" s="61">
        <f t="shared" ca="1" si="335"/>
        <v>1.2474806250000031E-7</v>
      </c>
      <c r="L1032" s="82">
        <f t="shared" ca="1" si="336"/>
        <v>33</v>
      </c>
      <c r="M1032" s="16">
        <f t="shared" ca="1" si="337"/>
        <v>967</v>
      </c>
      <c r="N1032" s="3">
        <f t="shared" ca="1" si="338"/>
        <v>6</v>
      </c>
      <c r="O1032" s="19">
        <f t="shared" ca="1" si="339"/>
        <v>3.3239268932937667</v>
      </c>
      <c r="P1032" s="19">
        <f t="shared" ca="1" si="340"/>
        <v>33.239268932937669</v>
      </c>
      <c r="Q1032" s="19">
        <f t="shared" ca="1" si="341"/>
        <v>33.239268932937669</v>
      </c>
      <c r="R1032" s="19">
        <f t="shared" ca="1" si="342"/>
        <v>3.3239268932937671</v>
      </c>
      <c r="S1032" s="19">
        <f t="shared" ca="1" si="343"/>
        <v>3.3239268932937667</v>
      </c>
      <c r="T1032" s="19">
        <f t="shared" ca="1" si="344"/>
        <v>4.1465343983004264E-7</v>
      </c>
      <c r="U1032" s="19">
        <f t="shared" ca="1" si="345"/>
        <v>1484.4024523027438</v>
      </c>
      <c r="V1032" s="19">
        <f t="shared" ca="1" si="346"/>
        <v>1.8517632989501639E-4</v>
      </c>
      <c r="W1032" s="82">
        <f t="shared" ca="1" si="347"/>
        <v>1457.7156901041667</v>
      </c>
      <c r="X1032" s="19">
        <f t="shared" ca="1" si="348"/>
        <v>1.8184720801634567E-4</v>
      </c>
      <c r="Y1032" s="19">
        <f t="shared" si="349"/>
        <v>0</v>
      </c>
      <c r="Z1032" s="82">
        <f t="shared" ca="1" si="350"/>
        <v>1457.7156901041667</v>
      </c>
      <c r="AA1032" s="19">
        <f t="shared" ca="1" si="351"/>
        <v>1.8184720801634567E-4</v>
      </c>
    </row>
    <row r="1033" spans="1:27" ht="12.75" customHeight="1" x14ac:dyDescent="0.2">
      <c r="A1033">
        <v>3</v>
      </c>
      <c r="B1033">
        <v>2</v>
      </c>
      <c r="C1033">
        <f t="shared" ca="1" si="330"/>
        <v>7</v>
      </c>
      <c r="D1033">
        <f t="shared" ca="1" si="331"/>
        <v>6</v>
      </c>
      <c r="E1033">
        <f t="shared" ca="1" si="332"/>
        <v>3</v>
      </c>
      <c r="F1033" s="61">
        <f t="shared" ca="1" si="333"/>
        <v>1.1639999999999999E-3</v>
      </c>
      <c r="G1033">
        <v>0</v>
      </c>
      <c r="H1033">
        <v>0</v>
      </c>
      <c r="I1033">
        <v>2</v>
      </c>
      <c r="J1033" s="61">
        <f t="shared" ca="1" si="334"/>
        <v>4.2304687500000152E-6</v>
      </c>
      <c r="K1033" s="61">
        <f t="shared" ca="1" si="335"/>
        <v>4.9242656250000172E-9</v>
      </c>
      <c r="L1033" s="82">
        <f t="shared" ca="1" si="336"/>
        <v>22</v>
      </c>
      <c r="M1033" s="16">
        <f t="shared" ca="1" si="337"/>
        <v>978</v>
      </c>
      <c r="N1033" s="3">
        <f t="shared" ca="1" si="338"/>
        <v>6</v>
      </c>
      <c r="O1033" s="19">
        <f t="shared" ca="1" si="339"/>
        <v>3.3239268932937667</v>
      </c>
      <c r="P1033" s="19">
        <f t="shared" ca="1" si="340"/>
        <v>33.239268932937669</v>
      </c>
      <c r="Q1033" s="19">
        <f t="shared" ca="1" si="341"/>
        <v>33.239268932937669</v>
      </c>
      <c r="R1033" s="19">
        <f t="shared" ca="1" si="342"/>
        <v>3.3239268932937671</v>
      </c>
      <c r="S1033" s="19">
        <f t="shared" ca="1" si="343"/>
        <v>3.3239268932937667</v>
      </c>
      <c r="T1033" s="19">
        <f t="shared" ca="1" si="344"/>
        <v>1.6367898940659597E-8</v>
      </c>
      <c r="U1033" s="19">
        <f t="shared" ca="1" si="345"/>
        <v>1473.4024523027438</v>
      </c>
      <c r="V1033" s="19">
        <f t="shared" ca="1" si="346"/>
        <v>7.2554250476651283E-6</v>
      </c>
      <c r="W1033" s="82">
        <f t="shared" ca="1" si="347"/>
        <v>971.8104600694445</v>
      </c>
      <c r="X1033" s="19">
        <f t="shared" ca="1" si="348"/>
        <v>4.7854528425354171E-6</v>
      </c>
      <c r="Y1033" s="19">
        <f t="shared" si="349"/>
        <v>0</v>
      </c>
      <c r="Z1033" s="82">
        <f t="shared" ca="1" si="350"/>
        <v>971.8104600694445</v>
      </c>
      <c r="AA1033" s="19">
        <f t="shared" ca="1" si="351"/>
        <v>4.7854528425354171E-6</v>
      </c>
    </row>
    <row r="1034" spans="1:27" ht="12.75" customHeight="1" x14ac:dyDescent="0.2">
      <c r="A1034">
        <v>3</v>
      </c>
      <c r="B1034">
        <v>2</v>
      </c>
      <c r="C1034">
        <f t="shared" ca="1" si="330"/>
        <v>7</v>
      </c>
      <c r="D1034">
        <f t="shared" ca="1" si="331"/>
        <v>6</v>
      </c>
      <c r="E1034">
        <f t="shared" ca="1" si="332"/>
        <v>3</v>
      </c>
      <c r="F1034" s="61">
        <f t="shared" ca="1" si="333"/>
        <v>1.1639999999999999E-3</v>
      </c>
      <c r="G1034">
        <v>0</v>
      </c>
      <c r="H1034">
        <v>0</v>
      </c>
      <c r="I1034">
        <v>1</v>
      </c>
      <c r="J1034" s="61">
        <f t="shared" ca="1" si="334"/>
        <v>8.9062500000000418E-8</v>
      </c>
      <c r="K1034" s="61">
        <f t="shared" ca="1" si="335"/>
        <v>1.0366875000000048E-10</v>
      </c>
      <c r="L1034" s="82">
        <f t="shared" ca="1" si="336"/>
        <v>11</v>
      </c>
      <c r="M1034" s="16">
        <f t="shared" ca="1" si="337"/>
        <v>989</v>
      </c>
      <c r="N1034" s="3">
        <f t="shared" ca="1" si="338"/>
        <v>6</v>
      </c>
      <c r="O1034" s="19">
        <f t="shared" ca="1" si="339"/>
        <v>3.3239268932937667</v>
      </c>
      <c r="P1034" s="19">
        <f t="shared" ca="1" si="340"/>
        <v>33.239268932937669</v>
      </c>
      <c r="Q1034" s="19">
        <f t="shared" ca="1" si="341"/>
        <v>33.239268932937669</v>
      </c>
      <c r="R1034" s="19">
        <f t="shared" ca="1" si="342"/>
        <v>3.3239268932937671</v>
      </c>
      <c r="S1034" s="19">
        <f t="shared" ca="1" si="343"/>
        <v>3.3239268932937667</v>
      </c>
      <c r="T1034" s="19">
        <f t="shared" ca="1" si="344"/>
        <v>3.4458734611914979E-10</v>
      </c>
      <c r="U1034" s="19">
        <f t="shared" ca="1" si="345"/>
        <v>1462.4024523027438</v>
      </c>
      <c r="V1034" s="19">
        <f t="shared" ca="1" si="346"/>
        <v>1.5160543422716076E-7</v>
      </c>
      <c r="W1034" s="82">
        <f t="shared" ca="1" si="347"/>
        <v>485.90523003472225</v>
      </c>
      <c r="X1034" s="19">
        <f t="shared" ca="1" si="348"/>
        <v>5.0373187816162349E-8</v>
      </c>
      <c r="Y1034" s="19">
        <f t="shared" si="349"/>
        <v>0</v>
      </c>
      <c r="Z1034" s="82">
        <f t="shared" ca="1" si="350"/>
        <v>485.90523003472225</v>
      </c>
      <c r="AA1034" s="19">
        <f t="shared" ca="1" si="351"/>
        <v>5.0373187816162349E-8</v>
      </c>
    </row>
    <row r="1035" spans="1:27" ht="12.75" customHeight="1" x14ac:dyDescent="0.2">
      <c r="A1035">
        <v>3</v>
      </c>
      <c r="B1035">
        <v>2</v>
      </c>
      <c r="C1035">
        <f t="shared" ca="1" si="330"/>
        <v>7</v>
      </c>
      <c r="D1035">
        <f t="shared" ca="1" si="331"/>
        <v>6</v>
      </c>
      <c r="E1035">
        <f t="shared" ca="1" si="332"/>
        <v>3</v>
      </c>
      <c r="F1035" s="61">
        <f t="shared" ca="1" si="333"/>
        <v>1.1639999999999999E-3</v>
      </c>
      <c r="G1035">
        <v>0</v>
      </c>
      <c r="H1035">
        <v>0</v>
      </c>
      <c r="I1035">
        <v>0</v>
      </c>
      <c r="J1035" s="61">
        <f t="shared" ca="1" si="334"/>
        <v>7.812500000000041E-10</v>
      </c>
      <c r="K1035" s="61">
        <f t="shared" ca="1" si="335"/>
        <v>9.093750000000047E-13</v>
      </c>
      <c r="L1035" s="82">
        <f t="shared" ca="1" si="336"/>
        <v>0</v>
      </c>
      <c r="M1035" s="16">
        <f t="shared" ca="1" si="337"/>
        <v>1000</v>
      </c>
      <c r="N1035" s="3">
        <f t="shared" ca="1" si="338"/>
        <v>6</v>
      </c>
      <c r="O1035" s="19">
        <f t="shared" ca="1" si="339"/>
        <v>3.3239268932937667</v>
      </c>
      <c r="P1035" s="19">
        <f t="shared" ca="1" si="340"/>
        <v>33.239268932937669</v>
      </c>
      <c r="Q1035" s="19">
        <f t="shared" ca="1" si="341"/>
        <v>33.239268932937669</v>
      </c>
      <c r="R1035" s="19">
        <f t="shared" ca="1" si="342"/>
        <v>3.3239268932937671</v>
      </c>
      <c r="S1035" s="19">
        <f t="shared" ca="1" si="343"/>
        <v>3.3239268932937667</v>
      </c>
      <c r="T1035" s="19">
        <f t="shared" ca="1" si="344"/>
        <v>3.0226960185890346E-12</v>
      </c>
      <c r="U1035" s="19">
        <f t="shared" ca="1" si="345"/>
        <v>1451.4024523027438</v>
      </c>
      <c r="V1035" s="19">
        <f t="shared" ca="1" si="346"/>
        <v>1.3198691050628144E-9</v>
      </c>
      <c r="W1035" s="82">
        <f t="shared" ca="1" si="347"/>
        <v>0</v>
      </c>
      <c r="X1035" s="19">
        <f t="shared" ca="1" si="348"/>
        <v>0</v>
      </c>
      <c r="Y1035" s="19">
        <f t="shared" si="349"/>
        <v>0</v>
      </c>
      <c r="Z1035" s="82">
        <f t="shared" ca="1" si="350"/>
        <v>0</v>
      </c>
      <c r="AA1035" s="19">
        <f t="shared" ca="1" si="351"/>
        <v>0</v>
      </c>
    </row>
    <row r="1036" spans="1:27" ht="12.75" customHeight="1" x14ac:dyDescent="0.2">
      <c r="A1036">
        <v>3</v>
      </c>
      <c r="B1036">
        <v>3</v>
      </c>
      <c r="C1036">
        <f t="shared" ca="1" si="330"/>
        <v>8</v>
      </c>
      <c r="D1036">
        <f t="shared" ca="1" si="331"/>
        <v>7</v>
      </c>
      <c r="E1036">
        <f t="shared" ca="1" si="332"/>
        <v>3</v>
      </c>
      <c r="F1036" s="61">
        <f t="shared" ca="1" si="333"/>
        <v>8.9999999999999998E-4</v>
      </c>
      <c r="G1036">
        <v>1</v>
      </c>
      <c r="H1036">
        <v>1</v>
      </c>
      <c r="I1036">
        <v>7</v>
      </c>
      <c r="J1036" s="61">
        <f t="shared" ca="1" si="334"/>
        <v>0</v>
      </c>
      <c r="K1036" s="61">
        <f t="shared" ca="1" si="335"/>
        <v>0</v>
      </c>
      <c r="L1036" s="82">
        <f t="shared" ca="1" si="336"/>
        <v>399</v>
      </c>
      <c r="M1036" s="16">
        <f t="shared" ca="1" si="337"/>
        <v>601</v>
      </c>
      <c r="N1036" s="3">
        <f t="shared" ca="1" si="338"/>
        <v>4</v>
      </c>
      <c r="O1036" s="19">
        <f t="shared" ca="1" si="339"/>
        <v>2.3453053758100548</v>
      </c>
      <c r="P1036" s="19">
        <f t="shared" ca="1" si="340"/>
        <v>23.453053758100552</v>
      </c>
      <c r="Q1036" s="19">
        <f t="shared" ca="1" si="341"/>
        <v>23.453053758100552</v>
      </c>
      <c r="R1036" s="19">
        <f t="shared" ca="1" si="342"/>
        <v>2.3453053758100553</v>
      </c>
      <c r="S1036" s="19">
        <f t="shared" ca="1" si="343"/>
        <v>2.3453053758100548</v>
      </c>
      <c r="T1036" s="19">
        <f t="shared" ca="1" si="344"/>
        <v>0</v>
      </c>
      <c r="U1036" s="19">
        <f t="shared" ca="1" si="345"/>
        <v>1478.9587218163997</v>
      </c>
      <c r="V1036" s="19">
        <f t="shared" ca="1" si="346"/>
        <v>0</v>
      </c>
      <c r="W1036" s="82">
        <f t="shared" ca="1" si="347"/>
        <v>5718.7981307870377</v>
      </c>
      <c r="X1036" s="19">
        <f t="shared" ca="1" si="348"/>
        <v>0</v>
      </c>
      <c r="Y1036" s="19">
        <f t="shared" si="349"/>
        <v>0</v>
      </c>
      <c r="Z1036" s="82">
        <f t="shared" ca="1" si="350"/>
        <v>5718.7981307870377</v>
      </c>
      <c r="AA1036" s="19">
        <f t="shared" ca="1" si="351"/>
        <v>0</v>
      </c>
    </row>
    <row r="1037" spans="1:27" ht="12.75" customHeight="1" x14ac:dyDescent="0.2">
      <c r="A1037">
        <v>3</v>
      </c>
      <c r="B1037">
        <v>3</v>
      </c>
      <c r="C1037">
        <f t="shared" ca="1" si="330"/>
        <v>8</v>
      </c>
      <c r="D1037">
        <f t="shared" ca="1" si="331"/>
        <v>7</v>
      </c>
      <c r="E1037">
        <f t="shared" ca="1" si="332"/>
        <v>3</v>
      </c>
      <c r="F1037" s="61">
        <f t="shared" ca="1" si="333"/>
        <v>8.9999999999999998E-4</v>
      </c>
      <c r="G1037">
        <v>1</v>
      </c>
      <c r="H1037">
        <v>1</v>
      </c>
      <c r="I1037">
        <v>6</v>
      </c>
      <c r="J1037" s="61">
        <f t="shared" ca="1" si="334"/>
        <v>0</v>
      </c>
      <c r="K1037" s="61">
        <f t="shared" ca="1" si="335"/>
        <v>0</v>
      </c>
      <c r="L1037" s="82">
        <f t="shared" ca="1" si="336"/>
        <v>388</v>
      </c>
      <c r="M1037" s="16">
        <f t="shared" ca="1" si="337"/>
        <v>612</v>
      </c>
      <c r="N1037" s="3">
        <f t="shared" ca="1" si="338"/>
        <v>4</v>
      </c>
      <c r="O1037" s="19">
        <f t="shared" ca="1" si="339"/>
        <v>2.3453053758100548</v>
      </c>
      <c r="P1037" s="19">
        <f t="shared" ca="1" si="340"/>
        <v>23.453053758100552</v>
      </c>
      <c r="Q1037" s="19">
        <f t="shared" ca="1" si="341"/>
        <v>23.453053758100552</v>
      </c>
      <c r="R1037" s="19">
        <f t="shared" ca="1" si="342"/>
        <v>2.3453053758100553</v>
      </c>
      <c r="S1037" s="19">
        <f t="shared" ca="1" si="343"/>
        <v>2.3453053758100548</v>
      </c>
      <c r="T1037" s="19">
        <f t="shared" ca="1" si="344"/>
        <v>0</v>
      </c>
      <c r="U1037" s="19">
        <f t="shared" ca="1" si="345"/>
        <v>1467.9587218163997</v>
      </c>
      <c r="V1037" s="19">
        <f t="shared" ca="1" si="346"/>
        <v>0</v>
      </c>
      <c r="W1037" s="82">
        <f t="shared" ca="1" si="347"/>
        <v>5232.8929007523147</v>
      </c>
      <c r="X1037" s="19">
        <f t="shared" ca="1" si="348"/>
        <v>0</v>
      </c>
      <c r="Y1037" s="19">
        <f t="shared" si="349"/>
        <v>0</v>
      </c>
      <c r="Z1037" s="82">
        <f t="shared" ca="1" si="350"/>
        <v>5232.8929007523147</v>
      </c>
      <c r="AA1037" s="19">
        <f t="shared" ca="1" si="351"/>
        <v>0</v>
      </c>
    </row>
    <row r="1038" spans="1:27" ht="12.75" customHeight="1" x14ac:dyDescent="0.2">
      <c r="A1038">
        <v>3</v>
      </c>
      <c r="B1038">
        <v>3</v>
      </c>
      <c r="C1038">
        <f t="shared" ca="1" si="330"/>
        <v>8</v>
      </c>
      <c r="D1038">
        <f t="shared" ca="1" si="331"/>
        <v>7</v>
      </c>
      <c r="E1038">
        <f t="shared" ca="1" si="332"/>
        <v>3</v>
      </c>
      <c r="F1038" s="61">
        <f t="shared" ca="1" si="333"/>
        <v>8.9999999999999998E-4</v>
      </c>
      <c r="G1038">
        <v>1</v>
      </c>
      <c r="H1038">
        <v>1</v>
      </c>
      <c r="I1038">
        <v>5</v>
      </c>
      <c r="J1038" s="61">
        <f t="shared" ca="1" si="334"/>
        <v>0</v>
      </c>
      <c r="K1038" s="61">
        <f t="shared" ca="1" si="335"/>
        <v>0</v>
      </c>
      <c r="L1038" s="82">
        <f t="shared" ca="1" si="336"/>
        <v>377</v>
      </c>
      <c r="M1038" s="16">
        <f t="shared" ca="1" si="337"/>
        <v>623</v>
      </c>
      <c r="N1038" s="3">
        <f t="shared" ca="1" si="338"/>
        <v>4</v>
      </c>
      <c r="O1038" s="19">
        <f t="shared" ca="1" si="339"/>
        <v>2.3453053758100548</v>
      </c>
      <c r="P1038" s="19">
        <f t="shared" ca="1" si="340"/>
        <v>23.453053758100552</v>
      </c>
      <c r="Q1038" s="19">
        <f t="shared" ca="1" si="341"/>
        <v>23.453053758100552</v>
      </c>
      <c r="R1038" s="19">
        <f t="shared" ca="1" si="342"/>
        <v>2.3453053758100553</v>
      </c>
      <c r="S1038" s="19">
        <f t="shared" ca="1" si="343"/>
        <v>2.3453053758100548</v>
      </c>
      <c r="T1038" s="19">
        <f t="shared" ca="1" si="344"/>
        <v>0</v>
      </c>
      <c r="U1038" s="19">
        <f t="shared" ca="1" si="345"/>
        <v>1456.9587218163997</v>
      </c>
      <c r="V1038" s="19">
        <f t="shared" ca="1" si="346"/>
        <v>0</v>
      </c>
      <c r="W1038" s="82">
        <f t="shared" ca="1" si="347"/>
        <v>4746.9876707175936</v>
      </c>
      <c r="X1038" s="19">
        <f t="shared" ca="1" si="348"/>
        <v>0</v>
      </c>
      <c r="Y1038" s="19">
        <f t="shared" si="349"/>
        <v>0</v>
      </c>
      <c r="Z1038" s="82">
        <f t="shared" ca="1" si="350"/>
        <v>4746.9876707175936</v>
      </c>
      <c r="AA1038" s="19">
        <f t="shared" ca="1" si="351"/>
        <v>0</v>
      </c>
    </row>
    <row r="1039" spans="1:27" ht="12.75" customHeight="1" x14ac:dyDescent="0.2">
      <c r="A1039">
        <v>3</v>
      </c>
      <c r="B1039">
        <v>3</v>
      </c>
      <c r="C1039">
        <f t="shared" ca="1" si="330"/>
        <v>8</v>
      </c>
      <c r="D1039">
        <f t="shared" ca="1" si="331"/>
        <v>7</v>
      </c>
      <c r="E1039">
        <f t="shared" ca="1" si="332"/>
        <v>3</v>
      </c>
      <c r="F1039" s="61">
        <f t="shared" ca="1" si="333"/>
        <v>8.9999999999999998E-4</v>
      </c>
      <c r="G1039">
        <v>1</v>
      </c>
      <c r="H1039">
        <v>1</v>
      </c>
      <c r="I1039">
        <v>4</v>
      </c>
      <c r="J1039" s="61">
        <f t="shared" ca="1" si="334"/>
        <v>0</v>
      </c>
      <c r="K1039" s="61">
        <f t="shared" ca="1" si="335"/>
        <v>0</v>
      </c>
      <c r="L1039" s="82">
        <f t="shared" ca="1" si="336"/>
        <v>366</v>
      </c>
      <c r="M1039" s="16">
        <f t="shared" ca="1" si="337"/>
        <v>634</v>
      </c>
      <c r="N1039" s="3">
        <f t="shared" ca="1" si="338"/>
        <v>4</v>
      </c>
      <c r="O1039" s="19">
        <f t="shared" ca="1" si="339"/>
        <v>2.3453053758100548</v>
      </c>
      <c r="P1039" s="19">
        <f t="shared" ca="1" si="340"/>
        <v>23.453053758100552</v>
      </c>
      <c r="Q1039" s="19">
        <f t="shared" ca="1" si="341"/>
        <v>23.453053758100552</v>
      </c>
      <c r="R1039" s="19">
        <f t="shared" ca="1" si="342"/>
        <v>2.3453053758100553</v>
      </c>
      <c r="S1039" s="19">
        <f t="shared" ca="1" si="343"/>
        <v>2.3453053758100548</v>
      </c>
      <c r="T1039" s="19">
        <f t="shared" ca="1" si="344"/>
        <v>0</v>
      </c>
      <c r="U1039" s="19">
        <f t="shared" ca="1" si="345"/>
        <v>1445.9587218163997</v>
      </c>
      <c r="V1039" s="19">
        <f t="shared" ca="1" si="346"/>
        <v>0</v>
      </c>
      <c r="W1039" s="82">
        <f t="shared" ca="1" si="347"/>
        <v>4261.0824406828706</v>
      </c>
      <c r="X1039" s="19">
        <f t="shared" ca="1" si="348"/>
        <v>0</v>
      </c>
      <c r="Y1039" s="19">
        <f t="shared" si="349"/>
        <v>0</v>
      </c>
      <c r="Z1039" s="82">
        <f t="shared" ca="1" si="350"/>
        <v>4261.0824406828706</v>
      </c>
      <c r="AA1039" s="19">
        <f t="shared" ca="1" si="351"/>
        <v>0</v>
      </c>
    </row>
    <row r="1040" spans="1:27" ht="12.75" customHeight="1" x14ac:dyDescent="0.2">
      <c r="A1040">
        <v>3</v>
      </c>
      <c r="B1040">
        <v>3</v>
      </c>
      <c r="C1040">
        <f t="shared" ca="1" si="330"/>
        <v>8</v>
      </c>
      <c r="D1040">
        <f t="shared" ca="1" si="331"/>
        <v>7</v>
      </c>
      <c r="E1040">
        <f t="shared" ca="1" si="332"/>
        <v>3</v>
      </c>
      <c r="F1040" s="61">
        <f t="shared" ca="1" si="333"/>
        <v>8.9999999999999998E-4</v>
      </c>
      <c r="G1040">
        <v>1</v>
      </c>
      <c r="H1040">
        <v>1</v>
      </c>
      <c r="I1040">
        <v>3</v>
      </c>
      <c r="J1040" s="61">
        <f t="shared" ca="1" si="334"/>
        <v>0</v>
      </c>
      <c r="K1040" s="61">
        <f t="shared" ca="1" si="335"/>
        <v>0</v>
      </c>
      <c r="L1040" s="82">
        <f t="shared" ca="1" si="336"/>
        <v>355</v>
      </c>
      <c r="M1040" s="16">
        <f t="shared" ca="1" si="337"/>
        <v>645</v>
      </c>
      <c r="N1040" s="3">
        <f t="shared" ca="1" si="338"/>
        <v>4</v>
      </c>
      <c r="O1040" s="19">
        <f t="shared" ca="1" si="339"/>
        <v>2.3453053758100548</v>
      </c>
      <c r="P1040" s="19">
        <f t="shared" ca="1" si="340"/>
        <v>23.453053758100552</v>
      </c>
      <c r="Q1040" s="19">
        <f t="shared" ca="1" si="341"/>
        <v>23.453053758100552</v>
      </c>
      <c r="R1040" s="19">
        <f t="shared" ca="1" si="342"/>
        <v>2.3453053758100553</v>
      </c>
      <c r="S1040" s="19">
        <f t="shared" ca="1" si="343"/>
        <v>2.3453053758100548</v>
      </c>
      <c r="T1040" s="19">
        <f t="shared" ca="1" si="344"/>
        <v>0</v>
      </c>
      <c r="U1040" s="19">
        <f t="shared" ca="1" si="345"/>
        <v>1434.9587218163997</v>
      </c>
      <c r="V1040" s="19">
        <f t="shared" ca="1" si="346"/>
        <v>0</v>
      </c>
      <c r="W1040" s="82">
        <f t="shared" ca="1" si="347"/>
        <v>3775.1772106481485</v>
      </c>
      <c r="X1040" s="19">
        <f t="shared" ca="1" si="348"/>
        <v>0</v>
      </c>
      <c r="Y1040" s="19">
        <f t="shared" si="349"/>
        <v>0</v>
      </c>
      <c r="Z1040" s="82">
        <f t="shared" ca="1" si="350"/>
        <v>3775.1772106481485</v>
      </c>
      <c r="AA1040" s="19">
        <f t="shared" ca="1" si="351"/>
        <v>0</v>
      </c>
    </row>
    <row r="1041" spans="1:27" ht="12.75" customHeight="1" x14ac:dyDescent="0.2">
      <c r="A1041">
        <v>3</v>
      </c>
      <c r="B1041">
        <v>3</v>
      </c>
      <c r="C1041">
        <f t="shared" ca="1" si="330"/>
        <v>8</v>
      </c>
      <c r="D1041">
        <f t="shared" ca="1" si="331"/>
        <v>7</v>
      </c>
      <c r="E1041">
        <f t="shared" ca="1" si="332"/>
        <v>3</v>
      </c>
      <c r="F1041" s="61">
        <f t="shared" ca="1" si="333"/>
        <v>8.9999999999999998E-4</v>
      </c>
      <c r="G1041">
        <v>1</v>
      </c>
      <c r="H1041">
        <v>1</v>
      </c>
      <c r="I1041">
        <v>2</v>
      </c>
      <c r="J1041" s="61">
        <f t="shared" ca="1" si="334"/>
        <v>0</v>
      </c>
      <c r="K1041" s="61">
        <f t="shared" ca="1" si="335"/>
        <v>0</v>
      </c>
      <c r="L1041" s="82">
        <f t="shared" ca="1" si="336"/>
        <v>344</v>
      </c>
      <c r="M1041" s="16">
        <f t="shared" ca="1" si="337"/>
        <v>656</v>
      </c>
      <c r="N1041" s="3">
        <f t="shared" ca="1" si="338"/>
        <v>4</v>
      </c>
      <c r="O1041" s="19">
        <f t="shared" ca="1" si="339"/>
        <v>2.3453053758100548</v>
      </c>
      <c r="P1041" s="19">
        <f t="shared" ca="1" si="340"/>
        <v>23.453053758100552</v>
      </c>
      <c r="Q1041" s="19">
        <f t="shared" ca="1" si="341"/>
        <v>23.453053758100552</v>
      </c>
      <c r="R1041" s="19">
        <f t="shared" ca="1" si="342"/>
        <v>2.3453053758100553</v>
      </c>
      <c r="S1041" s="19">
        <f t="shared" ca="1" si="343"/>
        <v>2.3453053758100548</v>
      </c>
      <c r="T1041" s="19">
        <f t="shared" ca="1" si="344"/>
        <v>0</v>
      </c>
      <c r="U1041" s="19">
        <f t="shared" ca="1" si="345"/>
        <v>1423.9587218163997</v>
      </c>
      <c r="V1041" s="19">
        <f t="shared" ca="1" si="346"/>
        <v>0</v>
      </c>
      <c r="W1041" s="82">
        <f t="shared" ca="1" si="347"/>
        <v>3289.2719806134264</v>
      </c>
      <c r="X1041" s="19">
        <f t="shared" ca="1" si="348"/>
        <v>0</v>
      </c>
      <c r="Y1041" s="19">
        <f t="shared" si="349"/>
        <v>0</v>
      </c>
      <c r="Z1041" s="82">
        <f t="shared" ca="1" si="350"/>
        <v>3289.2719806134264</v>
      </c>
      <c r="AA1041" s="19">
        <f t="shared" ca="1" si="351"/>
        <v>0</v>
      </c>
    </row>
    <row r="1042" spans="1:27" ht="12.75" customHeight="1" x14ac:dyDescent="0.2">
      <c r="A1042">
        <v>3</v>
      </c>
      <c r="B1042">
        <v>3</v>
      </c>
      <c r="C1042">
        <f t="shared" ca="1" si="330"/>
        <v>8</v>
      </c>
      <c r="D1042">
        <f t="shared" ca="1" si="331"/>
        <v>7</v>
      </c>
      <c r="E1042">
        <f t="shared" ca="1" si="332"/>
        <v>3</v>
      </c>
      <c r="F1042" s="61">
        <f t="shared" ca="1" si="333"/>
        <v>8.9999999999999998E-4</v>
      </c>
      <c r="G1042">
        <v>1</v>
      </c>
      <c r="H1042">
        <v>1</v>
      </c>
      <c r="I1042">
        <v>1</v>
      </c>
      <c r="J1042" s="61">
        <f t="shared" ca="1" si="334"/>
        <v>0</v>
      </c>
      <c r="K1042" s="61">
        <f t="shared" ca="1" si="335"/>
        <v>0</v>
      </c>
      <c r="L1042" s="82">
        <f t="shared" ca="1" si="336"/>
        <v>333</v>
      </c>
      <c r="M1042" s="16">
        <f t="shared" ca="1" si="337"/>
        <v>667</v>
      </c>
      <c r="N1042" s="3">
        <f t="shared" ca="1" si="338"/>
        <v>4</v>
      </c>
      <c r="O1042" s="19">
        <f t="shared" ca="1" si="339"/>
        <v>2.3453053758100548</v>
      </c>
      <c r="P1042" s="19">
        <f t="shared" ca="1" si="340"/>
        <v>23.453053758100552</v>
      </c>
      <c r="Q1042" s="19">
        <f t="shared" ca="1" si="341"/>
        <v>23.453053758100552</v>
      </c>
      <c r="R1042" s="19">
        <f t="shared" ca="1" si="342"/>
        <v>2.3453053758100553</v>
      </c>
      <c r="S1042" s="19">
        <f t="shared" ca="1" si="343"/>
        <v>2.3453053758100548</v>
      </c>
      <c r="T1042" s="19">
        <f t="shared" ca="1" si="344"/>
        <v>0</v>
      </c>
      <c r="U1042" s="19">
        <f t="shared" ca="1" si="345"/>
        <v>1412.9587218163997</v>
      </c>
      <c r="V1042" s="19">
        <f t="shared" ca="1" si="346"/>
        <v>0</v>
      </c>
      <c r="W1042" s="82">
        <f t="shared" ca="1" si="347"/>
        <v>2803.3667505787039</v>
      </c>
      <c r="X1042" s="19">
        <f t="shared" ca="1" si="348"/>
        <v>0</v>
      </c>
      <c r="Y1042" s="19">
        <f t="shared" si="349"/>
        <v>0</v>
      </c>
      <c r="Z1042" s="82">
        <f t="shared" ca="1" si="350"/>
        <v>2803.3667505787039</v>
      </c>
      <c r="AA1042" s="19">
        <f t="shared" ca="1" si="351"/>
        <v>0</v>
      </c>
    </row>
    <row r="1043" spans="1:27" ht="12.75" customHeight="1" x14ac:dyDescent="0.2">
      <c r="A1043">
        <v>3</v>
      </c>
      <c r="B1043">
        <v>3</v>
      </c>
      <c r="C1043">
        <f t="shared" ca="1" si="330"/>
        <v>8</v>
      </c>
      <c r="D1043">
        <f t="shared" ca="1" si="331"/>
        <v>7</v>
      </c>
      <c r="E1043">
        <f t="shared" ca="1" si="332"/>
        <v>3</v>
      </c>
      <c r="F1043" s="61">
        <f t="shared" ca="1" si="333"/>
        <v>8.9999999999999998E-4</v>
      </c>
      <c r="G1043">
        <v>1</v>
      </c>
      <c r="H1043">
        <v>1</v>
      </c>
      <c r="I1043">
        <v>0</v>
      </c>
      <c r="J1043" s="61">
        <f t="shared" ca="1" si="334"/>
        <v>0</v>
      </c>
      <c r="K1043" s="61">
        <f t="shared" ca="1" si="335"/>
        <v>0</v>
      </c>
      <c r="L1043" s="82">
        <f t="shared" ca="1" si="336"/>
        <v>322</v>
      </c>
      <c r="M1043" s="16">
        <f t="shared" ca="1" si="337"/>
        <v>678</v>
      </c>
      <c r="N1043" s="3">
        <f t="shared" ca="1" si="338"/>
        <v>4</v>
      </c>
      <c r="O1043" s="19">
        <f t="shared" ca="1" si="339"/>
        <v>2.3453053758100548</v>
      </c>
      <c r="P1043" s="19">
        <f t="shared" ca="1" si="340"/>
        <v>23.453053758100552</v>
      </c>
      <c r="Q1043" s="19">
        <f t="shared" ca="1" si="341"/>
        <v>23.453053758100552</v>
      </c>
      <c r="R1043" s="19">
        <f t="shared" ca="1" si="342"/>
        <v>2.3453053758100553</v>
      </c>
      <c r="S1043" s="19">
        <f t="shared" ca="1" si="343"/>
        <v>2.3453053758100548</v>
      </c>
      <c r="T1043" s="19">
        <f t="shared" ca="1" si="344"/>
        <v>0</v>
      </c>
      <c r="U1043" s="19">
        <f t="shared" ca="1" si="345"/>
        <v>1401.9587218163997</v>
      </c>
      <c r="V1043" s="19">
        <f t="shared" ca="1" si="346"/>
        <v>0</v>
      </c>
      <c r="W1043" s="82">
        <f t="shared" ca="1" si="347"/>
        <v>2317.4615205439818</v>
      </c>
      <c r="X1043" s="19">
        <f t="shared" ca="1" si="348"/>
        <v>0</v>
      </c>
      <c r="Y1043" s="19">
        <f t="shared" si="349"/>
        <v>0</v>
      </c>
      <c r="Z1043" s="82">
        <f t="shared" ca="1" si="350"/>
        <v>2317.4615205439818</v>
      </c>
      <c r="AA1043" s="19">
        <f t="shared" ca="1" si="351"/>
        <v>0</v>
      </c>
    </row>
    <row r="1044" spans="1:27" ht="12.75" customHeight="1" x14ac:dyDescent="0.2">
      <c r="A1044">
        <v>3</v>
      </c>
      <c r="B1044">
        <v>3</v>
      </c>
      <c r="C1044">
        <f t="shared" ca="1" si="330"/>
        <v>8</v>
      </c>
      <c r="D1044">
        <f t="shared" ca="1" si="331"/>
        <v>7</v>
      </c>
      <c r="E1044">
        <f t="shared" ca="1" si="332"/>
        <v>3</v>
      </c>
      <c r="F1044" s="61">
        <f t="shared" ca="1" si="333"/>
        <v>8.9999999999999998E-4</v>
      </c>
      <c r="G1044">
        <v>1</v>
      </c>
      <c r="H1044">
        <v>0</v>
      </c>
      <c r="I1044">
        <v>7</v>
      </c>
      <c r="J1044" s="61">
        <f t="shared" ca="1" si="334"/>
        <v>0.66342043128906247</v>
      </c>
      <c r="K1044" s="61">
        <f t="shared" ca="1" si="335"/>
        <v>5.9707838816015616E-4</v>
      </c>
      <c r="L1044" s="82">
        <f t="shared" ca="1" si="336"/>
        <v>238</v>
      </c>
      <c r="M1044" s="16">
        <f t="shared" ca="1" si="337"/>
        <v>762</v>
      </c>
      <c r="N1044" s="3">
        <f t="shared" ca="1" si="338"/>
        <v>5</v>
      </c>
      <c r="O1044" s="19">
        <f t="shared" ca="1" si="339"/>
        <v>2.8178718937399587</v>
      </c>
      <c r="P1044" s="19">
        <f t="shared" ca="1" si="340"/>
        <v>25.815886347750073</v>
      </c>
      <c r="Q1044" s="19">
        <f t="shared" ca="1" si="341"/>
        <v>23.453053758100552</v>
      </c>
      <c r="R1044" s="19">
        <f t="shared" ca="1" si="342"/>
        <v>2.4634470052925312</v>
      </c>
      <c r="S1044" s="19">
        <f t="shared" ca="1" si="343"/>
        <v>2.8178718937399587</v>
      </c>
      <c r="T1044" s="19">
        <f t="shared" ca="1" si="344"/>
        <v>1.6824904083560614E-3</v>
      </c>
      <c r="U1044" s="19">
        <f t="shared" ca="1" si="345"/>
        <v>1497.3251747165598</v>
      </c>
      <c r="V1044" s="19">
        <f t="shared" ca="1" si="346"/>
        <v>0.89402050187138771</v>
      </c>
      <c r="W1044" s="82">
        <f t="shared" ca="1" si="347"/>
        <v>5718.7981307870377</v>
      </c>
      <c r="X1044" s="19">
        <f t="shared" ca="1" si="348"/>
        <v>3.4145707701436385</v>
      </c>
      <c r="Y1044" s="19">
        <f t="shared" si="349"/>
        <v>0</v>
      </c>
      <c r="Z1044" s="82">
        <f t="shared" ca="1" si="350"/>
        <v>5718.7981307870377</v>
      </c>
      <c r="AA1044" s="19">
        <f t="shared" ca="1" si="351"/>
        <v>3.4145707701436385</v>
      </c>
    </row>
    <row r="1045" spans="1:27" ht="12.75" customHeight="1" x14ac:dyDescent="0.2">
      <c r="A1045">
        <v>3</v>
      </c>
      <c r="B1045">
        <v>3</v>
      </c>
      <c r="C1045">
        <f t="shared" ca="1" si="330"/>
        <v>8</v>
      </c>
      <c r="D1045">
        <f t="shared" ca="1" si="331"/>
        <v>7</v>
      </c>
      <c r="E1045">
        <f t="shared" ca="1" si="332"/>
        <v>3</v>
      </c>
      <c r="F1045" s="61">
        <f t="shared" ca="1" si="333"/>
        <v>8.9999999999999998E-4</v>
      </c>
      <c r="G1045">
        <v>1</v>
      </c>
      <c r="H1045">
        <v>0</v>
      </c>
      <c r="I1045">
        <v>6</v>
      </c>
      <c r="J1045" s="61">
        <f t="shared" ca="1" si="334"/>
        <v>0.24441805363281272</v>
      </c>
      <c r="K1045" s="61">
        <f t="shared" ca="1" si="335"/>
        <v>2.1997624826953143E-4</v>
      </c>
      <c r="L1045" s="82">
        <f t="shared" ca="1" si="336"/>
        <v>227</v>
      </c>
      <c r="M1045" s="16">
        <f t="shared" ca="1" si="337"/>
        <v>773</v>
      </c>
      <c r="N1045" s="3">
        <f t="shared" ca="1" si="338"/>
        <v>5</v>
      </c>
      <c r="O1045" s="19">
        <f t="shared" ca="1" si="339"/>
        <v>2.8178718937399587</v>
      </c>
      <c r="P1045" s="19">
        <f t="shared" ca="1" si="340"/>
        <v>28.178718937399587</v>
      </c>
      <c r="Q1045" s="19">
        <f t="shared" ca="1" si="341"/>
        <v>26.288452865679979</v>
      </c>
      <c r="R1045" s="19">
        <f t="shared" ca="1" si="342"/>
        <v>2.7233585901539783</v>
      </c>
      <c r="S1045" s="19">
        <f t="shared" ca="1" si="343"/>
        <v>2.8178718937399587</v>
      </c>
      <c r="T1045" s="19">
        <f t="shared" ca="1" si="344"/>
        <v>6.198648872890759E-4</v>
      </c>
      <c r="U1045" s="19">
        <f t="shared" ca="1" si="345"/>
        <v>1486.3251747165598</v>
      </c>
      <c r="V1045" s="19">
        <f t="shared" ca="1" si="346"/>
        <v>0.32695623564270465</v>
      </c>
      <c r="W1045" s="82">
        <f t="shared" ca="1" si="347"/>
        <v>5232.8929007523147</v>
      </c>
      <c r="X1045" s="19">
        <f t="shared" ca="1" si="348"/>
        <v>1.1511121479037596</v>
      </c>
      <c r="Y1045" s="19">
        <f t="shared" si="349"/>
        <v>0</v>
      </c>
      <c r="Z1045" s="82">
        <f t="shared" ca="1" si="350"/>
        <v>5232.8929007523147</v>
      </c>
      <c r="AA1045" s="19">
        <f t="shared" ca="1" si="351"/>
        <v>1.1511121479037596</v>
      </c>
    </row>
    <row r="1046" spans="1:27" ht="12.75" customHeight="1" x14ac:dyDescent="0.2">
      <c r="A1046">
        <v>3</v>
      </c>
      <c r="B1046">
        <v>3</v>
      </c>
      <c r="C1046">
        <f t="shared" ca="1" si="330"/>
        <v>8</v>
      </c>
      <c r="D1046">
        <f t="shared" ca="1" si="331"/>
        <v>7</v>
      </c>
      <c r="E1046">
        <f t="shared" ca="1" si="332"/>
        <v>3</v>
      </c>
      <c r="F1046" s="61">
        <f t="shared" ca="1" si="333"/>
        <v>8.9999999999999998E-4</v>
      </c>
      <c r="G1046">
        <v>1</v>
      </c>
      <c r="H1046">
        <v>0</v>
      </c>
      <c r="I1046">
        <v>5</v>
      </c>
      <c r="J1046" s="61">
        <f t="shared" ca="1" si="334"/>
        <v>3.8592324257812567E-2</v>
      </c>
      <c r="K1046" s="61">
        <f t="shared" ca="1" si="335"/>
        <v>3.4733091832031313E-5</v>
      </c>
      <c r="L1046" s="82">
        <f t="shared" ca="1" si="336"/>
        <v>216</v>
      </c>
      <c r="M1046" s="16">
        <f t="shared" ca="1" si="337"/>
        <v>784</v>
      </c>
      <c r="N1046" s="3">
        <f t="shared" ca="1" si="338"/>
        <v>5</v>
      </c>
      <c r="O1046" s="19">
        <f t="shared" ca="1" si="339"/>
        <v>2.8178718937399587</v>
      </c>
      <c r="P1046" s="19">
        <f t="shared" ca="1" si="340"/>
        <v>28.178718937399587</v>
      </c>
      <c r="Q1046" s="19">
        <f t="shared" ca="1" si="341"/>
        <v>28.178718937399587</v>
      </c>
      <c r="R1046" s="19">
        <f t="shared" ca="1" si="342"/>
        <v>2.8178718937399587</v>
      </c>
      <c r="S1046" s="19">
        <f t="shared" ca="1" si="343"/>
        <v>2.8178718937399587</v>
      </c>
      <c r="T1046" s="19">
        <f t="shared" ca="1" si="344"/>
        <v>9.7873403256169969E-5</v>
      </c>
      <c r="U1046" s="19">
        <f t="shared" ca="1" si="345"/>
        <v>1475.3251747165598</v>
      </c>
      <c r="V1046" s="19">
        <f t="shared" ca="1" si="346"/>
        <v>5.1242604775537909E-2</v>
      </c>
      <c r="W1046" s="82">
        <f t="shared" ca="1" si="347"/>
        <v>4746.9876707175936</v>
      </c>
      <c r="X1046" s="19">
        <f t="shared" ca="1" si="348"/>
        <v>0.1648775586925546</v>
      </c>
      <c r="Y1046" s="19">
        <f t="shared" si="349"/>
        <v>0</v>
      </c>
      <c r="Z1046" s="82">
        <f t="shared" ca="1" si="350"/>
        <v>4746.9876707175936</v>
      </c>
      <c r="AA1046" s="19">
        <f t="shared" ca="1" si="351"/>
        <v>0.1648775586925546</v>
      </c>
    </row>
    <row r="1047" spans="1:27" ht="12.75" customHeight="1" x14ac:dyDescent="0.2">
      <c r="A1047">
        <v>3</v>
      </c>
      <c r="B1047">
        <v>3</v>
      </c>
      <c r="C1047">
        <f t="shared" ca="1" si="330"/>
        <v>8</v>
      </c>
      <c r="D1047">
        <f t="shared" ca="1" si="331"/>
        <v>7</v>
      </c>
      <c r="E1047">
        <f t="shared" ca="1" si="332"/>
        <v>3</v>
      </c>
      <c r="F1047" s="61">
        <f t="shared" ca="1" si="333"/>
        <v>8.9999999999999998E-4</v>
      </c>
      <c r="G1047">
        <v>1</v>
      </c>
      <c r="H1047">
        <v>0</v>
      </c>
      <c r="I1047">
        <v>4</v>
      </c>
      <c r="J1047" s="61">
        <f t="shared" ca="1" si="334"/>
        <v>3.3852916015625085E-3</v>
      </c>
      <c r="K1047" s="61">
        <f t="shared" ca="1" si="335"/>
        <v>3.0467624414062576E-6</v>
      </c>
      <c r="L1047" s="82">
        <f t="shared" ca="1" si="336"/>
        <v>205</v>
      </c>
      <c r="M1047" s="16">
        <f t="shared" ca="1" si="337"/>
        <v>795</v>
      </c>
      <c r="N1047" s="3">
        <f t="shared" ca="1" si="338"/>
        <v>5</v>
      </c>
      <c r="O1047" s="19">
        <f t="shared" ca="1" si="339"/>
        <v>2.8178718937399587</v>
      </c>
      <c r="P1047" s="19">
        <f t="shared" ca="1" si="340"/>
        <v>28.178718937399587</v>
      </c>
      <c r="Q1047" s="19">
        <f t="shared" ca="1" si="341"/>
        <v>28.178718937399587</v>
      </c>
      <c r="R1047" s="19">
        <f t="shared" ca="1" si="342"/>
        <v>2.8178718937399587</v>
      </c>
      <c r="S1047" s="19">
        <f t="shared" ca="1" si="343"/>
        <v>2.8178718937399587</v>
      </c>
      <c r="T1047" s="19">
        <f t="shared" ca="1" si="344"/>
        <v>8.5853862505412302E-6</v>
      </c>
      <c r="U1047" s="19">
        <f t="shared" ca="1" si="345"/>
        <v>1464.3251747165598</v>
      </c>
      <c r="V1047" s="19">
        <f t="shared" ca="1" si="346"/>
        <v>4.4614509443320705E-3</v>
      </c>
      <c r="W1047" s="82">
        <f t="shared" ca="1" si="347"/>
        <v>4261.0824406828706</v>
      </c>
      <c r="X1047" s="19">
        <f t="shared" ca="1" si="348"/>
        <v>1.2982505940008278E-2</v>
      </c>
      <c r="Y1047" s="19">
        <f t="shared" si="349"/>
        <v>0</v>
      </c>
      <c r="Z1047" s="82">
        <f t="shared" ca="1" si="350"/>
        <v>4261.0824406828706</v>
      </c>
      <c r="AA1047" s="19">
        <f t="shared" ca="1" si="351"/>
        <v>1.2982505940008278E-2</v>
      </c>
    </row>
    <row r="1048" spans="1:27" ht="12.75" customHeight="1" x14ac:dyDescent="0.2">
      <c r="A1048">
        <v>3</v>
      </c>
      <c r="B1048">
        <v>3</v>
      </c>
      <c r="C1048">
        <f t="shared" ca="1" si="330"/>
        <v>8</v>
      </c>
      <c r="D1048">
        <f t="shared" ca="1" si="331"/>
        <v>7</v>
      </c>
      <c r="E1048">
        <f t="shared" ca="1" si="332"/>
        <v>3</v>
      </c>
      <c r="F1048" s="61">
        <f t="shared" ca="1" si="333"/>
        <v>8.9999999999999998E-4</v>
      </c>
      <c r="G1048">
        <v>1</v>
      </c>
      <c r="H1048">
        <v>0</v>
      </c>
      <c r="I1048">
        <v>3</v>
      </c>
      <c r="J1048" s="61">
        <f t="shared" ca="1" si="334"/>
        <v>1.7817324218750058E-4</v>
      </c>
      <c r="K1048" s="61">
        <f t="shared" ca="1" si="335"/>
        <v>1.6035591796875052E-7</v>
      </c>
      <c r="L1048" s="82">
        <f t="shared" ca="1" si="336"/>
        <v>194</v>
      </c>
      <c r="M1048" s="16">
        <f t="shared" ca="1" si="337"/>
        <v>806</v>
      </c>
      <c r="N1048" s="3">
        <f t="shared" ca="1" si="338"/>
        <v>5</v>
      </c>
      <c r="O1048" s="19">
        <f t="shared" ca="1" si="339"/>
        <v>2.8178718937399587</v>
      </c>
      <c r="P1048" s="19">
        <f t="shared" ca="1" si="340"/>
        <v>28.178718937399587</v>
      </c>
      <c r="Q1048" s="19">
        <f t="shared" ca="1" si="341"/>
        <v>28.178718937399587</v>
      </c>
      <c r="R1048" s="19">
        <f t="shared" ca="1" si="342"/>
        <v>2.8178718937399587</v>
      </c>
      <c r="S1048" s="19">
        <f t="shared" ca="1" si="343"/>
        <v>2.8178718937399587</v>
      </c>
      <c r="T1048" s="19">
        <f t="shared" ca="1" si="344"/>
        <v>4.5186243423901249E-7</v>
      </c>
      <c r="U1048" s="19">
        <f t="shared" ca="1" si="345"/>
        <v>1453.3251747165598</v>
      </c>
      <c r="V1048" s="19">
        <f t="shared" ca="1" si="346"/>
        <v>2.3304929249876868E-4</v>
      </c>
      <c r="W1048" s="82">
        <f t="shared" ca="1" si="347"/>
        <v>3775.1772106481485</v>
      </c>
      <c r="X1048" s="19">
        <f t="shared" ca="1" si="348"/>
        <v>6.0537200710819095E-4</v>
      </c>
      <c r="Y1048" s="19">
        <f t="shared" si="349"/>
        <v>0</v>
      </c>
      <c r="Z1048" s="82">
        <f t="shared" ca="1" si="350"/>
        <v>3775.1772106481485</v>
      </c>
      <c r="AA1048" s="19">
        <f t="shared" ca="1" si="351"/>
        <v>6.0537200710819095E-4</v>
      </c>
    </row>
    <row r="1049" spans="1:27" ht="12.75" customHeight="1" x14ac:dyDescent="0.2">
      <c r="A1049">
        <v>3</v>
      </c>
      <c r="B1049">
        <v>3</v>
      </c>
      <c r="C1049">
        <f t="shared" ca="1" si="330"/>
        <v>8</v>
      </c>
      <c r="D1049">
        <f t="shared" ca="1" si="331"/>
        <v>7</v>
      </c>
      <c r="E1049">
        <f t="shared" ca="1" si="332"/>
        <v>3</v>
      </c>
      <c r="F1049" s="61">
        <f t="shared" ca="1" si="333"/>
        <v>8.9999999999999998E-4</v>
      </c>
      <c r="G1049">
        <v>1</v>
      </c>
      <c r="H1049">
        <v>0</v>
      </c>
      <c r="I1049">
        <v>2</v>
      </c>
      <c r="J1049" s="61">
        <f t="shared" ca="1" si="334"/>
        <v>5.6265234375000243E-6</v>
      </c>
      <c r="K1049" s="61">
        <f t="shared" ca="1" si="335"/>
        <v>5.063871093750022E-9</v>
      </c>
      <c r="L1049" s="82">
        <f t="shared" ca="1" si="336"/>
        <v>183</v>
      </c>
      <c r="M1049" s="16">
        <f t="shared" ca="1" si="337"/>
        <v>817</v>
      </c>
      <c r="N1049" s="3">
        <f t="shared" ca="1" si="338"/>
        <v>5</v>
      </c>
      <c r="O1049" s="19">
        <f t="shared" ca="1" si="339"/>
        <v>2.8178718937399587</v>
      </c>
      <c r="P1049" s="19">
        <f t="shared" ca="1" si="340"/>
        <v>28.178718937399587</v>
      </c>
      <c r="Q1049" s="19">
        <f t="shared" ca="1" si="341"/>
        <v>28.178718937399587</v>
      </c>
      <c r="R1049" s="19">
        <f t="shared" ca="1" si="342"/>
        <v>2.8178718937399587</v>
      </c>
      <c r="S1049" s="19">
        <f t="shared" ca="1" si="343"/>
        <v>2.8178718937399587</v>
      </c>
      <c r="T1049" s="19">
        <f t="shared" ca="1" si="344"/>
        <v>1.4269340028600411E-8</v>
      </c>
      <c r="U1049" s="19">
        <f t="shared" ca="1" si="345"/>
        <v>1442.3251747165598</v>
      </c>
      <c r="V1049" s="19">
        <f t="shared" ca="1" si="346"/>
        <v>7.3037487600351374E-6</v>
      </c>
      <c r="W1049" s="82">
        <f t="shared" ca="1" si="347"/>
        <v>3289.2719806134264</v>
      </c>
      <c r="X1049" s="19">
        <f t="shared" ca="1" si="348"/>
        <v>1.6656449302110214E-5</v>
      </c>
      <c r="Y1049" s="19">
        <f t="shared" si="349"/>
        <v>0</v>
      </c>
      <c r="Z1049" s="82">
        <f t="shared" ca="1" si="350"/>
        <v>3289.2719806134264</v>
      </c>
      <c r="AA1049" s="19">
        <f t="shared" ca="1" si="351"/>
        <v>1.6656449302110214E-5</v>
      </c>
    </row>
    <row r="1050" spans="1:27" ht="12.75" customHeight="1" x14ac:dyDescent="0.2">
      <c r="A1050">
        <v>3</v>
      </c>
      <c r="B1050">
        <v>3</v>
      </c>
      <c r="C1050">
        <f t="shared" ca="1" si="330"/>
        <v>8</v>
      </c>
      <c r="D1050">
        <f t="shared" ca="1" si="331"/>
        <v>7</v>
      </c>
      <c r="E1050">
        <f t="shared" ca="1" si="332"/>
        <v>3</v>
      </c>
      <c r="F1050" s="61">
        <f t="shared" ca="1" si="333"/>
        <v>8.9999999999999998E-4</v>
      </c>
      <c r="G1050">
        <v>1</v>
      </c>
      <c r="H1050">
        <v>0</v>
      </c>
      <c r="I1050">
        <v>1</v>
      </c>
      <c r="J1050" s="61">
        <f t="shared" ca="1" si="334"/>
        <v>9.8710937500000504E-8</v>
      </c>
      <c r="K1050" s="61">
        <f t="shared" ca="1" si="335"/>
        <v>8.8839843750000455E-11</v>
      </c>
      <c r="L1050" s="82">
        <f t="shared" ca="1" si="336"/>
        <v>172</v>
      </c>
      <c r="M1050" s="16">
        <f t="shared" ca="1" si="337"/>
        <v>828</v>
      </c>
      <c r="N1050" s="3">
        <f t="shared" ca="1" si="338"/>
        <v>5</v>
      </c>
      <c r="O1050" s="19">
        <f t="shared" ca="1" si="339"/>
        <v>2.8178718937399587</v>
      </c>
      <c r="P1050" s="19">
        <f t="shared" ca="1" si="340"/>
        <v>28.178718937399587</v>
      </c>
      <c r="Q1050" s="19">
        <f t="shared" ca="1" si="341"/>
        <v>28.178718937399587</v>
      </c>
      <c r="R1050" s="19">
        <f t="shared" ca="1" si="342"/>
        <v>2.8178718937399587</v>
      </c>
      <c r="S1050" s="19">
        <f t="shared" ca="1" si="343"/>
        <v>2.8178718937399587</v>
      </c>
      <c r="T1050" s="19">
        <f t="shared" ca="1" si="344"/>
        <v>2.5033929874737581E-10</v>
      </c>
      <c r="U1050" s="19">
        <f t="shared" ca="1" si="345"/>
        <v>1431.3251747165598</v>
      </c>
      <c r="V1050" s="19">
        <f t="shared" ca="1" si="346"/>
        <v>1.2715870487726127E-7</v>
      </c>
      <c r="W1050" s="82">
        <f t="shared" ca="1" si="347"/>
        <v>2803.3667505787039</v>
      </c>
      <c r="X1050" s="19">
        <f t="shared" ca="1" si="348"/>
        <v>2.4905066409535854E-7</v>
      </c>
      <c r="Y1050" s="19">
        <f t="shared" si="349"/>
        <v>0</v>
      </c>
      <c r="Z1050" s="82">
        <f t="shared" ca="1" si="350"/>
        <v>2803.3667505787039</v>
      </c>
      <c r="AA1050" s="19">
        <f t="shared" ca="1" si="351"/>
        <v>2.4905066409535854E-7</v>
      </c>
    </row>
    <row r="1051" spans="1:27" ht="12.75" customHeight="1" x14ac:dyDescent="0.2">
      <c r="A1051">
        <v>3</v>
      </c>
      <c r="B1051">
        <v>3</v>
      </c>
      <c r="C1051">
        <f t="shared" ca="1" si="330"/>
        <v>8</v>
      </c>
      <c r="D1051">
        <f t="shared" ca="1" si="331"/>
        <v>7</v>
      </c>
      <c r="E1051">
        <f t="shared" ca="1" si="332"/>
        <v>3</v>
      </c>
      <c r="F1051" s="61">
        <f t="shared" ca="1" si="333"/>
        <v>8.9999999999999998E-4</v>
      </c>
      <c r="G1051">
        <v>1</v>
      </c>
      <c r="H1051">
        <v>0</v>
      </c>
      <c r="I1051">
        <v>0</v>
      </c>
      <c r="J1051" s="61">
        <f t="shared" ca="1" si="334"/>
        <v>7.4218750000000458E-10</v>
      </c>
      <c r="K1051" s="61">
        <f t="shared" ca="1" si="335"/>
        <v>6.6796875000000405E-13</v>
      </c>
      <c r="L1051" s="82">
        <f t="shared" ca="1" si="336"/>
        <v>161</v>
      </c>
      <c r="M1051" s="16">
        <f t="shared" ca="1" si="337"/>
        <v>839</v>
      </c>
      <c r="N1051" s="3">
        <f t="shared" ca="1" si="338"/>
        <v>5</v>
      </c>
      <c r="O1051" s="19">
        <f t="shared" ca="1" si="339"/>
        <v>2.8178718937399587</v>
      </c>
      <c r="P1051" s="19">
        <f t="shared" ca="1" si="340"/>
        <v>28.178718937399587</v>
      </c>
      <c r="Q1051" s="19">
        <f t="shared" ca="1" si="341"/>
        <v>28.178718937399587</v>
      </c>
      <c r="R1051" s="19">
        <f t="shared" ca="1" si="342"/>
        <v>2.8178718937399587</v>
      </c>
      <c r="S1051" s="19">
        <f t="shared" ca="1" si="343"/>
        <v>2.8178718937399587</v>
      </c>
      <c r="T1051" s="19">
        <f t="shared" ca="1" si="344"/>
        <v>1.8822503665216243E-12</v>
      </c>
      <c r="U1051" s="19">
        <f t="shared" ca="1" si="345"/>
        <v>1420.3251747165598</v>
      </c>
      <c r="V1051" s="19">
        <f t="shared" ca="1" si="346"/>
        <v>9.4873283154895782E-10</v>
      </c>
      <c r="W1051" s="82">
        <f t="shared" ca="1" si="347"/>
        <v>2317.4615205439818</v>
      </c>
      <c r="X1051" s="19">
        <f t="shared" ca="1" si="348"/>
        <v>1.5479918750508722E-9</v>
      </c>
      <c r="Y1051" s="19">
        <f t="shared" si="349"/>
        <v>0</v>
      </c>
      <c r="Z1051" s="82">
        <f t="shared" ca="1" si="350"/>
        <v>2317.4615205439818</v>
      </c>
      <c r="AA1051" s="19">
        <f t="shared" ca="1" si="351"/>
        <v>1.5479918750508722E-9</v>
      </c>
    </row>
    <row r="1052" spans="1:27" ht="12.75" customHeight="1" x14ac:dyDescent="0.2">
      <c r="A1052">
        <v>3</v>
      </c>
      <c r="B1052">
        <v>3</v>
      </c>
      <c r="C1052">
        <f t="shared" ca="1" si="330"/>
        <v>8</v>
      </c>
      <c r="D1052">
        <f t="shared" ca="1" si="331"/>
        <v>7</v>
      </c>
      <c r="E1052">
        <f t="shared" ca="1" si="332"/>
        <v>3</v>
      </c>
      <c r="F1052" s="61">
        <f t="shared" ca="1" si="333"/>
        <v>8.9999999999999998E-4</v>
      </c>
      <c r="G1052">
        <v>0</v>
      </c>
      <c r="H1052">
        <v>1</v>
      </c>
      <c r="I1052">
        <v>7</v>
      </c>
      <c r="J1052" s="61">
        <f t="shared" ca="1" si="334"/>
        <v>0</v>
      </c>
      <c r="K1052" s="61">
        <f t="shared" ca="1" si="335"/>
        <v>0</v>
      </c>
      <c r="L1052" s="82">
        <f t="shared" ca="1" si="336"/>
        <v>238</v>
      </c>
      <c r="M1052" s="16">
        <f t="shared" ca="1" si="337"/>
        <v>762</v>
      </c>
      <c r="N1052" s="3">
        <f t="shared" ca="1" si="338"/>
        <v>5</v>
      </c>
      <c r="O1052" s="19">
        <f t="shared" ca="1" si="339"/>
        <v>2.8178718937399587</v>
      </c>
      <c r="P1052" s="19">
        <f t="shared" ca="1" si="340"/>
        <v>25.815886347750073</v>
      </c>
      <c r="Q1052" s="19">
        <f t="shared" ca="1" si="341"/>
        <v>23.453053758100552</v>
      </c>
      <c r="R1052" s="19">
        <f t="shared" ca="1" si="342"/>
        <v>2.4634470052925312</v>
      </c>
      <c r="S1052" s="19">
        <f t="shared" ca="1" si="343"/>
        <v>2.8178718937399587</v>
      </c>
      <c r="T1052" s="19">
        <f t="shared" ca="1" si="344"/>
        <v>0</v>
      </c>
      <c r="U1052" s="19">
        <f t="shared" ca="1" si="345"/>
        <v>1497.3251747165598</v>
      </c>
      <c r="V1052" s="19">
        <f t="shared" ca="1" si="346"/>
        <v>0</v>
      </c>
      <c r="W1052" s="82">
        <f t="shared" ca="1" si="347"/>
        <v>3401.3366102430559</v>
      </c>
      <c r="X1052" s="19">
        <f t="shared" ca="1" si="348"/>
        <v>0</v>
      </c>
      <c r="Y1052" s="19">
        <f t="shared" si="349"/>
        <v>0</v>
      </c>
      <c r="Z1052" s="82">
        <f t="shared" ca="1" si="350"/>
        <v>3401.3366102430559</v>
      </c>
      <c r="AA1052" s="19">
        <f t="shared" ca="1" si="351"/>
        <v>0</v>
      </c>
    </row>
    <row r="1053" spans="1:27" ht="12.75" customHeight="1" x14ac:dyDescent="0.2">
      <c r="A1053">
        <v>3</v>
      </c>
      <c r="B1053">
        <v>3</v>
      </c>
      <c r="C1053">
        <f t="shared" ca="1" si="330"/>
        <v>8</v>
      </c>
      <c r="D1053">
        <f t="shared" ca="1" si="331"/>
        <v>7</v>
      </c>
      <c r="E1053">
        <f t="shared" ca="1" si="332"/>
        <v>3</v>
      </c>
      <c r="F1053" s="61">
        <f t="shared" ca="1" si="333"/>
        <v>8.9999999999999998E-4</v>
      </c>
      <c r="G1053">
        <v>0</v>
      </c>
      <c r="H1053">
        <v>1</v>
      </c>
      <c r="I1053">
        <v>6</v>
      </c>
      <c r="J1053" s="61">
        <f t="shared" ca="1" si="334"/>
        <v>0</v>
      </c>
      <c r="K1053" s="61">
        <f t="shared" ca="1" si="335"/>
        <v>0</v>
      </c>
      <c r="L1053" s="82">
        <f t="shared" ca="1" si="336"/>
        <v>227</v>
      </c>
      <c r="M1053" s="16">
        <f t="shared" ca="1" si="337"/>
        <v>773</v>
      </c>
      <c r="N1053" s="3">
        <f t="shared" ca="1" si="338"/>
        <v>5</v>
      </c>
      <c r="O1053" s="19">
        <f t="shared" ca="1" si="339"/>
        <v>2.8178718937399587</v>
      </c>
      <c r="P1053" s="19">
        <f t="shared" ca="1" si="340"/>
        <v>28.178718937399587</v>
      </c>
      <c r="Q1053" s="19">
        <f t="shared" ca="1" si="341"/>
        <v>26.288452865679979</v>
      </c>
      <c r="R1053" s="19">
        <f t="shared" ca="1" si="342"/>
        <v>2.7233585901539783</v>
      </c>
      <c r="S1053" s="19">
        <f t="shared" ca="1" si="343"/>
        <v>2.8178718937399587</v>
      </c>
      <c r="T1053" s="19">
        <f t="shared" ca="1" si="344"/>
        <v>0</v>
      </c>
      <c r="U1053" s="19">
        <f t="shared" ca="1" si="345"/>
        <v>1486.3251747165598</v>
      </c>
      <c r="V1053" s="19">
        <f t="shared" ca="1" si="346"/>
        <v>0</v>
      </c>
      <c r="W1053" s="82">
        <f t="shared" ca="1" si="347"/>
        <v>2915.4313802083334</v>
      </c>
      <c r="X1053" s="19">
        <f t="shared" ca="1" si="348"/>
        <v>0</v>
      </c>
      <c r="Y1053" s="19">
        <f t="shared" si="349"/>
        <v>0</v>
      </c>
      <c r="Z1053" s="82">
        <f t="shared" ca="1" si="350"/>
        <v>2915.4313802083334</v>
      </c>
      <c r="AA1053" s="19">
        <f t="shared" ca="1" si="351"/>
        <v>0</v>
      </c>
    </row>
    <row r="1054" spans="1:27" ht="12.75" customHeight="1" x14ac:dyDescent="0.2">
      <c r="A1054">
        <v>3</v>
      </c>
      <c r="B1054">
        <v>3</v>
      </c>
      <c r="C1054">
        <f t="shared" ca="1" si="330"/>
        <v>8</v>
      </c>
      <c r="D1054">
        <f t="shared" ca="1" si="331"/>
        <v>7</v>
      </c>
      <c r="E1054">
        <f t="shared" ca="1" si="332"/>
        <v>3</v>
      </c>
      <c r="F1054" s="61">
        <f t="shared" ca="1" si="333"/>
        <v>8.9999999999999998E-4</v>
      </c>
      <c r="G1054">
        <v>0</v>
      </c>
      <c r="H1054">
        <v>1</v>
      </c>
      <c r="I1054">
        <v>5</v>
      </c>
      <c r="J1054" s="61">
        <f t="shared" ca="1" si="334"/>
        <v>0</v>
      </c>
      <c r="K1054" s="61">
        <f t="shared" ca="1" si="335"/>
        <v>0</v>
      </c>
      <c r="L1054" s="82">
        <f t="shared" ca="1" si="336"/>
        <v>216</v>
      </c>
      <c r="M1054" s="16">
        <f t="shared" ca="1" si="337"/>
        <v>784</v>
      </c>
      <c r="N1054" s="3">
        <f t="shared" ca="1" si="338"/>
        <v>5</v>
      </c>
      <c r="O1054" s="19">
        <f t="shared" ca="1" si="339"/>
        <v>2.8178718937399587</v>
      </c>
      <c r="P1054" s="19">
        <f t="shared" ca="1" si="340"/>
        <v>28.178718937399587</v>
      </c>
      <c r="Q1054" s="19">
        <f t="shared" ca="1" si="341"/>
        <v>28.178718937399587</v>
      </c>
      <c r="R1054" s="19">
        <f t="shared" ca="1" si="342"/>
        <v>2.8178718937399587</v>
      </c>
      <c r="S1054" s="19">
        <f t="shared" ca="1" si="343"/>
        <v>2.8178718937399587</v>
      </c>
      <c r="T1054" s="19">
        <f t="shared" ca="1" si="344"/>
        <v>0</v>
      </c>
      <c r="U1054" s="19">
        <f t="shared" ca="1" si="345"/>
        <v>1475.3251747165598</v>
      </c>
      <c r="V1054" s="19">
        <f t="shared" ca="1" si="346"/>
        <v>0</v>
      </c>
      <c r="W1054" s="82">
        <f t="shared" ca="1" si="347"/>
        <v>2429.5261501736113</v>
      </c>
      <c r="X1054" s="19">
        <f t="shared" ca="1" si="348"/>
        <v>0</v>
      </c>
      <c r="Y1054" s="19">
        <f t="shared" si="349"/>
        <v>0</v>
      </c>
      <c r="Z1054" s="82">
        <f t="shared" ca="1" si="350"/>
        <v>2429.5261501736113</v>
      </c>
      <c r="AA1054" s="19">
        <f t="shared" ca="1" si="351"/>
        <v>0</v>
      </c>
    </row>
    <row r="1055" spans="1:27" ht="12.75" customHeight="1" x14ac:dyDescent="0.2">
      <c r="A1055">
        <v>3</v>
      </c>
      <c r="B1055">
        <v>3</v>
      </c>
      <c r="C1055">
        <f t="shared" ca="1" si="330"/>
        <v>8</v>
      </c>
      <c r="D1055">
        <f t="shared" ca="1" si="331"/>
        <v>7</v>
      </c>
      <c r="E1055">
        <f t="shared" ca="1" si="332"/>
        <v>3</v>
      </c>
      <c r="F1055" s="61">
        <f t="shared" ca="1" si="333"/>
        <v>8.9999999999999998E-4</v>
      </c>
      <c r="G1055">
        <v>0</v>
      </c>
      <c r="H1055">
        <v>1</v>
      </c>
      <c r="I1055">
        <v>4</v>
      </c>
      <c r="J1055" s="61">
        <f t="shared" ca="1" si="334"/>
        <v>0</v>
      </c>
      <c r="K1055" s="61">
        <f t="shared" ca="1" si="335"/>
        <v>0</v>
      </c>
      <c r="L1055" s="82">
        <f t="shared" ca="1" si="336"/>
        <v>205</v>
      </c>
      <c r="M1055" s="16">
        <f t="shared" ca="1" si="337"/>
        <v>795</v>
      </c>
      <c r="N1055" s="3">
        <f t="shared" ca="1" si="338"/>
        <v>5</v>
      </c>
      <c r="O1055" s="19">
        <f t="shared" ca="1" si="339"/>
        <v>2.8178718937399587</v>
      </c>
      <c r="P1055" s="19">
        <f t="shared" ca="1" si="340"/>
        <v>28.178718937399587</v>
      </c>
      <c r="Q1055" s="19">
        <f t="shared" ca="1" si="341"/>
        <v>28.178718937399587</v>
      </c>
      <c r="R1055" s="19">
        <f t="shared" ca="1" si="342"/>
        <v>2.8178718937399587</v>
      </c>
      <c r="S1055" s="19">
        <f t="shared" ca="1" si="343"/>
        <v>2.8178718937399587</v>
      </c>
      <c r="T1055" s="19">
        <f t="shared" ca="1" si="344"/>
        <v>0</v>
      </c>
      <c r="U1055" s="19">
        <f t="shared" ca="1" si="345"/>
        <v>1464.3251747165598</v>
      </c>
      <c r="V1055" s="19">
        <f t="shared" ca="1" si="346"/>
        <v>0</v>
      </c>
      <c r="W1055" s="82">
        <f t="shared" ca="1" si="347"/>
        <v>1943.620920138889</v>
      </c>
      <c r="X1055" s="19">
        <f t="shared" ca="1" si="348"/>
        <v>0</v>
      </c>
      <c r="Y1055" s="19">
        <f t="shared" si="349"/>
        <v>0</v>
      </c>
      <c r="Z1055" s="82">
        <f t="shared" ca="1" si="350"/>
        <v>1943.620920138889</v>
      </c>
      <c r="AA1055" s="19">
        <f t="shared" ca="1" si="351"/>
        <v>0</v>
      </c>
    </row>
    <row r="1056" spans="1:27" ht="12.75" customHeight="1" x14ac:dyDescent="0.2">
      <c r="A1056">
        <v>3</v>
      </c>
      <c r="B1056">
        <v>3</v>
      </c>
      <c r="C1056">
        <f t="shared" ca="1" si="330"/>
        <v>8</v>
      </c>
      <c r="D1056">
        <f t="shared" ca="1" si="331"/>
        <v>7</v>
      </c>
      <c r="E1056">
        <f t="shared" ca="1" si="332"/>
        <v>3</v>
      </c>
      <c r="F1056" s="61">
        <f t="shared" ca="1" si="333"/>
        <v>8.9999999999999998E-4</v>
      </c>
      <c r="G1056">
        <v>0</v>
      </c>
      <c r="H1056">
        <v>1</v>
      </c>
      <c r="I1056">
        <v>3</v>
      </c>
      <c r="J1056" s="61">
        <f t="shared" ca="1" si="334"/>
        <v>0</v>
      </c>
      <c r="K1056" s="61">
        <f t="shared" ca="1" si="335"/>
        <v>0</v>
      </c>
      <c r="L1056" s="82">
        <f t="shared" ca="1" si="336"/>
        <v>194</v>
      </c>
      <c r="M1056" s="16">
        <f t="shared" ca="1" si="337"/>
        <v>806</v>
      </c>
      <c r="N1056" s="3">
        <f t="shared" ca="1" si="338"/>
        <v>5</v>
      </c>
      <c r="O1056" s="19">
        <f t="shared" ca="1" si="339"/>
        <v>2.8178718937399587</v>
      </c>
      <c r="P1056" s="19">
        <f t="shared" ca="1" si="340"/>
        <v>28.178718937399587</v>
      </c>
      <c r="Q1056" s="19">
        <f t="shared" ca="1" si="341"/>
        <v>28.178718937399587</v>
      </c>
      <c r="R1056" s="19">
        <f t="shared" ca="1" si="342"/>
        <v>2.8178718937399587</v>
      </c>
      <c r="S1056" s="19">
        <f t="shared" ca="1" si="343"/>
        <v>2.8178718937399587</v>
      </c>
      <c r="T1056" s="19">
        <f t="shared" ca="1" si="344"/>
        <v>0</v>
      </c>
      <c r="U1056" s="19">
        <f t="shared" ca="1" si="345"/>
        <v>1453.3251747165598</v>
      </c>
      <c r="V1056" s="19">
        <f t="shared" ca="1" si="346"/>
        <v>0</v>
      </c>
      <c r="W1056" s="82">
        <f t="shared" ca="1" si="347"/>
        <v>1457.7156901041667</v>
      </c>
      <c r="X1056" s="19">
        <f t="shared" ca="1" si="348"/>
        <v>0</v>
      </c>
      <c r="Y1056" s="19">
        <f t="shared" si="349"/>
        <v>0</v>
      </c>
      <c r="Z1056" s="82">
        <f t="shared" ca="1" si="350"/>
        <v>1457.7156901041667</v>
      </c>
      <c r="AA1056" s="19">
        <f t="shared" ca="1" si="351"/>
        <v>0</v>
      </c>
    </row>
    <row r="1057" spans="1:27" ht="12.75" customHeight="1" x14ac:dyDescent="0.2">
      <c r="A1057">
        <v>3</v>
      </c>
      <c r="B1057">
        <v>3</v>
      </c>
      <c r="C1057">
        <f t="shared" ca="1" si="330"/>
        <v>8</v>
      </c>
      <c r="D1057">
        <f t="shared" ca="1" si="331"/>
        <v>7</v>
      </c>
      <c r="E1057">
        <f t="shared" ca="1" si="332"/>
        <v>3</v>
      </c>
      <c r="F1057" s="61">
        <f t="shared" ca="1" si="333"/>
        <v>8.9999999999999998E-4</v>
      </c>
      <c r="G1057">
        <v>0</v>
      </c>
      <c r="H1057">
        <v>1</v>
      </c>
      <c r="I1057">
        <v>2</v>
      </c>
      <c r="J1057" s="61">
        <f t="shared" ca="1" si="334"/>
        <v>0</v>
      </c>
      <c r="K1057" s="61">
        <f t="shared" ca="1" si="335"/>
        <v>0</v>
      </c>
      <c r="L1057" s="82">
        <f t="shared" ca="1" si="336"/>
        <v>183</v>
      </c>
      <c r="M1057" s="16">
        <f t="shared" ca="1" si="337"/>
        <v>817</v>
      </c>
      <c r="N1057" s="3">
        <f t="shared" ca="1" si="338"/>
        <v>5</v>
      </c>
      <c r="O1057" s="19">
        <f t="shared" ca="1" si="339"/>
        <v>2.8178718937399587</v>
      </c>
      <c r="P1057" s="19">
        <f t="shared" ca="1" si="340"/>
        <v>28.178718937399587</v>
      </c>
      <c r="Q1057" s="19">
        <f t="shared" ca="1" si="341"/>
        <v>28.178718937399587</v>
      </c>
      <c r="R1057" s="19">
        <f t="shared" ca="1" si="342"/>
        <v>2.8178718937399587</v>
      </c>
      <c r="S1057" s="19">
        <f t="shared" ca="1" si="343"/>
        <v>2.8178718937399587</v>
      </c>
      <c r="T1057" s="19">
        <f t="shared" ca="1" si="344"/>
        <v>0</v>
      </c>
      <c r="U1057" s="19">
        <f t="shared" ca="1" si="345"/>
        <v>1442.3251747165598</v>
      </c>
      <c r="V1057" s="19">
        <f t="shared" ca="1" si="346"/>
        <v>0</v>
      </c>
      <c r="W1057" s="82">
        <f t="shared" ca="1" si="347"/>
        <v>971.8104600694445</v>
      </c>
      <c r="X1057" s="19">
        <f t="shared" ca="1" si="348"/>
        <v>0</v>
      </c>
      <c r="Y1057" s="19">
        <f t="shared" si="349"/>
        <v>0</v>
      </c>
      <c r="Z1057" s="82">
        <f t="shared" ca="1" si="350"/>
        <v>971.8104600694445</v>
      </c>
      <c r="AA1057" s="19">
        <f t="shared" ca="1" si="351"/>
        <v>0</v>
      </c>
    </row>
    <row r="1058" spans="1:27" ht="12.75" customHeight="1" x14ac:dyDescent="0.2">
      <c r="A1058">
        <v>3</v>
      </c>
      <c r="B1058">
        <v>3</v>
      </c>
      <c r="C1058">
        <f t="shared" ca="1" si="330"/>
        <v>8</v>
      </c>
      <c r="D1058">
        <f t="shared" ca="1" si="331"/>
        <v>7</v>
      </c>
      <c r="E1058">
        <f t="shared" ca="1" si="332"/>
        <v>3</v>
      </c>
      <c r="F1058" s="61">
        <f t="shared" ca="1" si="333"/>
        <v>8.9999999999999998E-4</v>
      </c>
      <c r="G1058">
        <v>0</v>
      </c>
      <c r="H1058">
        <v>1</v>
      </c>
      <c r="I1058">
        <v>1</v>
      </c>
      <c r="J1058" s="61">
        <f t="shared" ca="1" si="334"/>
        <v>0</v>
      </c>
      <c r="K1058" s="61">
        <f t="shared" ca="1" si="335"/>
        <v>0</v>
      </c>
      <c r="L1058" s="82">
        <f t="shared" ca="1" si="336"/>
        <v>172</v>
      </c>
      <c r="M1058" s="16">
        <f t="shared" ca="1" si="337"/>
        <v>828</v>
      </c>
      <c r="N1058" s="3">
        <f t="shared" ca="1" si="338"/>
        <v>5</v>
      </c>
      <c r="O1058" s="19">
        <f t="shared" ca="1" si="339"/>
        <v>2.8178718937399587</v>
      </c>
      <c r="P1058" s="19">
        <f t="shared" ca="1" si="340"/>
        <v>28.178718937399587</v>
      </c>
      <c r="Q1058" s="19">
        <f t="shared" ca="1" si="341"/>
        <v>28.178718937399587</v>
      </c>
      <c r="R1058" s="19">
        <f t="shared" ca="1" si="342"/>
        <v>2.8178718937399587</v>
      </c>
      <c r="S1058" s="19">
        <f t="shared" ca="1" si="343"/>
        <v>2.8178718937399587</v>
      </c>
      <c r="T1058" s="19">
        <f t="shared" ca="1" si="344"/>
        <v>0</v>
      </c>
      <c r="U1058" s="19">
        <f t="shared" ca="1" si="345"/>
        <v>1431.3251747165598</v>
      </c>
      <c r="V1058" s="19">
        <f t="shared" ca="1" si="346"/>
        <v>0</v>
      </c>
      <c r="W1058" s="82">
        <f t="shared" ca="1" si="347"/>
        <v>485.90523003472225</v>
      </c>
      <c r="X1058" s="19">
        <f t="shared" ca="1" si="348"/>
        <v>0</v>
      </c>
      <c r="Y1058" s="19">
        <f t="shared" si="349"/>
        <v>0</v>
      </c>
      <c r="Z1058" s="82">
        <f t="shared" ca="1" si="350"/>
        <v>485.90523003472225</v>
      </c>
      <c r="AA1058" s="19">
        <f t="shared" ca="1" si="351"/>
        <v>0</v>
      </c>
    </row>
    <row r="1059" spans="1:27" ht="12.75" customHeight="1" x14ac:dyDescent="0.2">
      <c r="A1059">
        <v>3</v>
      </c>
      <c r="B1059">
        <v>3</v>
      </c>
      <c r="C1059">
        <f t="shared" ca="1" si="330"/>
        <v>8</v>
      </c>
      <c r="D1059">
        <f t="shared" ca="1" si="331"/>
        <v>7</v>
      </c>
      <c r="E1059">
        <f t="shared" ca="1" si="332"/>
        <v>3</v>
      </c>
      <c r="F1059" s="61">
        <f t="shared" ca="1" si="333"/>
        <v>8.9999999999999998E-4</v>
      </c>
      <c r="G1059">
        <v>0</v>
      </c>
      <c r="H1059">
        <v>1</v>
      </c>
      <c r="I1059">
        <v>0</v>
      </c>
      <c r="J1059" s="61">
        <f t="shared" ca="1" si="334"/>
        <v>0</v>
      </c>
      <c r="K1059" s="61">
        <f t="shared" ca="1" si="335"/>
        <v>0</v>
      </c>
      <c r="L1059" s="82">
        <f t="shared" ca="1" si="336"/>
        <v>161</v>
      </c>
      <c r="M1059" s="16">
        <f t="shared" ca="1" si="337"/>
        <v>839</v>
      </c>
      <c r="N1059" s="3">
        <f t="shared" ca="1" si="338"/>
        <v>5</v>
      </c>
      <c r="O1059" s="19">
        <f t="shared" ca="1" si="339"/>
        <v>2.8178718937399587</v>
      </c>
      <c r="P1059" s="19">
        <f t="shared" ca="1" si="340"/>
        <v>28.178718937399587</v>
      </c>
      <c r="Q1059" s="19">
        <f t="shared" ca="1" si="341"/>
        <v>28.178718937399587</v>
      </c>
      <c r="R1059" s="19">
        <f t="shared" ca="1" si="342"/>
        <v>2.8178718937399587</v>
      </c>
      <c r="S1059" s="19">
        <f t="shared" ca="1" si="343"/>
        <v>2.8178718937399587</v>
      </c>
      <c r="T1059" s="19">
        <f t="shared" ca="1" si="344"/>
        <v>0</v>
      </c>
      <c r="U1059" s="19">
        <f t="shared" ca="1" si="345"/>
        <v>1420.3251747165598</v>
      </c>
      <c r="V1059" s="19">
        <f t="shared" ca="1" si="346"/>
        <v>0</v>
      </c>
      <c r="W1059" s="82">
        <f t="shared" ca="1" si="347"/>
        <v>0</v>
      </c>
      <c r="X1059" s="19">
        <f t="shared" ca="1" si="348"/>
        <v>0</v>
      </c>
      <c r="Y1059" s="19">
        <f t="shared" si="349"/>
        <v>0</v>
      </c>
      <c r="Z1059" s="82">
        <f t="shared" ca="1" si="350"/>
        <v>0</v>
      </c>
      <c r="AA1059" s="19">
        <f t="shared" ca="1" si="351"/>
        <v>0</v>
      </c>
    </row>
    <row r="1060" spans="1:27" ht="12.75" customHeight="1" x14ac:dyDescent="0.2">
      <c r="A1060">
        <v>3</v>
      </c>
      <c r="B1060">
        <v>3</v>
      </c>
      <c r="C1060">
        <f t="shared" ca="1" si="330"/>
        <v>8</v>
      </c>
      <c r="D1060">
        <f t="shared" ca="1" si="331"/>
        <v>7</v>
      </c>
      <c r="E1060">
        <f t="shared" ca="1" si="332"/>
        <v>3</v>
      </c>
      <c r="F1060" s="61">
        <f t="shared" ca="1" si="333"/>
        <v>8.9999999999999998E-4</v>
      </c>
      <c r="G1060">
        <v>0</v>
      </c>
      <c r="H1060">
        <v>0</v>
      </c>
      <c r="I1060">
        <v>7</v>
      </c>
      <c r="J1060" s="61">
        <f t="shared" ca="1" si="334"/>
        <v>3.4916864804687496E-2</v>
      </c>
      <c r="K1060" s="61">
        <f t="shared" ca="1" si="335"/>
        <v>3.1425178324218745E-5</v>
      </c>
      <c r="L1060" s="82">
        <f t="shared" ca="1" si="336"/>
        <v>77</v>
      </c>
      <c r="M1060" s="16">
        <f t="shared" ca="1" si="337"/>
        <v>923</v>
      </c>
      <c r="N1060" s="3">
        <f t="shared" ca="1" si="338"/>
        <v>5</v>
      </c>
      <c r="O1060" s="19">
        <f t="shared" ca="1" si="339"/>
        <v>2.8178718937399587</v>
      </c>
      <c r="P1060" s="19">
        <f t="shared" ca="1" si="340"/>
        <v>28.178718937399587</v>
      </c>
      <c r="Q1060" s="19">
        <f t="shared" ca="1" si="341"/>
        <v>28.178718937399587</v>
      </c>
      <c r="R1060" s="19">
        <f t="shared" ca="1" si="342"/>
        <v>2.8178718937399587</v>
      </c>
      <c r="S1060" s="19">
        <f t="shared" ca="1" si="343"/>
        <v>2.8178718937399587</v>
      </c>
      <c r="T1060" s="19">
        <f t="shared" ca="1" si="344"/>
        <v>8.8552126755582174E-5</v>
      </c>
      <c r="U1060" s="19">
        <f t="shared" ca="1" si="345"/>
        <v>1336.3251747165598</v>
      </c>
      <c r="V1060" s="19">
        <f t="shared" ca="1" si="346"/>
        <v>4.1994256914610666E-2</v>
      </c>
      <c r="W1060" s="82">
        <f t="shared" ca="1" si="347"/>
        <v>3401.3366102430559</v>
      </c>
      <c r="X1060" s="19">
        <f t="shared" ca="1" si="348"/>
        <v>0.10688760951758175</v>
      </c>
      <c r="Y1060" s="19">
        <f t="shared" si="349"/>
        <v>0</v>
      </c>
      <c r="Z1060" s="82">
        <f t="shared" ca="1" si="350"/>
        <v>3401.3366102430559</v>
      </c>
      <c r="AA1060" s="19">
        <f t="shared" ca="1" si="351"/>
        <v>0.10688760951758175</v>
      </c>
    </row>
    <row r="1061" spans="1:27" ht="12.75" customHeight="1" x14ac:dyDescent="0.2">
      <c r="A1061">
        <v>3</v>
      </c>
      <c r="B1061">
        <v>3</v>
      </c>
      <c r="C1061">
        <f t="shared" ca="1" si="330"/>
        <v>8</v>
      </c>
      <c r="D1061">
        <f t="shared" ca="1" si="331"/>
        <v>7</v>
      </c>
      <c r="E1061">
        <f t="shared" ca="1" si="332"/>
        <v>3</v>
      </c>
      <c r="F1061" s="61">
        <f t="shared" ca="1" si="333"/>
        <v>8.9999999999999998E-4</v>
      </c>
      <c r="G1061">
        <v>0</v>
      </c>
      <c r="H1061">
        <v>0</v>
      </c>
      <c r="I1061">
        <v>6</v>
      </c>
      <c r="J1061" s="61">
        <f t="shared" ca="1" si="334"/>
        <v>1.2864108085937513E-2</v>
      </c>
      <c r="K1061" s="61">
        <f t="shared" ca="1" si="335"/>
        <v>1.1577697277343762E-5</v>
      </c>
      <c r="L1061" s="82">
        <f t="shared" ca="1" si="336"/>
        <v>66</v>
      </c>
      <c r="M1061" s="16">
        <f t="shared" ca="1" si="337"/>
        <v>934</v>
      </c>
      <c r="N1061" s="3">
        <f t="shared" ca="1" si="338"/>
        <v>5</v>
      </c>
      <c r="O1061" s="19">
        <f t="shared" ca="1" si="339"/>
        <v>2.8178718937399587</v>
      </c>
      <c r="P1061" s="19">
        <f t="shared" ca="1" si="340"/>
        <v>28.178718937399587</v>
      </c>
      <c r="Q1061" s="19">
        <f t="shared" ca="1" si="341"/>
        <v>28.178718937399587</v>
      </c>
      <c r="R1061" s="19">
        <f t="shared" ca="1" si="342"/>
        <v>2.8178718937399587</v>
      </c>
      <c r="S1061" s="19">
        <f t="shared" ca="1" si="343"/>
        <v>2.8178718937399587</v>
      </c>
      <c r="T1061" s="19">
        <f t="shared" ca="1" si="344"/>
        <v>3.2624467752056629E-5</v>
      </c>
      <c r="U1061" s="19">
        <f t="shared" ca="1" si="345"/>
        <v>1325.3251747165598</v>
      </c>
      <c r="V1061" s="19">
        <f t="shared" ca="1" si="346"/>
        <v>1.534421366691106E-2</v>
      </c>
      <c r="W1061" s="82">
        <f t="shared" ca="1" si="347"/>
        <v>2915.4313802083334</v>
      </c>
      <c r="X1061" s="19">
        <f t="shared" ca="1" si="348"/>
        <v>3.3753981952920585E-2</v>
      </c>
      <c r="Y1061" s="19">
        <f t="shared" si="349"/>
        <v>0</v>
      </c>
      <c r="Z1061" s="82">
        <f t="shared" ca="1" si="350"/>
        <v>2915.4313802083334</v>
      </c>
      <c r="AA1061" s="19">
        <f t="shared" ca="1" si="351"/>
        <v>3.3753981952920585E-2</v>
      </c>
    </row>
    <row r="1062" spans="1:27" ht="12.75" customHeight="1" x14ac:dyDescent="0.2">
      <c r="A1062">
        <v>3</v>
      </c>
      <c r="B1062">
        <v>3</v>
      </c>
      <c r="C1062">
        <f t="shared" ca="1" si="330"/>
        <v>8</v>
      </c>
      <c r="D1062">
        <f t="shared" ca="1" si="331"/>
        <v>7</v>
      </c>
      <c r="E1062">
        <f t="shared" ca="1" si="332"/>
        <v>3</v>
      </c>
      <c r="F1062" s="61">
        <f t="shared" ca="1" si="333"/>
        <v>8.9999999999999998E-4</v>
      </c>
      <c r="G1062">
        <v>0</v>
      </c>
      <c r="H1062">
        <v>0</v>
      </c>
      <c r="I1062">
        <v>5</v>
      </c>
      <c r="J1062" s="61">
        <f t="shared" ca="1" si="334"/>
        <v>2.0311749609375038E-3</v>
      </c>
      <c r="K1062" s="61">
        <f t="shared" ca="1" si="335"/>
        <v>1.8280574648437534E-6</v>
      </c>
      <c r="L1062" s="82">
        <f t="shared" ca="1" si="336"/>
        <v>55</v>
      </c>
      <c r="M1062" s="16">
        <f t="shared" ca="1" si="337"/>
        <v>945</v>
      </c>
      <c r="N1062" s="3">
        <f t="shared" ca="1" si="338"/>
        <v>5</v>
      </c>
      <c r="O1062" s="19">
        <f t="shared" ca="1" si="339"/>
        <v>2.8178718937399587</v>
      </c>
      <c r="P1062" s="19">
        <f t="shared" ca="1" si="340"/>
        <v>28.178718937399587</v>
      </c>
      <c r="Q1062" s="19">
        <f t="shared" ca="1" si="341"/>
        <v>28.178718937399587</v>
      </c>
      <c r="R1062" s="19">
        <f t="shared" ca="1" si="342"/>
        <v>2.8178718937399587</v>
      </c>
      <c r="S1062" s="19">
        <f t="shared" ca="1" si="343"/>
        <v>2.8178718937399587</v>
      </c>
      <c r="T1062" s="19">
        <f t="shared" ca="1" si="344"/>
        <v>5.1512317503247356E-6</v>
      </c>
      <c r="U1062" s="19">
        <f t="shared" ca="1" si="345"/>
        <v>1314.3251747165598</v>
      </c>
      <c r="V1062" s="19">
        <f t="shared" ca="1" si="346"/>
        <v>2.4026619468726774E-3</v>
      </c>
      <c r="W1062" s="82">
        <f t="shared" ca="1" si="347"/>
        <v>2429.5261501736113</v>
      </c>
      <c r="X1062" s="19">
        <f t="shared" ca="1" si="348"/>
        <v>4.4413134148579758E-3</v>
      </c>
      <c r="Y1062" s="19">
        <f t="shared" si="349"/>
        <v>0</v>
      </c>
      <c r="Z1062" s="82">
        <f t="shared" ca="1" si="350"/>
        <v>2429.5261501736113</v>
      </c>
      <c r="AA1062" s="19">
        <f t="shared" ca="1" si="351"/>
        <v>4.4413134148579758E-3</v>
      </c>
    </row>
    <row r="1063" spans="1:27" ht="12.75" customHeight="1" x14ac:dyDescent="0.2">
      <c r="A1063">
        <v>3</v>
      </c>
      <c r="B1063">
        <v>3</v>
      </c>
      <c r="C1063">
        <f t="shared" ca="1" si="330"/>
        <v>8</v>
      </c>
      <c r="D1063">
        <f t="shared" ca="1" si="331"/>
        <v>7</v>
      </c>
      <c r="E1063">
        <f t="shared" ca="1" si="332"/>
        <v>3</v>
      </c>
      <c r="F1063" s="61">
        <f t="shared" ca="1" si="333"/>
        <v>8.9999999999999998E-4</v>
      </c>
      <c r="G1063">
        <v>0</v>
      </c>
      <c r="H1063">
        <v>0</v>
      </c>
      <c r="I1063">
        <v>4</v>
      </c>
      <c r="J1063" s="61">
        <f t="shared" ca="1" si="334"/>
        <v>1.7817324218750047E-4</v>
      </c>
      <c r="K1063" s="61">
        <f t="shared" ca="1" si="335"/>
        <v>1.6035591796875042E-7</v>
      </c>
      <c r="L1063" s="82">
        <f t="shared" ca="1" si="336"/>
        <v>44</v>
      </c>
      <c r="M1063" s="16">
        <f t="shared" ca="1" si="337"/>
        <v>956</v>
      </c>
      <c r="N1063" s="3">
        <f t="shared" ca="1" si="338"/>
        <v>6</v>
      </c>
      <c r="O1063" s="19">
        <f t="shared" ca="1" si="339"/>
        <v>3.3239268932937667</v>
      </c>
      <c r="P1063" s="19">
        <f t="shared" ca="1" si="340"/>
        <v>33.239268932937669</v>
      </c>
      <c r="Q1063" s="19">
        <f t="shared" ca="1" si="341"/>
        <v>28.178718937399587</v>
      </c>
      <c r="R1063" s="19">
        <f t="shared" ca="1" si="342"/>
        <v>3.0708993935168629</v>
      </c>
      <c r="S1063" s="19">
        <f t="shared" ca="1" si="343"/>
        <v>3.3239268932937667</v>
      </c>
      <c r="T1063" s="19">
        <f t="shared" ca="1" si="344"/>
        <v>5.3301134823513867E-7</v>
      </c>
      <c r="U1063" s="19">
        <f t="shared" ca="1" si="345"/>
        <v>1495.4024523027438</v>
      </c>
      <c r="V1063" s="19">
        <f t="shared" ca="1" si="346"/>
        <v>2.39796632971727E-4</v>
      </c>
      <c r="W1063" s="82">
        <f t="shared" ca="1" si="347"/>
        <v>1943.620920138889</v>
      </c>
      <c r="X1063" s="19">
        <f t="shared" ca="1" si="348"/>
        <v>3.1167111683213887E-4</v>
      </c>
      <c r="Y1063" s="19">
        <f t="shared" si="349"/>
        <v>0</v>
      </c>
      <c r="Z1063" s="82">
        <f t="shared" ca="1" si="350"/>
        <v>1943.620920138889</v>
      </c>
      <c r="AA1063" s="19">
        <f t="shared" ca="1" si="351"/>
        <v>3.1167111683213887E-4</v>
      </c>
    </row>
    <row r="1064" spans="1:27" ht="12.75" customHeight="1" x14ac:dyDescent="0.2">
      <c r="A1064">
        <v>3</v>
      </c>
      <c r="B1064">
        <v>3</v>
      </c>
      <c r="C1064">
        <f t="shared" ca="1" si="330"/>
        <v>8</v>
      </c>
      <c r="D1064">
        <f t="shared" ca="1" si="331"/>
        <v>7</v>
      </c>
      <c r="E1064">
        <f t="shared" ca="1" si="332"/>
        <v>3</v>
      </c>
      <c r="F1064" s="61">
        <f t="shared" ca="1" si="333"/>
        <v>8.9999999999999998E-4</v>
      </c>
      <c r="G1064">
        <v>0</v>
      </c>
      <c r="H1064">
        <v>0</v>
      </c>
      <c r="I1064">
        <v>3</v>
      </c>
      <c r="J1064" s="61">
        <f t="shared" ca="1" si="334"/>
        <v>9.3775390625000315E-6</v>
      </c>
      <c r="K1064" s="61">
        <f t="shared" ca="1" si="335"/>
        <v>8.4397851562500278E-9</v>
      </c>
      <c r="L1064" s="82">
        <f t="shared" ca="1" si="336"/>
        <v>33</v>
      </c>
      <c r="M1064" s="16">
        <f t="shared" ca="1" si="337"/>
        <v>967</v>
      </c>
      <c r="N1064" s="3">
        <f t="shared" ca="1" si="338"/>
        <v>6</v>
      </c>
      <c r="O1064" s="19">
        <f t="shared" ca="1" si="339"/>
        <v>3.3239268932937667</v>
      </c>
      <c r="P1064" s="19">
        <f t="shared" ca="1" si="340"/>
        <v>33.239268932937669</v>
      </c>
      <c r="Q1064" s="19">
        <f t="shared" ca="1" si="341"/>
        <v>33.239268932937669</v>
      </c>
      <c r="R1064" s="19">
        <f t="shared" ca="1" si="342"/>
        <v>3.3239268932937671</v>
      </c>
      <c r="S1064" s="19">
        <f t="shared" ca="1" si="343"/>
        <v>3.3239268932937667</v>
      </c>
      <c r="T1064" s="19">
        <f t="shared" ca="1" si="344"/>
        <v>2.8053228854481004E-8</v>
      </c>
      <c r="U1064" s="19">
        <f t="shared" ca="1" si="345"/>
        <v>1484.4024523027438</v>
      </c>
      <c r="V1064" s="19">
        <f t="shared" ca="1" si="346"/>
        <v>1.2528037782845836E-5</v>
      </c>
      <c r="W1064" s="82">
        <f t="shared" ca="1" si="347"/>
        <v>1457.7156901041667</v>
      </c>
      <c r="X1064" s="19">
        <f t="shared" ca="1" si="348"/>
        <v>1.2302807243373912E-5</v>
      </c>
      <c r="Y1064" s="19">
        <f t="shared" si="349"/>
        <v>0</v>
      </c>
      <c r="Z1064" s="82">
        <f t="shared" ca="1" si="350"/>
        <v>1457.7156901041667</v>
      </c>
      <c r="AA1064" s="19">
        <f t="shared" ca="1" si="351"/>
        <v>1.2302807243373912E-5</v>
      </c>
    </row>
    <row r="1065" spans="1:27" ht="12.75" customHeight="1" x14ac:dyDescent="0.2">
      <c r="A1065">
        <v>3</v>
      </c>
      <c r="B1065">
        <v>3</v>
      </c>
      <c r="C1065">
        <f t="shared" ca="1" si="330"/>
        <v>8</v>
      </c>
      <c r="D1065">
        <f t="shared" ca="1" si="331"/>
        <v>7</v>
      </c>
      <c r="E1065">
        <f t="shared" ca="1" si="332"/>
        <v>3</v>
      </c>
      <c r="F1065" s="61">
        <f t="shared" ca="1" si="333"/>
        <v>8.9999999999999998E-4</v>
      </c>
      <c r="G1065">
        <v>0</v>
      </c>
      <c r="H1065">
        <v>0</v>
      </c>
      <c r="I1065">
        <v>2</v>
      </c>
      <c r="J1065" s="61">
        <f t="shared" ca="1" si="334"/>
        <v>2.961328125000013E-7</v>
      </c>
      <c r="K1065" s="61">
        <f t="shared" ca="1" si="335"/>
        <v>2.6651953125000117E-10</v>
      </c>
      <c r="L1065" s="82">
        <f t="shared" ca="1" si="336"/>
        <v>22</v>
      </c>
      <c r="M1065" s="16">
        <f t="shared" ca="1" si="337"/>
        <v>978</v>
      </c>
      <c r="N1065" s="3">
        <f t="shared" ca="1" si="338"/>
        <v>6</v>
      </c>
      <c r="O1065" s="19">
        <f t="shared" ca="1" si="339"/>
        <v>3.3239268932937667</v>
      </c>
      <c r="P1065" s="19">
        <f t="shared" ca="1" si="340"/>
        <v>33.239268932937669</v>
      </c>
      <c r="Q1065" s="19">
        <f t="shared" ca="1" si="341"/>
        <v>33.239268932937669</v>
      </c>
      <c r="R1065" s="19">
        <f t="shared" ca="1" si="342"/>
        <v>3.3239268932937671</v>
      </c>
      <c r="S1065" s="19">
        <f t="shared" ca="1" si="343"/>
        <v>3.3239268932937667</v>
      </c>
      <c r="T1065" s="19">
        <f t="shared" ca="1" si="344"/>
        <v>8.8589143750992738E-10</v>
      </c>
      <c r="U1065" s="19">
        <f t="shared" ca="1" si="345"/>
        <v>1473.4024523027438</v>
      </c>
      <c r="V1065" s="19">
        <f t="shared" ca="1" si="346"/>
        <v>3.926905309303295E-7</v>
      </c>
      <c r="W1065" s="82">
        <f t="shared" ca="1" si="347"/>
        <v>971.8104600694445</v>
      </c>
      <c r="X1065" s="19">
        <f t="shared" ca="1" si="348"/>
        <v>2.5900646828155633E-7</v>
      </c>
      <c r="Y1065" s="19">
        <f t="shared" si="349"/>
        <v>0</v>
      </c>
      <c r="Z1065" s="82">
        <f t="shared" ca="1" si="350"/>
        <v>971.8104600694445</v>
      </c>
      <c r="AA1065" s="19">
        <f t="shared" ca="1" si="351"/>
        <v>2.5900646828155633E-7</v>
      </c>
    </row>
    <row r="1066" spans="1:27" ht="12.75" customHeight="1" x14ac:dyDescent="0.2">
      <c r="A1066">
        <v>3</v>
      </c>
      <c r="B1066">
        <v>3</v>
      </c>
      <c r="C1066">
        <f t="shared" ca="1" si="330"/>
        <v>8</v>
      </c>
      <c r="D1066">
        <f t="shared" ca="1" si="331"/>
        <v>7</v>
      </c>
      <c r="E1066">
        <f t="shared" ca="1" si="332"/>
        <v>3</v>
      </c>
      <c r="F1066" s="61">
        <f t="shared" ca="1" si="333"/>
        <v>8.9999999999999998E-4</v>
      </c>
      <c r="G1066">
        <v>0</v>
      </c>
      <c r="H1066">
        <v>0</v>
      </c>
      <c r="I1066">
        <v>1</v>
      </c>
      <c r="J1066" s="61">
        <f t="shared" ca="1" si="334"/>
        <v>5.1953125000000272E-9</v>
      </c>
      <c r="K1066" s="61">
        <f t="shared" ca="1" si="335"/>
        <v>4.6757812500000246E-12</v>
      </c>
      <c r="L1066" s="82">
        <f t="shared" ca="1" si="336"/>
        <v>11</v>
      </c>
      <c r="M1066" s="16">
        <f t="shared" ca="1" si="337"/>
        <v>989</v>
      </c>
      <c r="N1066" s="3">
        <f t="shared" ca="1" si="338"/>
        <v>6</v>
      </c>
      <c r="O1066" s="19">
        <f t="shared" ca="1" si="339"/>
        <v>3.3239268932937667</v>
      </c>
      <c r="P1066" s="19">
        <f t="shared" ca="1" si="340"/>
        <v>33.239268932937669</v>
      </c>
      <c r="Q1066" s="19">
        <f t="shared" ca="1" si="341"/>
        <v>33.239268932937669</v>
      </c>
      <c r="R1066" s="19">
        <f t="shared" ca="1" si="342"/>
        <v>3.3239268932937671</v>
      </c>
      <c r="S1066" s="19">
        <f t="shared" ca="1" si="343"/>
        <v>3.3239268932937667</v>
      </c>
      <c r="T1066" s="19">
        <f t="shared" ca="1" si="344"/>
        <v>1.5541955044033825E-11</v>
      </c>
      <c r="U1066" s="19">
        <f t="shared" ca="1" si="345"/>
        <v>1462.4024523027438</v>
      </c>
      <c r="V1066" s="19">
        <f t="shared" ca="1" si="346"/>
        <v>6.837873966431225E-9</v>
      </c>
      <c r="W1066" s="82">
        <f t="shared" ca="1" si="347"/>
        <v>485.90523003472225</v>
      </c>
      <c r="X1066" s="19">
        <f t="shared" ca="1" si="348"/>
        <v>2.2719865638733031E-9</v>
      </c>
      <c r="Y1066" s="19">
        <f t="shared" si="349"/>
        <v>0</v>
      </c>
      <c r="Z1066" s="82">
        <f t="shared" ca="1" si="350"/>
        <v>485.90523003472225</v>
      </c>
      <c r="AA1066" s="19">
        <f t="shared" ca="1" si="351"/>
        <v>2.2719865638733031E-9</v>
      </c>
    </row>
    <row r="1067" spans="1:27" ht="12.75" customHeight="1" x14ac:dyDescent="0.2">
      <c r="A1067">
        <v>3</v>
      </c>
      <c r="B1067">
        <v>3</v>
      </c>
      <c r="C1067">
        <f t="shared" ca="1" si="330"/>
        <v>8</v>
      </c>
      <c r="D1067">
        <f t="shared" ca="1" si="331"/>
        <v>7</v>
      </c>
      <c r="E1067">
        <f t="shared" ca="1" si="332"/>
        <v>3</v>
      </c>
      <c r="F1067" s="61">
        <f t="shared" ca="1" si="333"/>
        <v>8.9999999999999998E-4</v>
      </c>
      <c r="G1067">
        <v>0</v>
      </c>
      <c r="H1067">
        <v>0</v>
      </c>
      <c r="I1067">
        <v>0</v>
      </c>
      <c r="J1067" s="61">
        <f t="shared" ca="1" si="334"/>
        <v>3.9062500000000246E-11</v>
      </c>
      <c r="K1067" s="61">
        <f t="shared" ca="1" si="335"/>
        <v>3.5156250000000219E-14</v>
      </c>
      <c r="L1067" s="82">
        <f t="shared" ca="1" si="336"/>
        <v>0</v>
      </c>
      <c r="M1067" s="16">
        <f t="shared" ca="1" si="337"/>
        <v>1000</v>
      </c>
      <c r="N1067" s="3">
        <f t="shared" ca="1" si="338"/>
        <v>6</v>
      </c>
      <c r="O1067" s="19">
        <f t="shared" ca="1" si="339"/>
        <v>3.3239268932937667</v>
      </c>
      <c r="P1067" s="19">
        <f t="shared" ca="1" si="340"/>
        <v>33.239268932937669</v>
      </c>
      <c r="Q1067" s="19">
        <f t="shared" ca="1" si="341"/>
        <v>33.239268932937669</v>
      </c>
      <c r="R1067" s="19">
        <f t="shared" ca="1" si="342"/>
        <v>3.3239268932937671</v>
      </c>
      <c r="S1067" s="19">
        <f t="shared" ca="1" si="343"/>
        <v>3.3239268932937667</v>
      </c>
      <c r="T1067" s="19">
        <f t="shared" ca="1" si="344"/>
        <v>1.1685680484235972E-13</v>
      </c>
      <c r="U1067" s="19">
        <f t="shared" ca="1" si="345"/>
        <v>1451.4024523027438</v>
      </c>
      <c r="V1067" s="19">
        <f t="shared" ca="1" si="346"/>
        <v>5.1025867463768655E-11</v>
      </c>
      <c r="W1067" s="82">
        <f t="shared" ca="1" si="347"/>
        <v>0</v>
      </c>
      <c r="X1067" s="19">
        <f t="shared" ca="1" si="348"/>
        <v>0</v>
      </c>
      <c r="Y1067" s="19">
        <f t="shared" si="349"/>
        <v>0</v>
      </c>
      <c r="Z1067" s="82">
        <f t="shared" ca="1" si="350"/>
        <v>0</v>
      </c>
      <c r="AA1067" s="19">
        <f t="shared" ca="1" si="351"/>
        <v>0</v>
      </c>
    </row>
    <row r="1068" spans="1:27" ht="12.75" customHeight="1" x14ac:dyDescent="0.2"/>
    <row r="1069" spans="1:27" ht="12.75" customHeight="1" x14ac:dyDescent="0.2">
      <c r="J1069" s="9" t="s">
        <v>444</v>
      </c>
      <c r="K1069" s="61">
        <f ca="1">SUM(K556:K1067)</f>
        <v>1.0000000000000002</v>
      </c>
      <c r="O1069" s="3"/>
      <c r="P1069" s="3"/>
      <c r="Q1069" s="3"/>
      <c r="R1069" s="3"/>
      <c r="S1069" s="3" t="s">
        <v>445</v>
      </c>
      <c r="T1069" s="19">
        <f ca="1">SUM(T556:T1067)</f>
        <v>2.8424309610985694</v>
      </c>
      <c r="U1069" t="s">
        <v>401</v>
      </c>
      <c r="V1069" s="19">
        <f ca="1">SUM(V556:V1067)</f>
        <v>1446.0232040292037</v>
      </c>
      <c r="W1069" t="s">
        <v>446</v>
      </c>
      <c r="X1069" s="19">
        <f ca="1">SUM(X556:X1067)</f>
        <v>3280.5823627754135</v>
      </c>
      <c r="Z1069" t="s">
        <v>447</v>
      </c>
      <c r="AA1069" s="19">
        <f ca="1">SUM(AA556:AA1067)</f>
        <v>3280.5823627754135</v>
      </c>
    </row>
  </sheetData>
  <pageMargins left="0.75" right="0.75" top="1" bottom="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9900"/>
  </sheetPr>
  <dimension ref="A1:Z1000"/>
  <sheetViews>
    <sheetView workbookViewId="0"/>
  </sheetViews>
  <sheetFormatPr defaultColWidth="14.42578125" defaultRowHeight="15" customHeight="1" x14ac:dyDescent="0.2"/>
  <cols>
    <col min="1" max="1" width="15.140625" customWidth="1"/>
    <col min="2" max="4" width="9.140625" customWidth="1"/>
    <col min="5" max="5" width="9.28515625" customWidth="1"/>
    <col min="6" max="16" width="9.140625" customWidth="1"/>
    <col min="17" max="17" width="13.7109375" customWidth="1"/>
    <col min="18" max="18" width="10.28515625" customWidth="1"/>
    <col min="19" max="19" width="9.140625" customWidth="1"/>
    <col min="20" max="20" width="13.7109375" customWidth="1"/>
    <col min="21" max="21" width="10.140625" customWidth="1"/>
    <col min="22" max="26" width="8.7109375" customWidth="1"/>
  </cols>
  <sheetData>
    <row r="1" spans="1:26" ht="12.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0</v>
      </c>
      <c r="R2" s="3"/>
      <c r="S2" s="3"/>
      <c r="T2" s="3" t="s">
        <v>1</v>
      </c>
      <c r="U2" s="3"/>
      <c r="V2" s="3"/>
      <c r="W2" s="3"/>
      <c r="X2" s="3"/>
      <c r="Y2" s="3"/>
      <c r="Z2" s="3"/>
    </row>
    <row r="3" spans="1:26" ht="12.75" customHeight="1" x14ac:dyDescent="0.2">
      <c r="A3" s="3" t="s">
        <v>450</v>
      </c>
      <c r="B3" s="65">
        <f ca="1">Data!B119</f>
        <v>0.95</v>
      </c>
      <c r="C3" s="3"/>
      <c r="D3" s="3" t="s">
        <v>412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 t="s">
        <v>451</v>
      </c>
      <c r="S3" s="3"/>
      <c r="T3" s="3"/>
      <c r="U3" s="3" t="s">
        <v>451</v>
      </c>
      <c r="V3" s="3"/>
      <c r="W3" s="3"/>
      <c r="X3" s="3"/>
      <c r="Y3" s="3"/>
      <c r="Z3" s="3"/>
    </row>
    <row r="4" spans="1:26" ht="12.75" customHeight="1" x14ac:dyDescent="0.2">
      <c r="A4" s="3" t="s">
        <v>385</v>
      </c>
      <c r="B4" s="9">
        <f ca="1">Data!B186</f>
        <v>0.24</v>
      </c>
      <c r="C4" s="3"/>
      <c r="D4" s="3" t="s">
        <v>421</v>
      </c>
      <c r="E4" s="3" t="s">
        <v>452</v>
      </c>
      <c r="F4" s="32">
        <v>0</v>
      </c>
      <c r="G4" s="32">
        <v>1</v>
      </c>
      <c r="H4" s="32">
        <v>2</v>
      </c>
      <c r="I4" s="32">
        <v>3</v>
      </c>
      <c r="J4" s="32">
        <v>4</v>
      </c>
      <c r="K4" s="32">
        <v>5</v>
      </c>
      <c r="L4" s="32">
        <v>6</v>
      </c>
      <c r="M4" s="32">
        <v>7</v>
      </c>
      <c r="N4" s="32">
        <v>8</v>
      </c>
      <c r="O4" s="3"/>
      <c r="P4" s="3"/>
      <c r="Q4" s="19"/>
      <c r="R4" s="19"/>
      <c r="S4" s="3"/>
      <c r="T4" s="19"/>
      <c r="U4" s="19"/>
      <c r="V4" s="3"/>
      <c r="W4" s="3"/>
      <c r="X4" s="3"/>
      <c r="Y4" s="3"/>
      <c r="Z4" s="3"/>
    </row>
    <row r="5" spans="1:26" ht="12.75" customHeight="1" x14ac:dyDescent="0.2">
      <c r="A5" s="3" t="s">
        <v>388</v>
      </c>
      <c r="B5" s="9">
        <f ca="1">Data!B187</f>
        <v>0.18</v>
      </c>
      <c r="C5" s="3"/>
      <c r="D5" s="3">
        <v>0</v>
      </c>
      <c r="E5" s="90">
        <v>0</v>
      </c>
      <c r="F5" s="61">
        <f t="shared" ref="F5:N5" ca="1" si="0">IF($D5&gt;=F$4, POWER($B$3, F$4) * POWER((1-$B$3), $D5-F$4) * COMBIN($D5,F$4) * $E5, 0)</f>
        <v>0</v>
      </c>
      <c r="G5" s="61">
        <f t="shared" si="0"/>
        <v>0</v>
      </c>
      <c r="H5" s="61">
        <f t="shared" si="0"/>
        <v>0</v>
      </c>
      <c r="I5" s="61">
        <f t="shared" si="0"/>
        <v>0</v>
      </c>
      <c r="J5" s="61">
        <f t="shared" si="0"/>
        <v>0</v>
      </c>
      <c r="K5" s="61">
        <f t="shared" si="0"/>
        <v>0</v>
      </c>
      <c r="L5" s="61">
        <f t="shared" si="0"/>
        <v>0</v>
      </c>
      <c r="M5" s="61">
        <f t="shared" si="0"/>
        <v>0</v>
      </c>
      <c r="N5" s="61">
        <f t="shared" si="0"/>
        <v>0</v>
      </c>
      <c r="O5" s="3"/>
      <c r="P5" s="3"/>
      <c r="Q5" s="3"/>
      <c r="R5" s="3">
        <v>0</v>
      </c>
      <c r="S5" s="3"/>
      <c r="T5" s="3"/>
      <c r="U5" s="3">
        <v>0</v>
      </c>
      <c r="V5" s="3"/>
      <c r="W5" s="3"/>
      <c r="X5" s="3"/>
      <c r="Y5" s="3"/>
      <c r="Z5" s="3"/>
    </row>
    <row r="6" spans="1:26" ht="12.75" customHeight="1" x14ac:dyDescent="0.2">
      <c r="A6" s="3" t="s">
        <v>391</v>
      </c>
      <c r="B6" s="9">
        <f ca="1">Data!B188</f>
        <v>0.03</v>
      </c>
      <c r="C6" s="3"/>
      <c r="D6" s="3">
        <v>1</v>
      </c>
      <c r="E6" s="91">
        <f ca="1">(1-B6)*(1-B5)*(1-B4)*(1-B8)*(1-B7)*(1-B25)</f>
        <v>0.24180160000000003</v>
      </c>
      <c r="F6" s="61">
        <f ca="1">IF($D6&gt;=F$4, POWER($B$3, F$4) * POWER((1-$B$3), $D6-F$4) * COMBIN($D6,F$4) * $E6, 0) * (1 - B28*B29*(1-E19))</f>
        <v>1.2090080000000012E-2</v>
      </c>
      <c r="G6" s="61">
        <f ca="1">IF($D6&gt;=G$4, POWER($B$3, G$4) * POWER((1-$B$3), $D6-G$4) * COMBIN($D6,G$4) * $E6, 0) + IF($D6&gt;=F$4, POWER($B$3, F$4) * POWER((1-$B$3), $D6-F$4) * COMBIN($D6,F$4) * $E6, 0) * B28 * B29 * (1-E19)</f>
        <v>0.22971152000000003</v>
      </c>
      <c r="H6" s="61">
        <f t="shared" ref="H6:N6" si="1">IF($D6&gt;=H$4, POWER($B$3, H$4) * POWER((1-$B$3), $D6-H$4) * COMBIN($D6,H$4) * $E6, 0)</f>
        <v>0</v>
      </c>
      <c r="I6" s="61">
        <f t="shared" si="1"/>
        <v>0</v>
      </c>
      <c r="J6" s="61">
        <f t="shared" si="1"/>
        <v>0</v>
      </c>
      <c r="K6" s="61">
        <f t="shared" si="1"/>
        <v>0</v>
      </c>
      <c r="L6" s="61">
        <f t="shared" si="1"/>
        <v>0</v>
      </c>
      <c r="M6" s="61">
        <f t="shared" si="1"/>
        <v>0</v>
      </c>
      <c r="N6" s="61">
        <f t="shared" si="1"/>
        <v>0</v>
      </c>
      <c r="O6" s="3"/>
      <c r="P6" s="3"/>
      <c r="Q6" s="3"/>
      <c r="R6" s="3">
        <v>0</v>
      </c>
      <c r="S6" s="3"/>
      <c r="T6" s="3"/>
      <c r="U6" s="3">
        <v>0</v>
      </c>
      <c r="V6" s="3"/>
      <c r="W6" s="3"/>
      <c r="X6" s="3"/>
      <c r="Y6" s="3"/>
      <c r="Z6" s="3"/>
    </row>
    <row r="7" spans="1:26" ht="12.75" customHeight="1" x14ac:dyDescent="0.2">
      <c r="A7" s="3" t="s">
        <v>453</v>
      </c>
      <c r="B7" s="9">
        <v>0</v>
      </c>
      <c r="C7" s="3"/>
      <c r="D7" s="3">
        <v>2</v>
      </c>
      <c r="E7" s="91">
        <f ca="1">(1-B6)*(1-B5)*(1-B7)*(B4) + (1-B6)*(1-B5)*(1-B4)*(1-B7)*(B8)*(B9) + (1-B6)*(1-B5)*(1-B4)*(1-B7)*(1-B8)*(B25)*(B26) + (1-B6)*(1-B5)*(1-B4)*(1-B8)*(1-B25)*(B7)</f>
        <v>0.43245579840000004</v>
      </c>
      <c r="F7" s="61">
        <f t="shared" ref="F7:N7" ca="1" si="2">IF($D7&gt;=F$4, POWER($B$3, F$4) * POWER((1-$B$3), $D7-F$4) * COMBIN($D7,F$4) * $E7, 0)</f>
        <v>1.081139496000002E-3</v>
      </c>
      <c r="G7" s="61">
        <f t="shared" ca="1" si="2"/>
        <v>4.1083300848000041E-2</v>
      </c>
      <c r="H7" s="61">
        <f t="shared" ca="1" si="2"/>
        <v>0.39029135805600002</v>
      </c>
      <c r="I7" s="61">
        <f t="shared" si="2"/>
        <v>0</v>
      </c>
      <c r="J7" s="61">
        <f t="shared" si="2"/>
        <v>0</v>
      </c>
      <c r="K7" s="61">
        <f t="shared" si="2"/>
        <v>0</v>
      </c>
      <c r="L7" s="61">
        <f t="shared" si="2"/>
        <v>0</v>
      </c>
      <c r="M7" s="61">
        <f t="shared" si="2"/>
        <v>0</v>
      </c>
      <c r="N7" s="61">
        <f t="shared" si="2"/>
        <v>0</v>
      </c>
      <c r="O7" s="3"/>
      <c r="P7" s="3"/>
      <c r="Q7" s="3"/>
      <c r="R7" s="3">
        <v>0</v>
      </c>
      <c r="S7" s="3"/>
      <c r="T7" s="3"/>
      <c r="U7" s="3">
        <v>0</v>
      </c>
      <c r="V7" s="3"/>
      <c r="W7" s="3"/>
      <c r="X7" s="3"/>
      <c r="Y7" s="3"/>
      <c r="Z7" s="3"/>
    </row>
    <row r="8" spans="1:26" ht="12.75" customHeight="1" x14ac:dyDescent="0.2">
      <c r="A8" s="3" t="s">
        <v>454</v>
      </c>
      <c r="B8" s="9">
        <f ca="1">IF(ISBLANK(Gear!$B$3), 0, VLOOKUP(Gear!$B$3, INDIRECT(Gear!$A$3), MATCH("OAx", StatHeader, 0), 0))</f>
        <v>0</v>
      </c>
      <c r="C8" s="3"/>
      <c r="D8" s="3">
        <v>3</v>
      </c>
      <c r="E8" s="91">
        <f ca="1">(1-B6)*(1-B7)*(B5) + (1-B6)*(1-B5)*(1-B4)*(1-B7)*(B8)*(B10) + (1-B6)*(1-B5)*(1-B4)*(1-B7)*(1-B8)*(B25)*(B27) + (1-B6)*(1-B5)*(B7)*(B4) + (1-B6)*(1-B5)*(1-B4)*(B7)*(B8)*(B9) + (1-B6)*(1-B5)*(1-B4)*(B7)*(B25)*(B26)</f>
        <v>0.29574260159999999</v>
      </c>
      <c r="F8" s="61">
        <f t="shared" ref="F8:N8" ca="1" si="3">IF($D8&gt;=F$4, POWER($B$3, F$4) * POWER((1-$B$3), $D8-F$4) * COMBIN($D8,F$4) * $E8, 0)</f>
        <v>3.6967825200000095E-5</v>
      </c>
      <c r="G8" s="61">
        <f t="shared" ca="1" si="3"/>
        <v>2.1071660364000034E-3</v>
      </c>
      <c r="H8" s="61">
        <f t="shared" ca="1" si="3"/>
        <v>4.0036154691600039E-2</v>
      </c>
      <c r="I8" s="61">
        <f t="shared" ca="1" si="3"/>
        <v>0.25356231304679994</v>
      </c>
      <c r="J8" s="61">
        <f t="shared" si="3"/>
        <v>0</v>
      </c>
      <c r="K8" s="61">
        <f t="shared" si="3"/>
        <v>0</v>
      </c>
      <c r="L8" s="61">
        <f t="shared" si="3"/>
        <v>0</v>
      </c>
      <c r="M8" s="61">
        <f t="shared" si="3"/>
        <v>0</v>
      </c>
      <c r="N8" s="61">
        <f t="shared" si="3"/>
        <v>0</v>
      </c>
      <c r="O8" s="3"/>
      <c r="P8" s="3"/>
      <c r="Q8" s="3"/>
      <c r="R8" s="3">
        <v>0</v>
      </c>
      <c r="S8" s="3"/>
      <c r="T8" s="3"/>
      <c r="U8" s="3">
        <v>0</v>
      </c>
      <c r="V8" s="3"/>
      <c r="W8" s="3"/>
      <c r="X8" s="3"/>
      <c r="Y8" s="3"/>
      <c r="Z8" s="3"/>
    </row>
    <row r="9" spans="1:26" ht="12.75" customHeight="1" x14ac:dyDescent="0.2">
      <c r="A9" s="3" t="s">
        <v>455</v>
      </c>
      <c r="B9" s="9">
        <f ca="1">IF(ISBLANK(Gear!$B$3), 0, VLOOKUP(Gear!$B$3, INDIRECT(Gear!$A$3), MATCH(A9, StatHeader, 0), 0))</f>
        <v>0</v>
      </c>
      <c r="C9" s="3"/>
      <c r="D9" s="3">
        <v>4</v>
      </c>
      <c r="E9" s="91">
        <f ca="1">(B6)*(1-B7) + (1-B6)*(B7)*(B5) + (1-B6)*(1-B5)*(1-B4)*(1-B7)*(B8)*(B11) + (1-B6)*(1-B5)*(1-B4)*(B7)*(B25)*(B27) + (1-B6)*(1-B5)*(1-B4)*(B7)*(B8)*(B10)</f>
        <v>0.03</v>
      </c>
      <c r="F9" s="61">
        <f t="shared" ref="F9:N9" ca="1" si="4">IF($D9&gt;=F$4, POWER($B$3, F$4) * POWER((1-$B$3), $D9-F$4) * COMBIN($D9,F$4) * $E9, 0)</f>
        <v>1.8750000000000067E-7</v>
      </c>
      <c r="G9" s="61">
        <f t="shared" ca="1" si="4"/>
        <v>1.4250000000000036E-5</v>
      </c>
      <c r="H9" s="61">
        <f t="shared" ca="1" si="4"/>
        <v>4.0612500000000067E-4</v>
      </c>
      <c r="I9" s="61">
        <f t="shared" ca="1" si="4"/>
        <v>5.1442500000000039E-3</v>
      </c>
      <c r="J9" s="61">
        <f t="shared" ca="1" si="4"/>
        <v>2.44351875E-2</v>
      </c>
      <c r="K9" s="61">
        <f t="shared" si="4"/>
        <v>0</v>
      </c>
      <c r="L9" s="61">
        <f t="shared" si="4"/>
        <v>0</v>
      </c>
      <c r="M9" s="61">
        <f t="shared" si="4"/>
        <v>0</v>
      </c>
      <c r="N9" s="61">
        <f t="shared" si="4"/>
        <v>0</v>
      </c>
      <c r="O9" s="3"/>
      <c r="P9" s="3"/>
      <c r="Q9" s="3"/>
      <c r="R9" s="3">
        <v>0</v>
      </c>
      <c r="S9" s="3"/>
      <c r="T9" s="3"/>
      <c r="U9" s="3">
        <v>0</v>
      </c>
      <c r="V9" s="3"/>
      <c r="W9" s="3"/>
      <c r="X9" s="3"/>
      <c r="Y9" s="3"/>
      <c r="Z9" s="3"/>
    </row>
    <row r="10" spans="1:26" ht="12.75" customHeight="1" x14ac:dyDescent="0.2">
      <c r="A10" s="3" t="s">
        <v>456</v>
      </c>
      <c r="B10" s="9">
        <f ca="1">IF(ISBLANK(Gear!$B$3), 0, VLOOKUP(Gear!$B$3, INDIRECT(Gear!$A$3), MATCH(A10, StatHeader, 0), 0))</f>
        <v>0</v>
      </c>
      <c r="C10" s="3"/>
      <c r="D10" s="3">
        <v>5</v>
      </c>
      <c r="E10" s="91">
        <f ca="1">(1-B6)*(1-B5)*(1-B4)*(1-B7)*(B8)*(B12) + (1-B6)*(1-B5)*(1-B4)*(B7)*(B8)*(B11) + (B6)*(B7)</f>
        <v>0</v>
      </c>
      <c r="F10" s="61">
        <f t="shared" ref="F10:N10" ca="1" si="5">IF($D10&gt;=F$4, POWER($B$3, F$4) * POWER((1-$B$3), $D10-F$4) * COMBIN($D10,F$4) * $E10, 0)</f>
        <v>0</v>
      </c>
      <c r="G10" s="61">
        <f t="shared" ca="1" si="5"/>
        <v>0</v>
      </c>
      <c r="H10" s="61">
        <f t="shared" ca="1" si="5"/>
        <v>0</v>
      </c>
      <c r="I10" s="61">
        <f t="shared" ca="1" si="5"/>
        <v>0</v>
      </c>
      <c r="J10" s="61">
        <f t="shared" ca="1" si="5"/>
        <v>0</v>
      </c>
      <c r="K10" s="61">
        <f t="shared" ca="1" si="5"/>
        <v>0</v>
      </c>
      <c r="L10" s="61">
        <f t="shared" si="5"/>
        <v>0</v>
      </c>
      <c r="M10" s="61">
        <f t="shared" si="5"/>
        <v>0</v>
      </c>
      <c r="N10" s="61">
        <f t="shared" si="5"/>
        <v>0</v>
      </c>
      <c r="O10" s="3"/>
      <c r="P10" s="3"/>
      <c r="Q10" s="3"/>
      <c r="R10" s="3">
        <v>0</v>
      </c>
      <c r="S10" s="3"/>
      <c r="T10" s="3"/>
      <c r="U10" s="3">
        <v>0</v>
      </c>
      <c r="V10" s="3"/>
      <c r="W10" s="3"/>
      <c r="X10" s="3"/>
      <c r="Y10" s="3"/>
      <c r="Z10" s="3"/>
    </row>
    <row r="11" spans="1:26" ht="12.75" customHeight="1" x14ac:dyDescent="0.2">
      <c r="A11" s="3" t="s">
        <v>457</v>
      </c>
      <c r="B11" s="9">
        <f ca="1">IF(ISBLANK(Gear!$B$3), 0, VLOOKUP(Gear!$B$3, INDIRECT(Gear!$A$3), MATCH(A11, StatHeader, 0), 0))</f>
        <v>0</v>
      </c>
      <c r="C11" s="3"/>
      <c r="D11" s="3">
        <v>6</v>
      </c>
      <c r="E11" s="91">
        <f ca="1">(1-B6)*(1-B5)*(1-B4)*(1-B7)*(B8)*(B13) + (1-B6)*(1-B5)*(1-B4)*(B7)*(B8)*(B12)</f>
        <v>0</v>
      </c>
      <c r="F11" s="61">
        <f t="shared" ref="F11:N11" ca="1" si="6">IF($D11&gt;=F$4, POWER($B$3, F$4) * POWER((1-$B$3), $D11-F$4) * COMBIN($D11,F$4) * $E11, 0)</f>
        <v>0</v>
      </c>
      <c r="G11" s="61">
        <f t="shared" ca="1" si="6"/>
        <v>0</v>
      </c>
      <c r="H11" s="61">
        <f t="shared" ca="1" si="6"/>
        <v>0</v>
      </c>
      <c r="I11" s="61">
        <f t="shared" ca="1" si="6"/>
        <v>0</v>
      </c>
      <c r="J11" s="61">
        <f t="shared" ca="1" si="6"/>
        <v>0</v>
      </c>
      <c r="K11" s="61">
        <f t="shared" ca="1" si="6"/>
        <v>0</v>
      </c>
      <c r="L11" s="61">
        <f t="shared" ca="1" si="6"/>
        <v>0</v>
      </c>
      <c r="M11" s="61">
        <f t="shared" si="6"/>
        <v>0</v>
      </c>
      <c r="N11" s="61">
        <f t="shared" si="6"/>
        <v>0</v>
      </c>
      <c r="O11" s="3"/>
      <c r="P11" s="3"/>
      <c r="Q11" s="3" t="s">
        <v>458</v>
      </c>
      <c r="R11" s="3">
        <v>0</v>
      </c>
      <c r="S11" s="3"/>
      <c r="T11" s="3" t="s">
        <v>458</v>
      </c>
      <c r="U11" s="3">
        <v>0</v>
      </c>
      <c r="V11" s="3"/>
      <c r="W11" s="3"/>
      <c r="X11" s="3"/>
      <c r="Y11" s="3"/>
      <c r="Z11" s="3"/>
    </row>
    <row r="12" spans="1:26" ht="12.75" customHeight="1" x14ac:dyDescent="0.2">
      <c r="A12" s="3" t="s">
        <v>459</v>
      </c>
      <c r="B12" s="9">
        <f ca="1">IF(ISBLANK(Gear!$B$3), 0, VLOOKUP(Gear!$B$3, INDIRECT(Gear!$A$3), MATCH(A12, StatHeader, 0), 0))</f>
        <v>0</v>
      </c>
      <c r="C12" s="3"/>
      <c r="D12" s="3">
        <v>7</v>
      </c>
      <c r="E12" s="91">
        <f ca="1">(1-B6)*(1-B5)*(1-B4)*(1-B7)*(B8)*(B14) + (1-B6)*(1-B5)*(1-B4)*(B7)*(B8)*(B13)</f>
        <v>0</v>
      </c>
      <c r="F12" s="61">
        <f t="shared" ref="F12:N12" ca="1" si="7">IF($D12&gt;=F$4, POWER($B$3, F$4) * POWER((1-$B$3), $D12-F$4) * COMBIN($D12,F$4) * $E12, 0)</f>
        <v>0</v>
      </c>
      <c r="G12" s="61">
        <f t="shared" ca="1" si="7"/>
        <v>0</v>
      </c>
      <c r="H12" s="61">
        <f t="shared" ca="1" si="7"/>
        <v>0</v>
      </c>
      <c r="I12" s="61">
        <f t="shared" ca="1" si="7"/>
        <v>0</v>
      </c>
      <c r="J12" s="61">
        <f t="shared" ca="1" si="7"/>
        <v>0</v>
      </c>
      <c r="K12" s="61">
        <f t="shared" ca="1" si="7"/>
        <v>0</v>
      </c>
      <c r="L12" s="61">
        <f t="shared" ca="1" si="7"/>
        <v>0</v>
      </c>
      <c r="M12" s="61">
        <f t="shared" ca="1" si="7"/>
        <v>0</v>
      </c>
      <c r="N12" s="61">
        <f t="shared" si="7"/>
        <v>0</v>
      </c>
      <c r="O12" s="3"/>
      <c r="P12" s="3"/>
      <c r="Q12" s="3">
        <v>0</v>
      </c>
      <c r="R12" s="3">
        <v>0</v>
      </c>
      <c r="S12" s="3"/>
      <c r="T12" s="3">
        <v>0</v>
      </c>
      <c r="U12" s="3">
        <v>0</v>
      </c>
      <c r="V12" s="3"/>
      <c r="W12" s="3"/>
      <c r="X12" s="3"/>
      <c r="Y12" s="3"/>
      <c r="Z12" s="3"/>
    </row>
    <row r="13" spans="1:26" ht="12.75" customHeight="1" x14ac:dyDescent="0.2">
      <c r="A13" s="3" t="s">
        <v>460</v>
      </c>
      <c r="B13" s="9">
        <f ca="1">IF(ISBLANK(Gear!$B$3), 0, VLOOKUP(Gear!$B$3, INDIRECT(Gear!$A$3), MATCH(A13, StatHeader, 0), 0))</f>
        <v>0</v>
      </c>
      <c r="C13" s="3"/>
      <c r="D13" s="3">
        <v>8</v>
      </c>
      <c r="E13" s="91">
        <f ca="1">(1-B6)*(1-B5)*(1-B4)*(B8)*(B15) + (1-B6)*(1-B5)*(1-B4)*(B7)*(B8)*(B14)</f>
        <v>0</v>
      </c>
      <c r="F13" s="92">
        <f t="shared" ref="F13:N13" ca="1" si="8">IF($D13&gt;=F$4, POWER($B$3, F$4) * POWER((1-$B$3), $D13-F$4) * COMBIN($D13,F$4) * $E13, 0)</f>
        <v>0</v>
      </c>
      <c r="G13" s="93">
        <f t="shared" ca="1" si="8"/>
        <v>0</v>
      </c>
      <c r="H13" s="93">
        <f t="shared" ca="1" si="8"/>
        <v>0</v>
      </c>
      <c r="I13" s="93">
        <f t="shared" ca="1" si="8"/>
        <v>0</v>
      </c>
      <c r="J13" s="93">
        <f t="shared" ca="1" si="8"/>
        <v>0</v>
      </c>
      <c r="K13" s="93">
        <f t="shared" ca="1" si="8"/>
        <v>0</v>
      </c>
      <c r="L13" s="93">
        <f t="shared" ca="1" si="8"/>
        <v>0</v>
      </c>
      <c r="M13" s="93">
        <f t="shared" ca="1" si="8"/>
        <v>0</v>
      </c>
      <c r="N13" s="93">
        <f t="shared" ca="1" si="8"/>
        <v>0</v>
      </c>
      <c r="O13" s="3"/>
      <c r="P13" s="3"/>
      <c r="Q13" s="3">
        <v>1</v>
      </c>
      <c r="R13" s="59">
        <f t="shared" ref="R13:R112" ca="1" si="9">(1+R12*$F$37+R11*$G$37+R10*$H$37+R9*$I$37+R8*$J$37+R7*$K$37+R6*$L$37+R5*$M$37)/(1-$E$37)</f>
        <v>1.0133851711791806</v>
      </c>
      <c r="S13" s="3"/>
      <c r="T13" s="3">
        <v>1</v>
      </c>
      <c r="U13" s="59">
        <f t="shared" ref="U13:U112" ca="1" si="10">(1+U12*$F$77+U11*$G$77+U10*$H$77+U9*$I$77+U8*$J$77+U7*$K$77+U6*$L$77+U5*$M$77)/(1-$E$77)</f>
        <v>1.0133851711791806</v>
      </c>
      <c r="V13" s="3"/>
      <c r="W13" s="3"/>
      <c r="X13" s="3"/>
      <c r="Y13" s="3"/>
      <c r="Z13" s="3"/>
    </row>
    <row r="14" spans="1:26" ht="12.75" customHeight="1" x14ac:dyDescent="0.2">
      <c r="A14" s="3" t="s">
        <v>461</v>
      </c>
      <c r="B14" s="9">
        <f ca="1">IF(ISBLANK(Gear!$B$3), 0, VLOOKUP(Gear!$B$3, INDIRECT(Gear!$A$3), MATCH(A14, StatHeader, 0), 0))</f>
        <v>0</v>
      </c>
      <c r="C14" s="3"/>
      <c r="D14" s="3"/>
      <c r="E14" s="9">
        <f ca="1">SUM(E5:E13)</f>
        <v>1</v>
      </c>
      <c r="F14" s="3"/>
      <c r="G14" s="3"/>
      <c r="H14" s="3"/>
      <c r="I14" s="3"/>
      <c r="J14" s="3"/>
      <c r="K14" s="3"/>
      <c r="L14" s="3"/>
      <c r="M14" s="3"/>
      <c r="N14" s="3"/>
      <c r="O14" s="61"/>
      <c r="P14" s="61"/>
      <c r="Q14" s="3">
        <v>2</v>
      </c>
      <c r="R14" s="59">
        <f t="shared" ca="1" si="9"/>
        <v>1.2936563655993427</v>
      </c>
      <c r="S14" s="3"/>
      <c r="T14" s="3">
        <v>2</v>
      </c>
      <c r="U14" s="59">
        <f t="shared" ca="1" si="10"/>
        <v>1.2936563655993427</v>
      </c>
      <c r="V14" s="3"/>
      <c r="W14" s="3"/>
      <c r="X14" s="3"/>
      <c r="Y14" s="3"/>
      <c r="Z14" s="3"/>
    </row>
    <row r="15" spans="1:26" ht="12.75" customHeight="1" x14ac:dyDescent="0.2">
      <c r="A15" s="3" t="s">
        <v>462</v>
      </c>
      <c r="B15" s="9">
        <f ca="1">IF(ISBLANK(Gear!$B$3), 0, VLOOKUP(Gear!$B$3, INDIRECT(Gear!$A$3), MATCH(A15, StatHeader, 0), 0))</f>
        <v>0</v>
      </c>
      <c r="C15" s="3"/>
      <c r="D15" s="3"/>
      <c r="E15" s="3" t="s">
        <v>463</v>
      </c>
      <c r="F15" s="61">
        <f t="shared" ref="F15:N15" ca="1" si="11">SUM(F5:F13)</f>
        <v>1.3208374821200014E-2</v>
      </c>
      <c r="G15" s="61">
        <f t="shared" ca="1" si="11"/>
        <v>0.27291623688440003</v>
      </c>
      <c r="H15" s="61">
        <f t="shared" ca="1" si="11"/>
        <v>0.43073363774760004</v>
      </c>
      <c r="I15" s="61">
        <f t="shared" ca="1" si="11"/>
        <v>0.25870656304679995</v>
      </c>
      <c r="J15" s="61">
        <f t="shared" ca="1" si="11"/>
        <v>2.44351875E-2</v>
      </c>
      <c r="K15" s="61">
        <f t="shared" ca="1" si="11"/>
        <v>0</v>
      </c>
      <c r="L15" s="61">
        <f t="shared" ca="1" si="11"/>
        <v>0</v>
      </c>
      <c r="M15" s="61">
        <f t="shared" ca="1" si="11"/>
        <v>0</v>
      </c>
      <c r="N15" s="61">
        <f t="shared" ca="1" si="11"/>
        <v>0</v>
      </c>
      <c r="O15" s="61">
        <f ca="1">SUM(F15:N15)</f>
        <v>1</v>
      </c>
      <c r="P15" s="3"/>
      <c r="Q15" s="3">
        <v>3</v>
      </c>
      <c r="R15" s="59">
        <f t="shared" ca="1" si="9"/>
        <v>1.8135124606657955</v>
      </c>
      <c r="S15" s="3"/>
      <c r="T15" s="3">
        <v>3</v>
      </c>
      <c r="U15" s="59">
        <f t="shared" ca="1" si="10"/>
        <v>1.8135124606657955</v>
      </c>
      <c r="V15" s="3"/>
      <c r="W15" s="3"/>
      <c r="X15" s="3"/>
      <c r="Y15" s="3"/>
      <c r="Z15" s="3"/>
    </row>
    <row r="16" spans="1:26" ht="12.75" customHeight="1" x14ac:dyDescent="0.2">
      <c r="A16" s="3" t="s">
        <v>464</v>
      </c>
      <c r="B16" s="65">
        <f ca="1">Data!B178</f>
        <v>0.95</v>
      </c>
      <c r="C16" s="3"/>
      <c r="D16" s="3"/>
      <c r="E16" s="61" t="s">
        <v>465</v>
      </c>
      <c r="F16" s="59">
        <f ca="1">F4*F15+G4*G15+H4*H15+I4*I15+J15*J4+K15*K4+L15*L4+M15*M4+N15*N4</f>
        <v>2.0082439515199999</v>
      </c>
      <c r="G16" s="61"/>
      <c r="H16" s="61"/>
      <c r="I16" s="61"/>
      <c r="J16" s="3"/>
      <c r="K16" s="3"/>
      <c r="L16" s="3"/>
      <c r="M16" s="3"/>
      <c r="N16" s="3"/>
      <c r="O16" s="3"/>
      <c r="P16" s="3"/>
      <c r="Q16" s="3">
        <v>4</v>
      </c>
      <c r="R16" s="59">
        <f t="shared" ca="1" si="9"/>
        <v>2.3453053758100548</v>
      </c>
      <c r="S16" s="3"/>
      <c r="T16" s="3">
        <v>4</v>
      </c>
      <c r="U16" s="59">
        <f t="shared" ca="1" si="10"/>
        <v>2.3453053758100548</v>
      </c>
      <c r="V16" s="3"/>
      <c r="W16" s="3"/>
      <c r="X16" s="3"/>
      <c r="Y16" s="3"/>
      <c r="Z16" s="3"/>
    </row>
    <row r="17" spans="1:26" ht="12.75" customHeight="1" x14ac:dyDescent="0.2">
      <c r="A17" s="3" t="s">
        <v>466</v>
      </c>
      <c r="B17" s="9">
        <f ca="1">IF(AND(Setup!$B$23="Axe", Data!$G$23&gt;0), IF(ISBLANK(Gear!$B$4), 0, VLOOKUP(Gear!$B$4, INDIRECT(Gear!$A$4), MATCH("OAx", StatHeader, 0), 0)), 0)</f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>
        <v>5</v>
      </c>
      <c r="R17" s="59">
        <f t="shared" ca="1" si="9"/>
        <v>2.8178718937399587</v>
      </c>
      <c r="S17" s="3"/>
      <c r="T17" s="3">
        <v>5</v>
      </c>
      <c r="U17" s="59">
        <f t="shared" ca="1" si="10"/>
        <v>2.8178718937399587</v>
      </c>
      <c r="V17" s="3"/>
      <c r="W17" s="3"/>
      <c r="X17" s="3"/>
      <c r="Y17" s="3"/>
      <c r="Z17" s="3"/>
    </row>
    <row r="18" spans="1:26" ht="12.75" customHeight="1" x14ac:dyDescent="0.2">
      <c r="A18" s="3" t="s">
        <v>455</v>
      </c>
      <c r="B18" s="9">
        <f ca="1">IF(AND(Setup!$B$23="Axe", Data!$G$23&gt;0), IF(ISBLANK(Gear!$B$4), 0, VLOOKUP(Gear!$B$4, INDIRECT(Gear!$A$4), MATCH(A18, StatHeader, 0), 0)), 0)</f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v>6</v>
      </c>
      <c r="R18" s="59">
        <f t="shared" ca="1" si="9"/>
        <v>3.3239268932937667</v>
      </c>
      <c r="S18" s="3"/>
      <c r="T18" s="3">
        <v>6</v>
      </c>
      <c r="U18" s="59">
        <f t="shared" ca="1" si="10"/>
        <v>3.3239268932937667</v>
      </c>
      <c r="V18" s="3"/>
      <c r="W18" s="3"/>
      <c r="X18" s="3"/>
      <c r="Y18" s="3"/>
      <c r="Z18" s="3"/>
    </row>
    <row r="19" spans="1:26" ht="12.75" customHeight="1" x14ac:dyDescent="0.2">
      <c r="A19" s="3" t="s">
        <v>456</v>
      </c>
      <c r="B19" s="9">
        <f ca="1">IF(AND(Setup!$B$23="Axe", Data!$G$23&gt;0), IF(ISBLANK(Gear!$B$4), 0, VLOOKUP(Gear!$B$4, INDIRECT(Gear!$A$4), MATCH(A19, StatHeader, 0), 0)), 0)</f>
        <v>0</v>
      </c>
      <c r="C19" s="3"/>
      <c r="D19" s="3" t="s">
        <v>467</v>
      </c>
      <c r="E19" s="3">
        <f ca="1">IF(Data!G25, 1, 0)</f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>
        <v>7</v>
      </c>
      <c r="R19" s="59">
        <f t="shared" ca="1" si="9"/>
        <v>3.8224536414072463</v>
      </c>
      <c r="S19" s="3"/>
      <c r="T19" s="3">
        <v>7</v>
      </c>
      <c r="U19" s="59">
        <f t="shared" ca="1" si="10"/>
        <v>3.8224536414072463</v>
      </c>
      <c r="V19" s="3"/>
      <c r="W19" s="3"/>
      <c r="X19" s="3"/>
      <c r="Y19" s="3"/>
      <c r="Z19" s="3"/>
    </row>
    <row r="20" spans="1:26" ht="12.75" customHeight="1" x14ac:dyDescent="0.2">
      <c r="A20" s="3" t="s">
        <v>457</v>
      </c>
      <c r="B20" s="9">
        <f ca="1">IF(AND(Setup!$B$23="Axe", Data!$G$23&gt;0), IF(ISBLANK(Gear!$B$4), 0, VLOOKUP(Gear!$B$4, INDIRECT(Gear!$A$4), MATCH(A20, StatHeader, 0), 0)), 0)</f>
        <v>0</v>
      </c>
      <c r="C20" s="3"/>
      <c r="D20" s="3" t="s">
        <v>421</v>
      </c>
      <c r="E20" s="3" t="s">
        <v>452</v>
      </c>
      <c r="F20" s="32">
        <v>0</v>
      </c>
      <c r="G20" s="32">
        <v>1</v>
      </c>
      <c r="H20" s="32">
        <v>2</v>
      </c>
      <c r="I20" s="32">
        <v>3</v>
      </c>
      <c r="J20" s="32">
        <v>4</v>
      </c>
      <c r="K20" s="32">
        <v>5</v>
      </c>
      <c r="L20" s="32">
        <v>6</v>
      </c>
      <c r="M20" s="32">
        <v>7</v>
      </c>
      <c r="N20" s="32">
        <v>8</v>
      </c>
      <c r="O20" s="3"/>
      <c r="P20" s="3"/>
      <c r="Q20" s="3">
        <v>8</v>
      </c>
      <c r="R20" s="59">
        <f t="shared" ca="1" si="9"/>
        <v>4.3182842318910533</v>
      </c>
      <c r="S20" s="3"/>
      <c r="T20" s="3">
        <v>8</v>
      </c>
      <c r="U20" s="59">
        <f t="shared" ca="1" si="10"/>
        <v>4.3182842318910533</v>
      </c>
      <c r="V20" s="3"/>
      <c r="W20" s="3"/>
      <c r="X20" s="3"/>
      <c r="Y20" s="3"/>
      <c r="Z20" s="3"/>
    </row>
    <row r="21" spans="1:26" ht="12.75" customHeight="1" x14ac:dyDescent="0.2">
      <c r="A21" s="3" t="s">
        <v>459</v>
      </c>
      <c r="B21" s="9">
        <f ca="1">IF(AND(Setup!$B$23="Axe", Data!$G$23&gt;0), IF(ISBLANK(Gear!$B$4), 0, VLOOKUP(Gear!$B$4, INDIRECT(Gear!$A$4), MATCH(A21, StatHeader, 0), 0)), 0)</f>
        <v>0</v>
      </c>
      <c r="C21" s="3"/>
      <c r="D21" s="3">
        <v>0</v>
      </c>
      <c r="E21" s="90">
        <f ca="1">IF(E19=0, 100%, 0)</f>
        <v>1</v>
      </c>
      <c r="F21" s="61">
        <f t="shared" ref="F21:N21" ca="1" si="12">IF($D21&gt;=F$20, POWER($B$16, F$20) * POWER((1-$B$16), $D21-F$20) * COMBIN($D21,F$20) * $E21, 0)</f>
        <v>1</v>
      </c>
      <c r="G21" s="61">
        <f t="shared" si="12"/>
        <v>0</v>
      </c>
      <c r="H21" s="61">
        <f t="shared" si="12"/>
        <v>0</v>
      </c>
      <c r="I21" s="61">
        <f t="shared" si="12"/>
        <v>0</v>
      </c>
      <c r="J21" s="61">
        <f t="shared" si="12"/>
        <v>0</v>
      </c>
      <c r="K21" s="61">
        <f t="shared" si="12"/>
        <v>0</v>
      </c>
      <c r="L21" s="61">
        <f t="shared" si="12"/>
        <v>0</v>
      </c>
      <c r="M21" s="61">
        <f t="shared" si="12"/>
        <v>0</v>
      </c>
      <c r="N21" s="61">
        <f t="shared" si="12"/>
        <v>0</v>
      </c>
      <c r="O21" s="3"/>
      <c r="P21" s="3"/>
      <c r="Q21" s="3">
        <v>9</v>
      </c>
      <c r="R21" s="59">
        <f t="shared" ca="1" si="9"/>
        <v>4.817396148904157</v>
      </c>
      <c r="S21" s="3"/>
      <c r="T21" s="3">
        <v>9</v>
      </c>
      <c r="U21" s="59">
        <f t="shared" ca="1" si="10"/>
        <v>4.817396148904157</v>
      </c>
      <c r="V21" s="3"/>
      <c r="W21" s="3"/>
      <c r="X21" s="3"/>
      <c r="Y21" s="3"/>
      <c r="Z21" s="3"/>
    </row>
    <row r="22" spans="1:26" ht="12.75" customHeight="1" x14ac:dyDescent="0.2">
      <c r="A22" s="3" t="s">
        <v>460</v>
      </c>
      <c r="B22" s="9">
        <f ca="1">IF(AND(Setup!$B$23="Axe", Data!$G$23&gt;0), IF(ISBLANK(Gear!$B$4), 0, VLOOKUP(Gear!$B$4, INDIRECT(Gear!$A$4), MATCH(A22, StatHeader, 0), 0)), 0)</f>
        <v>0</v>
      </c>
      <c r="C22" s="3"/>
      <c r="D22" s="3">
        <v>1</v>
      </c>
      <c r="E22" s="91">
        <f ca="1">IF(E19=1, (1-B6)*(1-B5)*(1-B4)*(1-B17), 0)</f>
        <v>0</v>
      </c>
      <c r="F22" s="61">
        <f t="shared" ref="F22:N22" ca="1" si="13">IF($D22&gt;=F$20, POWER($B$16, F$20) * POWER((1-$B$16), $D22-F$20) * COMBIN($D22,F$20) * $E22, 0)</f>
        <v>0</v>
      </c>
      <c r="G22" s="61">
        <f t="shared" ca="1" si="13"/>
        <v>0</v>
      </c>
      <c r="H22" s="61">
        <f t="shared" si="13"/>
        <v>0</v>
      </c>
      <c r="I22" s="61">
        <f t="shared" si="13"/>
        <v>0</v>
      </c>
      <c r="J22" s="61">
        <f t="shared" si="13"/>
        <v>0</v>
      </c>
      <c r="K22" s="61">
        <f t="shared" si="13"/>
        <v>0</v>
      </c>
      <c r="L22" s="61">
        <f t="shared" si="13"/>
        <v>0</v>
      </c>
      <c r="M22" s="61">
        <f t="shared" si="13"/>
        <v>0</v>
      </c>
      <c r="N22" s="61">
        <f t="shared" si="13"/>
        <v>0</v>
      </c>
      <c r="O22" s="3"/>
      <c r="P22" s="3"/>
      <c r="Q22" s="3">
        <v>10</v>
      </c>
      <c r="R22" s="59">
        <f t="shared" ca="1" si="9"/>
        <v>5.3150942829177712</v>
      </c>
      <c r="S22" s="3"/>
      <c r="T22" s="3">
        <v>10</v>
      </c>
      <c r="U22" s="59">
        <f t="shared" ca="1" si="10"/>
        <v>5.3150942829177712</v>
      </c>
      <c r="V22" s="3"/>
      <c r="W22" s="3"/>
      <c r="X22" s="3"/>
      <c r="Y22" s="3"/>
      <c r="Z22" s="3"/>
    </row>
    <row r="23" spans="1:26" ht="12.75" customHeight="1" x14ac:dyDescent="0.2">
      <c r="A23" s="3" t="s">
        <v>461</v>
      </c>
      <c r="B23" s="9">
        <f ca="1">IF(AND(Setup!$B$23="Axe", Data!$G$23&gt;0), IF(ISBLANK(Gear!$B$4), 0, VLOOKUP(Gear!$B$4, INDIRECT(Gear!$A$4), MATCH(A23, StatHeader, 0), 0)), 0)</f>
        <v>0</v>
      </c>
      <c r="C23" s="3"/>
      <c r="D23" s="3">
        <v>2</v>
      </c>
      <c r="E23" s="91">
        <f ca="1">IF(E19=1, (1-B6)*(1-B5)*(1-B4)*(B17)*(B18) + (1-B6)*(1-B5)*B4, 0)</f>
        <v>0</v>
      </c>
      <c r="F23" s="61">
        <f t="shared" ref="F23:N23" ca="1" si="14">IF($D23&gt;=F$20, POWER($B$16, F$20) * POWER((1-$B$16), $D23-F$20) * COMBIN($D23,F$20) * $E23, 0)</f>
        <v>0</v>
      </c>
      <c r="G23" s="61">
        <f t="shared" ca="1" si="14"/>
        <v>0</v>
      </c>
      <c r="H23" s="61">
        <f t="shared" ca="1" si="14"/>
        <v>0</v>
      </c>
      <c r="I23" s="61">
        <f t="shared" si="14"/>
        <v>0</v>
      </c>
      <c r="J23" s="61">
        <f t="shared" si="14"/>
        <v>0</v>
      </c>
      <c r="K23" s="61">
        <f t="shared" si="14"/>
        <v>0</v>
      </c>
      <c r="L23" s="61">
        <f t="shared" si="14"/>
        <v>0</v>
      </c>
      <c r="M23" s="61">
        <f t="shared" si="14"/>
        <v>0</v>
      </c>
      <c r="N23" s="61">
        <f t="shared" si="14"/>
        <v>0</v>
      </c>
      <c r="O23" s="3"/>
      <c r="P23" s="3"/>
      <c r="Q23" s="3">
        <v>11</v>
      </c>
      <c r="R23" s="59">
        <f t="shared" ca="1" si="9"/>
        <v>5.8129404375099849</v>
      </c>
      <c r="S23" s="3"/>
      <c r="T23" s="3">
        <v>11</v>
      </c>
      <c r="U23" s="59">
        <f t="shared" ca="1" si="10"/>
        <v>5.8129404375099849</v>
      </c>
      <c r="V23" s="3"/>
      <c r="W23" s="3"/>
      <c r="X23" s="3"/>
      <c r="Y23" s="3"/>
      <c r="Z23" s="3"/>
    </row>
    <row r="24" spans="1:26" ht="12.75" customHeight="1" x14ac:dyDescent="0.2">
      <c r="A24" s="3" t="s">
        <v>462</v>
      </c>
      <c r="B24" s="9">
        <f ca="1">IF(AND(Setup!$B$23="Axe", Data!$G$23&gt;0), IF(ISBLANK(Gear!$B$4), 0, VLOOKUP(Gear!$B$4, INDIRECT(Gear!$A$4), MATCH(A24, StatHeader, 0), 0)), 0)</f>
        <v>0</v>
      </c>
      <c r="C24" s="3"/>
      <c r="D24" s="3">
        <v>3</v>
      </c>
      <c r="E24" s="91">
        <f ca="1">IF(E19=1, (1-B6)*(1-B5)*(1-B4)*(B17)*(B19) + (1-B6)*(B5), 0)</f>
        <v>0</v>
      </c>
      <c r="F24" s="61">
        <f t="shared" ref="F24:N24" ca="1" si="15">IF($D24&gt;=F$20, POWER($B$16, F$20) * POWER((1-$B$16), $D24-F$20) * COMBIN($D24,F$20) * $E24, 0)</f>
        <v>0</v>
      </c>
      <c r="G24" s="61">
        <f t="shared" ca="1" si="15"/>
        <v>0</v>
      </c>
      <c r="H24" s="61">
        <f t="shared" ca="1" si="15"/>
        <v>0</v>
      </c>
      <c r="I24" s="61">
        <f t="shared" ca="1" si="15"/>
        <v>0</v>
      </c>
      <c r="J24" s="61">
        <f t="shared" si="15"/>
        <v>0</v>
      </c>
      <c r="K24" s="61">
        <f t="shared" si="15"/>
        <v>0</v>
      </c>
      <c r="L24" s="61">
        <f t="shared" si="15"/>
        <v>0</v>
      </c>
      <c r="M24" s="61">
        <f t="shared" si="15"/>
        <v>0</v>
      </c>
      <c r="N24" s="61">
        <f t="shared" si="15"/>
        <v>0</v>
      </c>
      <c r="O24" s="3"/>
      <c r="P24" s="3"/>
      <c r="Q24" s="3">
        <v>12</v>
      </c>
      <c r="R24" s="59">
        <f t="shared" ca="1" si="9"/>
        <v>6.3110039155075457</v>
      </c>
      <c r="S24" s="3"/>
      <c r="T24" s="3">
        <v>12</v>
      </c>
      <c r="U24" s="59">
        <f t="shared" ca="1" si="10"/>
        <v>6.3110039155075457</v>
      </c>
      <c r="V24" s="3"/>
      <c r="W24" s="3"/>
      <c r="X24" s="3"/>
      <c r="Y24" s="3"/>
      <c r="Z24" s="3"/>
    </row>
    <row r="25" spans="1:26" ht="12.75" customHeight="1" x14ac:dyDescent="0.2">
      <c r="A25" s="3" t="s">
        <v>394</v>
      </c>
      <c r="B25" s="9">
        <f ca="1">IF(Setup!B$28=1, IF(ISBLANK(Gear!$B$3), 0, VLOOKUP(Gear!$B$3, INDIRECT(Gear!$A$3), MATCH(A25, StatHeader, 0), 0)), 0)</f>
        <v>0.6</v>
      </c>
      <c r="C25" s="3"/>
      <c r="D25" s="3">
        <v>4</v>
      </c>
      <c r="E25" s="91">
        <f ca="1">IF(E19=1, (1-B6)*(1-B5)*(1-B4)*(B17)*(B20) + (B6), 0)</f>
        <v>0</v>
      </c>
      <c r="F25" s="61">
        <f t="shared" ref="F25:N25" ca="1" si="16">IF($D25&gt;=F$20, POWER($B$16, F$20) * POWER((1-$B$16), $D25-F$20) * COMBIN($D25,F$20) * $E25, 0)</f>
        <v>0</v>
      </c>
      <c r="G25" s="61">
        <f t="shared" ca="1" si="16"/>
        <v>0</v>
      </c>
      <c r="H25" s="61">
        <f t="shared" ca="1" si="16"/>
        <v>0</v>
      </c>
      <c r="I25" s="61">
        <f t="shared" ca="1" si="16"/>
        <v>0</v>
      </c>
      <c r="J25" s="61">
        <f t="shared" ca="1" si="16"/>
        <v>0</v>
      </c>
      <c r="K25" s="61">
        <f t="shared" si="16"/>
        <v>0</v>
      </c>
      <c r="L25" s="61">
        <f t="shared" si="16"/>
        <v>0</v>
      </c>
      <c r="M25" s="61">
        <f t="shared" si="16"/>
        <v>0</v>
      </c>
      <c r="N25" s="61">
        <f t="shared" si="16"/>
        <v>0</v>
      </c>
      <c r="O25" s="3"/>
      <c r="P25" s="3"/>
      <c r="Q25" s="3">
        <v>13</v>
      </c>
      <c r="R25" s="59">
        <f t="shared" ca="1" si="9"/>
        <v>6.8089027117432277</v>
      </c>
      <c r="S25" s="3"/>
      <c r="T25" s="3">
        <v>13</v>
      </c>
      <c r="U25" s="59">
        <f t="shared" ca="1" si="10"/>
        <v>6.8089027117432277</v>
      </c>
      <c r="V25" s="3"/>
      <c r="W25" s="3"/>
      <c r="X25" s="3"/>
      <c r="Y25" s="3"/>
      <c r="Z25" s="3"/>
    </row>
    <row r="26" spans="1:26" ht="12.75" customHeight="1" x14ac:dyDescent="0.2">
      <c r="A26" s="3" t="s">
        <v>398</v>
      </c>
      <c r="B26" s="9">
        <f ca="1">IF(Setup!B$28=1, IF(ISBLANK(Gear!$B$3), 0, VLOOKUP(Gear!$B$3, INDIRECT(Gear!$A$3), MATCH(A26, StatHeader, 0), 0)), 0)</f>
        <v>0.66600000000000004</v>
      </c>
      <c r="C26" s="3"/>
      <c r="D26" s="3">
        <v>5</v>
      </c>
      <c r="E26" s="91">
        <f ca="1">IF(E19=1, (1-B6)*(1-B5)*(1-B4)*(B17)*(B21), 0)</f>
        <v>0</v>
      </c>
      <c r="F26" s="61">
        <f t="shared" ref="F26:N26" ca="1" si="17">IF($D26&gt;=F$20, POWER($B$16, F$20) * POWER((1-$B$16), $D26-F$20) * COMBIN($D26,F$20) * $E26, 0)</f>
        <v>0</v>
      </c>
      <c r="G26" s="61">
        <f t="shared" ca="1" si="17"/>
        <v>0</v>
      </c>
      <c r="H26" s="61">
        <f t="shared" ca="1" si="17"/>
        <v>0</v>
      </c>
      <c r="I26" s="61">
        <f t="shared" ca="1" si="17"/>
        <v>0</v>
      </c>
      <c r="J26" s="61">
        <f t="shared" ca="1" si="17"/>
        <v>0</v>
      </c>
      <c r="K26" s="61">
        <f t="shared" ca="1" si="17"/>
        <v>0</v>
      </c>
      <c r="L26" s="61">
        <f t="shared" si="17"/>
        <v>0</v>
      </c>
      <c r="M26" s="61">
        <f t="shared" si="17"/>
        <v>0</v>
      </c>
      <c r="N26" s="61">
        <f t="shared" si="17"/>
        <v>0</v>
      </c>
      <c r="O26" s="3"/>
      <c r="P26" s="3"/>
      <c r="Q26" s="3">
        <v>14</v>
      </c>
      <c r="R26" s="59">
        <f t="shared" ca="1" si="9"/>
        <v>7.3068546215394141</v>
      </c>
      <c r="S26" s="3"/>
      <c r="T26" s="3">
        <v>14</v>
      </c>
      <c r="U26" s="59">
        <f t="shared" ca="1" si="10"/>
        <v>7.3068546215394141</v>
      </c>
      <c r="V26" s="3"/>
      <c r="W26" s="3"/>
      <c r="X26" s="3"/>
      <c r="Y26" s="3"/>
      <c r="Z26" s="3"/>
    </row>
    <row r="27" spans="1:26" ht="12.75" customHeight="1" x14ac:dyDescent="0.2">
      <c r="A27" s="3" t="s">
        <v>400</v>
      </c>
      <c r="B27" s="9">
        <f ca="1">IF(Setup!B$28=1, IF(ISBLANK(Gear!$B$3), 0, VLOOKUP(Gear!$B$3, INDIRECT(Gear!$A$3), MATCH(A27, StatHeader, 0), 0)), 0)</f>
        <v>0.33400000000000002</v>
      </c>
      <c r="C27" s="3"/>
      <c r="D27" s="3">
        <v>6</v>
      </c>
      <c r="E27" s="91">
        <f ca="1">IF(E19=1, (1-B6)*(1-B5)*(1-B4)*(B17)*(B22), 0)</f>
        <v>0</v>
      </c>
      <c r="F27" s="61">
        <f t="shared" ref="F27:N27" ca="1" si="18">IF($D27&gt;=F$20, POWER($B$16, F$20) * POWER((1-$B$16), $D27-F$20) * COMBIN($D27,F$20) * $E27, 0)</f>
        <v>0</v>
      </c>
      <c r="G27" s="61">
        <f t="shared" ca="1" si="18"/>
        <v>0</v>
      </c>
      <c r="H27" s="61">
        <f t="shared" ca="1" si="18"/>
        <v>0</v>
      </c>
      <c r="I27" s="61">
        <f t="shared" ca="1" si="18"/>
        <v>0</v>
      </c>
      <c r="J27" s="61">
        <f t="shared" ca="1" si="18"/>
        <v>0</v>
      </c>
      <c r="K27" s="61">
        <f t="shared" ca="1" si="18"/>
        <v>0</v>
      </c>
      <c r="L27" s="61">
        <f t="shared" ca="1" si="18"/>
        <v>0</v>
      </c>
      <c r="M27" s="61">
        <f t="shared" si="18"/>
        <v>0</v>
      </c>
      <c r="N27" s="61">
        <f t="shared" si="18"/>
        <v>0</v>
      </c>
      <c r="O27" s="3"/>
      <c r="P27" s="3"/>
      <c r="Q27" s="3">
        <v>15</v>
      </c>
      <c r="R27" s="59">
        <f t="shared" ca="1" si="9"/>
        <v>7.8048099783455553</v>
      </c>
      <c r="S27" s="3"/>
      <c r="T27" s="3">
        <v>15</v>
      </c>
      <c r="U27" s="59">
        <f t="shared" ca="1" si="10"/>
        <v>7.8048099783455553</v>
      </c>
      <c r="V27" s="3"/>
      <c r="W27" s="3"/>
      <c r="X27" s="3"/>
      <c r="Y27" s="3"/>
      <c r="Z27" s="3"/>
    </row>
    <row r="28" spans="1:26" ht="12.75" customHeight="1" x14ac:dyDescent="0.2">
      <c r="A28" s="3" t="s">
        <v>468</v>
      </c>
      <c r="B28" s="9">
        <f ca="1">Data!B189</f>
        <v>0</v>
      </c>
      <c r="C28" s="3"/>
      <c r="D28" s="3">
        <v>7</v>
      </c>
      <c r="E28" s="91">
        <f ca="1">IF(E19=1, (1-B6)*(1-B5)*(1-B4)*(B17)*(B23), 0)</f>
        <v>0</v>
      </c>
      <c r="F28" s="61">
        <f t="shared" ref="F28:N28" ca="1" si="19">IF($D28&gt;=F$20, POWER($B$16, F$20) * POWER((1-$B$16), $D28-F$20) * COMBIN($D28,F$20) * $E28, 0)</f>
        <v>0</v>
      </c>
      <c r="G28" s="61">
        <f t="shared" ca="1" si="19"/>
        <v>0</v>
      </c>
      <c r="H28" s="61">
        <f t="shared" ca="1" si="19"/>
        <v>0</v>
      </c>
      <c r="I28" s="61">
        <f t="shared" ca="1" si="19"/>
        <v>0</v>
      </c>
      <c r="J28" s="61">
        <f t="shared" ca="1" si="19"/>
        <v>0</v>
      </c>
      <c r="K28" s="61">
        <f t="shared" ca="1" si="19"/>
        <v>0</v>
      </c>
      <c r="L28" s="61">
        <f t="shared" ca="1" si="19"/>
        <v>0</v>
      </c>
      <c r="M28" s="61">
        <f t="shared" ca="1" si="19"/>
        <v>0</v>
      </c>
      <c r="N28" s="61">
        <f t="shared" si="19"/>
        <v>0</v>
      </c>
      <c r="O28" s="3"/>
      <c r="P28" s="3"/>
      <c r="Q28" s="3">
        <v>16</v>
      </c>
      <c r="R28" s="59">
        <f t="shared" ca="1" si="9"/>
        <v>8.3027516794091909</v>
      </c>
      <c r="S28" s="3"/>
      <c r="T28" s="3">
        <v>16</v>
      </c>
      <c r="U28" s="59">
        <f t="shared" ca="1" si="10"/>
        <v>8.3027516794091909</v>
      </c>
      <c r="V28" s="3"/>
      <c r="W28" s="3"/>
      <c r="X28" s="3"/>
      <c r="Y28" s="3"/>
      <c r="Z28" s="3"/>
    </row>
    <row r="29" spans="1:26" ht="12.75" customHeight="1" x14ac:dyDescent="0.2">
      <c r="A29" s="3" t="s">
        <v>314</v>
      </c>
      <c r="B29" s="9">
        <f ca="1">Data!B120</f>
        <v>0.95</v>
      </c>
      <c r="C29" s="3"/>
      <c r="D29" s="3">
        <v>8</v>
      </c>
      <c r="E29" s="91">
        <f ca="1">IF(E19=1, (1-B6)*(1-B5)*(1-B4)*(B17)*(B24), 0)</f>
        <v>0</v>
      </c>
      <c r="F29" s="92">
        <f t="shared" ref="F29:N29" ca="1" si="20">IF($D29&gt;=F$20, POWER($B$16, F$20) * POWER((1-$B$16), $D29-F$20) * COMBIN($D29,F$20) * $E29, 0)</f>
        <v>0</v>
      </c>
      <c r="G29" s="93">
        <f t="shared" ca="1" si="20"/>
        <v>0</v>
      </c>
      <c r="H29" s="93">
        <f t="shared" ca="1" si="20"/>
        <v>0</v>
      </c>
      <c r="I29" s="93">
        <f t="shared" ca="1" si="20"/>
        <v>0</v>
      </c>
      <c r="J29" s="93">
        <f t="shared" ca="1" si="20"/>
        <v>0</v>
      </c>
      <c r="K29" s="93">
        <f t="shared" ca="1" si="20"/>
        <v>0</v>
      </c>
      <c r="L29" s="93">
        <f t="shared" ca="1" si="20"/>
        <v>0</v>
      </c>
      <c r="M29" s="93">
        <f t="shared" ca="1" si="20"/>
        <v>0</v>
      </c>
      <c r="N29" s="93">
        <f t="shared" ca="1" si="20"/>
        <v>0</v>
      </c>
      <c r="O29" s="3"/>
      <c r="P29" s="3"/>
      <c r="Q29" s="3">
        <v>17</v>
      </c>
      <c r="R29" s="59">
        <f t="shared" ca="1" si="9"/>
        <v>8.8007009551887556</v>
      </c>
      <c r="S29" s="3"/>
      <c r="T29" s="3">
        <v>17</v>
      </c>
      <c r="U29" s="59">
        <f t="shared" ca="1" si="10"/>
        <v>8.8007009551887556</v>
      </c>
      <c r="V29" s="3"/>
      <c r="W29" s="3"/>
      <c r="X29" s="3"/>
      <c r="Y29" s="3"/>
      <c r="Z29" s="3"/>
    </row>
    <row r="30" spans="1:26" ht="12.75" customHeight="1" x14ac:dyDescent="0.2">
      <c r="A30" s="3"/>
      <c r="B30" s="3"/>
      <c r="C30" s="3"/>
      <c r="D30" s="3"/>
      <c r="E30" s="9">
        <f ca="1">SUM(E21:E29)</f>
        <v>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>
        <v>18</v>
      </c>
      <c r="R30" s="59">
        <f t="shared" ca="1" si="9"/>
        <v>9.2986485840950284</v>
      </c>
      <c r="S30" s="3"/>
      <c r="T30" s="3">
        <v>18</v>
      </c>
      <c r="U30" s="59">
        <f t="shared" ca="1" si="10"/>
        <v>9.2986485840950284</v>
      </c>
      <c r="V30" s="3"/>
      <c r="W30" s="3"/>
      <c r="X30" s="3"/>
      <c r="Y30" s="3"/>
      <c r="Z30" s="3"/>
    </row>
    <row r="31" spans="1:26" ht="12.75" customHeight="1" x14ac:dyDescent="0.2">
      <c r="A31" s="3"/>
      <c r="B31" s="3"/>
      <c r="C31" s="3"/>
      <c r="D31" s="3"/>
      <c r="E31" s="3" t="s">
        <v>463</v>
      </c>
      <c r="F31" s="61">
        <f t="shared" ref="F31:N31" ca="1" si="21">SUM(F21:F29)</f>
        <v>1</v>
      </c>
      <c r="G31" s="61">
        <f t="shared" ca="1" si="21"/>
        <v>0</v>
      </c>
      <c r="H31" s="61">
        <f t="shared" ca="1" si="21"/>
        <v>0</v>
      </c>
      <c r="I31" s="61">
        <f t="shared" ca="1" si="21"/>
        <v>0</v>
      </c>
      <c r="J31" s="61">
        <f t="shared" ca="1" si="21"/>
        <v>0</v>
      </c>
      <c r="K31" s="61">
        <f t="shared" ca="1" si="21"/>
        <v>0</v>
      </c>
      <c r="L31" s="61">
        <f t="shared" ca="1" si="21"/>
        <v>0</v>
      </c>
      <c r="M31" s="61">
        <f t="shared" ca="1" si="21"/>
        <v>0</v>
      </c>
      <c r="N31" s="61">
        <f t="shared" ca="1" si="21"/>
        <v>0</v>
      </c>
      <c r="O31" s="61">
        <f ca="1">SUM(F31:N31)</f>
        <v>1</v>
      </c>
      <c r="P31" s="3"/>
      <c r="Q31" s="3">
        <v>19</v>
      </c>
      <c r="R31" s="59">
        <f t="shared" ca="1" si="9"/>
        <v>9.7965955691213047</v>
      </c>
      <c r="S31" s="3"/>
      <c r="T31" s="3">
        <v>19</v>
      </c>
      <c r="U31" s="59">
        <f t="shared" ca="1" si="10"/>
        <v>9.7965955691213047</v>
      </c>
      <c r="V31" s="3"/>
      <c r="W31" s="3"/>
      <c r="X31" s="3"/>
      <c r="Y31" s="3"/>
      <c r="Z31" s="3"/>
    </row>
    <row r="32" spans="1:26" ht="12.75" customHeight="1" x14ac:dyDescent="0.2">
      <c r="A32" s="3"/>
      <c r="B32" s="3"/>
      <c r="C32" s="3"/>
      <c r="D32" s="3"/>
      <c r="E32" s="3" t="s">
        <v>465</v>
      </c>
      <c r="F32" s="59">
        <f ca="1">F20*F31+G20*G31+H20*H31+I20*I31+J31*J20+K31*K20+L31*L20+M31*M20+N31*N20</f>
        <v>0</v>
      </c>
      <c r="G32" s="3"/>
      <c r="H32" s="3"/>
      <c r="I32" s="3"/>
      <c r="J32" s="3"/>
      <c r="K32" s="61"/>
      <c r="L32" s="3"/>
      <c r="M32" s="3"/>
      <c r="N32" s="3"/>
      <c r="O32" s="61"/>
      <c r="P32" s="61"/>
      <c r="Q32" s="3">
        <v>20</v>
      </c>
      <c r="R32" s="59">
        <f t="shared" ca="1" si="9"/>
        <v>10.29454330492317</v>
      </c>
      <c r="S32" s="3"/>
      <c r="T32" s="3">
        <v>20</v>
      </c>
      <c r="U32" s="59">
        <f t="shared" ca="1" si="10"/>
        <v>10.29454330492317</v>
      </c>
      <c r="V32" s="3"/>
      <c r="W32" s="3"/>
      <c r="X32" s="3"/>
      <c r="Y32" s="3"/>
      <c r="Z32" s="3"/>
    </row>
    <row r="33" spans="1:26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61"/>
      <c r="L33" s="3"/>
      <c r="M33" s="3"/>
      <c r="N33" s="3"/>
      <c r="O33" s="3"/>
      <c r="P33" s="3"/>
      <c r="Q33" s="3">
        <v>21</v>
      </c>
      <c r="R33" s="59">
        <f t="shared" ca="1" si="9"/>
        <v>10.79249072312075</v>
      </c>
      <c r="S33" s="3"/>
      <c r="T33" s="3">
        <v>21</v>
      </c>
      <c r="U33" s="59">
        <f t="shared" ca="1" si="10"/>
        <v>10.79249072312075</v>
      </c>
      <c r="V33" s="3"/>
      <c r="W33" s="3"/>
      <c r="X33" s="3"/>
      <c r="Y33" s="3"/>
      <c r="Z33" s="3"/>
    </row>
    <row r="34" spans="1:26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>
        <v>22</v>
      </c>
      <c r="R34" s="59">
        <f t="shared" ca="1" si="9"/>
        <v>11.290438171605675</v>
      </c>
      <c r="S34" s="3"/>
      <c r="T34" s="3">
        <v>22</v>
      </c>
      <c r="U34" s="59">
        <f t="shared" ca="1" si="10"/>
        <v>11.290438171605675</v>
      </c>
      <c r="V34" s="3"/>
      <c r="W34" s="3"/>
      <c r="X34" s="3"/>
      <c r="Y34" s="3"/>
      <c r="Z34" s="3"/>
    </row>
    <row r="35" spans="1:26" ht="12.75" customHeight="1" x14ac:dyDescent="0.2">
      <c r="A35" s="3"/>
      <c r="B35" s="3"/>
      <c r="C35" s="3"/>
      <c r="D35" s="3" t="s">
        <v>469</v>
      </c>
      <c r="E35" s="3"/>
      <c r="F35" s="61"/>
      <c r="G35" s="61"/>
      <c r="H35" s="61"/>
      <c r="I35" s="61"/>
      <c r="J35" s="61"/>
      <c r="K35" s="61"/>
      <c r="L35" s="61"/>
      <c r="M35" s="61"/>
      <c r="N35" s="61"/>
      <c r="O35" s="3"/>
      <c r="P35" s="3"/>
      <c r="Q35" s="3">
        <v>23</v>
      </c>
      <c r="R35" s="59">
        <f t="shared" ca="1" si="9"/>
        <v>11.788385670719629</v>
      </c>
      <c r="S35" s="3"/>
      <c r="T35" s="3">
        <v>23</v>
      </c>
      <c r="U35" s="59">
        <f t="shared" ca="1" si="10"/>
        <v>11.788385670719629</v>
      </c>
      <c r="V35" s="3"/>
      <c r="W35" s="3"/>
      <c r="X35" s="3"/>
      <c r="Y35" s="3"/>
      <c r="Z35" s="3"/>
    </row>
    <row r="36" spans="1:26" ht="12.75" customHeight="1" x14ac:dyDescent="0.2">
      <c r="A36" s="3"/>
      <c r="B36" s="3"/>
      <c r="C36" s="3"/>
      <c r="D36" s="3" t="s">
        <v>470</v>
      </c>
      <c r="E36" s="3">
        <v>0</v>
      </c>
      <c r="F36" s="3">
        <v>1</v>
      </c>
      <c r="G36" s="3">
        <v>2</v>
      </c>
      <c r="H36" s="3">
        <v>3</v>
      </c>
      <c r="I36" s="3">
        <v>4</v>
      </c>
      <c r="J36" s="3">
        <v>5</v>
      </c>
      <c r="K36" s="3">
        <v>6</v>
      </c>
      <c r="L36" s="3">
        <v>7</v>
      </c>
      <c r="M36" s="3">
        <v>8</v>
      </c>
      <c r="N36" s="3" t="s">
        <v>201</v>
      </c>
      <c r="O36" s="3"/>
      <c r="P36" s="3"/>
      <c r="Q36" s="3">
        <v>24</v>
      </c>
      <c r="R36" s="59">
        <f t="shared" ca="1" si="9"/>
        <v>12.28633313238119</v>
      </c>
      <c r="S36" s="3"/>
      <c r="T36" s="3">
        <v>24</v>
      </c>
      <c r="U36" s="59">
        <f t="shared" ca="1" si="10"/>
        <v>12.28633313238119</v>
      </c>
      <c r="V36" s="3"/>
      <c r="W36" s="3"/>
      <c r="X36" s="3"/>
      <c r="Y36" s="3"/>
      <c r="Z36" s="3"/>
    </row>
    <row r="37" spans="1:26" ht="12.75" customHeight="1" x14ac:dyDescent="0.2">
      <c r="A37" s="3"/>
      <c r="B37" s="3"/>
      <c r="C37" s="3"/>
      <c r="D37" s="3" t="s">
        <v>471</v>
      </c>
      <c r="E37" s="61">
        <f ca="1">F15*F31</f>
        <v>1.3208374821200014E-2</v>
      </c>
      <c r="F37" s="61">
        <f ca="1">F15*G31+G15*F31</f>
        <v>0.27291623688440003</v>
      </c>
      <c r="G37" s="61">
        <f ca="1">F15*H31+G15*G31+H15*F31</f>
        <v>0.43073363774760004</v>
      </c>
      <c r="H37" s="61">
        <f ca="1">F15*I31+G15*H31+H15*G31+I15*F31</f>
        <v>0.25870656304679995</v>
      </c>
      <c r="I37" s="61">
        <f ca="1">F15*J31+G15*I31+H15*H31+I15*G31+J15*F31</f>
        <v>2.44351875E-2</v>
      </c>
      <c r="J37" s="61">
        <f ca="1">F15*K31+G15*J31+H15*I31+I15*H31+J15*G31+K15*F31</f>
        <v>0</v>
      </c>
      <c r="K37" s="61">
        <f ca="1">F15*L31+G15*K31+H15*J31+I15*I31+J15*H31+K15*G31+L15*F31</f>
        <v>0</v>
      </c>
      <c r="L37" s="61">
        <f ca="1">F15*M31+G15*L31+H15*K31+I15*J31+J15*I31+K15*H31+L15*G31+M15*F31</f>
        <v>0</v>
      </c>
      <c r="M37" s="61">
        <f ca="1">F15*N31+G15*M31+H15*L31+I15*K31+J15*J31+K15*I31+L15*H31+M15*G31+N15*F31+G15*N31+H15*M31+I15*L31+J15*K31+K15*J31+L15*I31+M15*H31+N15*G31+H15*N31+I15*M31+J15*L31+K15*K31+L15*J31+M15*I31+N15*H31+I15*N31+J15*M31+K15*L31+L15*K31+M15*J31+N15*I31+J15*N31+K15*M31+L15*L31+M15*K31+N15*J31+K15*N31+L15*M31+M15*L31+N15*K31+L15*N31+M15*M31+N15*L31+M15*N31+N15*M31+N15*N31</f>
        <v>0</v>
      </c>
      <c r="N37" s="61">
        <f ca="1">SUM(E37:M37)</f>
        <v>1</v>
      </c>
      <c r="O37" s="3"/>
      <c r="P37" s="3"/>
      <c r="Q37" s="3">
        <v>25</v>
      </c>
      <c r="R37" s="59">
        <f t="shared" ca="1" si="9"/>
        <v>12.784280605859907</v>
      </c>
      <c r="S37" s="3"/>
      <c r="T37" s="3">
        <v>25</v>
      </c>
      <c r="U37" s="59">
        <f t="shared" ca="1" si="10"/>
        <v>12.784280605859907</v>
      </c>
      <c r="V37" s="3"/>
      <c r="W37" s="3"/>
      <c r="X37" s="3"/>
      <c r="Y37" s="3"/>
      <c r="Z37" s="3"/>
    </row>
    <row r="38" spans="1:26" ht="12.75" customHeight="1" x14ac:dyDescent="0.2">
      <c r="A38" s="3"/>
      <c r="B38" s="3"/>
      <c r="C38" s="3"/>
      <c r="D38" s="3" t="s">
        <v>465</v>
      </c>
      <c r="E38" s="59">
        <f ca="1">E36*E37+F36*F37+G36*G37+H36*H37+I36*I37+J36*J37+K36*K37+L36*L37+M36*M37</f>
        <v>2.0082439515199999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>
        <v>26</v>
      </c>
      <c r="R38" s="59">
        <f t="shared" ca="1" si="9"/>
        <v>13.282228080282318</v>
      </c>
      <c r="S38" s="3"/>
      <c r="T38" s="3">
        <v>26</v>
      </c>
      <c r="U38" s="59">
        <f t="shared" ca="1" si="10"/>
        <v>13.282228080282318</v>
      </c>
      <c r="V38" s="3"/>
      <c r="W38" s="3"/>
      <c r="X38" s="3"/>
      <c r="Y38" s="3"/>
      <c r="Z38" s="3"/>
    </row>
    <row r="39" spans="1:26" ht="12.75" customHeight="1" x14ac:dyDescent="0.2">
      <c r="A39" s="3"/>
      <c r="B39" s="3"/>
      <c r="C39" s="3"/>
      <c r="D39" s="3"/>
      <c r="E39" s="6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>
        <v>27</v>
      </c>
      <c r="R39" s="59">
        <f t="shared" ca="1" si="9"/>
        <v>13.78017555155872</v>
      </c>
      <c r="S39" s="3"/>
      <c r="T39" s="3">
        <v>27</v>
      </c>
      <c r="U39" s="59">
        <f t="shared" ca="1" si="10"/>
        <v>13.78017555155872</v>
      </c>
      <c r="V39" s="3"/>
      <c r="W39" s="3"/>
      <c r="X39" s="3"/>
      <c r="Y39" s="3"/>
      <c r="Z39" s="3"/>
    </row>
    <row r="40" spans="1:26" ht="12.75" customHeight="1" x14ac:dyDescent="0.2">
      <c r="A40" s="3"/>
      <c r="B40" s="3"/>
      <c r="C40" s="3"/>
      <c r="D40" s="3"/>
      <c r="E40" s="3"/>
      <c r="F40" s="61"/>
      <c r="G40" s="61"/>
      <c r="H40" s="3"/>
      <c r="I40" s="3"/>
      <c r="J40" s="3"/>
      <c r="K40" s="3"/>
      <c r="L40" s="3"/>
      <c r="M40" s="3"/>
      <c r="N40" s="3"/>
      <c r="O40" s="3"/>
      <c r="P40" s="3"/>
      <c r="Q40" s="3">
        <v>28</v>
      </c>
      <c r="R40" s="59">
        <f t="shared" ca="1" si="9"/>
        <v>14.27812302454765</v>
      </c>
      <c r="S40" s="3"/>
      <c r="T40" s="3">
        <v>28</v>
      </c>
      <c r="U40" s="59">
        <f t="shared" ca="1" si="10"/>
        <v>14.27812302454765</v>
      </c>
      <c r="V40" s="3"/>
      <c r="W40" s="3"/>
      <c r="X40" s="3"/>
      <c r="Y40" s="3"/>
      <c r="Z40" s="3"/>
    </row>
    <row r="41" spans="1:26" ht="12.75" customHeight="1" x14ac:dyDescent="0.2">
      <c r="A41" s="3" t="s">
        <v>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>
        <v>29</v>
      </c>
      <c r="R41" s="59">
        <f t="shared" ca="1" si="9"/>
        <v>14.776070497177004</v>
      </c>
      <c r="S41" s="3"/>
      <c r="T41" s="3">
        <v>29</v>
      </c>
      <c r="U41" s="59">
        <f t="shared" ca="1" si="10"/>
        <v>14.776070497177004</v>
      </c>
      <c r="V41" s="3"/>
      <c r="W41" s="3"/>
      <c r="X41" s="3"/>
      <c r="Y41" s="3"/>
      <c r="Z41" s="3"/>
    </row>
    <row r="42" spans="1:26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>
        <v>30</v>
      </c>
      <c r="R42" s="59">
        <f t="shared" ca="1" si="9"/>
        <v>15.274017969653013</v>
      </c>
      <c r="S42" s="3"/>
      <c r="T42" s="3">
        <v>30</v>
      </c>
      <c r="U42" s="59">
        <f t="shared" ca="1" si="10"/>
        <v>15.274017969653013</v>
      </c>
      <c r="V42" s="3"/>
      <c r="W42" s="3"/>
      <c r="X42" s="3"/>
      <c r="Y42" s="3"/>
      <c r="Z42" s="3"/>
    </row>
    <row r="43" spans="1:26" ht="12.75" customHeight="1" x14ac:dyDescent="0.2">
      <c r="A43" s="3" t="s">
        <v>450</v>
      </c>
      <c r="B43" s="65">
        <f ca="1">Data!C119</f>
        <v>0.95</v>
      </c>
      <c r="C43" s="3"/>
      <c r="D43" s="3" t="s">
        <v>412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>
        <v>31</v>
      </c>
      <c r="R43" s="59">
        <f t="shared" ca="1" si="9"/>
        <v>15.771965442300722</v>
      </c>
      <c r="S43" s="3"/>
      <c r="T43" s="3">
        <v>31</v>
      </c>
      <c r="U43" s="59">
        <f t="shared" ca="1" si="10"/>
        <v>15.771965442300722</v>
      </c>
      <c r="V43" s="3"/>
      <c r="W43" s="3"/>
      <c r="X43" s="3"/>
      <c r="Y43" s="3"/>
      <c r="Z43" s="3"/>
    </row>
    <row r="44" spans="1:26" ht="12.75" customHeight="1" x14ac:dyDescent="0.2">
      <c r="A44" s="3" t="s">
        <v>385</v>
      </c>
      <c r="B44" s="9">
        <f ca="1">Data!C186</f>
        <v>0.24</v>
      </c>
      <c r="C44" s="3"/>
      <c r="D44" s="3" t="s">
        <v>421</v>
      </c>
      <c r="E44" s="3" t="s">
        <v>452</v>
      </c>
      <c r="F44" s="32">
        <v>0</v>
      </c>
      <c r="G44" s="32">
        <v>1</v>
      </c>
      <c r="H44" s="32">
        <v>2</v>
      </c>
      <c r="I44" s="32">
        <v>3</v>
      </c>
      <c r="J44" s="32">
        <v>4</v>
      </c>
      <c r="K44" s="32">
        <v>5</v>
      </c>
      <c r="L44" s="32">
        <v>6</v>
      </c>
      <c r="M44" s="32">
        <v>7</v>
      </c>
      <c r="N44" s="32">
        <v>8</v>
      </c>
      <c r="O44" s="3"/>
      <c r="P44" s="3"/>
      <c r="Q44" s="3">
        <v>32</v>
      </c>
      <c r="R44" s="59">
        <f t="shared" ca="1" si="9"/>
        <v>16.269912914877121</v>
      </c>
      <c r="S44" s="3"/>
      <c r="T44" s="3">
        <v>32</v>
      </c>
      <c r="U44" s="59">
        <f t="shared" ca="1" si="10"/>
        <v>16.269912914877121</v>
      </c>
      <c r="V44" s="3"/>
      <c r="W44" s="3"/>
      <c r="X44" s="3"/>
      <c r="Y44" s="3"/>
      <c r="Z44" s="3"/>
    </row>
    <row r="45" spans="1:26" ht="12.75" customHeight="1" x14ac:dyDescent="0.2">
      <c r="A45" s="3" t="s">
        <v>388</v>
      </c>
      <c r="B45" s="9">
        <f ca="1">Data!C187</f>
        <v>0.18</v>
      </c>
      <c r="C45" s="3"/>
      <c r="D45" s="3">
        <v>0</v>
      </c>
      <c r="E45" s="90">
        <v>0</v>
      </c>
      <c r="F45" s="61">
        <f t="shared" ref="F45:N45" ca="1" si="22">IF($D45&gt;=F$44, POWER($B$43, F$44) * POWER((1-$B$43), $D45-F$44) * COMBIN($D45,F$44) * $E45, 0)</f>
        <v>0</v>
      </c>
      <c r="G45" s="61">
        <f t="shared" si="22"/>
        <v>0</v>
      </c>
      <c r="H45" s="61">
        <f t="shared" si="22"/>
        <v>0</v>
      </c>
      <c r="I45" s="61">
        <f t="shared" si="22"/>
        <v>0</v>
      </c>
      <c r="J45" s="61">
        <f t="shared" si="22"/>
        <v>0</v>
      </c>
      <c r="K45" s="61">
        <f t="shared" si="22"/>
        <v>0</v>
      </c>
      <c r="L45" s="61">
        <f t="shared" si="22"/>
        <v>0</v>
      </c>
      <c r="M45" s="61">
        <f t="shared" si="22"/>
        <v>0</v>
      </c>
      <c r="N45" s="61">
        <f t="shared" si="22"/>
        <v>0</v>
      </c>
      <c r="O45" s="3"/>
      <c r="P45" s="3"/>
      <c r="Q45" s="3">
        <v>33</v>
      </c>
      <c r="R45" s="59">
        <f t="shared" ca="1" si="9"/>
        <v>16.767860387459638</v>
      </c>
      <c r="S45" s="3"/>
      <c r="T45" s="3">
        <v>33</v>
      </c>
      <c r="U45" s="59">
        <f t="shared" ca="1" si="10"/>
        <v>16.767860387459638</v>
      </c>
      <c r="V45" s="3"/>
      <c r="W45" s="3"/>
      <c r="X45" s="3"/>
      <c r="Y45" s="3"/>
      <c r="Z45" s="3"/>
    </row>
    <row r="46" spans="1:26" ht="12.75" customHeight="1" x14ac:dyDescent="0.2">
      <c r="A46" s="3" t="s">
        <v>391</v>
      </c>
      <c r="B46" s="9">
        <f ca="1">Data!C188</f>
        <v>0.03</v>
      </c>
      <c r="C46" s="3"/>
      <c r="D46" s="3">
        <v>1</v>
      </c>
      <c r="E46" s="91">
        <f ca="1">(1-B46)*(1-B45)*(1-B44)*(1-B48)*(1-B47)*(1-B65)</f>
        <v>0.24180160000000003</v>
      </c>
      <c r="F46" s="61">
        <f ca="1">IF($D46&gt;=F$44, POWER($B$43, F$44) * POWER((1-$B$43), $D46-F$44) * COMBIN($D46,F$44) * $E46, 0) * (1 - B68*B69*(1-E59))</f>
        <v>1.2090080000000012E-2</v>
      </c>
      <c r="G46" s="61">
        <f ca="1">IF($D46&gt;=G$44, POWER($B$43, G$44) * POWER((1-$B$43), $D46-G$44) * COMBIN($D46,G$44) * $E46, 0) + IF($D46&gt;=F$44, POWER($B$43, F$44) * POWER((1-$B$43), $D46-F$44) * COMBIN($D46,F$44) * $E46, 0) * B68 * B69 * (1-E59)</f>
        <v>0.22971152000000003</v>
      </c>
      <c r="H46" s="61">
        <f t="shared" ref="H46:N46" si="23">IF($D46&gt;=H$44, POWER($B$43, H$44) * POWER((1-$B$43), $D46-H$44) * COMBIN($D46,H$44) * $E46, 0)</f>
        <v>0</v>
      </c>
      <c r="I46" s="61">
        <f t="shared" si="23"/>
        <v>0</v>
      </c>
      <c r="J46" s="61">
        <f t="shared" si="23"/>
        <v>0</v>
      </c>
      <c r="K46" s="61">
        <f t="shared" si="23"/>
        <v>0</v>
      </c>
      <c r="L46" s="61">
        <f t="shared" si="23"/>
        <v>0</v>
      </c>
      <c r="M46" s="61">
        <f t="shared" si="23"/>
        <v>0</v>
      </c>
      <c r="N46" s="61">
        <f t="shared" si="23"/>
        <v>0</v>
      </c>
      <c r="O46" s="3"/>
      <c r="P46" s="3"/>
      <c r="Q46" s="3">
        <v>34</v>
      </c>
      <c r="R46" s="59">
        <f t="shared" ca="1" si="9"/>
        <v>17.265807860053936</v>
      </c>
      <c r="S46" s="3"/>
      <c r="T46" s="3">
        <v>34</v>
      </c>
      <c r="U46" s="59">
        <f t="shared" ca="1" si="10"/>
        <v>17.265807860053936</v>
      </c>
      <c r="V46" s="3"/>
      <c r="W46" s="3"/>
      <c r="X46" s="3"/>
      <c r="Y46" s="3"/>
      <c r="Z46" s="3"/>
    </row>
    <row r="47" spans="1:26" ht="12.75" customHeight="1" x14ac:dyDescent="0.2">
      <c r="A47" s="3" t="s">
        <v>453</v>
      </c>
      <c r="B47" s="9">
        <v>0</v>
      </c>
      <c r="C47" s="3"/>
      <c r="D47" s="3">
        <v>2</v>
      </c>
      <c r="E47" s="91">
        <f ca="1">(1-B46)*(1-B45)*(1-B47)*(B44) + (1-B46)*(1-B45)*(1-B44)*(1-B47)*(B48)*(B49) + (1-B46)*(1-B45)*(1-B44)*(1-B47)*(1-B48)*(B65)*(B66) + (1-B46)*(1-B45)*(1-B44)*(1-B48)*(1-B65)*(B47)</f>
        <v>0.43245579840000004</v>
      </c>
      <c r="F47" s="61">
        <f t="shared" ref="F47:N47" ca="1" si="24">IF($D47&gt;=F$44, POWER($B$43, F$44) * POWER((1-$B$43), $D47-F$44) * COMBIN($D47,F$44) * $E47, 0)</f>
        <v>1.081139496000002E-3</v>
      </c>
      <c r="G47" s="61">
        <f t="shared" ca="1" si="24"/>
        <v>4.1083300848000041E-2</v>
      </c>
      <c r="H47" s="61">
        <f t="shared" ca="1" si="24"/>
        <v>0.39029135805600002</v>
      </c>
      <c r="I47" s="61">
        <f t="shared" si="24"/>
        <v>0</v>
      </c>
      <c r="J47" s="61">
        <f t="shared" si="24"/>
        <v>0</v>
      </c>
      <c r="K47" s="61">
        <f t="shared" si="24"/>
        <v>0</v>
      </c>
      <c r="L47" s="61">
        <f t="shared" si="24"/>
        <v>0</v>
      </c>
      <c r="M47" s="61">
        <f t="shared" si="24"/>
        <v>0</v>
      </c>
      <c r="N47" s="61">
        <f t="shared" si="24"/>
        <v>0</v>
      </c>
      <c r="O47" s="3"/>
      <c r="P47" s="3"/>
      <c r="Q47" s="3">
        <v>35</v>
      </c>
      <c r="R47" s="59">
        <f t="shared" ca="1" si="9"/>
        <v>17.763755332639722</v>
      </c>
      <c r="S47" s="3"/>
      <c r="T47" s="3">
        <v>35</v>
      </c>
      <c r="U47" s="59">
        <f t="shared" ca="1" si="10"/>
        <v>17.763755332639722</v>
      </c>
      <c r="V47" s="3"/>
      <c r="W47" s="3"/>
      <c r="X47" s="3"/>
      <c r="Y47" s="3"/>
      <c r="Z47" s="3"/>
    </row>
    <row r="48" spans="1:26" ht="12.75" customHeight="1" x14ac:dyDescent="0.2">
      <c r="A48" s="3" t="s">
        <v>454</v>
      </c>
      <c r="B48" s="9">
        <f ca="1">IF(ISBLANK(Gear!$AB$3), 0, VLOOKUP(Gear!$AB$3, INDIRECT(Gear!$AA$3), MATCH("OAx", StatHeader, 0), 0))</f>
        <v>0</v>
      </c>
      <c r="C48" s="3"/>
      <c r="D48" s="3">
        <v>3</v>
      </c>
      <c r="E48" s="91">
        <f ca="1">(1-B46)*(1-B47)*(B45) + (1-B46)*(1-B45)*(1-B44)*(1-B47)*(B48)*(B50) + (1-B46)*(1-B45)*(1-B44)*(1-B47)*(1-B48)*(B65)*(B67) + (1-B46)*(1-B45)*(B47)*(B44) + (1-B46)*(1-B45)*(1-B44)*(B47)*(B48)*(B49) + (1-B46)*(1-B45)*(1-B44)*(B47)*(B65)*(B66)</f>
        <v>0.29574260159999999</v>
      </c>
      <c r="F48" s="61">
        <f t="shared" ref="F48:N48" ca="1" si="25">IF($D48&gt;=F$44, POWER($B$43, F$44) * POWER((1-$B$43), $D48-F$44) * COMBIN($D48,F$44) * $E48, 0)</f>
        <v>3.6967825200000095E-5</v>
      </c>
      <c r="G48" s="61">
        <f t="shared" ca="1" si="25"/>
        <v>2.1071660364000034E-3</v>
      </c>
      <c r="H48" s="61">
        <f t="shared" ca="1" si="25"/>
        <v>4.0036154691600039E-2</v>
      </c>
      <c r="I48" s="61">
        <f t="shared" ca="1" si="25"/>
        <v>0.25356231304679994</v>
      </c>
      <c r="J48" s="61">
        <f t="shared" si="25"/>
        <v>0</v>
      </c>
      <c r="K48" s="61">
        <f t="shared" si="25"/>
        <v>0</v>
      </c>
      <c r="L48" s="61">
        <f t="shared" si="25"/>
        <v>0</v>
      </c>
      <c r="M48" s="61">
        <f t="shared" si="25"/>
        <v>0</v>
      </c>
      <c r="N48" s="61">
        <f t="shared" si="25"/>
        <v>0</v>
      </c>
      <c r="O48" s="3"/>
      <c r="P48" s="3"/>
      <c r="Q48" s="3">
        <v>36</v>
      </c>
      <c r="R48" s="59">
        <f t="shared" ca="1" si="9"/>
        <v>18.261702805228136</v>
      </c>
      <c r="S48" s="3"/>
      <c r="T48" s="3">
        <v>36</v>
      </c>
      <c r="U48" s="59">
        <f t="shared" ca="1" si="10"/>
        <v>18.261702805228136</v>
      </c>
      <c r="V48" s="3"/>
      <c r="W48" s="3"/>
      <c r="X48" s="3"/>
      <c r="Y48" s="3"/>
      <c r="Z48" s="3"/>
    </row>
    <row r="49" spans="1:26" ht="12.75" customHeight="1" x14ac:dyDescent="0.2">
      <c r="A49" s="3" t="s">
        <v>455</v>
      </c>
      <c r="B49" s="9">
        <f ca="1">IF(ISBLANK(Gear!$AB$3), 0, VLOOKUP(Gear!$AB$3, INDIRECT(Gear!$AA$3), MATCH(A49, StatHeader, 0), 0))</f>
        <v>0</v>
      </c>
      <c r="C49" s="3"/>
      <c r="D49" s="3">
        <v>4</v>
      </c>
      <c r="E49" s="91">
        <f ca="1">(B46)*(1-B47) + (1-B46)*(B47)*(B45) + (1-B46)*(1-B45)*(1-B44)*(1-B47)*(B48)*(B51) + (1-B46)*(1-B45)*(1-B44)*(B47)*(B65)*(B67) + (1-B46)*(1-B45)*(1-B44)*(B47)*(B48)*(B50)</f>
        <v>0.03</v>
      </c>
      <c r="F49" s="61">
        <f t="shared" ref="F49:N49" ca="1" si="26">IF($D49&gt;=F$44, POWER($B$43, F$44) * POWER((1-$B$43), $D49-F$44) * COMBIN($D49,F$44) * $E49, 0)</f>
        <v>1.8750000000000067E-7</v>
      </c>
      <c r="G49" s="61">
        <f t="shared" ca="1" si="26"/>
        <v>1.4250000000000036E-5</v>
      </c>
      <c r="H49" s="61">
        <f t="shared" ca="1" si="26"/>
        <v>4.0612500000000067E-4</v>
      </c>
      <c r="I49" s="61">
        <f t="shared" ca="1" si="26"/>
        <v>5.1442500000000039E-3</v>
      </c>
      <c r="J49" s="61">
        <f t="shared" ca="1" si="26"/>
        <v>2.44351875E-2</v>
      </c>
      <c r="K49" s="61">
        <f t="shared" si="26"/>
        <v>0</v>
      </c>
      <c r="L49" s="61">
        <f t="shared" si="26"/>
        <v>0</v>
      </c>
      <c r="M49" s="61">
        <f t="shared" si="26"/>
        <v>0</v>
      </c>
      <c r="N49" s="61">
        <f t="shared" si="26"/>
        <v>0</v>
      </c>
      <c r="O49" s="3"/>
      <c r="P49" s="3"/>
      <c r="Q49" s="3">
        <v>37</v>
      </c>
      <c r="R49" s="59">
        <f t="shared" ca="1" si="9"/>
        <v>18.7596502778168</v>
      </c>
      <c r="S49" s="3"/>
      <c r="T49" s="3">
        <v>37</v>
      </c>
      <c r="U49" s="59">
        <f t="shared" ca="1" si="10"/>
        <v>18.7596502778168</v>
      </c>
      <c r="V49" s="3"/>
      <c r="W49" s="3"/>
      <c r="X49" s="3"/>
      <c r="Y49" s="3"/>
      <c r="Z49" s="3"/>
    </row>
    <row r="50" spans="1:26" ht="12.75" customHeight="1" x14ac:dyDescent="0.2">
      <c r="A50" s="3" t="s">
        <v>456</v>
      </c>
      <c r="B50" s="9">
        <f ca="1">IF(ISBLANK(Gear!$AB$3), 0, VLOOKUP(Gear!$AB$3, INDIRECT(Gear!$AA$3), MATCH(A50, StatHeader, 0), 0))</f>
        <v>0</v>
      </c>
      <c r="C50" s="3"/>
      <c r="D50" s="3">
        <v>5</v>
      </c>
      <c r="E50" s="91">
        <f ca="1">(1-B46)*(1-B45)*(1-B44)*(1-B47)*(B48)*(B52) + (1-B46)*(1-B45)*(1-B44)*(B47)*(B48)*(B51) + (B46)*(B47)</f>
        <v>0</v>
      </c>
      <c r="F50" s="61">
        <f t="shared" ref="F50:N50" ca="1" si="27">IF($D50&gt;=F$44, POWER($B$43, F$44) * POWER((1-$B$43), $D50-F$44) * COMBIN($D50,F$44) * $E50, 0)</f>
        <v>0</v>
      </c>
      <c r="G50" s="61">
        <f t="shared" ca="1" si="27"/>
        <v>0</v>
      </c>
      <c r="H50" s="61">
        <f t="shared" ca="1" si="27"/>
        <v>0</v>
      </c>
      <c r="I50" s="61">
        <f t="shared" ca="1" si="27"/>
        <v>0</v>
      </c>
      <c r="J50" s="61">
        <f t="shared" ca="1" si="27"/>
        <v>0</v>
      </c>
      <c r="K50" s="61">
        <f t="shared" ca="1" si="27"/>
        <v>0</v>
      </c>
      <c r="L50" s="61">
        <f t="shared" si="27"/>
        <v>0</v>
      </c>
      <c r="M50" s="61">
        <f t="shared" si="27"/>
        <v>0</v>
      </c>
      <c r="N50" s="61">
        <f t="shared" si="27"/>
        <v>0</v>
      </c>
      <c r="O50" s="3"/>
      <c r="P50" s="3"/>
      <c r="Q50" s="3">
        <v>38</v>
      </c>
      <c r="R50" s="59">
        <f t="shared" ca="1" si="9"/>
        <v>19.257597750404742</v>
      </c>
      <c r="S50" s="3"/>
      <c r="T50" s="3">
        <v>38</v>
      </c>
      <c r="U50" s="59">
        <f t="shared" ca="1" si="10"/>
        <v>19.257597750404742</v>
      </c>
      <c r="V50" s="3"/>
      <c r="W50" s="3"/>
      <c r="X50" s="3"/>
      <c r="Y50" s="3"/>
      <c r="Z50" s="3"/>
    </row>
    <row r="51" spans="1:26" ht="12.75" customHeight="1" x14ac:dyDescent="0.2">
      <c r="A51" s="3" t="s">
        <v>457</v>
      </c>
      <c r="B51" s="9">
        <f ca="1">IF(ISBLANK(Gear!$AB$3), 0, VLOOKUP(Gear!$AB$3, INDIRECT(Gear!$AA$3), MATCH(A51, StatHeader, 0), 0))</f>
        <v>0</v>
      </c>
      <c r="C51" s="3"/>
      <c r="D51" s="3">
        <v>6</v>
      </c>
      <c r="E51" s="91">
        <f ca="1">(1-B46)*(1-B45)*(1-B44)*(1-B47)*(B48)*(B53) + (1-B46)*(1-B45)*(1-B44)*(B47)*(B48)*(B52)</f>
        <v>0</v>
      </c>
      <c r="F51" s="61">
        <f t="shared" ref="F51:N51" ca="1" si="28">IF($D51&gt;=F$44, POWER($B$43, F$44) * POWER((1-$B$43), $D51-F$44) * COMBIN($D51,F$44) * $E51, 0)</f>
        <v>0</v>
      </c>
      <c r="G51" s="61">
        <f t="shared" ca="1" si="28"/>
        <v>0</v>
      </c>
      <c r="H51" s="61">
        <f t="shared" ca="1" si="28"/>
        <v>0</v>
      </c>
      <c r="I51" s="61">
        <f t="shared" ca="1" si="28"/>
        <v>0</v>
      </c>
      <c r="J51" s="61">
        <f t="shared" ca="1" si="28"/>
        <v>0</v>
      </c>
      <c r="K51" s="61">
        <f t="shared" ca="1" si="28"/>
        <v>0</v>
      </c>
      <c r="L51" s="61">
        <f t="shared" ca="1" si="28"/>
        <v>0</v>
      </c>
      <c r="M51" s="61">
        <f t="shared" si="28"/>
        <v>0</v>
      </c>
      <c r="N51" s="61">
        <f t="shared" si="28"/>
        <v>0</v>
      </c>
      <c r="O51" s="3"/>
      <c r="P51" s="3"/>
      <c r="Q51" s="3">
        <v>39</v>
      </c>
      <c r="R51" s="59">
        <f t="shared" ca="1" si="9"/>
        <v>19.755545222993067</v>
      </c>
      <c r="S51" s="3"/>
      <c r="T51" s="3">
        <v>39</v>
      </c>
      <c r="U51" s="59">
        <f t="shared" ca="1" si="10"/>
        <v>19.755545222993067</v>
      </c>
      <c r="V51" s="3"/>
      <c r="W51" s="3"/>
      <c r="X51" s="3"/>
      <c r="Y51" s="3"/>
      <c r="Z51" s="3"/>
    </row>
    <row r="52" spans="1:26" ht="12.75" customHeight="1" x14ac:dyDescent="0.2">
      <c r="A52" s="3" t="s">
        <v>459</v>
      </c>
      <c r="B52" s="9">
        <f ca="1">IF(ISBLANK(Gear!$AB$3), 0, VLOOKUP(Gear!$AB$3, INDIRECT(Gear!$AA$3), MATCH(A52, StatHeader, 0), 0))</f>
        <v>0</v>
      </c>
      <c r="C52" s="3"/>
      <c r="D52" s="3">
        <v>7</v>
      </c>
      <c r="E52" s="91">
        <f ca="1">(1-B46)*(1-B45)*(1-B44)*(1-B47)*(B48)*(B54) + (1-B46)*(1-B45)*(1-B44)*(B47)*(B48)*(B53)</f>
        <v>0</v>
      </c>
      <c r="F52" s="61">
        <f t="shared" ref="F52:N52" ca="1" si="29">IF($D52&gt;=F$44, POWER($B$43, F$44) * POWER((1-$B$43), $D52-F$44) * COMBIN($D52,F$44) * $E52, 0)</f>
        <v>0</v>
      </c>
      <c r="G52" s="61">
        <f t="shared" ca="1" si="29"/>
        <v>0</v>
      </c>
      <c r="H52" s="61">
        <f t="shared" ca="1" si="29"/>
        <v>0</v>
      </c>
      <c r="I52" s="61">
        <f t="shared" ca="1" si="29"/>
        <v>0</v>
      </c>
      <c r="J52" s="61">
        <f t="shared" ca="1" si="29"/>
        <v>0</v>
      </c>
      <c r="K52" s="61">
        <f t="shared" ca="1" si="29"/>
        <v>0</v>
      </c>
      <c r="L52" s="61">
        <f t="shared" ca="1" si="29"/>
        <v>0</v>
      </c>
      <c r="M52" s="61">
        <f t="shared" ca="1" si="29"/>
        <v>0</v>
      </c>
      <c r="N52" s="61">
        <f t="shared" si="29"/>
        <v>0</v>
      </c>
      <c r="O52" s="3"/>
      <c r="P52" s="3"/>
      <c r="Q52" s="3">
        <v>40</v>
      </c>
      <c r="R52" s="59">
        <f t="shared" ca="1" si="9"/>
        <v>20.253492695581315</v>
      </c>
      <c r="S52" s="3"/>
      <c r="T52" s="3">
        <v>40</v>
      </c>
      <c r="U52" s="59">
        <f t="shared" ca="1" si="10"/>
        <v>20.253492695581315</v>
      </c>
      <c r="V52" s="3"/>
      <c r="W52" s="3"/>
      <c r="X52" s="3"/>
      <c r="Y52" s="3"/>
      <c r="Z52" s="3"/>
    </row>
    <row r="53" spans="1:26" ht="12.75" customHeight="1" x14ac:dyDescent="0.2">
      <c r="A53" s="3" t="s">
        <v>460</v>
      </c>
      <c r="B53" s="9">
        <f ca="1">IF(ISBLANK(Gear!$AB$3), 0, VLOOKUP(Gear!$AB$3, INDIRECT(Gear!$AA$3), MATCH(A53, StatHeader, 0), 0))</f>
        <v>0</v>
      </c>
      <c r="C53" s="3"/>
      <c r="D53" s="3">
        <v>8</v>
      </c>
      <c r="E53" s="91">
        <f ca="1">(1-B46)*(1-B45)*(1-B44)*(B48)*(B55) + (1-B46)*(1-B45)*(1-B44)*(B47)*(B48)*(B54)</f>
        <v>0</v>
      </c>
      <c r="F53" s="92">
        <f t="shared" ref="F53:N53" ca="1" si="30">IF($D53&gt;=F$44, POWER($B$43, F$44) * POWER((1-$B$43), $D53-F$44) * COMBIN($D53,F$44) * $E53, 0)</f>
        <v>0</v>
      </c>
      <c r="G53" s="93">
        <f t="shared" ca="1" si="30"/>
        <v>0</v>
      </c>
      <c r="H53" s="93">
        <f t="shared" ca="1" si="30"/>
        <v>0</v>
      </c>
      <c r="I53" s="93">
        <f t="shared" ca="1" si="30"/>
        <v>0</v>
      </c>
      <c r="J53" s="93">
        <f t="shared" ca="1" si="30"/>
        <v>0</v>
      </c>
      <c r="K53" s="93">
        <f t="shared" ca="1" si="30"/>
        <v>0</v>
      </c>
      <c r="L53" s="93">
        <f t="shared" ca="1" si="30"/>
        <v>0</v>
      </c>
      <c r="M53" s="93">
        <f t="shared" ca="1" si="30"/>
        <v>0</v>
      </c>
      <c r="N53" s="93">
        <f t="shared" ca="1" si="30"/>
        <v>0</v>
      </c>
      <c r="O53" s="3"/>
      <c r="P53" s="3"/>
      <c r="Q53" s="3">
        <v>41</v>
      </c>
      <c r="R53" s="59">
        <f t="shared" ca="1" si="9"/>
        <v>20.751440168169527</v>
      </c>
      <c r="S53" s="3"/>
      <c r="T53" s="3">
        <v>41</v>
      </c>
      <c r="U53" s="59">
        <f t="shared" ca="1" si="10"/>
        <v>20.751440168169527</v>
      </c>
      <c r="V53" s="3"/>
      <c r="W53" s="3"/>
      <c r="X53" s="3"/>
      <c r="Y53" s="3"/>
      <c r="Z53" s="3"/>
    </row>
    <row r="54" spans="1:26" ht="12.75" customHeight="1" x14ac:dyDescent="0.2">
      <c r="A54" s="3" t="s">
        <v>461</v>
      </c>
      <c r="B54" s="9">
        <f ca="1">IF(ISBLANK(Gear!$AB$3), 0, VLOOKUP(Gear!$AB$3, INDIRECT(Gear!$AA$3), MATCH(A54, StatHeader, 0), 0))</f>
        <v>0</v>
      </c>
      <c r="C54" s="3"/>
      <c r="D54" s="3"/>
      <c r="E54" s="9">
        <f ca="1">SUM(E45:E53)</f>
        <v>1</v>
      </c>
      <c r="F54" s="3"/>
      <c r="G54" s="3"/>
      <c r="H54" s="3"/>
      <c r="I54" s="3"/>
      <c r="J54" s="3"/>
      <c r="K54" s="3"/>
      <c r="L54" s="3"/>
      <c r="M54" s="3"/>
      <c r="N54" s="3"/>
      <c r="O54" s="61"/>
      <c r="P54" s="61"/>
      <c r="Q54" s="3">
        <v>42</v>
      </c>
      <c r="R54" s="59">
        <f t="shared" ca="1" si="9"/>
        <v>21.249387640757782</v>
      </c>
      <c r="S54" s="3"/>
      <c r="T54" s="3">
        <v>42</v>
      </c>
      <c r="U54" s="59">
        <f t="shared" ca="1" si="10"/>
        <v>21.249387640757782</v>
      </c>
      <c r="V54" s="3"/>
      <c r="W54" s="3"/>
      <c r="X54" s="3"/>
      <c r="Y54" s="3"/>
      <c r="Z54" s="3"/>
    </row>
    <row r="55" spans="1:26" ht="12.75" customHeight="1" x14ac:dyDescent="0.2">
      <c r="A55" s="3" t="s">
        <v>462</v>
      </c>
      <c r="B55" s="9">
        <f ca="1">IF(ISBLANK(Gear!$AB$3), 0, VLOOKUP(Gear!$AB$3, INDIRECT(Gear!$AA$3), MATCH(A55, StatHeader, 0), 0))</f>
        <v>0</v>
      </c>
      <c r="C55" s="3"/>
      <c r="D55" s="3"/>
      <c r="E55" s="3" t="s">
        <v>463</v>
      </c>
      <c r="F55" s="61">
        <f t="shared" ref="F55:N55" ca="1" si="31">SUM(F45:F53)</f>
        <v>1.3208374821200014E-2</v>
      </c>
      <c r="G55" s="61">
        <f t="shared" ca="1" si="31"/>
        <v>0.27291623688440003</v>
      </c>
      <c r="H55" s="61">
        <f t="shared" ca="1" si="31"/>
        <v>0.43073363774760004</v>
      </c>
      <c r="I55" s="61">
        <f t="shared" ca="1" si="31"/>
        <v>0.25870656304679995</v>
      </c>
      <c r="J55" s="61">
        <f t="shared" ca="1" si="31"/>
        <v>2.44351875E-2</v>
      </c>
      <c r="K55" s="61">
        <f t="shared" ca="1" si="31"/>
        <v>0</v>
      </c>
      <c r="L55" s="61">
        <f t="shared" ca="1" si="31"/>
        <v>0</v>
      </c>
      <c r="M55" s="61">
        <f t="shared" ca="1" si="31"/>
        <v>0</v>
      </c>
      <c r="N55" s="61">
        <f t="shared" ca="1" si="31"/>
        <v>0</v>
      </c>
      <c r="O55" s="61">
        <f ca="1">SUM(F55:N55)</f>
        <v>1</v>
      </c>
      <c r="P55" s="3"/>
      <c r="Q55" s="3">
        <v>43</v>
      </c>
      <c r="R55" s="59">
        <f t="shared" ca="1" si="9"/>
        <v>21.747335113346011</v>
      </c>
      <c r="S55" s="3"/>
      <c r="T55" s="3">
        <v>43</v>
      </c>
      <c r="U55" s="59">
        <f t="shared" ca="1" si="10"/>
        <v>21.747335113346011</v>
      </c>
      <c r="V55" s="3"/>
      <c r="W55" s="3"/>
      <c r="X55" s="3"/>
      <c r="Y55" s="3"/>
      <c r="Z55" s="3"/>
    </row>
    <row r="56" spans="1:26" ht="12.75" customHeight="1" x14ac:dyDescent="0.2">
      <c r="A56" s="3" t="s">
        <v>464</v>
      </c>
      <c r="B56" s="65">
        <f ca="1">Data!C178</f>
        <v>0.2</v>
      </c>
      <c r="C56" s="3"/>
      <c r="D56" s="3"/>
      <c r="E56" s="61" t="s">
        <v>465</v>
      </c>
      <c r="F56" s="59">
        <f ca="1">F44*F55+G44*G55+H44*H55+I44*I55+J55*J44+K55*K44+L55*L44+M55*M44+N55*N44</f>
        <v>2.0082439515199999</v>
      </c>
      <c r="G56" s="61"/>
      <c r="H56" s="61"/>
      <c r="I56" s="61"/>
      <c r="J56" s="3"/>
      <c r="K56" s="3"/>
      <c r="L56" s="3"/>
      <c r="M56" s="3"/>
      <c r="N56" s="3"/>
      <c r="O56" s="3"/>
      <c r="P56" s="3"/>
      <c r="Q56" s="3">
        <v>44</v>
      </c>
      <c r="R56" s="59">
        <f t="shared" ca="1" si="9"/>
        <v>22.245282585934252</v>
      </c>
      <c r="S56" s="3"/>
      <c r="T56" s="3">
        <v>44</v>
      </c>
      <c r="U56" s="59">
        <f t="shared" ca="1" si="10"/>
        <v>22.245282585934252</v>
      </c>
      <c r="V56" s="3"/>
      <c r="W56" s="3"/>
      <c r="X56" s="3"/>
      <c r="Y56" s="3"/>
      <c r="Z56" s="3"/>
    </row>
    <row r="57" spans="1:26" ht="12.75" customHeight="1" x14ac:dyDescent="0.2">
      <c r="A57" s="3" t="s">
        <v>466</v>
      </c>
      <c r="B57" s="9">
        <f ca="1">IF(AND(Setup!$C$23="Axe", Data!$H$23&gt;0), IF(ISBLANK(Gear!$AB$4), 0, VLOOKUP(Gear!$AB$4, INDIRECT(Gear!$AA$4), MATCH("OAx", StatHeader, 0), 0)), 0)</f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>
        <v>45</v>
      </c>
      <c r="R57" s="59">
        <f t="shared" ca="1" si="9"/>
        <v>22.743230058522485</v>
      </c>
      <c r="S57" s="3"/>
      <c r="T57" s="3">
        <v>45</v>
      </c>
      <c r="U57" s="59">
        <f t="shared" ca="1" si="10"/>
        <v>22.743230058522485</v>
      </c>
      <c r="V57" s="3"/>
      <c r="W57" s="3"/>
      <c r="X57" s="3"/>
      <c r="Y57" s="3"/>
      <c r="Z57" s="3"/>
    </row>
    <row r="58" spans="1:26" ht="12.75" customHeight="1" x14ac:dyDescent="0.2">
      <c r="A58" s="3" t="s">
        <v>455</v>
      </c>
      <c r="B58" s="9">
        <f ca="1">IF(AND(Setup!$C$23="Axe", Data!$H$23&gt;0), IF(ISBLANK(Gear!$AB$4), 0, VLOOKUP(Gear!$AB$4, INDIRECT(Gear!$AA$4), MATCH(A58, StatHeader, 0), 0)), 0)</f>
        <v>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>
        <v>46</v>
      </c>
      <c r="R58" s="59">
        <f t="shared" ca="1" si="9"/>
        <v>23.241177531110729</v>
      </c>
      <c r="S58" s="3"/>
      <c r="T58" s="3">
        <v>46</v>
      </c>
      <c r="U58" s="59">
        <f t="shared" ca="1" si="10"/>
        <v>23.241177531110729</v>
      </c>
      <c r="V58" s="3"/>
      <c r="W58" s="3"/>
      <c r="X58" s="3"/>
      <c r="Y58" s="3"/>
      <c r="Z58" s="3"/>
    </row>
    <row r="59" spans="1:26" ht="12.75" customHeight="1" x14ac:dyDescent="0.2">
      <c r="A59" s="3" t="s">
        <v>456</v>
      </c>
      <c r="B59" s="9">
        <f ca="1">IF(AND(Setup!$C$23="Axe", Data!$H$23&gt;0), IF(ISBLANK(Gear!$AB$4), 0, VLOOKUP(Gear!$AB$4, INDIRECT(Gear!$AA$4), MATCH(A59, StatHeader, 0), 0)), 0)</f>
        <v>0</v>
      </c>
      <c r="C59" s="3"/>
      <c r="D59" s="3" t="s">
        <v>467</v>
      </c>
      <c r="E59" s="3">
        <f ca="1">IF(Data!H25, 1, 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>
        <v>47</v>
      </c>
      <c r="R59" s="59">
        <f t="shared" ca="1" si="9"/>
        <v>23.739125003698963</v>
      </c>
      <c r="S59" s="3"/>
      <c r="T59" s="3">
        <v>47</v>
      </c>
      <c r="U59" s="59">
        <f t="shared" ca="1" si="10"/>
        <v>23.739125003698963</v>
      </c>
      <c r="V59" s="3"/>
      <c r="W59" s="3"/>
      <c r="X59" s="3"/>
      <c r="Y59" s="3"/>
      <c r="Z59" s="3"/>
    </row>
    <row r="60" spans="1:26" ht="12.75" customHeight="1" x14ac:dyDescent="0.2">
      <c r="A60" s="3" t="s">
        <v>457</v>
      </c>
      <c r="B60" s="9">
        <f ca="1">IF(AND(Setup!$C$23="Axe", Data!$H$23&gt;0), IF(ISBLANK(Gear!$AB$4), 0, VLOOKUP(Gear!$AB$4, INDIRECT(Gear!$AA$4), MATCH(A60, StatHeader, 0), 0)), 0)</f>
        <v>0</v>
      </c>
      <c r="C60" s="3"/>
      <c r="D60" s="3" t="s">
        <v>421</v>
      </c>
      <c r="E60" s="3" t="s">
        <v>452</v>
      </c>
      <c r="F60" s="32">
        <v>0</v>
      </c>
      <c r="G60" s="32">
        <v>1</v>
      </c>
      <c r="H60" s="32">
        <v>2</v>
      </c>
      <c r="I60" s="32">
        <v>3</v>
      </c>
      <c r="J60" s="32">
        <v>4</v>
      </c>
      <c r="K60" s="32">
        <v>5</v>
      </c>
      <c r="L60" s="32">
        <v>6</v>
      </c>
      <c r="M60" s="32">
        <v>7</v>
      </c>
      <c r="N60" s="32">
        <v>8</v>
      </c>
      <c r="O60" s="3"/>
      <c r="P60" s="3"/>
      <c r="Q60" s="3">
        <v>48</v>
      </c>
      <c r="R60" s="59">
        <f t="shared" ca="1" si="9"/>
        <v>24.237072476287199</v>
      </c>
      <c r="S60" s="3"/>
      <c r="T60" s="3">
        <v>48</v>
      </c>
      <c r="U60" s="59">
        <f t="shared" ca="1" si="10"/>
        <v>24.237072476287199</v>
      </c>
      <c r="V60" s="3"/>
      <c r="W60" s="3"/>
      <c r="X60" s="3"/>
      <c r="Y60" s="3"/>
      <c r="Z60" s="3"/>
    </row>
    <row r="61" spans="1:26" ht="12.75" customHeight="1" x14ac:dyDescent="0.2">
      <c r="A61" s="3" t="s">
        <v>459</v>
      </c>
      <c r="B61" s="9">
        <f ca="1">IF(AND(Setup!$C$23="Axe", Data!$H$23&gt;0), IF(ISBLANK(Gear!$AB$4), 0, VLOOKUP(Gear!$AB$4, INDIRECT(Gear!$AA$4), MATCH(A61, StatHeader, 0), 0)), 0)</f>
        <v>0</v>
      </c>
      <c r="C61" s="3"/>
      <c r="D61" s="3">
        <v>0</v>
      </c>
      <c r="E61" s="90">
        <f ca="1">IF(E59=0, 100%, 0)</f>
        <v>1</v>
      </c>
      <c r="F61" s="61">
        <f t="shared" ref="F61:N61" ca="1" si="32">IF($D61&gt;=F$60, POWER($B$56, F$60) * POWER((1-$B$56), $D61-F$60) * COMBIN($D61,F$60) * $E61, 0)</f>
        <v>1</v>
      </c>
      <c r="G61" s="61">
        <f t="shared" si="32"/>
        <v>0</v>
      </c>
      <c r="H61" s="61">
        <f t="shared" si="32"/>
        <v>0</v>
      </c>
      <c r="I61" s="61">
        <f t="shared" si="32"/>
        <v>0</v>
      </c>
      <c r="J61" s="61">
        <f t="shared" si="32"/>
        <v>0</v>
      </c>
      <c r="K61" s="61">
        <f t="shared" si="32"/>
        <v>0</v>
      </c>
      <c r="L61" s="61">
        <f t="shared" si="32"/>
        <v>0</v>
      </c>
      <c r="M61" s="61">
        <f t="shared" si="32"/>
        <v>0</v>
      </c>
      <c r="N61" s="61">
        <f t="shared" si="32"/>
        <v>0</v>
      </c>
      <c r="O61" s="3"/>
      <c r="P61" s="3"/>
      <c r="Q61" s="3">
        <v>49</v>
      </c>
      <c r="R61" s="59">
        <f t="shared" ca="1" si="9"/>
        <v>24.73501994887544</v>
      </c>
      <c r="S61" s="3"/>
      <c r="T61" s="3">
        <v>49</v>
      </c>
      <c r="U61" s="59">
        <f t="shared" ca="1" si="10"/>
        <v>24.73501994887544</v>
      </c>
      <c r="V61" s="3"/>
      <c r="W61" s="3"/>
      <c r="X61" s="3"/>
      <c r="Y61" s="3"/>
      <c r="Z61" s="3"/>
    </row>
    <row r="62" spans="1:26" ht="12.75" customHeight="1" x14ac:dyDescent="0.2">
      <c r="A62" s="3" t="s">
        <v>460</v>
      </c>
      <c r="B62" s="9">
        <f ca="1">IF(AND(Setup!$C$23="Axe", Data!$H$23&gt;0), IF(ISBLANK(Gear!$AB$4), 0, VLOOKUP(Gear!$AB$4, INDIRECT(Gear!$AA$4), MATCH(A62, StatHeader, 0), 0)), 0)</f>
        <v>0</v>
      </c>
      <c r="C62" s="3"/>
      <c r="D62" s="3">
        <v>1</v>
      </c>
      <c r="E62" s="91">
        <f ca="1">IF(E59=1, (1-B46)*(1-B45)*(1-B44)*(1-B57), 0)</f>
        <v>0</v>
      </c>
      <c r="F62" s="61">
        <f t="shared" ref="F62:N62" ca="1" si="33">IF($D62&gt;=F$60, POWER($B$56, F$60) * POWER((1-$B$56), $D62-F$60) * COMBIN($D62,F$60) * $E62, 0)</f>
        <v>0</v>
      </c>
      <c r="G62" s="61">
        <f t="shared" ca="1" si="33"/>
        <v>0</v>
      </c>
      <c r="H62" s="61">
        <f t="shared" si="33"/>
        <v>0</v>
      </c>
      <c r="I62" s="61">
        <f t="shared" si="33"/>
        <v>0</v>
      </c>
      <c r="J62" s="61">
        <f t="shared" si="33"/>
        <v>0</v>
      </c>
      <c r="K62" s="61">
        <f t="shared" si="33"/>
        <v>0</v>
      </c>
      <c r="L62" s="61">
        <f t="shared" si="33"/>
        <v>0</v>
      </c>
      <c r="M62" s="61">
        <f t="shared" si="33"/>
        <v>0</v>
      </c>
      <c r="N62" s="61">
        <f t="shared" si="33"/>
        <v>0</v>
      </c>
      <c r="O62" s="3"/>
      <c r="P62" s="3"/>
      <c r="Q62" s="3">
        <v>50</v>
      </c>
      <c r="R62" s="59">
        <f t="shared" ca="1" si="9"/>
        <v>25.232967421463677</v>
      </c>
      <c r="S62" s="3"/>
      <c r="T62" s="3">
        <v>50</v>
      </c>
      <c r="U62" s="59">
        <f t="shared" ca="1" si="10"/>
        <v>25.232967421463677</v>
      </c>
      <c r="V62" s="3"/>
      <c r="W62" s="3"/>
      <c r="X62" s="3"/>
      <c r="Y62" s="3"/>
      <c r="Z62" s="3"/>
    </row>
    <row r="63" spans="1:26" ht="12.75" customHeight="1" x14ac:dyDescent="0.2">
      <c r="A63" s="3" t="s">
        <v>461</v>
      </c>
      <c r="B63" s="9">
        <f ca="1">IF(AND(Setup!$C$23="Axe", Data!$H$23&gt;0), IF(ISBLANK(Gear!$AB$4), 0, VLOOKUP(Gear!$AB$4, INDIRECT(Gear!$AA$4), MATCH(A63, StatHeader, 0), 0)), 0)</f>
        <v>0</v>
      </c>
      <c r="C63" s="3"/>
      <c r="D63" s="3">
        <v>2</v>
      </c>
      <c r="E63" s="91">
        <f ca="1">IF(E59=1, (1-B46)*(1-B45)*(1-B44)*(B57)*(B58) + (1-B46)*(1-B45)*B44, 0)</f>
        <v>0</v>
      </c>
      <c r="F63" s="61">
        <f t="shared" ref="F63:N63" ca="1" si="34">IF($D63&gt;=F$60, POWER($B$56, F$60) * POWER((1-$B$56), $D63-F$60) * COMBIN($D63,F$60) * $E63, 0)</f>
        <v>0</v>
      </c>
      <c r="G63" s="61">
        <f t="shared" ca="1" si="34"/>
        <v>0</v>
      </c>
      <c r="H63" s="61">
        <f t="shared" ca="1" si="34"/>
        <v>0</v>
      </c>
      <c r="I63" s="61">
        <f t="shared" si="34"/>
        <v>0</v>
      </c>
      <c r="J63" s="61">
        <f t="shared" si="34"/>
        <v>0</v>
      </c>
      <c r="K63" s="61">
        <f t="shared" si="34"/>
        <v>0</v>
      </c>
      <c r="L63" s="61">
        <f t="shared" si="34"/>
        <v>0</v>
      </c>
      <c r="M63" s="61">
        <f t="shared" si="34"/>
        <v>0</v>
      </c>
      <c r="N63" s="61">
        <f t="shared" si="34"/>
        <v>0</v>
      </c>
      <c r="O63" s="3"/>
      <c r="P63" s="3"/>
      <c r="Q63" s="3">
        <v>51</v>
      </c>
      <c r="R63" s="59">
        <f t="shared" ca="1" si="9"/>
        <v>25.73091489405191</v>
      </c>
      <c r="S63" s="3"/>
      <c r="T63" s="3">
        <v>51</v>
      </c>
      <c r="U63" s="59">
        <f t="shared" ca="1" si="10"/>
        <v>25.73091489405191</v>
      </c>
      <c r="V63" s="3"/>
      <c r="W63" s="3"/>
      <c r="X63" s="3"/>
      <c r="Y63" s="3"/>
      <c r="Z63" s="3"/>
    </row>
    <row r="64" spans="1:26" ht="12.75" customHeight="1" x14ac:dyDescent="0.2">
      <c r="A64" s="3" t="s">
        <v>462</v>
      </c>
      <c r="B64" s="9">
        <f ca="1">IF(AND(Setup!$C$23="Axe", Data!$H$23&gt;0), IF(ISBLANK(Gear!$AB$4), 0, VLOOKUP(Gear!$AB$4, INDIRECT(Gear!$AA$4), MATCH(A64, StatHeader, 0), 0)), 0)</f>
        <v>0</v>
      </c>
      <c r="C64" s="3"/>
      <c r="D64" s="3">
        <v>3</v>
      </c>
      <c r="E64" s="91">
        <f ca="1">IF(E59=1, (1-B46)*(1-B45)*(1-B44)*(B57)*(B59) + (1-B46)*(B45), 0)</f>
        <v>0</v>
      </c>
      <c r="F64" s="61">
        <f t="shared" ref="F64:N64" ca="1" si="35">IF($D64&gt;=F$60, POWER($B$56, F$60) * POWER((1-$B$56), $D64-F$60) * COMBIN($D64,F$60) * $E64, 0)</f>
        <v>0</v>
      </c>
      <c r="G64" s="61">
        <f t="shared" ca="1" si="35"/>
        <v>0</v>
      </c>
      <c r="H64" s="61">
        <f t="shared" ca="1" si="35"/>
        <v>0</v>
      </c>
      <c r="I64" s="61">
        <f t="shared" ca="1" si="35"/>
        <v>0</v>
      </c>
      <c r="J64" s="61">
        <f t="shared" si="35"/>
        <v>0</v>
      </c>
      <c r="K64" s="61">
        <f t="shared" si="35"/>
        <v>0</v>
      </c>
      <c r="L64" s="61">
        <f t="shared" si="35"/>
        <v>0</v>
      </c>
      <c r="M64" s="61">
        <f t="shared" si="35"/>
        <v>0</v>
      </c>
      <c r="N64" s="61">
        <f t="shared" si="35"/>
        <v>0</v>
      </c>
      <c r="O64" s="3"/>
      <c r="P64" s="3"/>
      <c r="Q64" s="3">
        <v>52</v>
      </c>
      <c r="R64" s="59">
        <f t="shared" ca="1" si="9"/>
        <v>26.228862366640154</v>
      </c>
      <c r="S64" s="3"/>
      <c r="T64" s="3">
        <v>52</v>
      </c>
      <c r="U64" s="59">
        <f t="shared" ca="1" si="10"/>
        <v>26.228862366640154</v>
      </c>
      <c r="V64" s="3"/>
      <c r="W64" s="3"/>
      <c r="X64" s="3"/>
      <c r="Y64" s="3"/>
      <c r="Z64" s="3"/>
    </row>
    <row r="65" spans="1:26" ht="12.75" customHeight="1" x14ac:dyDescent="0.2">
      <c r="A65" s="3" t="s">
        <v>394</v>
      </c>
      <c r="B65" s="9">
        <f ca="1">IF(Setup!C$28=1, IF(ISBLANK(Gear!$AB$3), 0, VLOOKUP(Gear!$AB$3, INDIRECT(Gear!$AA$3), MATCH(A65, StatHeader, 0), 0)), 0)</f>
        <v>0.6</v>
      </c>
      <c r="C65" s="3"/>
      <c r="D65" s="3">
        <v>4</v>
      </c>
      <c r="E65" s="91">
        <f ca="1">IF(E59=1, (1-B46)*(1-B45)*(1-B44)*(B57)*(B60) + (B46), 0)</f>
        <v>0</v>
      </c>
      <c r="F65" s="61">
        <f t="shared" ref="F65:N65" ca="1" si="36">IF($D65&gt;=F$60, POWER($B$56, F$60) * POWER((1-$B$56), $D65-F$60) * COMBIN($D65,F$60) * $E65, 0)</f>
        <v>0</v>
      </c>
      <c r="G65" s="61">
        <f t="shared" ca="1" si="36"/>
        <v>0</v>
      </c>
      <c r="H65" s="61">
        <f t="shared" ca="1" si="36"/>
        <v>0</v>
      </c>
      <c r="I65" s="61">
        <f t="shared" ca="1" si="36"/>
        <v>0</v>
      </c>
      <c r="J65" s="61">
        <f t="shared" ca="1" si="36"/>
        <v>0</v>
      </c>
      <c r="K65" s="61">
        <f t="shared" si="36"/>
        <v>0</v>
      </c>
      <c r="L65" s="61">
        <f t="shared" si="36"/>
        <v>0</v>
      </c>
      <c r="M65" s="61">
        <f t="shared" si="36"/>
        <v>0</v>
      </c>
      <c r="N65" s="61">
        <f t="shared" si="36"/>
        <v>0</v>
      </c>
      <c r="O65" s="3"/>
      <c r="P65" s="3"/>
      <c r="Q65" s="3">
        <v>53</v>
      </c>
      <c r="R65" s="59">
        <f t="shared" ca="1" si="9"/>
        <v>26.726809839228391</v>
      </c>
      <c r="S65" s="3"/>
      <c r="T65" s="3">
        <v>53</v>
      </c>
      <c r="U65" s="59">
        <f t="shared" ca="1" si="10"/>
        <v>26.726809839228391</v>
      </c>
      <c r="V65" s="3"/>
      <c r="W65" s="3"/>
      <c r="X65" s="3"/>
      <c r="Y65" s="3"/>
      <c r="Z65" s="3"/>
    </row>
    <row r="66" spans="1:26" ht="12.75" customHeight="1" x14ac:dyDescent="0.2">
      <c r="A66" s="3" t="s">
        <v>398</v>
      </c>
      <c r="B66" s="9">
        <f ca="1">IF(Setup!C$28=1, IF(ISBLANK(Gear!$AB$3), 0, VLOOKUP(Gear!$AB$3, INDIRECT(Gear!$AA$3), MATCH(A66, StatHeader, 0), 0)), 0)</f>
        <v>0.66600000000000004</v>
      </c>
      <c r="C66" s="3"/>
      <c r="D66" s="3">
        <v>5</v>
      </c>
      <c r="E66" s="91">
        <f ca="1">IF(E59=1, (1-B46)*(1-B45)*(1-B44)*(B57)*(B61), 0)</f>
        <v>0</v>
      </c>
      <c r="F66" s="61">
        <f t="shared" ref="F66:N66" ca="1" si="37">IF($D66&gt;=F$60, POWER($B$56, F$60) * POWER((1-$B$56), $D66-F$60) * COMBIN($D66,F$60) * $E66, 0)</f>
        <v>0</v>
      </c>
      <c r="G66" s="61">
        <f t="shared" ca="1" si="37"/>
        <v>0</v>
      </c>
      <c r="H66" s="61">
        <f t="shared" ca="1" si="37"/>
        <v>0</v>
      </c>
      <c r="I66" s="61">
        <f t="shared" ca="1" si="37"/>
        <v>0</v>
      </c>
      <c r="J66" s="61">
        <f t="shared" ca="1" si="37"/>
        <v>0</v>
      </c>
      <c r="K66" s="61">
        <f t="shared" ca="1" si="37"/>
        <v>0</v>
      </c>
      <c r="L66" s="61">
        <f t="shared" si="37"/>
        <v>0</v>
      </c>
      <c r="M66" s="61">
        <f t="shared" si="37"/>
        <v>0</v>
      </c>
      <c r="N66" s="61">
        <f t="shared" si="37"/>
        <v>0</v>
      </c>
      <c r="O66" s="3"/>
      <c r="P66" s="3"/>
      <c r="Q66" s="3">
        <v>54</v>
      </c>
      <c r="R66" s="59">
        <f t="shared" ca="1" si="9"/>
        <v>27.224757311816628</v>
      </c>
      <c r="S66" s="3"/>
      <c r="T66" s="3">
        <v>54</v>
      </c>
      <c r="U66" s="59">
        <f t="shared" ca="1" si="10"/>
        <v>27.224757311816628</v>
      </c>
      <c r="V66" s="3"/>
      <c r="W66" s="3"/>
      <c r="X66" s="3"/>
      <c r="Y66" s="3"/>
      <c r="Z66" s="3"/>
    </row>
    <row r="67" spans="1:26" ht="12.75" customHeight="1" x14ac:dyDescent="0.2">
      <c r="A67" s="3" t="s">
        <v>400</v>
      </c>
      <c r="B67" s="9">
        <f ca="1">IF(Setup!C$28=1, IF(ISBLANK(Gear!$AB$3), 0, VLOOKUP(Gear!$AB$3, INDIRECT(Gear!$AA$3), MATCH(A67, StatHeader, 0), 0)), 0)</f>
        <v>0.33400000000000002</v>
      </c>
      <c r="C67" s="3"/>
      <c r="D67" s="3">
        <v>6</v>
      </c>
      <c r="E67" s="91">
        <f ca="1">IF(E59=1, (1-B46)*(1-B45)*(1-B44)*(B57)*(B62), 0)</f>
        <v>0</v>
      </c>
      <c r="F67" s="61">
        <f t="shared" ref="F67:N67" ca="1" si="38">IF($D67&gt;=F$60, POWER($B$56, F$60) * POWER((1-$B$56), $D67-F$60) * COMBIN($D67,F$60) * $E67, 0)</f>
        <v>0</v>
      </c>
      <c r="G67" s="61">
        <f t="shared" ca="1" si="38"/>
        <v>0</v>
      </c>
      <c r="H67" s="61">
        <f t="shared" ca="1" si="38"/>
        <v>0</v>
      </c>
      <c r="I67" s="61">
        <f t="shared" ca="1" si="38"/>
        <v>0</v>
      </c>
      <c r="J67" s="61">
        <f t="shared" ca="1" si="38"/>
        <v>0</v>
      </c>
      <c r="K67" s="61">
        <f t="shared" ca="1" si="38"/>
        <v>0</v>
      </c>
      <c r="L67" s="61">
        <f t="shared" ca="1" si="38"/>
        <v>0</v>
      </c>
      <c r="M67" s="61">
        <f t="shared" si="38"/>
        <v>0</v>
      </c>
      <c r="N67" s="61">
        <f t="shared" si="38"/>
        <v>0</v>
      </c>
      <c r="O67" s="3"/>
      <c r="P67" s="3"/>
      <c r="Q67" s="3">
        <v>55</v>
      </c>
      <c r="R67" s="59">
        <f t="shared" ca="1" si="9"/>
        <v>27.722704784404865</v>
      </c>
      <c r="S67" s="3"/>
      <c r="T67" s="3">
        <v>55</v>
      </c>
      <c r="U67" s="59">
        <f t="shared" ca="1" si="10"/>
        <v>27.722704784404865</v>
      </c>
      <c r="V67" s="3"/>
      <c r="W67" s="3"/>
      <c r="X67" s="3"/>
      <c r="Y67" s="3"/>
      <c r="Z67" s="3"/>
    </row>
    <row r="68" spans="1:26" ht="12.75" customHeight="1" x14ac:dyDescent="0.2">
      <c r="A68" s="3" t="s">
        <v>468</v>
      </c>
      <c r="B68" s="9">
        <f ca="1">Data!C189</f>
        <v>0</v>
      </c>
      <c r="C68" s="3"/>
      <c r="D68" s="3">
        <v>7</v>
      </c>
      <c r="E68" s="91">
        <f ca="1">IF(E59=1, (1-B46)*(1-B45)*(1-B44)*(B57)*(B63), 0)</f>
        <v>0</v>
      </c>
      <c r="F68" s="61">
        <f t="shared" ref="F68:N68" ca="1" si="39">IF($D68&gt;=F$60, POWER($B$56, F$60) * POWER((1-$B$56), $D68-F$60) * COMBIN($D68,F$60) * $E68, 0)</f>
        <v>0</v>
      </c>
      <c r="G68" s="61">
        <f t="shared" ca="1" si="39"/>
        <v>0</v>
      </c>
      <c r="H68" s="61">
        <f t="shared" ca="1" si="39"/>
        <v>0</v>
      </c>
      <c r="I68" s="61">
        <f t="shared" ca="1" si="39"/>
        <v>0</v>
      </c>
      <c r="J68" s="61">
        <f t="shared" ca="1" si="39"/>
        <v>0</v>
      </c>
      <c r="K68" s="61">
        <f t="shared" ca="1" si="39"/>
        <v>0</v>
      </c>
      <c r="L68" s="61">
        <f t="shared" ca="1" si="39"/>
        <v>0</v>
      </c>
      <c r="M68" s="61">
        <f t="shared" ca="1" si="39"/>
        <v>0</v>
      </c>
      <c r="N68" s="61">
        <f t="shared" si="39"/>
        <v>0</v>
      </c>
      <c r="O68" s="3"/>
      <c r="P68" s="3"/>
      <c r="Q68" s="3">
        <v>56</v>
      </c>
      <c r="R68" s="59">
        <f t="shared" ca="1" si="9"/>
        <v>28.220652256993102</v>
      </c>
      <c r="S68" s="3"/>
      <c r="T68" s="3">
        <v>56</v>
      </c>
      <c r="U68" s="59">
        <f t="shared" ca="1" si="10"/>
        <v>28.220652256993102</v>
      </c>
      <c r="V68" s="3"/>
      <c r="W68" s="3"/>
      <c r="X68" s="3"/>
      <c r="Y68" s="3"/>
      <c r="Z68" s="3"/>
    </row>
    <row r="69" spans="1:26" ht="12.75" customHeight="1" x14ac:dyDescent="0.2">
      <c r="A69" s="3" t="s">
        <v>314</v>
      </c>
      <c r="B69" s="9">
        <f ca="1">Data!C120</f>
        <v>0.95</v>
      </c>
      <c r="C69" s="3"/>
      <c r="D69" s="3">
        <v>8</v>
      </c>
      <c r="E69" s="91">
        <f ca="1">IF(E59=1, (1-B46)*(1-B45)*(1-B44)*(B57)*(B64), 0)</f>
        <v>0</v>
      </c>
      <c r="F69" s="92">
        <f t="shared" ref="F69:N69" ca="1" si="40">IF($D69&gt;=F$60, POWER($B$56, F$60) * POWER((1-$B$56), $D69-F$60) * COMBIN($D69,F$60) * $E69, 0)</f>
        <v>0</v>
      </c>
      <c r="G69" s="93">
        <f t="shared" ca="1" si="40"/>
        <v>0</v>
      </c>
      <c r="H69" s="93">
        <f t="shared" ca="1" si="40"/>
        <v>0</v>
      </c>
      <c r="I69" s="93">
        <f t="shared" ca="1" si="40"/>
        <v>0</v>
      </c>
      <c r="J69" s="93">
        <f t="shared" ca="1" si="40"/>
        <v>0</v>
      </c>
      <c r="K69" s="93">
        <f t="shared" ca="1" si="40"/>
        <v>0</v>
      </c>
      <c r="L69" s="93">
        <f t="shared" ca="1" si="40"/>
        <v>0</v>
      </c>
      <c r="M69" s="93">
        <f t="shared" ca="1" si="40"/>
        <v>0</v>
      </c>
      <c r="N69" s="93">
        <f t="shared" ca="1" si="40"/>
        <v>0</v>
      </c>
      <c r="O69" s="3"/>
      <c r="P69" s="3"/>
      <c r="Q69" s="3">
        <v>57</v>
      </c>
      <c r="R69" s="59">
        <f t="shared" ca="1" si="9"/>
        <v>28.718599729581339</v>
      </c>
      <c r="S69" s="3"/>
      <c r="T69" s="3">
        <v>57</v>
      </c>
      <c r="U69" s="59">
        <f t="shared" ca="1" si="10"/>
        <v>28.718599729581339</v>
      </c>
      <c r="V69" s="3"/>
      <c r="W69" s="3"/>
      <c r="X69" s="3"/>
      <c r="Y69" s="3"/>
      <c r="Z69" s="3"/>
    </row>
    <row r="70" spans="1:26" ht="12.75" customHeight="1" x14ac:dyDescent="0.2">
      <c r="A70" s="3"/>
      <c r="B70" s="3"/>
      <c r="C70" s="3"/>
      <c r="D70" s="3"/>
      <c r="E70" s="9">
        <f ca="1">SUM(E61:E69)</f>
        <v>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58</v>
      </c>
      <c r="R70" s="59">
        <f t="shared" ca="1" si="9"/>
        <v>29.216547202169579</v>
      </c>
      <c r="S70" s="3"/>
      <c r="T70" s="3">
        <v>58</v>
      </c>
      <c r="U70" s="59">
        <f t="shared" ca="1" si="10"/>
        <v>29.216547202169579</v>
      </c>
      <c r="V70" s="3"/>
      <c r="W70" s="3"/>
      <c r="X70" s="3"/>
      <c r="Y70" s="3"/>
      <c r="Z70" s="3"/>
    </row>
    <row r="71" spans="1:26" ht="12.75" customHeight="1" x14ac:dyDescent="0.2">
      <c r="A71" s="3"/>
      <c r="B71" s="3"/>
      <c r="C71" s="3"/>
      <c r="D71" s="3"/>
      <c r="E71" s="3" t="s">
        <v>463</v>
      </c>
      <c r="F71" s="61">
        <f t="shared" ref="F71:N71" ca="1" si="41">SUM(F61:F69)</f>
        <v>1</v>
      </c>
      <c r="G71" s="61">
        <f t="shared" ca="1" si="41"/>
        <v>0</v>
      </c>
      <c r="H71" s="61">
        <f t="shared" ca="1" si="41"/>
        <v>0</v>
      </c>
      <c r="I71" s="61">
        <f t="shared" ca="1" si="41"/>
        <v>0</v>
      </c>
      <c r="J71" s="61">
        <f t="shared" ca="1" si="41"/>
        <v>0</v>
      </c>
      <c r="K71" s="61">
        <f t="shared" ca="1" si="41"/>
        <v>0</v>
      </c>
      <c r="L71" s="61">
        <f t="shared" ca="1" si="41"/>
        <v>0</v>
      </c>
      <c r="M71" s="61">
        <f t="shared" ca="1" si="41"/>
        <v>0</v>
      </c>
      <c r="N71" s="61">
        <f t="shared" ca="1" si="41"/>
        <v>0</v>
      </c>
      <c r="O71" s="61">
        <f ca="1">SUM(F71:N71)</f>
        <v>1</v>
      </c>
      <c r="P71" s="3"/>
      <c r="Q71" s="3">
        <v>59</v>
      </c>
      <c r="R71" s="59">
        <f t="shared" ca="1" si="9"/>
        <v>29.714494674757816</v>
      </c>
      <c r="S71" s="3"/>
      <c r="T71" s="3">
        <v>59</v>
      </c>
      <c r="U71" s="59">
        <f t="shared" ca="1" si="10"/>
        <v>29.714494674757816</v>
      </c>
      <c r="V71" s="3"/>
      <c r="W71" s="3"/>
      <c r="X71" s="3"/>
      <c r="Y71" s="3"/>
      <c r="Z71" s="3"/>
    </row>
    <row r="72" spans="1:26" ht="12.75" customHeight="1" x14ac:dyDescent="0.2">
      <c r="A72" s="3"/>
      <c r="B72" s="3"/>
      <c r="C72" s="3"/>
      <c r="D72" s="3"/>
      <c r="E72" s="3" t="s">
        <v>465</v>
      </c>
      <c r="F72" s="59">
        <f ca="1">F60*F71+G60*G71+H60*H71+I60*I71+J71*J60+K71*K60+L71*L60+M71*M60+N71*N60</f>
        <v>0</v>
      </c>
      <c r="G72" s="3"/>
      <c r="H72" s="3"/>
      <c r="I72" s="3"/>
      <c r="J72" s="3"/>
      <c r="K72" s="61"/>
      <c r="L72" s="3"/>
      <c r="M72" s="3"/>
      <c r="N72" s="3"/>
      <c r="O72" s="61"/>
      <c r="P72" s="61"/>
      <c r="Q72" s="3">
        <v>60</v>
      </c>
      <c r="R72" s="59">
        <f t="shared" ca="1" si="9"/>
        <v>30.212442147346056</v>
      </c>
      <c r="S72" s="3"/>
      <c r="T72" s="3">
        <v>60</v>
      </c>
      <c r="U72" s="59">
        <f t="shared" ca="1" si="10"/>
        <v>30.212442147346056</v>
      </c>
      <c r="V72" s="3"/>
      <c r="W72" s="3"/>
      <c r="X72" s="3"/>
      <c r="Y72" s="3"/>
      <c r="Z72" s="3"/>
    </row>
    <row r="73" spans="1:26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61"/>
      <c r="L73" s="3"/>
      <c r="M73" s="3"/>
      <c r="N73" s="3"/>
      <c r="O73" s="3"/>
      <c r="P73" s="3"/>
      <c r="Q73" s="3">
        <v>61</v>
      </c>
      <c r="R73" s="59">
        <f t="shared" ca="1" si="9"/>
        <v>30.710389619934293</v>
      </c>
      <c r="S73" s="3"/>
      <c r="T73" s="3">
        <v>61</v>
      </c>
      <c r="U73" s="59">
        <f t="shared" ca="1" si="10"/>
        <v>30.710389619934293</v>
      </c>
      <c r="V73" s="3"/>
      <c r="W73" s="3"/>
      <c r="X73" s="3"/>
      <c r="Y73" s="3"/>
      <c r="Z73" s="3"/>
    </row>
    <row r="74" spans="1:26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62</v>
      </c>
      <c r="R74" s="59">
        <f t="shared" ca="1" si="9"/>
        <v>31.208337092522527</v>
      </c>
      <c r="S74" s="3"/>
      <c r="T74" s="3">
        <v>62</v>
      </c>
      <c r="U74" s="59">
        <f t="shared" ca="1" si="10"/>
        <v>31.208337092522527</v>
      </c>
      <c r="V74" s="3"/>
      <c r="W74" s="3"/>
      <c r="X74" s="3"/>
      <c r="Y74" s="3"/>
      <c r="Z74" s="3"/>
    </row>
    <row r="75" spans="1:26" ht="12.75" customHeight="1" x14ac:dyDescent="0.2">
      <c r="A75" s="3"/>
      <c r="B75" s="3"/>
      <c r="C75" s="3"/>
      <c r="D75" s="3" t="s">
        <v>469</v>
      </c>
      <c r="E75" s="3"/>
      <c r="F75" s="61"/>
      <c r="G75" s="61"/>
      <c r="H75" s="61"/>
      <c r="I75" s="61"/>
      <c r="J75" s="61"/>
      <c r="K75" s="61"/>
      <c r="L75" s="61"/>
      <c r="M75" s="61"/>
      <c r="N75" s="61"/>
      <c r="O75" s="3"/>
      <c r="P75" s="3"/>
      <c r="Q75" s="3">
        <v>63</v>
      </c>
      <c r="R75" s="59">
        <f t="shared" ca="1" si="9"/>
        <v>31.706284565110767</v>
      </c>
      <c r="S75" s="3"/>
      <c r="T75" s="3">
        <v>63</v>
      </c>
      <c r="U75" s="59">
        <f t="shared" ca="1" si="10"/>
        <v>31.706284565110767</v>
      </c>
      <c r="V75" s="3"/>
      <c r="W75" s="3"/>
      <c r="X75" s="3"/>
      <c r="Y75" s="3"/>
      <c r="Z75" s="3"/>
    </row>
    <row r="76" spans="1:26" ht="12.75" customHeight="1" x14ac:dyDescent="0.2">
      <c r="A76" s="3"/>
      <c r="B76" s="3"/>
      <c r="C76" s="3"/>
      <c r="D76" s="3" t="s">
        <v>470</v>
      </c>
      <c r="E76" s="3">
        <v>0</v>
      </c>
      <c r="F76" s="3">
        <v>1</v>
      </c>
      <c r="G76" s="3">
        <v>2</v>
      </c>
      <c r="H76" s="3">
        <v>3</v>
      </c>
      <c r="I76" s="3">
        <v>4</v>
      </c>
      <c r="J76" s="3">
        <v>5</v>
      </c>
      <c r="K76" s="3">
        <v>6</v>
      </c>
      <c r="L76" s="3">
        <v>7</v>
      </c>
      <c r="M76" s="3">
        <v>8</v>
      </c>
      <c r="N76" s="3" t="s">
        <v>201</v>
      </c>
      <c r="O76" s="3"/>
      <c r="P76" s="3"/>
      <c r="Q76" s="3">
        <v>64</v>
      </c>
      <c r="R76" s="59">
        <f t="shared" ca="1" si="9"/>
        <v>32.204232037699001</v>
      </c>
      <c r="S76" s="3"/>
      <c r="T76" s="3">
        <v>64</v>
      </c>
      <c r="U76" s="59">
        <f t="shared" ca="1" si="10"/>
        <v>32.204232037699001</v>
      </c>
      <c r="V76" s="3"/>
      <c r="W76" s="3"/>
      <c r="X76" s="3"/>
      <c r="Y76" s="3"/>
      <c r="Z76" s="3"/>
    </row>
    <row r="77" spans="1:26" ht="12.75" customHeight="1" x14ac:dyDescent="0.2">
      <c r="A77" s="3"/>
      <c r="B77" s="3"/>
      <c r="C77" s="3"/>
      <c r="D77" s="3" t="s">
        <v>471</v>
      </c>
      <c r="E77" s="61">
        <f ca="1">F55*F71</f>
        <v>1.3208374821200014E-2</v>
      </c>
      <c r="F77" s="61">
        <f ca="1">F55*G71+G55*F71</f>
        <v>0.27291623688440003</v>
      </c>
      <c r="G77" s="61">
        <f ca="1">F55*H71+G55*G71+H55*F71</f>
        <v>0.43073363774760004</v>
      </c>
      <c r="H77" s="61">
        <f ca="1">F55*I71+G55*H71+H55*G71+I55*F71</f>
        <v>0.25870656304679995</v>
      </c>
      <c r="I77" s="61">
        <f ca="1">F55*J71+G55*I71+H55*H71+I55*G71+J55*F71</f>
        <v>2.44351875E-2</v>
      </c>
      <c r="J77" s="61">
        <f ca="1">F55*K71+G55*J71+H55*I71+I55*H71+J55*G71+K55*F71</f>
        <v>0</v>
      </c>
      <c r="K77" s="61">
        <f ca="1">F55*L71+G55*K71+H55*J71+I55*I71+J55*H71+K55*G71+L55*F71</f>
        <v>0</v>
      </c>
      <c r="L77" s="61">
        <f ca="1">F55*M71+G55*L71+H55*K71+I55*J71+J55*I71+K55*H71+L55*G71+M55*F71</f>
        <v>0</v>
      </c>
      <c r="M77" s="61">
        <f ca="1">F55*N71+G55*M71+H55*L71+I55*K71+J55*J71+K55*I71+L55*H71+M55*G71+N55*F71+G55*N71+H55*M71+I55*L71+J55*K71+K55*J71+L55*I71+M55*H71+N55*G71+H55*N71+I55*M71+J55*L71+K55*K71+L55*J71+M55*I71+N55*H71+I55*N71+J55*M71+K55*L71+L55*K71+M55*J71+N55*I71+J55*N71+K55*M71+L55*L71+M55*K71+N55*J71+K55*N71+L55*M71+M55*L71+N55*K71+L55*N71+M55*M71+N55*L71+M55*N71+N55*M71+N55*N71</f>
        <v>0</v>
      </c>
      <c r="N77" s="61">
        <f ca="1">SUM(E77:M77)</f>
        <v>1</v>
      </c>
      <c r="O77" s="3"/>
      <c r="P77" s="3"/>
      <c r="Q77" s="3">
        <v>65</v>
      </c>
      <c r="R77" s="59">
        <f t="shared" ca="1" si="9"/>
        <v>32.702179510287245</v>
      </c>
      <c r="S77" s="3"/>
      <c r="T77" s="3">
        <v>65</v>
      </c>
      <c r="U77" s="59">
        <f t="shared" ca="1" si="10"/>
        <v>32.702179510287245</v>
      </c>
      <c r="V77" s="3"/>
      <c r="W77" s="3"/>
      <c r="X77" s="3"/>
      <c r="Y77" s="3"/>
      <c r="Z77" s="3"/>
    </row>
    <row r="78" spans="1:26" ht="12.75" customHeight="1" x14ac:dyDescent="0.2">
      <c r="A78" s="3"/>
      <c r="B78" s="3"/>
      <c r="C78" s="3"/>
      <c r="D78" s="3" t="s">
        <v>465</v>
      </c>
      <c r="E78" s="59">
        <f ca="1">E76*E77+F76*F77+G76*G77+H76*H77+I76*I77+J76*J77+K76*K77+L76*L77+M76*M77</f>
        <v>2.0082439515199999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66</v>
      </c>
      <c r="R78" s="59">
        <f t="shared" ca="1" si="9"/>
        <v>33.200126982875481</v>
      </c>
      <c r="S78" s="3"/>
      <c r="T78" s="3">
        <v>66</v>
      </c>
      <c r="U78" s="59">
        <f t="shared" ca="1" si="10"/>
        <v>33.200126982875481</v>
      </c>
      <c r="V78" s="3"/>
      <c r="W78" s="3"/>
      <c r="X78" s="3"/>
      <c r="Y78" s="3"/>
      <c r="Z78" s="3"/>
    </row>
    <row r="79" spans="1:26" ht="12.75" customHeight="1" x14ac:dyDescent="0.2">
      <c r="A79" s="3"/>
      <c r="B79" s="3"/>
      <c r="C79" s="3"/>
      <c r="D79" s="3"/>
      <c r="E79" s="61"/>
      <c r="F79" s="61"/>
      <c r="G79" s="61"/>
      <c r="H79" s="61"/>
      <c r="I79" s="61"/>
      <c r="J79" s="61"/>
      <c r="K79" s="61"/>
      <c r="L79" s="61"/>
      <c r="M79" s="61"/>
      <c r="N79" s="3"/>
      <c r="O79" s="3"/>
      <c r="P79" s="3"/>
      <c r="Q79" s="3">
        <v>67</v>
      </c>
      <c r="R79" s="59">
        <f t="shared" ca="1" si="9"/>
        <v>33.698074455463718</v>
      </c>
      <c r="S79" s="3"/>
      <c r="T79" s="3">
        <v>67</v>
      </c>
      <c r="U79" s="59">
        <f t="shared" ca="1" si="10"/>
        <v>33.698074455463718</v>
      </c>
      <c r="V79" s="3"/>
      <c r="W79" s="3"/>
      <c r="X79" s="3"/>
      <c r="Y79" s="3"/>
      <c r="Z79" s="3"/>
    </row>
    <row r="80" spans="1:26" ht="12.75" customHeight="1" x14ac:dyDescent="0.2">
      <c r="A80" s="3"/>
      <c r="B80" s="3"/>
      <c r="C80" s="3"/>
      <c r="D80" s="3"/>
      <c r="E80" s="3"/>
      <c r="F80" s="61"/>
      <c r="G80" s="61"/>
      <c r="H80" s="3"/>
      <c r="I80" s="3"/>
      <c r="J80" s="3"/>
      <c r="K80" s="3"/>
      <c r="L80" s="3"/>
      <c r="M80" s="3"/>
      <c r="N80" s="3"/>
      <c r="O80" s="3"/>
      <c r="P80" s="3"/>
      <c r="Q80" s="3">
        <v>68</v>
      </c>
      <c r="R80" s="59">
        <f t="shared" ca="1" si="9"/>
        <v>34.196021928051962</v>
      </c>
      <c r="S80" s="3"/>
      <c r="T80" s="3">
        <v>68</v>
      </c>
      <c r="U80" s="59">
        <f t="shared" ca="1" si="10"/>
        <v>34.196021928051962</v>
      </c>
      <c r="V80" s="3"/>
      <c r="W80" s="3"/>
      <c r="X80" s="3"/>
      <c r="Y80" s="3"/>
      <c r="Z80" s="3"/>
    </row>
    <row r="81" spans="1:26" ht="12.75" customHeight="1" x14ac:dyDescent="0.2">
      <c r="A81" s="3"/>
      <c r="B81" s="3"/>
      <c r="C81" s="3"/>
      <c r="D81" s="3"/>
      <c r="E81" s="61"/>
      <c r="F81" s="59"/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69</v>
      </c>
      <c r="R81" s="59">
        <f t="shared" ca="1" si="9"/>
        <v>34.693969400640199</v>
      </c>
      <c r="S81" s="3"/>
      <c r="T81" s="3">
        <v>69</v>
      </c>
      <c r="U81" s="59">
        <f t="shared" ca="1" si="10"/>
        <v>34.693969400640199</v>
      </c>
      <c r="V81" s="3"/>
      <c r="W81" s="3"/>
      <c r="X81" s="3"/>
      <c r="Y81" s="3"/>
      <c r="Z81" s="3"/>
    </row>
    <row r="82" spans="1:26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70</v>
      </c>
      <c r="R82" s="59">
        <f t="shared" ca="1" si="9"/>
        <v>35.191916873228436</v>
      </c>
      <c r="S82" s="3"/>
      <c r="T82" s="3">
        <v>70</v>
      </c>
      <c r="U82" s="59">
        <f t="shared" ca="1" si="10"/>
        <v>35.191916873228436</v>
      </c>
      <c r="V82" s="3"/>
      <c r="W82" s="3"/>
      <c r="X82" s="3"/>
      <c r="Y82" s="3"/>
      <c r="Z82" s="3"/>
    </row>
    <row r="83" spans="1:26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71</v>
      </c>
      <c r="R83" s="59">
        <f t="shared" ca="1" si="9"/>
        <v>35.68986434581668</v>
      </c>
      <c r="S83" s="3"/>
      <c r="T83" s="3">
        <v>71</v>
      </c>
      <c r="U83" s="59">
        <f t="shared" ca="1" si="10"/>
        <v>35.68986434581668</v>
      </c>
      <c r="V83" s="3"/>
      <c r="W83" s="3"/>
      <c r="X83" s="3"/>
      <c r="Y83" s="3"/>
      <c r="Z83" s="3"/>
    </row>
    <row r="84" spans="1:26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>
        <v>72</v>
      </c>
      <c r="R84" s="59">
        <f t="shared" ca="1" si="9"/>
        <v>36.187811818404917</v>
      </c>
      <c r="S84" s="3"/>
      <c r="T84" s="3">
        <v>72</v>
      </c>
      <c r="U84" s="59">
        <f t="shared" ca="1" si="10"/>
        <v>36.187811818404917</v>
      </c>
      <c r="V84" s="3"/>
      <c r="W84" s="3"/>
      <c r="X84" s="3"/>
      <c r="Y84" s="3"/>
      <c r="Z84" s="3"/>
    </row>
    <row r="85" spans="1:26" ht="12.75" customHeight="1" x14ac:dyDescent="0.2">
      <c r="A85" s="3" t="s">
        <v>50</v>
      </c>
      <c r="B85" s="9">
        <v>0.1</v>
      </c>
      <c r="C85" s="3"/>
      <c r="D85" s="3"/>
      <c r="E85" s="3"/>
      <c r="F85" s="3"/>
      <c r="G85" s="3"/>
      <c r="H85" s="3" t="s">
        <v>50</v>
      </c>
      <c r="I85" s="9">
        <v>0.12</v>
      </c>
      <c r="J85" s="3"/>
      <c r="K85" s="3"/>
      <c r="L85" s="3"/>
      <c r="M85" s="3"/>
      <c r="N85" s="3"/>
      <c r="O85" s="3"/>
      <c r="P85" s="3"/>
      <c r="Q85" s="3">
        <v>73</v>
      </c>
      <c r="R85" s="59">
        <f t="shared" ca="1" si="9"/>
        <v>36.685759290993161</v>
      </c>
      <c r="S85" s="3"/>
      <c r="T85" s="3">
        <v>73</v>
      </c>
      <c r="U85" s="59">
        <f t="shared" ca="1" si="10"/>
        <v>36.685759290993161</v>
      </c>
      <c r="V85" s="3"/>
      <c r="W85" s="3"/>
      <c r="X85" s="3"/>
      <c r="Y85" s="3"/>
      <c r="Z85" s="3"/>
    </row>
    <row r="86" spans="1:26" ht="12.75" customHeight="1" x14ac:dyDescent="0.2">
      <c r="A86" s="3" t="s">
        <v>37</v>
      </c>
      <c r="B86" s="3">
        <v>1000000</v>
      </c>
      <c r="C86" s="3"/>
      <c r="D86" s="3"/>
      <c r="E86" s="9"/>
      <c r="F86" s="61"/>
      <c r="G86" s="61"/>
      <c r="H86" s="3" t="s">
        <v>37</v>
      </c>
      <c r="I86" s="3">
        <v>1000000</v>
      </c>
      <c r="J86" s="3"/>
      <c r="K86" s="3"/>
      <c r="L86" s="9"/>
      <c r="M86" s="61"/>
      <c r="N86" s="3"/>
      <c r="O86" s="3"/>
      <c r="P86" s="3"/>
      <c r="Q86" s="3">
        <v>74</v>
      </c>
      <c r="R86" s="59">
        <f t="shared" ca="1" si="9"/>
        <v>37.183706763581391</v>
      </c>
      <c r="S86" s="3"/>
      <c r="T86" s="3">
        <v>74</v>
      </c>
      <c r="U86" s="59">
        <f t="shared" ca="1" si="10"/>
        <v>37.183706763581391</v>
      </c>
      <c r="V86" s="3"/>
      <c r="W86" s="3"/>
      <c r="X86" s="3"/>
      <c r="Y86" s="3"/>
      <c r="Z86" s="3"/>
    </row>
    <row r="87" spans="1:26" ht="12.75" customHeight="1" x14ac:dyDescent="0.2">
      <c r="A87" s="3" t="s">
        <v>472</v>
      </c>
      <c r="B87" s="61" t="s">
        <v>318</v>
      </c>
      <c r="C87" s="3" t="s">
        <v>473</v>
      </c>
      <c r="D87" s="3" t="s">
        <v>474</v>
      </c>
      <c r="E87" s="61" t="s">
        <v>475</v>
      </c>
      <c r="F87" s="61" t="s">
        <v>476</v>
      </c>
      <c r="G87" s="61"/>
      <c r="H87" s="3" t="s">
        <v>472</v>
      </c>
      <c r="I87" s="61" t="s">
        <v>318</v>
      </c>
      <c r="J87" s="3" t="s">
        <v>473</v>
      </c>
      <c r="K87" s="3" t="s">
        <v>474</v>
      </c>
      <c r="L87" s="61" t="s">
        <v>475</v>
      </c>
      <c r="M87" s="61" t="s">
        <v>476</v>
      </c>
      <c r="N87" s="3"/>
      <c r="O87" s="3"/>
      <c r="P87" s="3"/>
      <c r="Q87" s="3">
        <v>75</v>
      </c>
      <c r="R87" s="59">
        <f t="shared" ca="1" si="9"/>
        <v>37.681654236169628</v>
      </c>
      <c r="S87" s="3"/>
      <c r="T87" s="3">
        <v>75</v>
      </c>
      <c r="U87" s="59">
        <f t="shared" ca="1" si="10"/>
        <v>37.681654236169628</v>
      </c>
      <c r="V87" s="3"/>
      <c r="W87" s="3"/>
      <c r="X87" s="3"/>
      <c r="Y87" s="3"/>
      <c r="Z87" s="3"/>
    </row>
    <row r="88" spans="1:26" ht="12.75" customHeight="1" x14ac:dyDescent="0.2">
      <c r="A88" s="3">
        <v>0</v>
      </c>
      <c r="B88" s="3">
        <v>0</v>
      </c>
      <c r="C88" s="3">
        <f t="shared" ref="C88:C96" si="42">FLOOR(B88/2, 1)</f>
        <v>0</v>
      </c>
      <c r="D88" s="3">
        <f>B86-C88</f>
        <v>1000000</v>
      </c>
      <c r="E88" s="3">
        <f t="shared" ref="E88:E96" si="43">SUM(B$88:B88)</f>
        <v>0</v>
      </c>
      <c r="F88" s="61">
        <f t="shared" ref="F88:F96" si="44">E88/$B$86</f>
        <v>0</v>
      </c>
      <c r="G88" s="61"/>
      <c r="H88" s="3">
        <v>0</v>
      </c>
      <c r="I88" s="3">
        <v>0</v>
      </c>
      <c r="J88" s="3">
        <f t="shared" ref="J88:J96" si="45">FLOOR(I88/2, 1)</f>
        <v>0</v>
      </c>
      <c r="K88" s="3">
        <f>I86-J88</f>
        <v>1000000</v>
      </c>
      <c r="L88" s="3">
        <f t="shared" ref="L88:L96" si="46">SUM(I$88:I88)</f>
        <v>0</v>
      </c>
      <c r="M88" s="61">
        <f t="shared" ref="M88:M96" si="47">L88/$B$86</f>
        <v>0</v>
      </c>
      <c r="N88" s="3"/>
      <c r="O88" s="3"/>
      <c r="P88" s="3"/>
      <c r="Q88" s="3">
        <v>76</v>
      </c>
      <c r="R88" s="59">
        <f t="shared" ca="1" si="9"/>
        <v>38.179601708757872</v>
      </c>
      <c r="S88" s="3"/>
      <c r="T88" s="3">
        <v>76</v>
      </c>
      <c r="U88" s="59">
        <f t="shared" ca="1" si="10"/>
        <v>38.179601708757872</v>
      </c>
      <c r="V88" s="3"/>
      <c r="W88" s="3"/>
      <c r="X88" s="3"/>
      <c r="Y88" s="3"/>
      <c r="Z88" s="3"/>
    </row>
    <row r="89" spans="1:26" ht="12.75" customHeight="1" x14ac:dyDescent="0.2">
      <c r="A89" s="3">
        <v>1</v>
      </c>
      <c r="B89" s="3">
        <f t="shared" ref="B89:B96" si="48">FLOOR(D88*$B$85, 1)</f>
        <v>100000</v>
      </c>
      <c r="C89" s="3">
        <f t="shared" si="42"/>
        <v>50000</v>
      </c>
      <c r="D89" s="3">
        <f t="shared" ref="D89:D96" si="49">D88-C89</f>
        <v>950000</v>
      </c>
      <c r="E89" s="3">
        <f t="shared" si="43"/>
        <v>100000</v>
      </c>
      <c r="F89" s="61">
        <f t="shared" si="44"/>
        <v>0.1</v>
      </c>
      <c r="G89" s="61"/>
      <c r="H89" s="3">
        <v>1</v>
      </c>
      <c r="I89" s="3">
        <f>FLOOR(K88*$I$85, 1)</f>
        <v>120000</v>
      </c>
      <c r="J89" s="3">
        <f t="shared" si="45"/>
        <v>60000</v>
      </c>
      <c r="K89" s="3">
        <f t="shared" ref="K89:K96" si="50">K88-J89</f>
        <v>940000</v>
      </c>
      <c r="L89" s="3">
        <f t="shared" si="46"/>
        <v>120000</v>
      </c>
      <c r="M89" s="61">
        <f t="shared" si="47"/>
        <v>0.12</v>
      </c>
      <c r="N89" s="3"/>
      <c r="O89" s="3"/>
      <c r="P89" s="3"/>
      <c r="Q89" s="3">
        <v>77</v>
      </c>
      <c r="R89" s="59">
        <f t="shared" ca="1" si="9"/>
        <v>38.677549181346109</v>
      </c>
      <c r="S89" s="3"/>
      <c r="T89" s="3">
        <v>77</v>
      </c>
      <c r="U89" s="59">
        <f t="shared" ca="1" si="10"/>
        <v>38.677549181346109</v>
      </c>
      <c r="V89" s="3"/>
      <c r="W89" s="3"/>
      <c r="X89" s="3"/>
      <c r="Y89" s="3"/>
      <c r="Z89" s="3"/>
    </row>
    <row r="90" spans="1:26" ht="12.75" customHeight="1" x14ac:dyDescent="0.2">
      <c r="A90" s="3">
        <v>2</v>
      </c>
      <c r="B90" s="3">
        <f t="shared" si="48"/>
        <v>95000</v>
      </c>
      <c r="C90" s="3">
        <f t="shared" si="42"/>
        <v>47500</v>
      </c>
      <c r="D90" s="3">
        <f t="shared" si="49"/>
        <v>902500</v>
      </c>
      <c r="E90" s="3">
        <f t="shared" si="43"/>
        <v>195000</v>
      </c>
      <c r="F90" s="61">
        <f t="shared" si="44"/>
        <v>0.19500000000000001</v>
      </c>
      <c r="G90" s="61"/>
      <c r="H90" s="3">
        <v>2</v>
      </c>
      <c r="I90" s="3">
        <f t="shared" ref="I90:I96" si="51">FLOOR(K89*$B$85, 1)</f>
        <v>94000</v>
      </c>
      <c r="J90" s="3">
        <f t="shared" si="45"/>
        <v>47000</v>
      </c>
      <c r="K90" s="3">
        <f t="shared" si="50"/>
        <v>893000</v>
      </c>
      <c r="L90" s="3">
        <f t="shared" si="46"/>
        <v>214000</v>
      </c>
      <c r="M90" s="61">
        <f t="shared" si="47"/>
        <v>0.214</v>
      </c>
      <c r="N90" s="3"/>
      <c r="O90" s="3"/>
      <c r="P90" s="3"/>
      <c r="Q90" s="3">
        <v>78</v>
      </c>
      <c r="R90" s="59">
        <f t="shared" ca="1" si="9"/>
        <v>39.175496653934353</v>
      </c>
      <c r="S90" s="3"/>
      <c r="T90" s="3">
        <v>78</v>
      </c>
      <c r="U90" s="59">
        <f t="shared" ca="1" si="10"/>
        <v>39.175496653934353</v>
      </c>
      <c r="V90" s="3"/>
      <c r="W90" s="3"/>
      <c r="X90" s="3"/>
      <c r="Y90" s="3"/>
      <c r="Z90" s="3"/>
    </row>
    <row r="91" spans="1:26" ht="12.75" customHeight="1" x14ac:dyDescent="0.2">
      <c r="A91" s="3">
        <v>3</v>
      </c>
      <c r="B91" s="3">
        <f t="shared" si="48"/>
        <v>90250</v>
      </c>
      <c r="C91" s="3">
        <f t="shared" si="42"/>
        <v>45125</v>
      </c>
      <c r="D91" s="3">
        <f t="shared" si="49"/>
        <v>857375</v>
      </c>
      <c r="E91" s="3">
        <f t="shared" si="43"/>
        <v>285250</v>
      </c>
      <c r="F91" s="61">
        <f t="shared" si="44"/>
        <v>0.28525</v>
      </c>
      <c r="G91" s="3"/>
      <c r="H91" s="3">
        <v>3</v>
      </c>
      <c r="I91" s="3">
        <f t="shared" si="51"/>
        <v>89300</v>
      </c>
      <c r="J91" s="3">
        <f t="shared" si="45"/>
        <v>44650</v>
      </c>
      <c r="K91" s="3">
        <f t="shared" si="50"/>
        <v>848350</v>
      </c>
      <c r="L91" s="3">
        <f t="shared" si="46"/>
        <v>303300</v>
      </c>
      <c r="M91" s="61">
        <f t="shared" si="47"/>
        <v>0.30330000000000001</v>
      </c>
      <c r="N91" s="3"/>
      <c r="O91" s="3"/>
      <c r="P91" s="3"/>
      <c r="Q91" s="3">
        <v>79</v>
      </c>
      <c r="R91" s="59">
        <f t="shared" ca="1" si="9"/>
        <v>39.67344412652259</v>
      </c>
      <c r="S91" s="3"/>
      <c r="T91" s="3">
        <v>79</v>
      </c>
      <c r="U91" s="59">
        <f t="shared" ca="1" si="10"/>
        <v>39.67344412652259</v>
      </c>
      <c r="V91" s="3"/>
      <c r="W91" s="3"/>
      <c r="X91" s="3"/>
      <c r="Y91" s="3"/>
      <c r="Z91" s="3"/>
    </row>
    <row r="92" spans="1:26" ht="12.75" customHeight="1" x14ac:dyDescent="0.2">
      <c r="A92" s="3">
        <v>4</v>
      </c>
      <c r="B92" s="3">
        <f t="shared" si="48"/>
        <v>85737</v>
      </c>
      <c r="C92" s="3">
        <f t="shared" si="42"/>
        <v>42868</v>
      </c>
      <c r="D92" s="3">
        <f t="shared" si="49"/>
        <v>814507</v>
      </c>
      <c r="E92" s="3">
        <f t="shared" si="43"/>
        <v>370987</v>
      </c>
      <c r="F92" s="61">
        <f t="shared" si="44"/>
        <v>0.37098700000000001</v>
      </c>
      <c r="G92" s="61"/>
      <c r="H92" s="3">
        <v>4</v>
      </c>
      <c r="I92" s="3">
        <f t="shared" si="51"/>
        <v>84835</v>
      </c>
      <c r="J92" s="3">
        <f t="shared" si="45"/>
        <v>42417</v>
      </c>
      <c r="K92" s="3">
        <f t="shared" si="50"/>
        <v>805933</v>
      </c>
      <c r="L92" s="3">
        <f t="shared" si="46"/>
        <v>388135</v>
      </c>
      <c r="M92" s="61">
        <f t="shared" si="47"/>
        <v>0.38813500000000001</v>
      </c>
      <c r="N92" s="3"/>
      <c r="O92" s="3"/>
      <c r="P92" s="3"/>
      <c r="Q92" s="3">
        <v>80</v>
      </c>
      <c r="R92" s="59">
        <f t="shared" ca="1" si="9"/>
        <v>40.171391599110827</v>
      </c>
      <c r="S92" s="3"/>
      <c r="T92" s="3">
        <v>80</v>
      </c>
      <c r="U92" s="59">
        <f t="shared" ca="1" si="10"/>
        <v>40.171391599110827</v>
      </c>
      <c r="V92" s="3"/>
      <c r="W92" s="3"/>
      <c r="X92" s="3"/>
      <c r="Y92" s="3"/>
      <c r="Z92" s="3"/>
    </row>
    <row r="93" spans="1:26" ht="12.75" customHeight="1" x14ac:dyDescent="0.2">
      <c r="A93" s="3">
        <v>5</v>
      </c>
      <c r="B93" s="3">
        <f t="shared" si="48"/>
        <v>81450</v>
      </c>
      <c r="C93" s="3">
        <f t="shared" si="42"/>
        <v>40725</v>
      </c>
      <c r="D93" s="3">
        <f t="shared" si="49"/>
        <v>773782</v>
      </c>
      <c r="E93" s="3">
        <f t="shared" si="43"/>
        <v>452437</v>
      </c>
      <c r="F93" s="61">
        <f t="shared" si="44"/>
        <v>0.45243699999999998</v>
      </c>
      <c r="G93" s="61"/>
      <c r="H93" s="3">
        <v>5</v>
      </c>
      <c r="I93" s="3">
        <f t="shared" si="51"/>
        <v>80593</v>
      </c>
      <c r="J93" s="3">
        <f t="shared" si="45"/>
        <v>40296</v>
      </c>
      <c r="K93" s="3">
        <f t="shared" si="50"/>
        <v>765637</v>
      </c>
      <c r="L93" s="3">
        <f t="shared" si="46"/>
        <v>468728</v>
      </c>
      <c r="M93" s="61">
        <f t="shared" si="47"/>
        <v>0.46872799999999998</v>
      </c>
      <c r="N93" s="3"/>
      <c r="O93" s="3"/>
      <c r="P93" s="3"/>
      <c r="Q93" s="3">
        <v>81</v>
      </c>
      <c r="R93" s="59">
        <f t="shared" ca="1" si="9"/>
        <v>40.669339071699063</v>
      </c>
      <c r="S93" s="3"/>
      <c r="T93" s="3">
        <v>81</v>
      </c>
      <c r="U93" s="59">
        <f t="shared" ca="1" si="10"/>
        <v>40.669339071699063</v>
      </c>
      <c r="V93" s="3"/>
      <c r="W93" s="3"/>
      <c r="X93" s="3"/>
      <c r="Y93" s="3"/>
      <c r="Z93" s="3"/>
    </row>
    <row r="94" spans="1:26" ht="12.75" customHeight="1" x14ac:dyDescent="0.2">
      <c r="A94" s="3">
        <v>6</v>
      </c>
      <c r="B94" s="3">
        <f t="shared" si="48"/>
        <v>77378</v>
      </c>
      <c r="C94" s="3">
        <f t="shared" si="42"/>
        <v>38689</v>
      </c>
      <c r="D94" s="3">
        <f t="shared" si="49"/>
        <v>735093</v>
      </c>
      <c r="E94" s="3">
        <f t="shared" si="43"/>
        <v>529815</v>
      </c>
      <c r="F94" s="61">
        <f t="shared" si="44"/>
        <v>0.52981500000000004</v>
      </c>
      <c r="G94" s="3"/>
      <c r="H94" s="3">
        <v>6</v>
      </c>
      <c r="I94" s="3">
        <f t="shared" si="51"/>
        <v>76563</v>
      </c>
      <c r="J94" s="3">
        <f t="shared" si="45"/>
        <v>38281</v>
      </c>
      <c r="K94" s="3">
        <f t="shared" si="50"/>
        <v>727356</v>
      </c>
      <c r="L94" s="3">
        <f t="shared" si="46"/>
        <v>545291</v>
      </c>
      <c r="M94" s="61">
        <f t="shared" si="47"/>
        <v>0.54529099999999997</v>
      </c>
      <c r="N94" s="3"/>
      <c r="O94" s="3"/>
      <c r="P94" s="3"/>
      <c r="Q94" s="3">
        <v>82</v>
      </c>
      <c r="R94" s="59">
        <f t="shared" ca="1" si="9"/>
        <v>41.1672865442873</v>
      </c>
      <c r="S94" s="3"/>
      <c r="T94" s="3">
        <v>82</v>
      </c>
      <c r="U94" s="59">
        <f t="shared" ca="1" si="10"/>
        <v>41.1672865442873</v>
      </c>
      <c r="V94" s="3"/>
      <c r="W94" s="3"/>
      <c r="X94" s="3"/>
      <c r="Y94" s="3"/>
      <c r="Z94" s="3"/>
    </row>
    <row r="95" spans="1:26" ht="12.75" customHeight="1" x14ac:dyDescent="0.2">
      <c r="A95" s="3">
        <v>7</v>
      </c>
      <c r="B95" s="3">
        <f t="shared" si="48"/>
        <v>73509</v>
      </c>
      <c r="C95" s="3">
        <f t="shared" si="42"/>
        <v>36754</v>
      </c>
      <c r="D95" s="3">
        <f t="shared" si="49"/>
        <v>698339</v>
      </c>
      <c r="E95" s="3">
        <f t="shared" si="43"/>
        <v>603324</v>
      </c>
      <c r="F95" s="61">
        <f t="shared" si="44"/>
        <v>0.60332399999999997</v>
      </c>
      <c r="G95" s="3"/>
      <c r="H95" s="3">
        <v>7</v>
      </c>
      <c r="I95" s="3">
        <f t="shared" si="51"/>
        <v>72735</v>
      </c>
      <c r="J95" s="3">
        <f t="shared" si="45"/>
        <v>36367</v>
      </c>
      <c r="K95" s="3">
        <f t="shared" si="50"/>
        <v>690989</v>
      </c>
      <c r="L95" s="3">
        <f t="shared" si="46"/>
        <v>618026</v>
      </c>
      <c r="M95" s="61">
        <f t="shared" si="47"/>
        <v>0.61802599999999996</v>
      </c>
      <c r="N95" s="3"/>
      <c r="O95" s="3"/>
      <c r="P95" s="3"/>
      <c r="Q95" s="3">
        <v>83</v>
      </c>
      <c r="R95" s="59">
        <f t="shared" ca="1" si="9"/>
        <v>41.665234016875544</v>
      </c>
      <c r="S95" s="3"/>
      <c r="T95" s="3">
        <v>83</v>
      </c>
      <c r="U95" s="59">
        <f t="shared" ca="1" si="10"/>
        <v>41.665234016875544</v>
      </c>
      <c r="V95" s="3"/>
      <c r="W95" s="3"/>
      <c r="X95" s="3"/>
      <c r="Y95" s="3"/>
      <c r="Z95" s="3"/>
    </row>
    <row r="96" spans="1:26" ht="12.75" customHeight="1" x14ac:dyDescent="0.2">
      <c r="A96" s="3">
        <v>8</v>
      </c>
      <c r="B96" s="3">
        <f t="shared" si="48"/>
        <v>69833</v>
      </c>
      <c r="C96" s="3">
        <f t="shared" si="42"/>
        <v>34916</v>
      </c>
      <c r="D96" s="3">
        <f t="shared" si="49"/>
        <v>663423</v>
      </c>
      <c r="E96" s="3">
        <f t="shared" si="43"/>
        <v>673157</v>
      </c>
      <c r="F96" s="61">
        <f t="shared" si="44"/>
        <v>0.67315700000000001</v>
      </c>
      <c r="G96" s="3"/>
      <c r="H96" s="3">
        <v>8</v>
      </c>
      <c r="I96" s="3">
        <f t="shared" si="51"/>
        <v>69098</v>
      </c>
      <c r="J96" s="3">
        <f t="shared" si="45"/>
        <v>34549</v>
      </c>
      <c r="K96" s="3">
        <f t="shared" si="50"/>
        <v>656440</v>
      </c>
      <c r="L96" s="3">
        <f t="shared" si="46"/>
        <v>687124</v>
      </c>
      <c r="M96" s="61">
        <f t="shared" si="47"/>
        <v>0.68712399999999996</v>
      </c>
      <c r="N96" s="3"/>
      <c r="O96" s="3"/>
      <c r="P96" s="3"/>
      <c r="Q96" s="3">
        <v>84</v>
      </c>
      <c r="R96" s="59">
        <f t="shared" ca="1" si="9"/>
        <v>42.163181489463781</v>
      </c>
      <c r="S96" s="3"/>
      <c r="T96" s="3">
        <v>84</v>
      </c>
      <c r="U96" s="59">
        <f t="shared" ca="1" si="10"/>
        <v>42.163181489463781</v>
      </c>
      <c r="V96" s="3"/>
      <c r="W96" s="3"/>
      <c r="X96" s="3"/>
      <c r="Y96" s="3"/>
      <c r="Z96" s="3"/>
    </row>
    <row r="97" spans="1:26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>
        <v>85</v>
      </c>
      <c r="R97" s="59">
        <f t="shared" ca="1" si="9"/>
        <v>42.661128962052018</v>
      </c>
      <c r="S97" s="3"/>
      <c r="T97" s="3">
        <v>85</v>
      </c>
      <c r="U97" s="59">
        <f t="shared" ca="1" si="10"/>
        <v>42.661128962052018</v>
      </c>
      <c r="V97" s="3"/>
      <c r="W97" s="3"/>
      <c r="X97" s="3"/>
      <c r="Y97" s="3"/>
      <c r="Z97" s="3"/>
    </row>
    <row r="98" spans="1:26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>
        <v>86</v>
      </c>
      <c r="R98" s="59">
        <f t="shared" ca="1" si="9"/>
        <v>43.159076434640255</v>
      </c>
      <c r="S98" s="3"/>
      <c r="T98" s="3">
        <v>86</v>
      </c>
      <c r="U98" s="59">
        <f t="shared" ca="1" si="10"/>
        <v>43.159076434640255</v>
      </c>
      <c r="V98" s="3"/>
      <c r="W98" s="3"/>
      <c r="X98" s="3"/>
      <c r="Y98" s="3"/>
      <c r="Z98" s="3"/>
    </row>
    <row r="99" spans="1:26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>
        <v>87</v>
      </c>
      <c r="R99" s="59">
        <f t="shared" ca="1" si="9"/>
        <v>43.657023907228492</v>
      </c>
      <c r="S99" s="3"/>
      <c r="T99" s="3">
        <v>87</v>
      </c>
      <c r="U99" s="59">
        <f t="shared" ca="1" si="10"/>
        <v>43.657023907228492</v>
      </c>
      <c r="V99" s="3"/>
      <c r="W99" s="3"/>
      <c r="X99" s="3"/>
      <c r="Y99" s="3"/>
      <c r="Z99" s="3"/>
    </row>
    <row r="100" spans="1:26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>
        <v>88</v>
      </c>
      <c r="R100" s="59">
        <f t="shared" ca="1" si="9"/>
        <v>44.154971379816729</v>
      </c>
      <c r="S100" s="3"/>
      <c r="T100" s="3">
        <v>88</v>
      </c>
      <c r="U100" s="59">
        <f t="shared" ca="1" si="10"/>
        <v>44.154971379816729</v>
      </c>
      <c r="V100" s="3"/>
      <c r="W100" s="3"/>
      <c r="X100" s="3"/>
      <c r="Y100" s="3"/>
      <c r="Z100" s="3"/>
    </row>
    <row r="101" spans="1:26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>
        <v>89</v>
      </c>
      <c r="R101" s="59">
        <f t="shared" ca="1" si="9"/>
        <v>44.652918852404973</v>
      </c>
      <c r="S101" s="3"/>
      <c r="T101" s="3">
        <v>89</v>
      </c>
      <c r="U101" s="59">
        <f t="shared" ca="1" si="10"/>
        <v>44.652918852404973</v>
      </c>
      <c r="V101" s="3"/>
      <c r="W101" s="3"/>
      <c r="X101" s="3"/>
      <c r="Y101" s="3"/>
      <c r="Z101" s="3"/>
    </row>
    <row r="102" spans="1:26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>
        <v>90</v>
      </c>
      <c r="R102" s="59">
        <f t="shared" ca="1" si="9"/>
        <v>45.150866324993217</v>
      </c>
      <c r="S102" s="3"/>
      <c r="T102" s="3">
        <v>90</v>
      </c>
      <c r="U102" s="59">
        <f t="shared" ca="1" si="10"/>
        <v>45.150866324993217</v>
      </c>
      <c r="V102" s="3"/>
      <c r="W102" s="3"/>
      <c r="X102" s="3"/>
      <c r="Y102" s="3"/>
      <c r="Z102" s="3"/>
    </row>
    <row r="103" spans="1:26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>
        <v>91</v>
      </c>
      <c r="R103" s="59">
        <f t="shared" ca="1" si="9"/>
        <v>45.648813797581447</v>
      </c>
      <c r="S103" s="3"/>
      <c r="T103" s="3">
        <v>91</v>
      </c>
      <c r="U103" s="59">
        <f t="shared" ca="1" si="10"/>
        <v>45.648813797581447</v>
      </c>
      <c r="V103" s="3"/>
      <c r="W103" s="3"/>
      <c r="X103" s="3"/>
      <c r="Y103" s="3"/>
      <c r="Z103" s="3"/>
    </row>
    <row r="104" spans="1:26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>
        <v>92</v>
      </c>
      <c r="R104" s="59">
        <f t="shared" ca="1" si="9"/>
        <v>46.146761270169691</v>
      </c>
      <c r="S104" s="3"/>
      <c r="T104" s="3">
        <v>92</v>
      </c>
      <c r="U104" s="59">
        <f t="shared" ca="1" si="10"/>
        <v>46.146761270169691</v>
      </c>
      <c r="V104" s="3"/>
      <c r="W104" s="3"/>
      <c r="X104" s="3"/>
      <c r="Y104" s="3"/>
      <c r="Z104" s="3"/>
    </row>
    <row r="105" spans="1:26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>
        <v>93</v>
      </c>
      <c r="R105" s="59">
        <f t="shared" ca="1" si="9"/>
        <v>46.644708742757928</v>
      </c>
      <c r="S105" s="3"/>
      <c r="T105" s="3">
        <v>93</v>
      </c>
      <c r="U105" s="59">
        <f t="shared" ca="1" si="10"/>
        <v>46.644708742757928</v>
      </c>
      <c r="V105" s="3"/>
      <c r="W105" s="3"/>
      <c r="X105" s="3"/>
      <c r="Y105" s="3"/>
      <c r="Z105" s="3"/>
    </row>
    <row r="106" spans="1:26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>
        <v>94</v>
      </c>
      <c r="R106" s="59">
        <f t="shared" ca="1" si="9"/>
        <v>47.142656215346165</v>
      </c>
      <c r="S106" s="3"/>
      <c r="T106" s="3">
        <v>94</v>
      </c>
      <c r="U106" s="59">
        <f t="shared" ca="1" si="10"/>
        <v>47.142656215346165</v>
      </c>
      <c r="V106" s="3"/>
      <c r="W106" s="3"/>
      <c r="X106" s="3"/>
      <c r="Y106" s="3"/>
      <c r="Z106" s="3"/>
    </row>
    <row r="107" spans="1:26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>
        <v>95</v>
      </c>
      <c r="R107" s="59">
        <f t="shared" ca="1" si="9"/>
        <v>47.640603687934401</v>
      </c>
      <c r="S107" s="3"/>
      <c r="T107" s="3">
        <v>95</v>
      </c>
      <c r="U107" s="59">
        <f t="shared" ca="1" si="10"/>
        <v>47.640603687934401</v>
      </c>
      <c r="V107" s="3"/>
      <c r="W107" s="3"/>
      <c r="X107" s="3"/>
      <c r="Y107" s="3"/>
      <c r="Z107" s="3"/>
    </row>
    <row r="108" spans="1:26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>
        <v>96</v>
      </c>
      <c r="R108" s="59">
        <f t="shared" ca="1" si="9"/>
        <v>48.138551160522638</v>
      </c>
      <c r="S108" s="3"/>
      <c r="T108" s="3">
        <v>96</v>
      </c>
      <c r="U108" s="59">
        <f t="shared" ca="1" si="10"/>
        <v>48.138551160522638</v>
      </c>
      <c r="V108" s="3"/>
      <c r="W108" s="3"/>
      <c r="X108" s="3"/>
      <c r="Y108" s="3"/>
      <c r="Z108" s="3"/>
    </row>
    <row r="109" spans="1:26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>
        <v>97</v>
      </c>
      <c r="R109" s="59">
        <f t="shared" ca="1" si="9"/>
        <v>48.636498633110875</v>
      </c>
      <c r="S109" s="3"/>
      <c r="T109" s="3">
        <v>97</v>
      </c>
      <c r="U109" s="59">
        <f t="shared" ca="1" si="10"/>
        <v>48.636498633110875</v>
      </c>
      <c r="V109" s="3"/>
      <c r="W109" s="3"/>
      <c r="X109" s="3"/>
      <c r="Y109" s="3"/>
      <c r="Z109" s="3"/>
    </row>
    <row r="110" spans="1:26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>
        <v>98</v>
      </c>
      <c r="R110" s="59">
        <f t="shared" ca="1" si="9"/>
        <v>49.134446105699112</v>
      </c>
      <c r="S110" s="3"/>
      <c r="T110" s="3">
        <v>98</v>
      </c>
      <c r="U110" s="59">
        <f t="shared" ca="1" si="10"/>
        <v>49.134446105699112</v>
      </c>
      <c r="V110" s="3"/>
      <c r="W110" s="3"/>
      <c r="X110" s="3"/>
      <c r="Y110" s="3"/>
      <c r="Z110" s="3"/>
    </row>
    <row r="111" spans="1:26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>
        <v>99</v>
      </c>
      <c r="R111" s="59">
        <f t="shared" ca="1" si="9"/>
        <v>49.632393578287349</v>
      </c>
      <c r="S111" s="3"/>
      <c r="T111" s="3">
        <v>99</v>
      </c>
      <c r="U111" s="59">
        <f t="shared" ca="1" si="10"/>
        <v>49.632393578287349</v>
      </c>
      <c r="V111" s="3"/>
      <c r="W111" s="3"/>
      <c r="X111" s="3"/>
      <c r="Y111" s="3"/>
      <c r="Z111" s="3"/>
    </row>
    <row r="112" spans="1:26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>
        <v>100</v>
      </c>
      <c r="R112" s="59">
        <f t="shared" ca="1" si="9"/>
        <v>50.130341050875586</v>
      </c>
      <c r="S112" s="3"/>
      <c r="T112" s="3">
        <v>100</v>
      </c>
      <c r="U112" s="59">
        <f t="shared" ca="1" si="10"/>
        <v>50.130341050875586</v>
      </c>
      <c r="V112" s="3"/>
      <c r="W112" s="3"/>
      <c r="X112" s="3"/>
      <c r="Y112" s="3"/>
      <c r="Z112" s="3"/>
    </row>
    <row r="113" spans="1:26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C99FF"/>
  </sheetPr>
  <dimension ref="A1:BL1021"/>
  <sheetViews>
    <sheetView topLeftCell="A202" workbookViewId="0">
      <selection activeCell="A214" sqref="A214"/>
    </sheetView>
  </sheetViews>
  <sheetFormatPr defaultColWidth="14.42578125" defaultRowHeight="15" customHeight="1" x14ac:dyDescent="0.2"/>
  <cols>
    <col min="1" max="1" width="21.5703125" customWidth="1"/>
    <col min="2" max="5" width="5.28515625" customWidth="1"/>
    <col min="6" max="6" width="10.42578125" customWidth="1"/>
    <col min="7" max="15" width="4.7109375" customWidth="1"/>
    <col min="16" max="21" width="5.28515625" customWidth="1"/>
    <col min="22" max="22" width="4.7109375" customWidth="1"/>
    <col min="23" max="23" width="6" customWidth="1"/>
    <col min="24" max="24" width="4.140625" customWidth="1"/>
    <col min="25" max="27" width="4.7109375" customWidth="1"/>
    <col min="28" max="28" width="5.7109375" customWidth="1"/>
    <col min="29" max="30" width="6.7109375" customWidth="1"/>
    <col min="31" max="31" width="5" customWidth="1"/>
    <col min="32" max="32" width="6.7109375" customWidth="1"/>
    <col min="33" max="33" width="9" customWidth="1"/>
    <col min="34" max="34" width="7.85546875" customWidth="1"/>
    <col min="35" max="38" width="5.28515625" customWidth="1"/>
    <col min="39" max="41" width="6" customWidth="1"/>
    <col min="42" max="42" width="5.28515625" customWidth="1"/>
    <col min="43" max="43" width="7" customWidth="1"/>
    <col min="44" max="44" width="6.5703125" customWidth="1"/>
    <col min="45" max="52" width="5.42578125" customWidth="1"/>
    <col min="53" max="55" width="6.7109375" customWidth="1"/>
    <col min="56" max="56" width="8.85546875" customWidth="1"/>
    <col min="57" max="64" width="8.7109375" customWidth="1"/>
  </cols>
  <sheetData>
    <row r="1" spans="1:56" ht="12.75" customHeight="1" x14ac:dyDescent="0.2">
      <c r="B1" t="s">
        <v>477</v>
      </c>
      <c r="C1" t="s">
        <v>478</v>
      </c>
      <c r="D1" t="s">
        <v>479</v>
      </c>
      <c r="E1" t="s">
        <v>480</v>
      </c>
      <c r="F1" s="3" t="s">
        <v>481</v>
      </c>
      <c r="G1" t="s">
        <v>30</v>
      </c>
      <c r="H1" t="s">
        <v>33</v>
      </c>
      <c r="I1" t="s">
        <v>29</v>
      </c>
      <c r="J1" t="s">
        <v>32</v>
      </c>
      <c r="K1" t="s">
        <v>153</v>
      </c>
      <c r="L1" t="s">
        <v>154</v>
      </c>
      <c r="M1" t="s">
        <v>482</v>
      </c>
      <c r="N1" t="s">
        <v>120</v>
      </c>
      <c r="O1" t="s">
        <v>156</v>
      </c>
      <c r="P1" t="s">
        <v>157</v>
      </c>
      <c r="Q1" t="s">
        <v>483</v>
      </c>
      <c r="R1" t="s">
        <v>484</v>
      </c>
      <c r="S1" t="s">
        <v>485</v>
      </c>
      <c r="T1" s="3" t="s">
        <v>486</v>
      </c>
      <c r="U1" s="3" t="s">
        <v>487</v>
      </c>
      <c r="V1" s="9" t="s">
        <v>158</v>
      </c>
      <c r="W1" s="9" t="s">
        <v>159</v>
      </c>
      <c r="X1" s="9" t="s">
        <v>160</v>
      </c>
      <c r="Y1" s="9" t="s">
        <v>488</v>
      </c>
      <c r="Z1" s="9" t="s">
        <v>161</v>
      </c>
      <c r="AA1" s="9" t="s">
        <v>165</v>
      </c>
      <c r="AB1" t="s">
        <v>164</v>
      </c>
      <c r="AC1" s="9" t="s">
        <v>162</v>
      </c>
      <c r="AD1" s="9" t="s">
        <v>163</v>
      </c>
      <c r="AE1" s="8" t="s">
        <v>166</v>
      </c>
      <c r="AF1" s="8" t="s">
        <v>130</v>
      </c>
      <c r="AG1" s="8" t="s">
        <v>205</v>
      </c>
      <c r="AH1" s="9" t="s">
        <v>207</v>
      </c>
      <c r="AI1" s="8" t="s">
        <v>208</v>
      </c>
      <c r="AJ1" s="8" t="s">
        <v>489</v>
      </c>
      <c r="AK1" s="8" t="s">
        <v>135</v>
      </c>
      <c r="AL1" s="8" t="s">
        <v>206</v>
      </c>
      <c r="AM1" s="9" t="s">
        <v>490</v>
      </c>
      <c r="AN1" s="3" t="s">
        <v>51</v>
      </c>
      <c r="AO1" s="8" t="s">
        <v>37</v>
      </c>
      <c r="AP1" s="9" t="s">
        <v>155</v>
      </c>
      <c r="AQ1" t="s">
        <v>439</v>
      </c>
      <c r="AR1" t="s">
        <v>491</v>
      </c>
      <c r="AS1" t="s">
        <v>492</v>
      </c>
      <c r="AT1" t="s">
        <v>455</v>
      </c>
      <c r="AU1" t="s">
        <v>456</v>
      </c>
      <c r="AV1" t="s">
        <v>457</v>
      </c>
      <c r="AW1" t="s">
        <v>459</v>
      </c>
      <c r="AX1" t="s">
        <v>460</v>
      </c>
      <c r="AY1" t="s">
        <v>461</v>
      </c>
      <c r="AZ1" t="s">
        <v>462</v>
      </c>
      <c r="BA1" t="s">
        <v>394</v>
      </c>
      <c r="BB1" t="s">
        <v>398</v>
      </c>
      <c r="BC1" t="s">
        <v>400</v>
      </c>
      <c r="BD1" t="s">
        <v>493</v>
      </c>
    </row>
    <row r="2" spans="1:56" ht="12.75" customHeight="1" x14ac:dyDescent="0.2">
      <c r="T2" s="3"/>
      <c r="U2" s="3"/>
      <c r="V2" s="9"/>
      <c r="W2" s="9"/>
      <c r="X2" s="9"/>
      <c r="Y2" s="9"/>
      <c r="Z2" s="9"/>
      <c r="AA2" s="9"/>
      <c r="AC2" s="9"/>
      <c r="AD2" s="9"/>
      <c r="AE2" s="8"/>
      <c r="AF2" s="8"/>
      <c r="AG2" s="8"/>
      <c r="AH2" s="9"/>
      <c r="AI2" s="8"/>
      <c r="AJ2" s="8"/>
      <c r="AK2" s="8"/>
      <c r="AL2" s="8"/>
      <c r="AM2" s="9"/>
      <c r="AO2" s="8"/>
      <c r="AP2" s="9"/>
    </row>
    <row r="3" spans="1:56" ht="12.75" customHeight="1" x14ac:dyDescent="0.2">
      <c r="T3" s="3"/>
      <c r="U3" s="3"/>
      <c r="V3" s="9"/>
      <c r="W3" s="9"/>
      <c r="X3" s="9"/>
      <c r="Y3" s="9"/>
      <c r="Z3" s="9"/>
      <c r="AA3" s="9"/>
      <c r="AC3" s="9"/>
      <c r="AD3" s="9"/>
      <c r="AE3" s="8"/>
      <c r="AF3" s="8"/>
      <c r="AG3" s="8"/>
      <c r="AH3" s="9"/>
      <c r="AI3" s="8"/>
      <c r="AJ3" s="8"/>
      <c r="AK3" s="8"/>
      <c r="AL3" s="8"/>
      <c r="AM3" s="9"/>
      <c r="AO3" s="8"/>
      <c r="AP3" s="9"/>
    </row>
    <row r="4" spans="1:56" ht="12.75" customHeight="1" x14ac:dyDescent="0.2">
      <c r="A4" s="3" t="s">
        <v>494</v>
      </c>
      <c r="B4" t="s">
        <v>477</v>
      </c>
      <c r="C4" t="s">
        <v>478</v>
      </c>
      <c r="D4" t="s">
        <v>479</v>
      </c>
      <c r="E4" t="s">
        <v>480</v>
      </c>
      <c r="F4" s="3" t="s">
        <v>481</v>
      </c>
      <c r="G4" t="s">
        <v>30</v>
      </c>
      <c r="H4" t="s">
        <v>33</v>
      </c>
      <c r="I4" t="s">
        <v>29</v>
      </c>
      <c r="J4" t="s">
        <v>32</v>
      </c>
      <c r="K4" t="s">
        <v>153</v>
      </c>
      <c r="L4" t="s">
        <v>154</v>
      </c>
      <c r="M4" t="s">
        <v>482</v>
      </c>
      <c r="N4" t="s">
        <v>120</v>
      </c>
      <c r="O4" t="s">
        <v>156</v>
      </c>
      <c r="P4" t="s">
        <v>157</v>
      </c>
      <c r="Q4" t="s">
        <v>483</v>
      </c>
      <c r="R4" t="s">
        <v>484</v>
      </c>
      <c r="S4" t="s">
        <v>485</v>
      </c>
      <c r="T4" s="3" t="s">
        <v>486</v>
      </c>
      <c r="U4" s="3" t="s">
        <v>487</v>
      </c>
      <c r="V4" s="9" t="s">
        <v>158</v>
      </c>
      <c r="W4" s="9" t="s">
        <v>159</v>
      </c>
      <c r="X4" s="9" t="s">
        <v>160</v>
      </c>
      <c r="Y4" s="9" t="s">
        <v>488</v>
      </c>
      <c r="Z4" s="9" t="s">
        <v>161</v>
      </c>
      <c r="AA4" s="9" t="s">
        <v>165</v>
      </c>
      <c r="AB4" t="s">
        <v>164</v>
      </c>
      <c r="AC4" s="9" t="s">
        <v>162</v>
      </c>
      <c r="AD4" s="9" t="s">
        <v>163</v>
      </c>
      <c r="AE4" s="8" t="s">
        <v>166</v>
      </c>
      <c r="AF4" s="8" t="s">
        <v>130</v>
      </c>
      <c r="AG4" s="8" t="s">
        <v>205</v>
      </c>
      <c r="AH4" s="9" t="s">
        <v>207</v>
      </c>
      <c r="AI4" s="8" t="s">
        <v>208</v>
      </c>
      <c r="AJ4" s="8" t="s">
        <v>489</v>
      </c>
      <c r="AK4" s="8" t="s">
        <v>135</v>
      </c>
      <c r="AL4" s="8" t="s">
        <v>206</v>
      </c>
      <c r="AM4" s="9" t="s">
        <v>490</v>
      </c>
      <c r="AN4" s="3"/>
      <c r="AO4" s="8" t="s">
        <v>37</v>
      </c>
      <c r="AP4" s="9" t="s">
        <v>155</v>
      </c>
      <c r="AQ4" t="s">
        <v>439</v>
      </c>
      <c r="AR4" t="s">
        <v>491</v>
      </c>
      <c r="AS4" t="s">
        <v>492</v>
      </c>
      <c r="AT4" t="s">
        <v>455</v>
      </c>
      <c r="AU4" t="s">
        <v>456</v>
      </c>
      <c r="AV4" t="s">
        <v>457</v>
      </c>
      <c r="AW4" t="s">
        <v>459</v>
      </c>
      <c r="AX4" t="s">
        <v>460</v>
      </c>
      <c r="AY4" t="s">
        <v>461</v>
      </c>
      <c r="AZ4" t="s">
        <v>462</v>
      </c>
      <c r="BA4" t="s">
        <v>394</v>
      </c>
      <c r="BB4" t="s">
        <v>398</v>
      </c>
      <c r="BC4" t="s">
        <v>400</v>
      </c>
      <c r="BD4" t="s">
        <v>493</v>
      </c>
    </row>
    <row r="5" spans="1:56" ht="12.75" customHeight="1" x14ac:dyDescent="0.2">
      <c r="A5" t="s">
        <v>495</v>
      </c>
      <c r="F5">
        <v>269</v>
      </c>
      <c r="T5" s="3"/>
      <c r="U5" s="3"/>
      <c r="V5" s="9"/>
      <c r="W5" s="9"/>
      <c r="X5" s="9"/>
      <c r="Y5" s="9"/>
      <c r="Z5" s="9"/>
      <c r="AA5" s="9"/>
      <c r="AB5" s="3"/>
      <c r="AC5" s="9"/>
      <c r="AD5" s="9"/>
      <c r="AE5" s="8">
        <v>10</v>
      </c>
      <c r="AF5" s="8"/>
      <c r="AG5" s="8">
        <v>500</v>
      </c>
      <c r="AH5" s="9"/>
      <c r="AI5" s="8"/>
      <c r="AJ5" s="8"/>
      <c r="AK5" s="8"/>
      <c r="AL5" s="8"/>
      <c r="AM5" s="9"/>
      <c r="AN5" s="9"/>
      <c r="AO5" s="8"/>
      <c r="AP5" s="9"/>
      <c r="AQ5">
        <v>336</v>
      </c>
      <c r="AR5">
        <v>480</v>
      </c>
    </row>
    <row r="6" spans="1:56" ht="12.75" customHeight="1" x14ac:dyDescent="0.2">
      <c r="A6" t="s">
        <v>361</v>
      </c>
      <c r="F6">
        <f>F5</f>
        <v>269</v>
      </c>
      <c r="N6">
        <f>N5+30</f>
        <v>30</v>
      </c>
      <c r="T6" s="3"/>
      <c r="U6" s="3"/>
      <c r="V6" s="9"/>
      <c r="W6" s="9"/>
      <c r="X6" s="9"/>
      <c r="Y6" s="9"/>
      <c r="Z6" s="9"/>
      <c r="AA6" s="9"/>
      <c r="AB6" s="3"/>
      <c r="AC6" s="9"/>
      <c r="AD6" s="9"/>
      <c r="AE6" s="8"/>
      <c r="AF6" s="8"/>
      <c r="AG6" s="8"/>
      <c r="AH6" s="9"/>
      <c r="AI6" s="8"/>
      <c r="AJ6" s="8"/>
      <c r="AK6" s="8"/>
      <c r="AL6" s="8"/>
      <c r="AM6" s="9"/>
      <c r="AN6" s="9"/>
      <c r="AO6" s="8"/>
      <c r="AP6" s="9"/>
      <c r="AQ6">
        <f>AQ5+16</f>
        <v>352</v>
      </c>
      <c r="AR6">
        <f>AR5</f>
        <v>480</v>
      </c>
    </row>
    <row r="7" spans="1:56" ht="12.75" customHeight="1" x14ac:dyDescent="0.2">
      <c r="A7" s="81" t="s">
        <v>496</v>
      </c>
      <c r="F7" s="81">
        <v>242</v>
      </c>
      <c r="T7" s="3"/>
      <c r="U7" s="3"/>
      <c r="V7" s="9"/>
      <c r="W7" s="9"/>
      <c r="X7" s="9"/>
      <c r="Y7" s="9"/>
      <c r="Z7" s="9"/>
      <c r="AA7" s="9"/>
      <c r="AB7" s="3"/>
      <c r="AC7" s="9"/>
      <c r="AD7" s="9"/>
      <c r="AE7" s="8"/>
      <c r="AF7" s="8"/>
      <c r="AG7" s="8"/>
      <c r="AH7" s="9"/>
      <c r="AI7" s="8"/>
      <c r="AJ7" s="8"/>
      <c r="AK7" s="8"/>
      <c r="AL7" s="8"/>
      <c r="AM7" s="9"/>
      <c r="AN7" s="9"/>
      <c r="AO7" s="8"/>
      <c r="AP7" s="9"/>
      <c r="AQ7" s="81">
        <v>243</v>
      </c>
      <c r="AR7" s="81">
        <v>489</v>
      </c>
      <c r="BA7" s="94">
        <v>0.6</v>
      </c>
      <c r="BB7" s="95">
        <v>0.66600000000000004</v>
      </c>
      <c r="BC7" s="95">
        <v>0.33400000000000002</v>
      </c>
    </row>
    <row r="8" spans="1:56" ht="12.75" customHeight="1" x14ac:dyDescent="0.2">
      <c r="A8" s="81" t="s">
        <v>497</v>
      </c>
      <c r="F8">
        <v>269</v>
      </c>
      <c r="T8" s="3"/>
      <c r="U8" s="3"/>
      <c r="V8" s="9"/>
      <c r="W8" s="9"/>
      <c r="X8" s="9"/>
      <c r="Y8" s="9"/>
      <c r="Z8" s="9"/>
      <c r="AA8" s="9"/>
      <c r="AB8" s="3"/>
      <c r="AC8" s="9"/>
      <c r="AD8" s="9"/>
      <c r="AE8" s="8"/>
      <c r="AF8" s="8"/>
      <c r="AG8" s="8"/>
      <c r="AH8" s="9"/>
      <c r="AI8" s="8"/>
      <c r="AJ8" s="8"/>
      <c r="AK8" s="8"/>
      <c r="AL8" s="8"/>
      <c r="AM8" s="9"/>
      <c r="AN8" s="9"/>
      <c r="AO8" s="8"/>
      <c r="AP8" s="9"/>
      <c r="AQ8">
        <v>305</v>
      </c>
      <c r="AR8">
        <v>489</v>
      </c>
      <c r="BA8" s="94">
        <v>0.6</v>
      </c>
      <c r="BB8" s="95">
        <v>0.66600000000000004</v>
      </c>
      <c r="BC8" s="95">
        <v>0.33400000000000002</v>
      </c>
    </row>
    <row r="9" spans="1:56" ht="12.75" customHeight="1" x14ac:dyDescent="0.2">
      <c r="A9" s="81" t="s">
        <v>168</v>
      </c>
      <c r="F9">
        <f>F8</f>
        <v>269</v>
      </c>
      <c r="N9">
        <f>N8+30</f>
        <v>30</v>
      </c>
      <c r="T9" s="3"/>
      <c r="U9" s="3"/>
      <c r="V9" s="9"/>
      <c r="W9" s="9"/>
      <c r="X9" s="9"/>
      <c r="Y9" s="9"/>
      <c r="Z9" s="9"/>
      <c r="AA9" s="9"/>
      <c r="AB9" s="3"/>
      <c r="AC9" s="9"/>
      <c r="AD9" s="9"/>
      <c r="AE9" s="8"/>
      <c r="AF9" s="8"/>
      <c r="AG9" s="8"/>
      <c r="AH9" s="9"/>
      <c r="AI9" s="8"/>
      <c r="AJ9" s="8"/>
      <c r="AK9" s="8"/>
      <c r="AL9" s="8"/>
      <c r="AM9" s="9"/>
      <c r="AN9" s="9"/>
      <c r="AO9" s="8"/>
      <c r="AP9" s="9"/>
      <c r="AQ9">
        <f>AQ8+39</f>
        <v>344</v>
      </c>
      <c r="AR9">
        <f>AR8</f>
        <v>489</v>
      </c>
      <c r="BA9" s="94">
        <v>0.6</v>
      </c>
      <c r="BB9" s="95">
        <v>0.66600000000000004</v>
      </c>
      <c r="BC9" s="95">
        <v>0.33400000000000002</v>
      </c>
    </row>
    <row r="10" spans="1:56" ht="12.75" customHeight="1" x14ac:dyDescent="0.2">
      <c r="A10" t="s">
        <v>363</v>
      </c>
      <c r="F10">
        <v>250</v>
      </c>
      <c r="K10">
        <v>20</v>
      </c>
      <c r="L10">
        <v>20</v>
      </c>
      <c r="N10">
        <v>40</v>
      </c>
      <c r="O10">
        <v>30</v>
      </c>
      <c r="T10" s="3"/>
      <c r="U10" s="3"/>
      <c r="V10" s="9"/>
      <c r="W10" s="9"/>
      <c r="X10" s="9"/>
      <c r="Y10" s="9"/>
      <c r="Z10" s="9"/>
      <c r="AA10" s="9"/>
      <c r="AB10" s="3"/>
      <c r="AC10" s="9"/>
      <c r="AD10" s="9"/>
      <c r="AE10" s="8"/>
      <c r="AF10" s="8"/>
      <c r="AG10" s="8"/>
      <c r="AH10" s="9"/>
      <c r="AI10" s="8"/>
      <c r="AJ10" s="8"/>
      <c r="AK10" s="8"/>
      <c r="AL10" s="8"/>
      <c r="AM10" s="9"/>
      <c r="AN10" s="9"/>
      <c r="AO10" s="8"/>
      <c r="AP10" s="9"/>
      <c r="AQ10">
        <v>333</v>
      </c>
      <c r="AR10">
        <v>480</v>
      </c>
    </row>
    <row r="11" spans="1:56" ht="12.75" customHeight="1" x14ac:dyDescent="0.2">
      <c r="A11" t="s">
        <v>498</v>
      </c>
      <c r="F11">
        <v>242</v>
      </c>
      <c r="T11" s="3"/>
      <c r="U11" s="3"/>
      <c r="V11" s="9"/>
      <c r="W11" s="9"/>
      <c r="X11" s="9"/>
      <c r="Y11" s="9"/>
      <c r="Z11" s="9"/>
      <c r="AA11" s="9"/>
      <c r="AB11" s="3"/>
      <c r="AC11" s="9"/>
      <c r="AD11" s="9"/>
      <c r="AE11" s="8"/>
      <c r="AF11" s="8"/>
      <c r="AG11" s="8"/>
      <c r="AH11" s="9"/>
      <c r="AI11" s="8"/>
      <c r="AJ11" s="8"/>
      <c r="AK11" s="8"/>
      <c r="AL11" s="8"/>
      <c r="AM11" s="9"/>
      <c r="AN11" s="9"/>
      <c r="AO11" s="8"/>
      <c r="AP11" s="9"/>
      <c r="AQ11">
        <v>263</v>
      </c>
      <c r="AR11">
        <v>480</v>
      </c>
    </row>
    <row r="12" spans="1:56" ht="12.75" customHeight="1" x14ac:dyDescent="0.2">
      <c r="A12" t="s">
        <v>499</v>
      </c>
      <c r="F12">
        <f>F11</f>
        <v>242</v>
      </c>
      <c r="N12">
        <f>N11+70</f>
        <v>70</v>
      </c>
      <c r="T12" s="3"/>
      <c r="U12" s="3"/>
      <c r="V12" s="9"/>
      <c r="W12" s="9"/>
      <c r="X12" s="9"/>
      <c r="Y12" s="9"/>
      <c r="Z12" s="9"/>
      <c r="AA12" s="9"/>
      <c r="AB12" s="3"/>
      <c r="AC12" s="9"/>
      <c r="AD12" s="9"/>
      <c r="AE12" s="8"/>
      <c r="AF12" s="8"/>
      <c r="AG12" s="8"/>
      <c r="AH12" s="9">
        <f>AH11+10%</f>
        <v>0.1</v>
      </c>
      <c r="AI12" s="8"/>
      <c r="AJ12" s="8"/>
      <c r="AK12" s="8"/>
      <c r="AL12" s="8"/>
      <c r="AM12" s="9"/>
      <c r="AN12" s="9"/>
      <c r="AO12" s="8"/>
      <c r="AP12" s="9"/>
      <c r="AQ12">
        <f>AQ11</f>
        <v>263</v>
      </c>
      <c r="AR12">
        <f>AR11</f>
        <v>480</v>
      </c>
    </row>
    <row r="13" spans="1:56" ht="12.75" customHeight="1" x14ac:dyDescent="0.2">
      <c r="A13" t="s">
        <v>500</v>
      </c>
      <c r="F13" s="81">
        <v>242</v>
      </c>
      <c r="O13">
        <v>34</v>
      </c>
      <c r="T13" s="3"/>
      <c r="U13" s="3"/>
      <c r="V13" s="9"/>
      <c r="W13" s="9">
        <v>0.04</v>
      </c>
      <c r="X13" s="9"/>
      <c r="Y13" s="9"/>
      <c r="Z13" s="9"/>
      <c r="AA13" s="9"/>
      <c r="AB13" s="3"/>
      <c r="AC13" s="9"/>
      <c r="AD13" s="9"/>
      <c r="AE13" s="8">
        <v>11</v>
      </c>
      <c r="AF13" s="8"/>
      <c r="AG13" s="8"/>
      <c r="AH13" s="9"/>
      <c r="AI13" s="8"/>
      <c r="AJ13" s="8"/>
      <c r="AK13" s="8"/>
      <c r="AL13" s="8"/>
      <c r="AM13" s="9"/>
      <c r="AN13" s="9"/>
      <c r="AO13" s="8"/>
      <c r="AP13" s="9"/>
      <c r="AQ13">
        <v>299</v>
      </c>
      <c r="AR13">
        <v>475</v>
      </c>
    </row>
    <row r="14" spans="1:56" ht="12.75" x14ac:dyDescent="0.2">
      <c r="A14" s="81" t="s">
        <v>501</v>
      </c>
      <c r="F14" s="81">
        <v>269</v>
      </c>
      <c r="G14" s="81"/>
      <c r="N14" s="81">
        <v>50</v>
      </c>
      <c r="O14" s="81"/>
      <c r="AB14" s="81"/>
      <c r="AE14" s="81"/>
      <c r="AQ14" s="81">
        <v>346</v>
      </c>
      <c r="AR14" s="81">
        <v>480</v>
      </c>
    </row>
    <row r="15" spans="1:56" ht="12.75" x14ac:dyDescent="0.2">
      <c r="A15" s="81" t="s">
        <v>502</v>
      </c>
      <c r="F15" s="81">
        <v>255</v>
      </c>
      <c r="G15" s="81"/>
      <c r="N15" s="81">
        <v>40</v>
      </c>
      <c r="O15" s="81"/>
      <c r="AB15" s="81"/>
      <c r="AE15" s="81"/>
      <c r="AQ15" s="81">
        <v>341</v>
      </c>
      <c r="AR15" s="81">
        <v>480</v>
      </c>
    </row>
    <row r="16" spans="1:56" ht="12.75" x14ac:dyDescent="0.2">
      <c r="A16" s="81" t="s">
        <v>169</v>
      </c>
      <c r="F16" s="81">
        <v>242</v>
      </c>
      <c r="G16" s="81">
        <v>25</v>
      </c>
      <c r="N16" s="81">
        <v>42</v>
      </c>
      <c r="O16" s="81">
        <v>48</v>
      </c>
      <c r="AB16" s="81">
        <v>71</v>
      </c>
      <c r="AE16" s="81">
        <v>6</v>
      </c>
      <c r="AQ16" s="81">
        <v>323</v>
      </c>
      <c r="AR16" s="81">
        <v>456</v>
      </c>
    </row>
    <row r="17" spans="1:56" ht="12.75" customHeight="1" x14ac:dyDescent="0.2">
      <c r="T17" s="3"/>
      <c r="U17" s="3"/>
      <c r="V17" s="9"/>
      <c r="W17" s="9"/>
      <c r="X17" s="9"/>
      <c r="Y17" s="9"/>
      <c r="Z17" s="9"/>
      <c r="AA17" s="9"/>
      <c r="AB17" s="3"/>
      <c r="AC17" s="9"/>
      <c r="AD17" s="9"/>
      <c r="AE17" s="8"/>
      <c r="AF17" s="8"/>
      <c r="AG17" s="8"/>
      <c r="AH17" s="9"/>
      <c r="AI17" s="8"/>
      <c r="AJ17" s="8"/>
      <c r="AK17" s="8"/>
      <c r="AL17" s="8"/>
      <c r="AM17" s="9"/>
      <c r="AN17" s="9"/>
      <c r="AO17" s="8"/>
      <c r="AP17" s="9"/>
    </row>
    <row r="18" spans="1:56" ht="12.75" customHeight="1" x14ac:dyDescent="0.2">
      <c r="T18" s="3"/>
      <c r="U18" s="3"/>
      <c r="V18" s="9"/>
      <c r="W18" s="9"/>
      <c r="X18" s="9"/>
      <c r="Y18" s="9"/>
      <c r="Z18" s="9"/>
      <c r="AA18" s="9"/>
      <c r="AB18" s="3"/>
      <c r="AC18" s="9"/>
      <c r="AD18" s="9"/>
      <c r="AE18" s="8"/>
      <c r="AF18" s="8"/>
      <c r="AG18" s="8"/>
      <c r="AH18" s="9"/>
      <c r="AI18" s="8"/>
      <c r="AJ18" s="8"/>
      <c r="AK18" s="8"/>
      <c r="AL18" s="8"/>
      <c r="AM18" s="9"/>
      <c r="AN18" s="9"/>
      <c r="AO18" s="8"/>
      <c r="AP18" s="9"/>
    </row>
    <row r="19" spans="1:56" ht="12.75" customHeight="1" x14ac:dyDescent="0.2">
      <c r="A19" s="3" t="s">
        <v>503</v>
      </c>
      <c r="B19" t="s">
        <v>477</v>
      </c>
      <c r="C19" t="s">
        <v>478</v>
      </c>
      <c r="D19" t="s">
        <v>479</v>
      </c>
      <c r="E19" t="s">
        <v>480</v>
      </c>
      <c r="F19" s="3" t="s">
        <v>481</v>
      </c>
      <c r="G19" t="s">
        <v>30</v>
      </c>
      <c r="H19" t="s">
        <v>33</v>
      </c>
      <c r="I19" t="s">
        <v>29</v>
      </c>
      <c r="J19" t="s">
        <v>32</v>
      </c>
      <c r="K19" t="s">
        <v>153</v>
      </c>
      <c r="L19" t="s">
        <v>154</v>
      </c>
      <c r="M19" t="s">
        <v>482</v>
      </c>
      <c r="N19" t="s">
        <v>120</v>
      </c>
      <c r="O19" t="s">
        <v>156</v>
      </c>
      <c r="P19" t="s">
        <v>157</v>
      </c>
      <c r="Q19" t="s">
        <v>483</v>
      </c>
      <c r="R19" t="s">
        <v>484</v>
      </c>
      <c r="S19" t="s">
        <v>485</v>
      </c>
      <c r="T19" s="3" t="s">
        <v>486</v>
      </c>
      <c r="U19" s="3" t="s">
        <v>487</v>
      </c>
      <c r="V19" s="9" t="s">
        <v>158</v>
      </c>
      <c r="W19" s="9" t="s">
        <v>159</v>
      </c>
      <c r="X19" s="9" t="s">
        <v>160</v>
      </c>
      <c r="Y19" s="9" t="s">
        <v>488</v>
      </c>
      <c r="Z19" s="9" t="s">
        <v>161</v>
      </c>
      <c r="AA19" s="9" t="s">
        <v>165</v>
      </c>
      <c r="AB19" t="s">
        <v>164</v>
      </c>
      <c r="AC19" s="9" t="s">
        <v>162</v>
      </c>
      <c r="AD19" s="9" t="s">
        <v>163</v>
      </c>
      <c r="AE19" s="8" t="s">
        <v>166</v>
      </c>
      <c r="AF19" s="8" t="s">
        <v>130</v>
      </c>
      <c r="AG19" s="8" t="s">
        <v>205</v>
      </c>
      <c r="AH19" s="9" t="s">
        <v>207</v>
      </c>
      <c r="AI19" s="8" t="s">
        <v>208</v>
      </c>
      <c r="AJ19" s="8" t="s">
        <v>489</v>
      </c>
      <c r="AK19" s="8" t="s">
        <v>135</v>
      </c>
      <c r="AL19" s="8" t="s">
        <v>206</v>
      </c>
      <c r="AM19" s="9" t="s">
        <v>490</v>
      </c>
      <c r="AN19" s="3"/>
      <c r="AO19" s="8" t="s">
        <v>37</v>
      </c>
      <c r="AP19" s="9" t="s">
        <v>155</v>
      </c>
      <c r="AQ19" t="s">
        <v>439</v>
      </c>
      <c r="AR19" t="s">
        <v>491</v>
      </c>
      <c r="AS19" t="s">
        <v>492</v>
      </c>
      <c r="AT19" t="s">
        <v>455</v>
      </c>
      <c r="AU19" t="s">
        <v>456</v>
      </c>
      <c r="AV19" t="s">
        <v>457</v>
      </c>
      <c r="AW19" t="s">
        <v>459</v>
      </c>
      <c r="AX19" t="s">
        <v>460</v>
      </c>
      <c r="AY19" t="s">
        <v>461</v>
      </c>
      <c r="AZ19" t="s">
        <v>462</v>
      </c>
      <c r="BA19" t="s">
        <v>394</v>
      </c>
      <c r="BB19" t="s">
        <v>398</v>
      </c>
      <c r="BC19" t="s">
        <v>400</v>
      </c>
      <c r="BD19" t="s">
        <v>493</v>
      </c>
    </row>
    <row r="20" spans="1:56" ht="12.75" customHeight="1" x14ac:dyDescent="0.2">
      <c r="A20" s="3" t="s">
        <v>365</v>
      </c>
      <c r="F20" s="3">
        <v>250</v>
      </c>
      <c r="G20">
        <v>20</v>
      </c>
      <c r="H20">
        <v>20</v>
      </c>
      <c r="I20">
        <v>20</v>
      </c>
      <c r="N20">
        <v>40</v>
      </c>
      <c r="O20">
        <v>30</v>
      </c>
      <c r="T20" s="3"/>
      <c r="U20" s="3"/>
      <c r="V20" s="9"/>
      <c r="W20" s="9"/>
      <c r="X20" s="9"/>
      <c r="Y20" s="9"/>
      <c r="Z20" s="9"/>
      <c r="AA20" s="9"/>
      <c r="AB20" s="3"/>
      <c r="AC20" s="9"/>
      <c r="AD20" s="9"/>
      <c r="AE20" s="8"/>
      <c r="AF20" s="8"/>
      <c r="AG20" s="8">
        <v>750</v>
      </c>
      <c r="AH20" s="9"/>
      <c r="AI20" s="8"/>
      <c r="AJ20" s="8"/>
      <c r="AK20" s="8"/>
      <c r="AL20" s="8"/>
      <c r="AM20" s="9"/>
      <c r="AO20" s="8"/>
      <c r="AP20" s="9"/>
      <c r="AQ20">
        <v>359</v>
      </c>
      <c r="AR20">
        <v>508</v>
      </c>
    </row>
    <row r="21" spans="1:56" ht="12.75" customHeight="1" x14ac:dyDescent="0.2">
      <c r="T21" s="3"/>
      <c r="U21" s="3"/>
      <c r="V21" s="9"/>
      <c r="W21" s="9"/>
      <c r="X21" s="9"/>
      <c r="Y21" s="9"/>
      <c r="Z21" s="9"/>
      <c r="AA21" s="9"/>
      <c r="AB21" s="3"/>
      <c r="AC21" s="9"/>
      <c r="AD21" s="9"/>
      <c r="AE21" s="8"/>
      <c r="AF21" s="8"/>
      <c r="AG21" s="8"/>
      <c r="AH21" s="9"/>
      <c r="AI21" s="8"/>
      <c r="AJ21" s="8"/>
      <c r="AK21" s="8"/>
      <c r="AL21" s="8"/>
      <c r="AM21" s="9"/>
      <c r="AN21" s="9"/>
      <c r="AO21" s="8"/>
      <c r="AP21" s="9"/>
    </row>
    <row r="22" spans="1:56" ht="12.75" customHeight="1" x14ac:dyDescent="0.2">
      <c r="T22" s="3"/>
      <c r="U22" s="3"/>
      <c r="V22" s="9"/>
      <c r="W22" s="9"/>
      <c r="X22" s="9"/>
      <c r="Y22" s="9"/>
      <c r="Z22" s="9"/>
      <c r="AA22" s="9"/>
      <c r="AB22" s="3"/>
      <c r="AC22" s="9"/>
      <c r="AD22" s="9"/>
      <c r="AE22" s="8"/>
      <c r="AF22" s="8"/>
      <c r="AG22" s="8"/>
      <c r="AH22" s="9"/>
      <c r="AI22" s="8"/>
      <c r="AJ22" s="8"/>
      <c r="AK22" s="8"/>
      <c r="AL22" s="8"/>
      <c r="AM22" s="9"/>
      <c r="AN22" s="9"/>
      <c r="AO22" s="8"/>
      <c r="AP22" s="9"/>
    </row>
    <row r="23" spans="1:56" ht="12.75" customHeight="1" x14ac:dyDescent="0.2">
      <c r="A23" s="3" t="s">
        <v>504</v>
      </c>
      <c r="B23" t="s">
        <v>477</v>
      </c>
      <c r="C23" t="s">
        <v>478</v>
      </c>
      <c r="D23" t="s">
        <v>479</v>
      </c>
      <c r="E23" t="s">
        <v>480</v>
      </c>
      <c r="F23" s="3" t="s">
        <v>481</v>
      </c>
      <c r="G23" t="s">
        <v>30</v>
      </c>
      <c r="H23" t="s">
        <v>33</v>
      </c>
      <c r="I23" t="s">
        <v>29</v>
      </c>
      <c r="J23" t="s">
        <v>32</v>
      </c>
      <c r="K23" t="s">
        <v>153</v>
      </c>
      <c r="L23" t="s">
        <v>154</v>
      </c>
      <c r="M23" t="s">
        <v>482</v>
      </c>
      <c r="N23" t="s">
        <v>120</v>
      </c>
      <c r="O23" t="s">
        <v>156</v>
      </c>
      <c r="P23" t="s">
        <v>157</v>
      </c>
      <c r="Q23" t="s">
        <v>483</v>
      </c>
      <c r="R23" t="s">
        <v>484</v>
      </c>
      <c r="S23" t="s">
        <v>485</v>
      </c>
      <c r="T23" s="3" t="s">
        <v>486</v>
      </c>
      <c r="U23" s="3" t="s">
        <v>487</v>
      </c>
      <c r="V23" s="9" t="s">
        <v>158</v>
      </c>
      <c r="W23" s="9" t="s">
        <v>159</v>
      </c>
      <c r="X23" s="9" t="s">
        <v>160</v>
      </c>
      <c r="Y23" s="9" t="s">
        <v>488</v>
      </c>
      <c r="Z23" s="9" t="s">
        <v>161</v>
      </c>
      <c r="AA23" s="9" t="s">
        <v>165</v>
      </c>
      <c r="AB23" t="s">
        <v>164</v>
      </c>
      <c r="AC23" s="9" t="s">
        <v>162</v>
      </c>
      <c r="AD23" s="9" t="s">
        <v>163</v>
      </c>
      <c r="AE23" s="8" t="s">
        <v>166</v>
      </c>
      <c r="AF23" s="8" t="s">
        <v>130</v>
      </c>
      <c r="AG23" s="8" t="s">
        <v>205</v>
      </c>
      <c r="AH23" s="9" t="s">
        <v>207</v>
      </c>
      <c r="AI23" s="8" t="s">
        <v>208</v>
      </c>
      <c r="AJ23" s="8" t="s">
        <v>489</v>
      </c>
      <c r="AK23" s="8" t="s">
        <v>135</v>
      </c>
      <c r="AL23" s="8" t="s">
        <v>206</v>
      </c>
      <c r="AM23" s="9" t="s">
        <v>490</v>
      </c>
      <c r="AN23" s="3"/>
      <c r="AO23" s="8" t="s">
        <v>37</v>
      </c>
      <c r="AP23" s="9" t="s">
        <v>155</v>
      </c>
      <c r="AQ23" t="s">
        <v>439</v>
      </c>
      <c r="AR23" t="s">
        <v>491</v>
      </c>
      <c r="AS23" t="s">
        <v>492</v>
      </c>
      <c r="AT23" t="s">
        <v>455</v>
      </c>
      <c r="AU23" t="s">
        <v>456</v>
      </c>
      <c r="AV23" t="s">
        <v>457</v>
      </c>
      <c r="AW23" t="s">
        <v>459</v>
      </c>
      <c r="AX23" t="s">
        <v>460</v>
      </c>
      <c r="AY23" t="s">
        <v>461</v>
      </c>
      <c r="AZ23" t="s">
        <v>462</v>
      </c>
      <c r="BA23" t="s">
        <v>394</v>
      </c>
      <c r="BB23" t="s">
        <v>398</v>
      </c>
      <c r="BC23" t="s">
        <v>400</v>
      </c>
      <c r="BD23" t="s">
        <v>493</v>
      </c>
    </row>
    <row r="24" spans="1:56" ht="12.75" customHeight="1" x14ac:dyDescent="0.2">
      <c r="A24" t="s">
        <v>51</v>
      </c>
      <c r="T24" s="3"/>
      <c r="U24" s="3"/>
      <c r="V24" s="9"/>
      <c r="W24" s="9"/>
      <c r="X24" s="9"/>
      <c r="Y24" s="9"/>
      <c r="Z24" s="9"/>
      <c r="AA24" s="9"/>
      <c r="AB24" s="3"/>
      <c r="AC24" s="9"/>
      <c r="AD24" s="9"/>
      <c r="AE24" s="8"/>
      <c r="AF24" s="8"/>
      <c r="AG24" s="8"/>
      <c r="AH24" s="9"/>
      <c r="AI24" s="8"/>
      <c r="AJ24" s="8"/>
      <c r="AK24" s="8"/>
      <c r="AL24" s="8"/>
      <c r="AM24" s="9"/>
      <c r="AN24" s="9"/>
      <c r="AO24" s="8"/>
      <c r="AP24" s="9"/>
      <c r="AQ24">
        <v>0</v>
      </c>
      <c r="AR24">
        <v>0</v>
      </c>
    </row>
    <row r="25" spans="1:56" ht="12.75" customHeight="1" x14ac:dyDescent="0.2">
      <c r="A25" t="s">
        <v>367</v>
      </c>
      <c r="F25">
        <v>250</v>
      </c>
      <c r="H25">
        <v>15</v>
      </c>
      <c r="K25">
        <v>15</v>
      </c>
      <c r="L25">
        <v>15</v>
      </c>
      <c r="N25">
        <v>40</v>
      </c>
      <c r="O25">
        <v>30</v>
      </c>
      <c r="V25" s="9"/>
      <c r="W25" s="9"/>
      <c r="X25" s="9"/>
      <c r="Y25" s="9"/>
      <c r="Z25" s="9"/>
      <c r="AA25" s="9"/>
      <c r="AB25" s="3"/>
      <c r="AC25" s="9"/>
      <c r="AD25" s="9"/>
      <c r="AE25" s="8"/>
      <c r="AF25" s="8"/>
      <c r="AG25" s="8"/>
      <c r="AH25" s="9"/>
      <c r="AI25" s="8"/>
      <c r="AJ25" s="8"/>
      <c r="AK25" s="8"/>
      <c r="AL25" s="8"/>
      <c r="AM25" s="9"/>
      <c r="AN25" s="3"/>
      <c r="AO25" s="8"/>
      <c r="AP25" s="9"/>
      <c r="AQ25">
        <v>166</v>
      </c>
      <c r="AR25">
        <v>240</v>
      </c>
    </row>
    <row r="26" spans="1:56" ht="12.75" customHeight="1" x14ac:dyDescent="0.2">
      <c r="T26" s="3"/>
      <c r="U26" s="3"/>
      <c r="V26" s="9"/>
      <c r="W26" s="9"/>
      <c r="X26" s="9"/>
      <c r="Y26" s="9"/>
      <c r="Z26" s="9"/>
      <c r="AA26" s="9"/>
      <c r="AB26" s="3"/>
      <c r="AC26" s="9"/>
      <c r="AD26" s="9"/>
      <c r="AE26" s="8"/>
      <c r="AF26" s="8"/>
      <c r="AG26" s="8"/>
      <c r="AH26" s="9"/>
      <c r="AI26" s="8"/>
      <c r="AJ26" s="8"/>
      <c r="AK26" s="8"/>
      <c r="AL26" s="8"/>
      <c r="AM26" s="9"/>
      <c r="AN26" s="9"/>
      <c r="AO26" s="8"/>
      <c r="AP26" s="9"/>
    </row>
    <row r="27" spans="1:56" ht="12.75" customHeight="1" x14ac:dyDescent="0.2">
      <c r="T27" s="3"/>
      <c r="U27" s="3"/>
      <c r="V27" s="9"/>
      <c r="W27" s="9"/>
      <c r="X27" s="9"/>
      <c r="Y27" s="9"/>
      <c r="Z27" s="9"/>
      <c r="AA27" s="9"/>
      <c r="AB27" s="3"/>
      <c r="AC27" s="9"/>
      <c r="AD27" s="9"/>
      <c r="AE27" s="8"/>
      <c r="AF27" s="8"/>
      <c r="AG27" s="8"/>
      <c r="AH27" s="9"/>
      <c r="AI27" s="8"/>
      <c r="AJ27" s="8"/>
      <c r="AK27" s="8"/>
      <c r="AL27" s="8"/>
      <c r="AM27" s="9"/>
      <c r="AN27" s="9"/>
      <c r="AO27" s="8"/>
      <c r="AP27" s="9"/>
    </row>
    <row r="28" spans="1:56" ht="12.75" customHeight="1" x14ac:dyDescent="0.2">
      <c r="A28" s="3" t="s">
        <v>505</v>
      </c>
      <c r="B28" t="s">
        <v>477</v>
      </c>
      <c r="C28" t="s">
        <v>478</v>
      </c>
      <c r="D28" t="s">
        <v>479</v>
      </c>
      <c r="E28" t="s">
        <v>480</v>
      </c>
      <c r="F28" s="3" t="s">
        <v>481</v>
      </c>
      <c r="G28" t="s">
        <v>30</v>
      </c>
      <c r="H28" t="s">
        <v>33</v>
      </c>
      <c r="I28" t="s">
        <v>29</v>
      </c>
      <c r="J28" t="s">
        <v>32</v>
      </c>
      <c r="K28" t="s">
        <v>153</v>
      </c>
      <c r="L28" t="s">
        <v>154</v>
      </c>
      <c r="M28" t="s">
        <v>482</v>
      </c>
      <c r="N28" t="s">
        <v>120</v>
      </c>
      <c r="O28" t="s">
        <v>156</v>
      </c>
      <c r="P28" t="s">
        <v>157</v>
      </c>
      <c r="Q28" t="s">
        <v>483</v>
      </c>
      <c r="R28" t="s">
        <v>484</v>
      </c>
      <c r="S28" t="s">
        <v>485</v>
      </c>
      <c r="T28" s="3" t="s">
        <v>486</v>
      </c>
      <c r="U28" s="3" t="s">
        <v>487</v>
      </c>
      <c r="V28" s="9" t="s">
        <v>158</v>
      </c>
      <c r="W28" s="9" t="s">
        <v>159</v>
      </c>
      <c r="X28" s="9" t="s">
        <v>160</v>
      </c>
      <c r="Y28" s="9" t="s">
        <v>488</v>
      </c>
      <c r="Z28" s="9" t="s">
        <v>161</v>
      </c>
      <c r="AA28" s="9" t="s">
        <v>165</v>
      </c>
      <c r="AB28" t="s">
        <v>164</v>
      </c>
      <c r="AC28" s="9" t="s">
        <v>162</v>
      </c>
      <c r="AD28" s="9" t="s">
        <v>163</v>
      </c>
      <c r="AE28" s="8" t="s">
        <v>166</v>
      </c>
      <c r="AF28" s="8" t="s">
        <v>130</v>
      </c>
      <c r="AG28" s="8" t="s">
        <v>205</v>
      </c>
      <c r="AH28" s="9" t="s">
        <v>207</v>
      </c>
      <c r="AI28" s="8" t="s">
        <v>208</v>
      </c>
      <c r="AJ28" s="8" t="s">
        <v>489</v>
      </c>
      <c r="AK28" s="8" t="s">
        <v>135</v>
      </c>
      <c r="AL28" s="8" t="s">
        <v>206</v>
      </c>
      <c r="AM28" s="9" t="s">
        <v>490</v>
      </c>
      <c r="AN28" s="3"/>
      <c r="AO28" s="8" t="s">
        <v>37</v>
      </c>
      <c r="AP28" s="9" t="s">
        <v>155</v>
      </c>
      <c r="AQ28" t="s">
        <v>439</v>
      </c>
      <c r="AR28" t="s">
        <v>491</v>
      </c>
      <c r="AS28" t="s">
        <v>492</v>
      </c>
      <c r="AT28" t="s">
        <v>455</v>
      </c>
      <c r="AU28" t="s">
        <v>456</v>
      </c>
      <c r="AV28" t="s">
        <v>457</v>
      </c>
      <c r="AW28" t="s">
        <v>459</v>
      </c>
      <c r="AX28" t="s">
        <v>460</v>
      </c>
      <c r="AY28" t="s">
        <v>461</v>
      </c>
      <c r="AZ28" t="s">
        <v>462</v>
      </c>
      <c r="BA28" t="s">
        <v>394</v>
      </c>
      <c r="BB28" t="s">
        <v>398</v>
      </c>
      <c r="BC28" t="s">
        <v>400</v>
      </c>
      <c r="BD28" t="s">
        <v>493</v>
      </c>
    </row>
    <row r="29" spans="1:56" ht="12.75" customHeight="1" x14ac:dyDescent="0.2">
      <c r="A29" t="s">
        <v>51</v>
      </c>
      <c r="T29" s="3"/>
      <c r="U29" s="3"/>
      <c r="V29" s="9"/>
      <c r="W29" s="9"/>
      <c r="X29" s="9"/>
      <c r="Y29" s="9"/>
      <c r="Z29" s="9"/>
      <c r="AA29" s="9"/>
      <c r="AB29" s="3"/>
      <c r="AC29" s="9"/>
      <c r="AD29" s="9"/>
      <c r="AE29" s="8"/>
      <c r="AF29" s="8"/>
      <c r="AG29" s="8"/>
      <c r="AH29" s="9"/>
      <c r="AI29" s="8"/>
      <c r="AJ29" s="8"/>
      <c r="AK29" s="8"/>
      <c r="AL29" s="8"/>
      <c r="AM29" s="9"/>
      <c r="AN29" s="9"/>
      <c r="AO29" s="8"/>
      <c r="AP29" s="9"/>
      <c r="AQ29">
        <v>0</v>
      </c>
      <c r="AR29">
        <v>0</v>
      </c>
    </row>
    <row r="30" spans="1:56" ht="12.75" customHeight="1" x14ac:dyDescent="0.2">
      <c r="A30" t="s">
        <v>369</v>
      </c>
      <c r="F30">
        <v>250</v>
      </c>
      <c r="H30">
        <v>15</v>
      </c>
      <c r="K30">
        <v>15</v>
      </c>
      <c r="L30">
        <v>15</v>
      </c>
      <c r="N30">
        <v>40</v>
      </c>
      <c r="O30">
        <v>30</v>
      </c>
      <c r="T30" s="3"/>
      <c r="U30" s="3"/>
      <c r="V30" s="9"/>
      <c r="W30" s="9"/>
      <c r="X30" s="9"/>
      <c r="Y30" s="9"/>
      <c r="Z30" s="9"/>
      <c r="AA30" s="9"/>
      <c r="AB30" s="3"/>
      <c r="AC30" s="9"/>
      <c r="AD30" s="9"/>
      <c r="AE30" s="8"/>
      <c r="AF30" s="8"/>
      <c r="AG30" s="8"/>
      <c r="AH30" s="9"/>
      <c r="AI30" s="8"/>
      <c r="AJ30" s="8"/>
      <c r="AK30" s="8"/>
      <c r="AL30" s="8"/>
      <c r="AM30" s="9"/>
      <c r="AN30" s="9"/>
      <c r="AO30" s="8"/>
      <c r="AP30" s="9"/>
      <c r="AQ30">
        <v>200</v>
      </c>
      <c r="AR30">
        <v>288</v>
      </c>
    </row>
    <row r="31" spans="1:56" ht="12.75" customHeight="1" x14ac:dyDescent="0.2">
      <c r="T31" s="3"/>
      <c r="U31" s="3"/>
      <c r="V31" s="9"/>
      <c r="W31" s="9"/>
      <c r="X31" s="9"/>
      <c r="Y31" s="9"/>
      <c r="Z31" s="9"/>
      <c r="AA31" s="9"/>
      <c r="AB31" s="3"/>
      <c r="AC31" s="9"/>
      <c r="AD31" s="9"/>
      <c r="AE31" s="8"/>
      <c r="AF31" s="8"/>
      <c r="AG31" s="8"/>
      <c r="AH31" s="9"/>
      <c r="AI31" s="8"/>
      <c r="AJ31" s="8"/>
      <c r="AK31" s="8"/>
      <c r="AL31" s="8"/>
      <c r="AM31" s="9"/>
      <c r="AN31" s="9"/>
      <c r="AO31" s="8"/>
      <c r="AP31" s="9"/>
    </row>
    <row r="32" spans="1:56" ht="12.75" customHeight="1" x14ac:dyDescent="0.2">
      <c r="T32" s="3"/>
      <c r="U32" s="3"/>
      <c r="V32" s="9"/>
      <c r="W32" s="9"/>
      <c r="X32" s="9"/>
      <c r="Y32" s="9"/>
      <c r="Z32" s="9"/>
      <c r="AA32" s="9"/>
      <c r="AC32" s="9"/>
      <c r="AD32" s="9"/>
      <c r="AE32" s="8"/>
      <c r="AF32" s="8"/>
      <c r="AG32" s="8"/>
      <c r="AH32" s="9"/>
      <c r="AI32" s="8"/>
      <c r="AJ32" s="8"/>
      <c r="AK32" s="8"/>
      <c r="AL32" s="8"/>
      <c r="AM32" s="9"/>
      <c r="AO32" s="8"/>
      <c r="AP32" s="9"/>
    </row>
    <row r="33" spans="1:64" ht="12.75" customHeight="1" x14ac:dyDescent="0.2">
      <c r="A33" t="s">
        <v>170</v>
      </c>
      <c r="B33" t="s">
        <v>477</v>
      </c>
      <c r="C33" t="s">
        <v>478</v>
      </c>
      <c r="D33" t="s">
        <v>479</v>
      </c>
      <c r="E33" t="s">
        <v>480</v>
      </c>
      <c r="F33" s="3" t="s">
        <v>481</v>
      </c>
      <c r="G33" t="s">
        <v>30</v>
      </c>
      <c r="H33" t="s">
        <v>33</v>
      </c>
      <c r="I33" t="s">
        <v>29</v>
      </c>
      <c r="J33" t="s">
        <v>32</v>
      </c>
      <c r="K33" t="s">
        <v>153</v>
      </c>
      <c r="L33" t="s">
        <v>154</v>
      </c>
      <c r="M33" t="s">
        <v>482</v>
      </c>
      <c r="N33" t="s">
        <v>120</v>
      </c>
      <c r="O33" t="s">
        <v>156</v>
      </c>
      <c r="P33" t="s">
        <v>157</v>
      </c>
      <c r="Q33" t="s">
        <v>483</v>
      </c>
      <c r="R33" t="s">
        <v>484</v>
      </c>
      <c r="S33" t="s">
        <v>485</v>
      </c>
      <c r="T33" s="3" t="s">
        <v>486</v>
      </c>
      <c r="U33" s="3" t="s">
        <v>487</v>
      </c>
      <c r="V33" s="9" t="s">
        <v>158</v>
      </c>
      <c r="W33" s="9" t="s">
        <v>159</v>
      </c>
      <c r="X33" s="9" t="s">
        <v>160</v>
      </c>
      <c r="Y33" s="9" t="s">
        <v>488</v>
      </c>
      <c r="Z33" s="9" t="s">
        <v>161</v>
      </c>
      <c r="AA33" s="9" t="s">
        <v>165</v>
      </c>
      <c r="AB33" t="s">
        <v>164</v>
      </c>
      <c r="AC33" s="9" t="s">
        <v>162</v>
      </c>
      <c r="AD33" s="9" t="s">
        <v>163</v>
      </c>
      <c r="AE33" s="8" t="s">
        <v>166</v>
      </c>
      <c r="AF33" s="8" t="s">
        <v>130</v>
      </c>
      <c r="AG33" s="8" t="s">
        <v>205</v>
      </c>
      <c r="AH33" s="9" t="s">
        <v>207</v>
      </c>
      <c r="AI33" s="8" t="s">
        <v>208</v>
      </c>
      <c r="AJ33" s="8" t="s">
        <v>489</v>
      </c>
      <c r="AK33" s="8" t="s">
        <v>135</v>
      </c>
      <c r="AL33" s="8" t="s">
        <v>206</v>
      </c>
      <c r="AM33" s="9" t="s">
        <v>490</v>
      </c>
      <c r="AN33" s="3"/>
      <c r="AO33" s="8" t="s">
        <v>37</v>
      </c>
      <c r="AP33" s="9" t="s">
        <v>155</v>
      </c>
      <c r="AQ33" t="s">
        <v>439</v>
      </c>
      <c r="AR33" t="s">
        <v>491</v>
      </c>
      <c r="AS33" t="s">
        <v>492</v>
      </c>
      <c r="AT33" t="s">
        <v>455</v>
      </c>
      <c r="AU33" t="s">
        <v>456</v>
      </c>
      <c r="AV33" t="s">
        <v>457</v>
      </c>
      <c r="AW33" t="s">
        <v>459</v>
      </c>
      <c r="AX33" t="s">
        <v>460</v>
      </c>
      <c r="AY33" t="s">
        <v>461</v>
      </c>
      <c r="AZ33" t="s">
        <v>462</v>
      </c>
      <c r="BA33" t="s">
        <v>394</v>
      </c>
      <c r="BB33" t="s">
        <v>398</v>
      </c>
      <c r="BC33" t="s">
        <v>400</v>
      </c>
      <c r="BD33" t="s">
        <v>493</v>
      </c>
    </row>
    <row r="34" spans="1:64" ht="12.75" customHeight="1" x14ac:dyDescent="0.2">
      <c r="A34" t="s">
        <v>51</v>
      </c>
      <c r="T34" s="3"/>
      <c r="U34" s="3"/>
      <c r="V34" s="9"/>
      <c r="W34" s="9"/>
      <c r="X34" s="9"/>
      <c r="Y34" s="9"/>
      <c r="Z34" s="9"/>
      <c r="AA34" s="9"/>
      <c r="AC34" s="9"/>
      <c r="AD34" s="9"/>
      <c r="AE34" s="8"/>
      <c r="AF34" s="8"/>
      <c r="AG34" s="8"/>
      <c r="AH34" s="9"/>
      <c r="AI34" s="8"/>
      <c r="AJ34" s="8"/>
      <c r="AK34" s="8"/>
      <c r="AL34" s="8"/>
      <c r="AM34" s="9"/>
      <c r="AN34" s="9"/>
      <c r="AO34" s="8"/>
      <c r="AP34" s="9"/>
    </row>
    <row r="35" spans="1:64" ht="12.75" customHeight="1" x14ac:dyDescent="0.2">
      <c r="A35" s="3" t="s">
        <v>506</v>
      </c>
      <c r="N35">
        <v>6</v>
      </c>
      <c r="T35" s="3"/>
      <c r="U35" s="3"/>
      <c r="V35" s="9"/>
      <c r="W35" s="9"/>
      <c r="X35" s="9"/>
      <c r="Y35" s="9"/>
      <c r="Z35" s="9"/>
      <c r="AA35" s="9"/>
      <c r="AC35" s="9"/>
      <c r="AD35" s="9"/>
      <c r="AE35" s="8">
        <v>6</v>
      </c>
      <c r="AF35" s="8"/>
      <c r="AG35" s="8"/>
      <c r="AH35" s="9"/>
      <c r="AI35" s="8"/>
      <c r="AJ35" s="8"/>
      <c r="AK35" s="8"/>
      <c r="AL35" s="8"/>
      <c r="AM35" s="9"/>
      <c r="AN35" s="9"/>
      <c r="AO35" s="8"/>
      <c r="AP35" s="9"/>
      <c r="AQ35" s="3"/>
      <c r="AR35" s="3"/>
    </row>
    <row r="36" spans="1:64" ht="12.75" customHeight="1" x14ac:dyDescent="0.2">
      <c r="A36" t="s">
        <v>507</v>
      </c>
      <c r="T36" s="3"/>
      <c r="U36" s="3"/>
      <c r="V36" s="9"/>
      <c r="W36" s="9"/>
      <c r="X36" s="9"/>
      <c r="Y36" s="9"/>
      <c r="Z36" s="9"/>
      <c r="AA36" s="9"/>
      <c r="AC36" s="9">
        <v>0.03</v>
      </c>
      <c r="AD36" s="9"/>
      <c r="AE36" s="8"/>
      <c r="AF36" s="8"/>
      <c r="AG36" s="8"/>
      <c r="AH36" s="9"/>
      <c r="AI36" s="8"/>
      <c r="AJ36" s="8"/>
      <c r="AK36" s="8"/>
      <c r="AL36" s="8"/>
      <c r="AM36" s="9"/>
      <c r="AN36" s="9"/>
      <c r="AO36" s="8"/>
      <c r="AP36" s="9"/>
    </row>
    <row r="37" spans="1:64" ht="12.75" customHeight="1" x14ac:dyDescent="0.2">
      <c r="A37" t="s">
        <v>508</v>
      </c>
      <c r="N37">
        <v>6</v>
      </c>
      <c r="O37">
        <v>6</v>
      </c>
      <c r="T37" s="3"/>
      <c r="U37" s="3"/>
      <c r="V37" s="9">
        <v>0.01</v>
      </c>
      <c r="W37" s="9"/>
      <c r="X37" s="9"/>
      <c r="Y37" s="9"/>
      <c r="Z37" s="9"/>
      <c r="AA37" s="9"/>
      <c r="AC37" s="9"/>
      <c r="AD37" s="9"/>
      <c r="AE37" s="8"/>
      <c r="AF37" s="8"/>
      <c r="AG37" s="8"/>
      <c r="AH37" s="9"/>
      <c r="AI37" s="8"/>
      <c r="AJ37" s="8"/>
      <c r="AK37" s="8"/>
      <c r="AL37" s="8"/>
      <c r="AM37" s="9"/>
      <c r="AN37" s="3"/>
      <c r="AO37" s="8"/>
      <c r="AP37" s="9"/>
    </row>
    <row r="38" spans="1:64" ht="12.75" customHeight="1" x14ac:dyDescent="0.2">
      <c r="A38" t="s">
        <v>509</v>
      </c>
      <c r="T38" s="3"/>
      <c r="U38" s="3"/>
      <c r="V38" s="9">
        <v>0.03</v>
      </c>
      <c r="W38" s="9"/>
      <c r="X38" s="9"/>
      <c r="Y38" s="9"/>
      <c r="Z38" s="9"/>
      <c r="AA38" s="9"/>
      <c r="AC38" s="9"/>
      <c r="AD38" s="9"/>
      <c r="AE38" s="8"/>
      <c r="AF38" s="8"/>
      <c r="AG38" s="8"/>
      <c r="AH38" s="9"/>
      <c r="AI38" s="8"/>
      <c r="AJ38" s="8"/>
      <c r="AK38" s="8"/>
      <c r="AL38" s="8"/>
      <c r="AM38" s="9"/>
      <c r="AN38" s="9"/>
      <c r="AO38" s="8"/>
      <c r="AP38" s="9"/>
    </row>
    <row r="39" spans="1:64" ht="12.75" customHeight="1" x14ac:dyDescent="0.2">
      <c r="A39" s="3" t="s">
        <v>510</v>
      </c>
      <c r="T39" s="3"/>
      <c r="U39" s="3"/>
      <c r="V39" s="9"/>
      <c r="W39" s="9"/>
      <c r="X39" s="9"/>
      <c r="Y39" s="9"/>
      <c r="Z39" s="9"/>
      <c r="AA39" s="9"/>
      <c r="AC39" s="9"/>
      <c r="AD39" s="9"/>
      <c r="AE39" s="8"/>
      <c r="AF39" s="8"/>
      <c r="AG39" s="8"/>
      <c r="AH39" s="9"/>
      <c r="AI39" s="8"/>
      <c r="AJ39" s="8"/>
      <c r="AK39" s="8"/>
      <c r="AL39" s="8"/>
      <c r="AM39" s="9">
        <v>-0.05</v>
      </c>
      <c r="AN39" s="9"/>
      <c r="AO39" s="8"/>
      <c r="AP39" s="9"/>
    </row>
    <row r="40" spans="1:64" ht="12.75" customHeight="1" x14ac:dyDescent="0.2">
      <c r="A40" t="s">
        <v>511</v>
      </c>
      <c r="T40" s="3"/>
      <c r="U40" s="3"/>
      <c r="V40" s="9">
        <v>0.02</v>
      </c>
      <c r="W40" s="9"/>
      <c r="X40" s="9"/>
      <c r="Y40" s="9"/>
      <c r="Z40" s="9"/>
      <c r="AA40" s="9"/>
      <c r="AC40" s="9"/>
      <c r="AD40" s="9"/>
      <c r="AE40" s="8"/>
      <c r="AF40" s="8"/>
      <c r="AG40" s="8"/>
      <c r="AH40" s="9"/>
      <c r="AI40" s="8"/>
      <c r="AJ40" s="8"/>
      <c r="AK40" s="8"/>
      <c r="AL40" s="8"/>
      <c r="AM40" s="9"/>
      <c r="AN40" s="9"/>
      <c r="AO40" s="8"/>
      <c r="AP40" s="9"/>
    </row>
    <row r="41" spans="1:64" ht="12.75" customHeight="1" x14ac:dyDescent="0.2">
      <c r="A41" t="s">
        <v>512</v>
      </c>
      <c r="T41" s="3"/>
      <c r="U41" s="3"/>
      <c r="V41" s="9"/>
      <c r="W41" s="9"/>
      <c r="X41" s="9"/>
      <c r="Y41" s="9"/>
      <c r="Z41" s="9"/>
      <c r="AA41" s="9"/>
      <c r="AC41" s="9"/>
      <c r="AD41" s="9"/>
      <c r="AE41" s="8"/>
      <c r="AF41" s="8"/>
      <c r="AG41" s="8"/>
      <c r="AH41" s="9"/>
      <c r="AI41" s="8"/>
      <c r="AJ41" s="8"/>
      <c r="AK41" s="8"/>
      <c r="AL41" s="8"/>
      <c r="AM41" s="9">
        <v>0.03</v>
      </c>
      <c r="AN41" s="9"/>
      <c r="AO41" s="8"/>
      <c r="AP41" s="9"/>
    </row>
    <row r="42" spans="1:64" ht="12.75" customHeight="1" x14ac:dyDescent="0.2">
      <c r="A42" s="3" t="s">
        <v>513</v>
      </c>
      <c r="T42" s="3"/>
      <c r="U42" s="3"/>
      <c r="V42" s="9"/>
      <c r="W42" s="9"/>
      <c r="X42" s="9"/>
      <c r="Y42" s="9"/>
      <c r="Z42" s="9"/>
      <c r="AA42" s="9"/>
      <c r="AC42" s="9"/>
      <c r="AD42" s="9"/>
      <c r="AE42" s="8"/>
      <c r="AF42" s="8"/>
      <c r="AG42" s="8"/>
      <c r="AH42" s="9"/>
      <c r="AI42" s="8"/>
      <c r="AJ42" s="8"/>
      <c r="AK42" s="8"/>
      <c r="AL42" s="8"/>
      <c r="AM42" s="9">
        <v>-0.03</v>
      </c>
      <c r="AN42" s="9"/>
      <c r="AO42" s="8"/>
      <c r="AP42" s="9"/>
    </row>
    <row r="43" spans="1:64" ht="12.75" customHeight="1" x14ac:dyDescent="0.2">
      <c r="A43" t="s">
        <v>514</v>
      </c>
      <c r="B43">
        <v>4</v>
      </c>
      <c r="D43">
        <v>4</v>
      </c>
      <c r="G43">
        <v>4</v>
      </c>
      <c r="T43" s="3"/>
      <c r="U43" s="3"/>
      <c r="V43" s="9"/>
      <c r="W43" s="9"/>
      <c r="X43" s="9"/>
      <c r="Y43" s="9"/>
      <c r="Z43" s="9"/>
      <c r="AA43" s="9"/>
      <c r="AC43" s="9"/>
      <c r="AD43" s="9"/>
      <c r="AE43" s="8"/>
      <c r="AF43" s="8"/>
      <c r="AG43" s="8"/>
      <c r="AH43" s="9"/>
      <c r="AI43" s="8"/>
      <c r="AJ43" s="8"/>
      <c r="AK43" s="8"/>
      <c r="AL43" s="8"/>
      <c r="AM43" s="9"/>
      <c r="AN43" s="9"/>
      <c r="AO43" s="8"/>
      <c r="AP43" s="9"/>
    </row>
    <row r="44" spans="1:64" ht="12.75" customHeight="1" x14ac:dyDescent="0.2">
      <c r="A44" t="s">
        <v>171</v>
      </c>
      <c r="N44">
        <v>30</v>
      </c>
      <c r="O44">
        <v>30</v>
      </c>
      <c r="V44" s="9"/>
      <c r="W44" s="9"/>
      <c r="X44" s="9"/>
      <c r="Y44" s="9"/>
      <c r="Z44" s="9"/>
      <c r="AA44" s="9"/>
      <c r="AC44" s="9"/>
      <c r="AD44" s="9"/>
      <c r="AE44" s="8"/>
      <c r="AF44" s="8"/>
      <c r="AG44" s="8"/>
      <c r="AH44" s="9"/>
      <c r="AI44" s="8"/>
      <c r="AJ44" s="8"/>
      <c r="AK44" s="8"/>
      <c r="AL44" s="8"/>
      <c r="AM44" s="9"/>
      <c r="AO44" s="8">
        <v>70</v>
      </c>
      <c r="AP44" s="9"/>
    </row>
    <row r="45" spans="1:64" ht="12.75" customHeight="1" x14ac:dyDescent="0.2">
      <c r="T45" s="3"/>
      <c r="U45" s="3"/>
      <c r="V45" s="9"/>
      <c r="W45" s="9"/>
      <c r="X45" s="9"/>
      <c r="Y45" s="9"/>
      <c r="Z45" s="9"/>
      <c r="AA45" s="9"/>
      <c r="AC45" s="9"/>
      <c r="AD45" s="9"/>
      <c r="AE45" s="8"/>
      <c r="AF45" s="8"/>
      <c r="AG45" s="8"/>
      <c r="AH45" s="9"/>
      <c r="AI45" s="8"/>
      <c r="AJ45" s="8"/>
      <c r="AK45" s="8"/>
      <c r="AL45" s="8"/>
      <c r="AM45" s="9"/>
      <c r="AO45" s="8"/>
      <c r="AP45" s="9"/>
    </row>
    <row r="46" spans="1:64" ht="12.75" customHeight="1" x14ac:dyDescent="0.2">
      <c r="T46" s="3"/>
      <c r="U46" s="3"/>
      <c r="V46" s="9"/>
      <c r="W46" s="9"/>
      <c r="X46" s="9"/>
      <c r="Y46" s="9"/>
      <c r="Z46" s="9"/>
      <c r="AA46" s="9"/>
      <c r="AC46" s="9"/>
      <c r="AD46" s="9"/>
      <c r="AE46" s="8"/>
      <c r="AF46" s="8"/>
      <c r="AG46" s="8"/>
      <c r="AH46" s="9"/>
      <c r="AI46" s="8"/>
      <c r="AJ46" s="8"/>
      <c r="AK46" s="8"/>
      <c r="AL46" s="8"/>
      <c r="AM46" s="9"/>
      <c r="AO46" s="8"/>
      <c r="AP46" s="9"/>
    </row>
    <row r="47" spans="1:64" ht="12.75" customHeight="1" x14ac:dyDescent="0.2">
      <c r="A47" t="s">
        <v>172</v>
      </c>
      <c r="B47" t="s">
        <v>477</v>
      </c>
      <c r="C47" t="s">
        <v>478</v>
      </c>
      <c r="D47" t="s">
        <v>479</v>
      </c>
      <c r="E47" t="s">
        <v>480</v>
      </c>
      <c r="F47" s="3" t="s">
        <v>481</v>
      </c>
      <c r="G47" t="s">
        <v>30</v>
      </c>
      <c r="H47" t="s">
        <v>33</v>
      </c>
      <c r="I47" t="s">
        <v>29</v>
      </c>
      <c r="J47" t="s">
        <v>32</v>
      </c>
      <c r="K47" t="s">
        <v>153</v>
      </c>
      <c r="L47" t="s">
        <v>154</v>
      </c>
      <c r="M47" t="s">
        <v>482</v>
      </c>
      <c r="N47" t="s">
        <v>120</v>
      </c>
      <c r="O47" t="s">
        <v>156</v>
      </c>
      <c r="P47" t="s">
        <v>157</v>
      </c>
      <c r="Q47" t="s">
        <v>483</v>
      </c>
      <c r="R47" t="s">
        <v>484</v>
      </c>
      <c r="S47" t="s">
        <v>485</v>
      </c>
      <c r="T47" s="3" t="s">
        <v>486</v>
      </c>
      <c r="U47" s="3" t="s">
        <v>487</v>
      </c>
      <c r="V47" s="9" t="s">
        <v>158</v>
      </c>
      <c r="W47" s="9" t="s">
        <v>159</v>
      </c>
      <c r="X47" s="9" t="s">
        <v>160</v>
      </c>
      <c r="Y47" s="9" t="s">
        <v>488</v>
      </c>
      <c r="Z47" s="9" t="s">
        <v>161</v>
      </c>
      <c r="AA47" s="9" t="s">
        <v>165</v>
      </c>
      <c r="AB47" t="s">
        <v>164</v>
      </c>
      <c r="AC47" s="9" t="s">
        <v>162</v>
      </c>
      <c r="AD47" s="9" t="s">
        <v>163</v>
      </c>
      <c r="AE47" s="8" t="s">
        <v>166</v>
      </c>
      <c r="AF47" s="8" t="s">
        <v>130</v>
      </c>
      <c r="AG47" s="8" t="s">
        <v>205</v>
      </c>
      <c r="AH47" s="9" t="s">
        <v>207</v>
      </c>
      <c r="AI47" s="8" t="s">
        <v>208</v>
      </c>
      <c r="AJ47" s="8" t="s">
        <v>489</v>
      </c>
      <c r="AK47" s="8" t="s">
        <v>135</v>
      </c>
      <c r="AL47" s="8" t="s">
        <v>206</v>
      </c>
      <c r="AM47" s="9" t="s">
        <v>490</v>
      </c>
      <c r="AN47" s="3"/>
      <c r="AO47" s="8" t="s">
        <v>37</v>
      </c>
      <c r="AP47" s="9" t="s">
        <v>155</v>
      </c>
    </row>
    <row r="48" spans="1:64" ht="12.75" x14ac:dyDescent="0.2">
      <c r="A48" s="96" t="s">
        <v>173</v>
      </c>
      <c r="B48" s="96"/>
      <c r="C48" s="96"/>
      <c r="D48" s="96"/>
      <c r="E48" s="96"/>
      <c r="F48" s="96"/>
      <c r="G48" s="97">
        <v>7</v>
      </c>
      <c r="H48" s="97">
        <v>7</v>
      </c>
      <c r="I48" s="97">
        <v>7</v>
      </c>
      <c r="J48" s="96"/>
      <c r="K48" s="96"/>
      <c r="L48" s="96"/>
      <c r="M48" s="96"/>
      <c r="N48" s="96"/>
      <c r="O48" s="97">
        <v>10</v>
      </c>
      <c r="P48" s="96"/>
      <c r="Q48" s="96"/>
      <c r="R48" s="96"/>
      <c r="S48" s="96"/>
      <c r="T48" s="96"/>
      <c r="U48" s="96"/>
      <c r="V48" s="98"/>
      <c r="W48" s="98"/>
      <c r="X48" s="98"/>
      <c r="Y48" s="98"/>
      <c r="Z48" s="98"/>
      <c r="AA48" s="98"/>
      <c r="AB48" s="96"/>
      <c r="AC48" s="98"/>
      <c r="AD48" s="98"/>
      <c r="AE48" s="97">
        <v>5</v>
      </c>
      <c r="AF48" s="96"/>
      <c r="AG48" s="96"/>
      <c r="AH48" s="98"/>
      <c r="AI48" s="96"/>
      <c r="AJ48" s="96"/>
      <c r="AK48" s="96"/>
      <c r="AL48" s="98"/>
      <c r="AM48" s="96"/>
      <c r="AN48" s="96"/>
      <c r="AO48" s="98"/>
      <c r="AP48" s="98"/>
      <c r="AQ48" s="98"/>
      <c r="AR48" s="98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</row>
    <row r="49" spans="1:42" ht="12.75" customHeight="1" x14ac:dyDescent="0.2">
      <c r="A49" t="s">
        <v>515</v>
      </c>
      <c r="I49">
        <v>5</v>
      </c>
      <c r="T49" s="3"/>
      <c r="U49" s="3"/>
      <c r="V49" s="9"/>
      <c r="W49" s="9"/>
      <c r="X49" s="9"/>
      <c r="Y49" s="9"/>
      <c r="Z49" s="9"/>
      <c r="AA49" s="9"/>
      <c r="AB49" s="3"/>
      <c r="AC49" s="9"/>
      <c r="AD49" s="9"/>
      <c r="AE49" s="8"/>
      <c r="AF49" s="8"/>
      <c r="AG49" s="8"/>
      <c r="AH49" s="9"/>
      <c r="AI49" s="8"/>
      <c r="AJ49" s="8"/>
      <c r="AK49" s="8"/>
      <c r="AL49" s="8"/>
      <c r="AM49" s="9"/>
      <c r="AN49" s="9"/>
      <c r="AO49" s="8"/>
      <c r="AP49" s="9"/>
    </row>
    <row r="50" spans="1:42" ht="12.75" customHeight="1" x14ac:dyDescent="0.2">
      <c r="A50" s="81" t="s">
        <v>516</v>
      </c>
      <c r="H50" s="81">
        <v>10</v>
      </c>
      <c r="J50" s="81">
        <v>10</v>
      </c>
      <c r="N50" s="81">
        <v>15</v>
      </c>
      <c r="T50" s="3"/>
      <c r="U50" s="3"/>
      <c r="V50" s="9"/>
      <c r="W50" s="9"/>
      <c r="X50" s="9"/>
      <c r="Y50" s="9"/>
      <c r="Z50" s="9"/>
      <c r="AA50" s="9"/>
      <c r="AB50" s="3"/>
      <c r="AC50" s="9"/>
      <c r="AD50" s="9"/>
      <c r="AE50" s="8"/>
      <c r="AF50" s="8"/>
      <c r="AG50" s="8"/>
      <c r="AH50" s="9"/>
      <c r="AI50" s="8"/>
      <c r="AJ50" s="8"/>
      <c r="AK50" s="8"/>
      <c r="AL50" s="8"/>
      <c r="AM50" s="9"/>
      <c r="AN50" s="9"/>
      <c r="AO50" s="8"/>
      <c r="AP50" s="9"/>
    </row>
    <row r="51" spans="1:42" ht="12.75" customHeight="1" x14ac:dyDescent="0.2">
      <c r="A51" t="s">
        <v>517</v>
      </c>
      <c r="G51">
        <v>3</v>
      </c>
      <c r="H51">
        <v>2</v>
      </c>
      <c r="T51" s="3"/>
      <c r="U51" s="3"/>
      <c r="V51" s="9"/>
      <c r="W51" s="9"/>
      <c r="X51" s="9"/>
      <c r="Y51" s="9"/>
      <c r="Z51" s="9"/>
      <c r="AA51" s="9"/>
      <c r="AB51" s="3"/>
      <c r="AC51" s="9"/>
      <c r="AD51" s="9"/>
      <c r="AE51" s="8"/>
      <c r="AF51" s="8"/>
      <c r="AG51" s="8"/>
      <c r="AH51" s="9"/>
      <c r="AI51" s="8"/>
      <c r="AJ51" s="8"/>
      <c r="AK51" s="8"/>
      <c r="AL51" s="8"/>
      <c r="AM51" s="9"/>
      <c r="AN51" s="9"/>
      <c r="AO51" s="8"/>
      <c r="AP51" s="9"/>
    </row>
    <row r="52" spans="1:42" ht="12.75" customHeight="1" x14ac:dyDescent="0.2">
      <c r="A52" t="s">
        <v>518</v>
      </c>
      <c r="G52">
        <v>5</v>
      </c>
      <c r="T52" s="3"/>
      <c r="U52" s="3"/>
      <c r="V52" s="9"/>
      <c r="W52" s="9"/>
      <c r="X52" s="9"/>
      <c r="Y52" s="9"/>
      <c r="Z52" s="9"/>
      <c r="AA52" s="9"/>
      <c r="AB52" s="3"/>
      <c r="AC52" s="9"/>
      <c r="AD52" s="9"/>
      <c r="AE52" s="8"/>
      <c r="AF52" s="8"/>
      <c r="AG52" s="8"/>
      <c r="AH52" s="9"/>
      <c r="AI52" s="8"/>
      <c r="AJ52" s="8"/>
      <c r="AK52" s="8"/>
      <c r="AL52" s="8"/>
      <c r="AM52" s="9"/>
      <c r="AN52" s="9"/>
      <c r="AO52" s="8"/>
      <c r="AP52" s="9"/>
    </row>
    <row r="53" spans="1:42" ht="12.75" customHeight="1" x14ac:dyDescent="0.2">
      <c r="A53" t="s">
        <v>519</v>
      </c>
      <c r="N53">
        <v>5</v>
      </c>
      <c r="O53">
        <v>10</v>
      </c>
      <c r="T53" s="3"/>
      <c r="U53" s="3"/>
      <c r="V53" s="9"/>
      <c r="W53" s="9"/>
      <c r="X53" s="9"/>
      <c r="Y53" s="9"/>
      <c r="Z53" s="9"/>
      <c r="AA53" s="9"/>
      <c r="AB53" s="3"/>
      <c r="AC53" s="9"/>
      <c r="AD53" s="9"/>
      <c r="AE53" s="8">
        <v>3</v>
      </c>
      <c r="AF53" s="8"/>
      <c r="AG53" s="8"/>
      <c r="AH53" s="9"/>
      <c r="AI53" s="8"/>
      <c r="AJ53" s="8"/>
      <c r="AK53" s="8"/>
      <c r="AL53" s="8"/>
      <c r="AM53" s="9"/>
      <c r="AN53" s="3"/>
      <c r="AO53" s="8"/>
      <c r="AP53" s="9"/>
    </row>
    <row r="54" spans="1:42" ht="12.75" customHeight="1" x14ac:dyDescent="0.2">
      <c r="A54" t="s">
        <v>520</v>
      </c>
      <c r="N54">
        <v>10</v>
      </c>
      <c r="O54">
        <v>10</v>
      </c>
      <c r="T54" s="3"/>
      <c r="U54" s="3"/>
      <c r="V54" s="9"/>
      <c r="W54" s="9"/>
      <c r="X54" s="9"/>
      <c r="Y54" s="9"/>
      <c r="Z54" s="9"/>
      <c r="AA54" s="9"/>
      <c r="AB54" s="3">
        <v>20</v>
      </c>
      <c r="AC54" s="9"/>
      <c r="AD54" s="9"/>
      <c r="AE54" s="8">
        <v>-3</v>
      </c>
      <c r="AF54" s="8"/>
      <c r="AG54" s="8"/>
      <c r="AH54" s="9"/>
      <c r="AI54" s="8"/>
      <c r="AJ54" s="8"/>
      <c r="AK54" s="8"/>
      <c r="AL54" s="8"/>
      <c r="AM54" s="9"/>
      <c r="AO54" s="8"/>
      <c r="AP54" s="9"/>
    </row>
    <row r="55" spans="1:42" ht="12.75" customHeight="1" x14ac:dyDescent="0.2">
      <c r="A55" t="s">
        <v>521</v>
      </c>
      <c r="N55">
        <v>15</v>
      </c>
      <c r="T55" s="3"/>
      <c r="U55" s="3"/>
      <c r="V55" s="9"/>
      <c r="W55" s="9"/>
      <c r="X55" s="9"/>
      <c r="Y55" s="9"/>
      <c r="Z55" s="9"/>
      <c r="AA55" s="9"/>
      <c r="AB55" s="3"/>
      <c r="AC55" s="9"/>
      <c r="AD55" s="9"/>
      <c r="AE55" s="8"/>
      <c r="AF55" s="8"/>
      <c r="AG55" s="8"/>
      <c r="AH55" s="9"/>
      <c r="AI55" s="8"/>
      <c r="AJ55" s="8"/>
      <c r="AK55" s="8"/>
      <c r="AL55" s="8"/>
      <c r="AM55" s="9"/>
      <c r="AN55" s="9"/>
      <c r="AO55" s="8"/>
      <c r="AP55" s="9"/>
    </row>
    <row r="56" spans="1:42" ht="12.75" customHeight="1" x14ac:dyDescent="0.2">
      <c r="A56" s="3" t="s">
        <v>522</v>
      </c>
      <c r="H56">
        <v>4</v>
      </c>
      <c r="N56">
        <v>4</v>
      </c>
      <c r="T56" s="3"/>
      <c r="U56" s="3"/>
      <c r="V56" s="9"/>
      <c r="W56" s="9"/>
      <c r="X56" s="9"/>
      <c r="Y56" s="9"/>
      <c r="Z56" s="9"/>
      <c r="AA56" s="9"/>
      <c r="AB56" s="3"/>
      <c r="AC56" s="9"/>
      <c r="AD56" s="9"/>
      <c r="AE56" s="8"/>
      <c r="AF56" s="8"/>
      <c r="AG56" s="8"/>
      <c r="AH56" s="9"/>
      <c r="AI56" s="8"/>
      <c r="AJ56" s="8"/>
      <c r="AK56" s="8"/>
      <c r="AL56" s="8"/>
      <c r="AM56" s="9"/>
      <c r="AO56" s="8"/>
      <c r="AP56" s="9"/>
    </row>
    <row r="57" spans="1:42" ht="12.75" customHeight="1" x14ac:dyDescent="0.2">
      <c r="A57" s="3" t="s">
        <v>209</v>
      </c>
      <c r="O57">
        <v>23</v>
      </c>
      <c r="T57" s="3"/>
      <c r="U57" s="3"/>
      <c r="V57" s="9"/>
      <c r="W57" s="9"/>
      <c r="X57" s="9"/>
      <c r="Y57" s="9"/>
      <c r="Z57" s="9"/>
      <c r="AA57" s="9"/>
      <c r="AB57" s="3"/>
      <c r="AC57" s="9"/>
      <c r="AD57" s="9"/>
      <c r="AE57" s="8"/>
      <c r="AF57" s="8"/>
      <c r="AG57" s="8"/>
      <c r="AH57" s="9">
        <v>0.06</v>
      </c>
      <c r="AI57" s="8"/>
      <c r="AJ57" s="8"/>
      <c r="AK57" s="8"/>
      <c r="AL57" s="8"/>
      <c r="AM57" s="9"/>
      <c r="AO57" s="8"/>
      <c r="AP57" s="9"/>
    </row>
    <row r="58" spans="1:42" ht="12.75" customHeight="1" x14ac:dyDescent="0.2">
      <c r="A58" t="s">
        <v>523</v>
      </c>
      <c r="K58">
        <v>6</v>
      </c>
      <c r="T58" s="3"/>
      <c r="U58" s="3"/>
      <c r="V58" s="9"/>
      <c r="W58" s="9"/>
      <c r="X58" s="9"/>
      <c r="Y58" s="9"/>
      <c r="Z58" s="9"/>
      <c r="AA58" s="9"/>
      <c r="AB58" s="3"/>
      <c r="AC58" s="9"/>
      <c r="AD58" s="9"/>
      <c r="AE58" s="8"/>
      <c r="AF58" s="8"/>
      <c r="AG58" s="8"/>
      <c r="AH58" s="9"/>
      <c r="AI58" s="8"/>
      <c r="AJ58" s="8"/>
      <c r="AK58" s="8"/>
      <c r="AL58" s="8"/>
      <c r="AM58" s="9"/>
      <c r="AO58" s="8"/>
      <c r="AP58" s="9"/>
    </row>
    <row r="59" spans="1:42" ht="12.75" customHeight="1" x14ac:dyDescent="0.2">
      <c r="A59" t="s">
        <v>524</v>
      </c>
      <c r="O59">
        <v>-7</v>
      </c>
      <c r="T59" s="3"/>
      <c r="U59" s="3"/>
      <c r="V59" s="9"/>
      <c r="W59" s="9"/>
      <c r="X59" s="9"/>
      <c r="Y59" s="9"/>
      <c r="Z59" s="9"/>
      <c r="AA59" s="9"/>
      <c r="AB59" s="3">
        <v>10</v>
      </c>
      <c r="AC59" s="9"/>
      <c r="AD59" s="9"/>
      <c r="AE59" s="8"/>
      <c r="AF59" s="8"/>
      <c r="AG59" s="8"/>
      <c r="AH59" s="9"/>
      <c r="AI59" s="8"/>
      <c r="AJ59" s="8"/>
      <c r="AK59" s="8"/>
      <c r="AL59" s="8"/>
      <c r="AM59" s="9"/>
      <c r="AN59" s="9"/>
      <c r="AO59" s="8"/>
      <c r="AP59" s="9"/>
    </row>
    <row r="60" spans="1:42" ht="12.75" customHeight="1" x14ac:dyDescent="0.2">
      <c r="A60" t="s">
        <v>525</v>
      </c>
      <c r="O60">
        <v>3</v>
      </c>
      <c r="T60" s="3"/>
      <c r="U60" s="3"/>
      <c r="V60" s="9"/>
      <c r="W60" s="9"/>
      <c r="X60" s="9"/>
      <c r="Y60" s="9"/>
      <c r="Z60" s="9"/>
      <c r="AA60" s="9"/>
      <c r="AB60" s="3"/>
      <c r="AC60" s="9"/>
      <c r="AD60" s="9">
        <v>0.05</v>
      </c>
      <c r="AE60" s="8"/>
      <c r="AF60" s="8"/>
      <c r="AG60" s="8"/>
      <c r="AH60" s="9"/>
      <c r="AI60" s="8"/>
      <c r="AJ60" s="8"/>
      <c r="AK60" s="8"/>
      <c r="AL60" s="8"/>
      <c r="AM60" s="9"/>
      <c r="AN60" s="9"/>
      <c r="AO60" s="8"/>
      <c r="AP60" s="9"/>
    </row>
    <row r="61" spans="1:42" s="30" customFormat="1" ht="12.75" customHeight="1" x14ac:dyDescent="0.2">
      <c r="A61" s="110" t="s">
        <v>868</v>
      </c>
      <c r="T61" s="3"/>
      <c r="U61" s="3"/>
      <c r="V61" s="103"/>
      <c r="W61" s="103"/>
      <c r="X61" s="103"/>
      <c r="Y61" s="103"/>
      <c r="Z61" s="103"/>
      <c r="AA61" s="103"/>
      <c r="AB61" s="3"/>
      <c r="AC61" s="103"/>
      <c r="AD61" s="103"/>
      <c r="AE61" s="8"/>
      <c r="AF61" s="8"/>
      <c r="AG61" s="8"/>
      <c r="AH61" s="103"/>
      <c r="AI61" s="8"/>
      <c r="AJ61" s="8"/>
      <c r="AK61" s="8"/>
      <c r="AL61" s="8"/>
      <c r="AM61" s="103"/>
      <c r="AN61" s="103"/>
      <c r="AO61" s="8"/>
      <c r="AP61" s="103"/>
    </row>
    <row r="62" spans="1:42" ht="12.75" customHeight="1" x14ac:dyDescent="0.2">
      <c r="A62" t="s">
        <v>174</v>
      </c>
      <c r="T62" s="3"/>
      <c r="U62" s="3"/>
      <c r="V62" s="9"/>
      <c r="W62" s="9"/>
      <c r="X62" s="9"/>
      <c r="Y62" s="9"/>
      <c r="Z62" s="9"/>
      <c r="AA62" s="9"/>
      <c r="AB62" s="3"/>
      <c r="AC62" s="9"/>
      <c r="AD62" s="9"/>
      <c r="AE62" s="8"/>
      <c r="AF62" s="8"/>
      <c r="AG62" s="8"/>
      <c r="AH62" s="9"/>
      <c r="AI62" s="8"/>
      <c r="AJ62" s="8"/>
      <c r="AK62" s="8"/>
      <c r="AL62" s="8"/>
      <c r="AM62" s="9"/>
      <c r="AN62" s="9"/>
      <c r="AO62" s="8"/>
      <c r="AP62" s="9"/>
    </row>
    <row r="63" spans="1:42" s="112" customFormat="1" ht="12.75" customHeight="1" x14ac:dyDescent="0.2">
      <c r="A63" s="111" t="s">
        <v>874</v>
      </c>
      <c r="G63" s="112">
        <v>15</v>
      </c>
      <c r="N63" s="112">
        <v>13</v>
      </c>
      <c r="O63" s="112">
        <v>13</v>
      </c>
      <c r="T63" s="113">
        <v>7</v>
      </c>
      <c r="U63" s="113"/>
      <c r="V63" s="114"/>
      <c r="W63" s="114"/>
      <c r="X63" s="114"/>
      <c r="Y63" s="114"/>
      <c r="Z63" s="114"/>
      <c r="AA63" s="114"/>
      <c r="AB63" s="113">
        <f>ROUNDDOWN(1024*0.05,0)</f>
        <v>51</v>
      </c>
      <c r="AC63" s="114"/>
      <c r="AD63" s="114"/>
      <c r="AE63" s="115"/>
      <c r="AF63" s="115"/>
      <c r="AG63" s="115"/>
      <c r="AH63" s="114"/>
      <c r="AI63" s="115"/>
      <c r="AJ63" s="115"/>
      <c r="AK63" s="115"/>
      <c r="AL63" s="115"/>
      <c r="AM63" s="114"/>
      <c r="AN63" s="114"/>
      <c r="AO63" s="115"/>
      <c r="AP63" s="114"/>
    </row>
    <row r="64" spans="1:42" ht="12.75" customHeight="1" x14ac:dyDescent="0.2">
      <c r="A64" t="s">
        <v>526</v>
      </c>
      <c r="G64">
        <v>2</v>
      </c>
      <c r="O64">
        <v>8</v>
      </c>
      <c r="T64" s="3"/>
      <c r="U64" s="3"/>
      <c r="V64" s="9"/>
      <c r="W64" s="9"/>
      <c r="X64" s="9"/>
      <c r="Y64" s="9"/>
      <c r="Z64" s="9"/>
      <c r="AA64" s="9"/>
      <c r="AB64" s="3"/>
      <c r="AC64" s="9"/>
      <c r="AD64" s="9"/>
      <c r="AE64" s="8"/>
      <c r="AF64" s="8"/>
      <c r="AG64" s="8"/>
      <c r="AH64" s="9"/>
      <c r="AI64" s="8"/>
      <c r="AJ64" s="8"/>
      <c r="AK64" s="8"/>
      <c r="AL64" s="8"/>
      <c r="AM64" s="9"/>
      <c r="AO64" s="8"/>
      <c r="AP64" s="9"/>
    </row>
    <row r="65" spans="1:64" ht="12.75" customHeight="1" x14ac:dyDescent="0.2">
      <c r="A65" s="81" t="s">
        <v>527</v>
      </c>
      <c r="G65" s="81">
        <v>5</v>
      </c>
      <c r="H65" s="81">
        <v>5</v>
      </c>
      <c r="M65" s="81">
        <v>5</v>
      </c>
      <c r="N65" s="81">
        <v>10</v>
      </c>
      <c r="O65" s="81">
        <v>10</v>
      </c>
      <c r="T65" s="3"/>
      <c r="U65" s="3"/>
      <c r="V65" s="9"/>
      <c r="W65" s="9"/>
      <c r="X65" s="9"/>
      <c r="Y65" s="9"/>
      <c r="Z65" s="9"/>
      <c r="AA65" s="9"/>
      <c r="AB65" s="3"/>
      <c r="AC65" s="9"/>
      <c r="AD65" s="9"/>
      <c r="AE65" s="8"/>
      <c r="AF65" s="8"/>
      <c r="AG65" s="8"/>
      <c r="AH65" s="9"/>
      <c r="AI65" s="8"/>
      <c r="AJ65" s="8"/>
      <c r="AK65" s="8"/>
      <c r="AL65" s="8"/>
      <c r="AM65" s="9"/>
      <c r="AO65" s="8"/>
      <c r="AP65" s="9"/>
    </row>
    <row r="66" spans="1:64" ht="12.75" customHeight="1" x14ac:dyDescent="0.2">
      <c r="A66" t="s">
        <v>528</v>
      </c>
      <c r="N66">
        <v>15</v>
      </c>
      <c r="T66" s="3"/>
      <c r="U66" s="3"/>
      <c r="V66" s="9"/>
      <c r="W66" s="9"/>
      <c r="X66" s="9"/>
      <c r="Y66" s="9"/>
      <c r="Z66" s="9"/>
      <c r="AA66" s="9"/>
      <c r="AB66" s="3"/>
      <c r="AC66" s="9"/>
      <c r="AD66" s="9"/>
      <c r="AE66" s="8">
        <v>3</v>
      </c>
      <c r="AF66" s="8"/>
      <c r="AG66" s="8"/>
      <c r="AH66" s="9"/>
      <c r="AI66" s="8"/>
      <c r="AJ66" s="8"/>
      <c r="AK66" s="8"/>
      <c r="AL66" s="8"/>
      <c r="AM66" s="9"/>
      <c r="AO66" s="8"/>
      <c r="AP66" s="9"/>
    </row>
    <row r="67" spans="1:64" ht="12.75" customHeight="1" x14ac:dyDescent="0.2">
      <c r="A67" t="s">
        <v>529</v>
      </c>
      <c r="T67" s="3"/>
      <c r="U67" s="3"/>
      <c r="V67" s="9"/>
      <c r="W67" s="9"/>
      <c r="X67" s="9"/>
      <c r="Y67" s="9"/>
      <c r="Z67" s="9"/>
      <c r="AA67" s="9"/>
      <c r="AB67" s="3"/>
      <c r="AC67" s="9">
        <v>0.02</v>
      </c>
      <c r="AD67" s="9">
        <v>0.06</v>
      </c>
      <c r="AE67" s="8"/>
      <c r="AF67" s="8"/>
      <c r="AG67" s="8"/>
      <c r="AH67" s="9"/>
      <c r="AI67" s="8"/>
      <c r="AJ67" s="8"/>
      <c r="AK67" s="8"/>
      <c r="AL67" s="8"/>
      <c r="AM67" s="9"/>
      <c r="AO67" s="8"/>
      <c r="AP67" s="9"/>
    </row>
    <row r="68" spans="1:64" ht="12.75" customHeight="1" x14ac:dyDescent="0.2">
      <c r="T68" s="3"/>
      <c r="U68" s="3"/>
      <c r="V68" s="9"/>
      <c r="W68" s="9"/>
      <c r="X68" s="9"/>
      <c r="Y68" s="9"/>
      <c r="Z68" s="9"/>
      <c r="AA68" s="9"/>
      <c r="AB68" s="3"/>
      <c r="AC68" s="9"/>
      <c r="AD68" s="9"/>
      <c r="AE68" s="8"/>
      <c r="AF68" s="8"/>
      <c r="AG68" s="8"/>
      <c r="AH68" s="9"/>
      <c r="AI68" s="8"/>
      <c r="AJ68" s="8"/>
      <c r="AK68" s="8"/>
      <c r="AL68" s="8"/>
      <c r="AM68" s="9"/>
      <c r="AO68" s="8"/>
      <c r="AP68" s="9"/>
    </row>
    <row r="69" spans="1:64" ht="12.75" customHeight="1" x14ac:dyDescent="0.2">
      <c r="T69" s="3"/>
      <c r="U69" s="3"/>
      <c r="V69" s="9"/>
      <c r="W69" s="9"/>
      <c r="X69" s="9"/>
      <c r="Y69" s="9"/>
      <c r="Z69" s="9"/>
      <c r="AA69" s="9"/>
      <c r="AC69" s="9"/>
      <c r="AD69" s="9"/>
      <c r="AE69" s="8"/>
      <c r="AF69" s="8"/>
      <c r="AG69" s="8"/>
      <c r="AH69" s="9"/>
      <c r="AI69" s="8"/>
      <c r="AJ69" s="8"/>
      <c r="AK69" s="8"/>
      <c r="AL69" s="8"/>
      <c r="AM69" s="9"/>
      <c r="AO69" s="8"/>
      <c r="AP69" s="9"/>
    </row>
    <row r="70" spans="1:64" ht="12.75" customHeight="1" x14ac:dyDescent="0.2">
      <c r="A70" t="s">
        <v>175</v>
      </c>
      <c r="B70" t="s">
        <v>477</v>
      </c>
      <c r="C70" t="s">
        <v>478</v>
      </c>
      <c r="D70" t="s">
        <v>479</v>
      </c>
      <c r="E70" t="s">
        <v>480</v>
      </c>
      <c r="F70" s="3" t="s">
        <v>481</v>
      </c>
      <c r="G70" t="s">
        <v>30</v>
      </c>
      <c r="H70" t="s">
        <v>33</v>
      </c>
      <c r="I70" t="s">
        <v>29</v>
      </c>
      <c r="J70" t="s">
        <v>32</v>
      </c>
      <c r="K70" t="s">
        <v>153</v>
      </c>
      <c r="L70" t="s">
        <v>154</v>
      </c>
      <c r="M70" t="s">
        <v>482</v>
      </c>
      <c r="N70" t="s">
        <v>120</v>
      </c>
      <c r="O70" t="s">
        <v>156</v>
      </c>
      <c r="P70" t="s">
        <v>157</v>
      </c>
      <c r="Q70" t="s">
        <v>483</v>
      </c>
      <c r="R70" t="s">
        <v>484</v>
      </c>
      <c r="S70" t="s">
        <v>485</v>
      </c>
      <c r="T70" s="3" t="s">
        <v>486</v>
      </c>
      <c r="U70" s="3" t="s">
        <v>487</v>
      </c>
      <c r="V70" s="9" t="s">
        <v>158</v>
      </c>
      <c r="W70" s="9" t="s">
        <v>159</v>
      </c>
      <c r="X70" s="9" t="s">
        <v>160</v>
      </c>
      <c r="Y70" s="9" t="s">
        <v>488</v>
      </c>
      <c r="Z70" s="9" t="s">
        <v>161</v>
      </c>
      <c r="AA70" s="9" t="s">
        <v>165</v>
      </c>
      <c r="AB70" t="s">
        <v>164</v>
      </c>
      <c r="AC70" s="9" t="s">
        <v>162</v>
      </c>
      <c r="AD70" s="9" t="s">
        <v>163</v>
      </c>
      <c r="AE70" s="8" t="s">
        <v>166</v>
      </c>
      <c r="AF70" s="8" t="s">
        <v>130</v>
      </c>
      <c r="AG70" s="8" t="s">
        <v>205</v>
      </c>
      <c r="AH70" s="9" t="s">
        <v>207</v>
      </c>
      <c r="AI70" s="8" t="s">
        <v>208</v>
      </c>
      <c r="AJ70" s="8" t="s">
        <v>489</v>
      </c>
      <c r="AK70" s="8" t="s">
        <v>135</v>
      </c>
      <c r="AL70" s="8" t="s">
        <v>206</v>
      </c>
      <c r="AM70" s="9" t="s">
        <v>490</v>
      </c>
      <c r="AO70" s="8" t="s">
        <v>37</v>
      </c>
      <c r="AP70" s="9" t="s">
        <v>155</v>
      </c>
    </row>
    <row r="71" spans="1:64" ht="12.75" customHeight="1" x14ac:dyDescent="0.2">
      <c r="A71" s="3" t="s">
        <v>195</v>
      </c>
      <c r="G71">
        <v>31</v>
      </c>
      <c r="H71">
        <v>35</v>
      </c>
      <c r="I71">
        <v>31</v>
      </c>
      <c r="J71">
        <v>35</v>
      </c>
      <c r="K71">
        <v>31</v>
      </c>
      <c r="L71">
        <v>31</v>
      </c>
      <c r="M71">
        <v>32</v>
      </c>
      <c r="N71">
        <v>47</v>
      </c>
      <c r="T71" s="3"/>
      <c r="U71" s="3"/>
      <c r="V71" s="9"/>
      <c r="W71" s="9"/>
      <c r="X71" s="9"/>
      <c r="Y71" s="9"/>
      <c r="Z71" s="9"/>
      <c r="AA71" s="9"/>
      <c r="AB71" s="3">
        <v>81</v>
      </c>
      <c r="AC71" s="9"/>
      <c r="AD71" s="9"/>
      <c r="AE71" s="8"/>
      <c r="AF71" s="8"/>
      <c r="AG71" s="8"/>
      <c r="AH71" s="9"/>
      <c r="AI71" s="8"/>
      <c r="AJ71" s="8"/>
      <c r="AK71" s="8"/>
      <c r="AL71" s="8"/>
      <c r="AM71" s="9"/>
      <c r="AO71" s="8"/>
      <c r="AP71" s="9"/>
    </row>
    <row r="72" spans="1:64" ht="12.75" customHeight="1" x14ac:dyDescent="0.2">
      <c r="A72" s="3" t="s">
        <v>176</v>
      </c>
      <c r="B72" s="3"/>
      <c r="C72" s="3"/>
      <c r="D72" s="3"/>
      <c r="E72" s="3"/>
      <c r="F72" s="3"/>
      <c r="G72" s="3">
        <v>23</v>
      </c>
      <c r="H72" s="3">
        <v>27</v>
      </c>
      <c r="I72" s="3">
        <v>30</v>
      </c>
      <c r="J72" s="3">
        <v>34</v>
      </c>
      <c r="K72" s="3">
        <v>23</v>
      </c>
      <c r="L72" s="3">
        <v>23</v>
      </c>
      <c r="M72" s="3">
        <v>24</v>
      </c>
      <c r="N72" s="3">
        <v>37</v>
      </c>
      <c r="O72" s="3">
        <v>62</v>
      </c>
      <c r="P72" s="3"/>
      <c r="Q72" s="3"/>
      <c r="R72" s="3"/>
      <c r="S72" s="3"/>
      <c r="T72" s="3"/>
      <c r="U72" s="3"/>
      <c r="V72" s="9"/>
      <c r="W72" s="9"/>
      <c r="X72" s="9"/>
      <c r="Y72" s="9"/>
      <c r="Z72" s="9"/>
      <c r="AA72" s="9"/>
      <c r="AB72" s="3">
        <v>81</v>
      </c>
      <c r="AC72" s="9"/>
      <c r="AD72" s="9"/>
      <c r="AE72" s="8"/>
      <c r="AF72" s="8"/>
      <c r="AG72" s="8"/>
      <c r="AH72" s="9"/>
      <c r="AI72" s="8"/>
      <c r="AJ72" s="8"/>
      <c r="AK72" s="8"/>
      <c r="AL72" s="8"/>
      <c r="AM72" s="9"/>
      <c r="AN72" s="3"/>
      <c r="AO72" s="8"/>
      <c r="AP72" s="9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1:64" ht="12.75" customHeight="1" x14ac:dyDescent="0.2">
      <c r="A73" s="3" t="s">
        <v>530</v>
      </c>
      <c r="B73" s="3"/>
      <c r="C73" s="3"/>
      <c r="D73" s="3"/>
      <c r="E73" s="3"/>
      <c r="F73" s="3"/>
      <c r="G73" s="3">
        <v>20</v>
      </c>
      <c r="H73" s="3">
        <v>20</v>
      </c>
      <c r="I73" s="3">
        <v>14</v>
      </c>
      <c r="J73" s="3">
        <v>20</v>
      </c>
      <c r="K73" s="3">
        <v>19</v>
      </c>
      <c r="L73" s="3">
        <v>16</v>
      </c>
      <c r="M73" s="3">
        <v>17</v>
      </c>
      <c r="N73" s="3"/>
      <c r="O73" s="3"/>
      <c r="P73" s="3"/>
      <c r="Q73" s="3"/>
      <c r="R73" s="3"/>
      <c r="S73" s="3"/>
      <c r="T73" s="3"/>
      <c r="U73" s="3"/>
      <c r="V73" s="9"/>
      <c r="W73" s="9"/>
      <c r="X73" s="9"/>
      <c r="Y73" s="9"/>
      <c r="Z73" s="9"/>
      <c r="AA73" s="9"/>
      <c r="AB73" s="3">
        <v>81</v>
      </c>
      <c r="AC73" s="9"/>
      <c r="AD73" s="9"/>
      <c r="AE73" s="8"/>
      <c r="AF73" s="8"/>
      <c r="AG73" s="8"/>
      <c r="AH73" s="9"/>
      <c r="AI73" s="8"/>
      <c r="AJ73" s="8"/>
      <c r="AK73" s="8"/>
      <c r="AL73" s="8"/>
      <c r="AM73" s="9"/>
      <c r="AN73" s="3"/>
      <c r="AO73" s="8"/>
      <c r="AP73" s="9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 spans="1:64" ht="12.75" customHeight="1" x14ac:dyDescent="0.2">
      <c r="A74" t="s">
        <v>196</v>
      </c>
      <c r="G74">
        <v>27</v>
      </c>
      <c r="H74">
        <v>33</v>
      </c>
      <c r="I74">
        <v>15</v>
      </c>
      <c r="J74">
        <v>31</v>
      </c>
      <c r="K74">
        <v>12</v>
      </c>
      <c r="L74">
        <v>22</v>
      </c>
      <c r="M74">
        <v>23</v>
      </c>
      <c r="N74">
        <v>48</v>
      </c>
      <c r="O74">
        <v>44</v>
      </c>
      <c r="V74" s="9"/>
      <c r="W74" s="9"/>
      <c r="X74" s="9"/>
      <c r="Y74" s="9"/>
      <c r="Z74" s="9"/>
      <c r="AA74" s="9"/>
      <c r="AB74">
        <v>40</v>
      </c>
      <c r="AC74" s="9"/>
      <c r="AD74" s="9"/>
      <c r="AE74" s="8"/>
      <c r="AF74" s="8"/>
      <c r="AG74" s="8"/>
      <c r="AH74" s="9"/>
      <c r="AI74" s="8"/>
      <c r="AJ74" s="8"/>
      <c r="AK74" s="8"/>
      <c r="AL74" s="8"/>
      <c r="AM74" s="9"/>
      <c r="AO74" s="8"/>
      <c r="AP74" s="9"/>
    </row>
    <row r="75" spans="1:64" ht="12.75" customHeight="1" x14ac:dyDescent="0.2">
      <c r="A75" t="s">
        <v>213</v>
      </c>
      <c r="G75">
        <v>20</v>
      </c>
      <c r="H75">
        <v>39</v>
      </c>
      <c r="I75">
        <v>16</v>
      </c>
      <c r="J75">
        <v>23</v>
      </c>
      <c r="K75">
        <v>15</v>
      </c>
      <c r="L75">
        <v>25</v>
      </c>
      <c r="M75">
        <v>15</v>
      </c>
      <c r="N75">
        <v>44</v>
      </c>
      <c r="T75" s="3"/>
      <c r="U75" s="3"/>
      <c r="V75" s="9"/>
      <c r="W75" s="9"/>
      <c r="X75" s="9"/>
      <c r="Y75" s="9"/>
      <c r="Z75" s="9"/>
      <c r="AA75" s="9"/>
      <c r="AB75">
        <v>60</v>
      </c>
      <c r="AC75" s="9"/>
      <c r="AD75" s="9"/>
      <c r="AE75" s="8">
        <v>6</v>
      </c>
      <c r="AF75" s="8"/>
      <c r="AG75" s="8"/>
      <c r="AH75" s="9"/>
      <c r="AI75" s="8"/>
      <c r="AJ75" s="8"/>
      <c r="AK75" s="8"/>
      <c r="AL75" s="8"/>
      <c r="AM75" s="9"/>
      <c r="AO75" s="8"/>
      <c r="AP75" s="9"/>
    </row>
    <row r="76" spans="1:64" ht="12.75" customHeight="1" x14ac:dyDescent="0.2">
      <c r="A76" t="s">
        <v>187</v>
      </c>
      <c r="G76">
        <v>21</v>
      </c>
      <c r="H76">
        <v>42</v>
      </c>
      <c r="I76">
        <v>20</v>
      </c>
      <c r="J76">
        <v>43</v>
      </c>
      <c r="K76">
        <v>20</v>
      </c>
      <c r="L76">
        <v>20</v>
      </c>
      <c r="M76">
        <v>28</v>
      </c>
      <c r="N76">
        <v>50</v>
      </c>
      <c r="T76" s="3"/>
      <c r="U76" s="3"/>
      <c r="V76" s="9"/>
      <c r="W76" s="9"/>
      <c r="X76" s="9"/>
      <c r="Y76" s="9"/>
      <c r="Z76" s="9"/>
      <c r="AA76" s="9"/>
      <c r="AB76">
        <v>60</v>
      </c>
      <c r="AC76" s="9"/>
      <c r="AD76" s="9"/>
      <c r="AE76" s="8"/>
      <c r="AF76" s="8">
        <v>5</v>
      </c>
      <c r="AG76" s="8"/>
      <c r="AH76" s="9"/>
      <c r="AI76" s="8"/>
      <c r="AJ76" s="8"/>
      <c r="AK76" s="8"/>
      <c r="AL76" s="8"/>
      <c r="AM76" s="9"/>
      <c r="AO76" s="8">
        <v>94</v>
      </c>
      <c r="AP76" s="9"/>
    </row>
    <row r="77" spans="1:64" ht="12.75" customHeight="1" x14ac:dyDescent="0.2">
      <c r="A77" s="3" t="s">
        <v>531</v>
      </c>
      <c r="G77">
        <v>25</v>
      </c>
      <c r="H77">
        <v>25</v>
      </c>
      <c r="I77">
        <v>25</v>
      </c>
      <c r="J77">
        <v>21</v>
      </c>
      <c r="K77">
        <v>26</v>
      </c>
      <c r="L77">
        <v>21</v>
      </c>
      <c r="M77">
        <v>21</v>
      </c>
      <c r="N77">
        <v>38</v>
      </c>
      <c r="V77" s="9"/>
      <c r="W77" s="9"/>
      <c r="X77" s="9"/>
      <c r="Y77" s="9"/>
      <c r="Z77" s="9"/>
      <c r="AA77" s="9"/>
      <c r="AB77" s="3">
        <v>81</v>
      </c>
      <c r="AC77" s="9"/>
      <c r="AD77" s="9"/>
      <c r="AE77" s="8"/>
      <c r="AF77" s="8"/>
      <c r="AG77" s="8"/>
      <c r="AH77" s="9"/>
      <c r="AI77" s="8"/>
      <c r="AJ77" s="8"/>
      <c r="AK77" s="8"/>
      <c r="AL77" s="8"/>
      <c r="AM77" s="9"/>
      <c r="AO77" s="8">
        <v>38</v>
      </c>
      <c r="AP77" s="9"/>
      <c r="AQ77" s="9"/>
      <c r="AR77" s="9"/>
      <c r="AS77" s="9"/>
    </row>
    <row r="78" spans="1:64" ht="12.75" customHeight="1" x14ac:dyDescent="0.2">
      <c r="A78" s="3" t="s">
        <v>532</v>
      </c>
      <c r="G78">
        <f>G77+12</f>
        <v>37</v>
      </c>
      <c r="H78">
        <f>H$77</f>
        <v>25</v>
      </c>
      <c r="I78">
        <f>I$77</f>
        <v>25</v>
      </c>
      <c r="J78">
        <f>J$77</f>
        <v>21</v>
      </c>
      <c r="K78">
        <f>K77+12</f>
        <v>38</v>
      </c>
      <c r="L78">
        <f t="shared" ref="L78:AM78" si="0">L77</f>
        <v>21</v>
      </c>
      <c r="M78">
        <f t="shared" si="0"/>
        <v>21</v>
      </c>
      <c r="N78">
        <f t="shared" si="0"/>
        <v>38</v>
      </c>
      <c r="O78">
        <f t="shared" si="0"/>
        <v>0</v>
      </c>
      <c r="P78">
        <f t="shared" si="0"/>
        <v>0</v>
      </c>
      <c r="Q78">
        <f t="shared" si="0"/>
        <v>0</v>
      </c>
      <c r="R78">
        <f t="shared" si="0"/>
        <v>0</v>
      </c>
      <c r="S78">
        <f t="shared" si="0"/>
        <v>0</v>
      </c>
      <c r="T78">
        <f t="shared" si="0"/>
        <v>0</v>
      </c>
      <c r="U78">
        <f t="shared" si="0"/>
        <v>0</v>
      </c>
      <c r="V78" s="9">
        <f t="shared" si="0"/>
        <v>0</v>
      </c>
      <c r="W78" s="9">
        <f t="shared" si="0"/>
        <v>0</v>
      </c>
      <c r="X78" s="9">
        <f t="shared" si="0"/>
        <v>0</v>
      </c>
      <c r="Y78" s="9">
        <f t="shared" si="0"/>
        <v>0</v>
      </c>
      <c r="Z78" s="9">
        <f t="shared" si="0"/>
        <v>0</v>
      </c>
      <c r="AA78" s="9">
        <f t="shared" si="0"/>
        <v>0</v>
      </c>
      <c r="AB78" s="3">
        <f t="shared" si="0"/>
        <v>81</v>
      </c>
      <c r="AC78" s="9">
        <f t="shared" si="0"/>
        <v>0</v>
      </c>
      <c r="AD78" s="9">
        <f t="shared" si="0"/>
        <v>0</v>
      </c>
      <c r="AE78" s="8">
        <f t="shared" si="0"/>
        <v>0</v>
      </c>
      <c r="AF78" s="8">
        <f t="shared" si="0"/>
        <v>0</v>
      </c>
      <c r="AG78" s="8">
        <f t="shared" si="0"/>
        <v>0</v>
      </c>
      <c r="AH78" s="9">
        <f t="shared" si="0"/>
        <v>0</v>
      </c>
      <c r="AI78" s="8">
        <f t="shared" si="0"/>
        <v>0</v>
      </c>
      <c r="AJ78" s="8">
        <f t="shared" si="0"/>
        <v>0</v>
      </c>
      <c r="AK78" s="8">
        <f t="shared" si="0"/>
        <v>0</v>
      </c>
      <c r="AL78" s="8">
        <f t="shared" si="0"/>
        <v>0</v>
      </c>
      <c r="AM78" s="9">
        <f t="shared" si="0"/>
        <v>0</v>
      </c>
      <c r="AO78" s="8">
        <f>AO77+80</f>
        <v>118</v>
      </c>
      <c r="AP78" s="9"/>
      <c r="AQ78" s="9"/>
      <c r="AR78" s="9"/>
      <c r="AS78" s="9"/>
      <c r="AT78" s="9"/>
    </row>
    <row r="79" spans="1:64" ht="12.75" customHeight="1" x14ac:dyDescent="0.2">
      <c r="A79" s="3" t="s">
        <v>533</v>
      </c>
      <c r="G79">
        <f>G77</f>
        <v>25</v>
      </c>
      <c r="H79">
        <f>H77+12</f>
        <v>37</v>
      </c>
      <c r="I79">
        <f>I77</f>
        <v>25</v>
      </c>
      <c r="J79">
        <f>J77</f>
        <v>21</v>
      </c>
      <c r="K79">
        <f>K77</f>
        <v>26</v>
      </c>
      <c r="L79">
        <f>L77+20</f>
        <v>41</v>
      </c>
      <c r="M79">
        <f>M77</f>
        <v>21</v>
      </c>
      <c r="N79">
        <f>N77+12</f>
        <v>50</v>
      </c>
      <c r="O79">
        <f t="shared" ref="O79:AM79" si="1">O77</f>
        <v>0</v>
      </c>
      <c r="P79">
        <f t="shared" si="1"/>
        <v>0</v>
      </c>
      <c r="Q79">
        <f t="shared" si="1"/>
        <v>0</v>
      </c>
      <c r="R79">
        <f t="shared" si="1"/>
        <v>0</v>
      </c>
      <c r="S79">
        <f t="shared" si="1"/>
        <v>0</v>
      </c>
      <c r="T79">
        <f t="shared" si="1"/>
        <v>0</v>
      </c>
      <c r="U79">
        <f t="shared" si="1"/>
        <v>0</v>
      </c>
      <c r="V79" s="9">
        <f t="shared" si="1"/>
        <v>0</v>
      </c>
      <c r="W79" s="9">
        <f t="shared" si="1"/>
        <v>0</v>
      </c>
      <c r="X79" s="9">
        <f t="shared" si="1"/>
        <v>0</v>
      </c>
      <c r="Y79" s="9">
        <f t="shared" si="1"/>
        <v>0</v>
      </c>
      <c r="Z79" s="9">
        <f t="shared" si="1"/>
        <v>0</v>
      </c>
      <c r="AA79" s="9">
        <f t="shared" si="1"/>
        <v>0</v>
      </c>
      <c r="AB79" s="3">
        <f t="shared" si="1"/>
        <v>81</v>
      </c>
      <c r="AC79" s="9">
        <f t="shared" si="1"/>
        <v>0</v>
      </c>
      <c r="AD79" s="9">
        <f t="shared" si="1"/>
        <v>0</v>
      </c>
      <c r="AE79" s="8">
        <f t="shared" si="1"/>
        <v>0</v>
      </c>
      <c r="AF79" s="8">
        <f t="shared" si="1"/>
        <v>0</v>
      </c>
      <c r="AG79" s="8">
        <f t="shared" si="1"/>
        <v>0</v>
      </c>
      <c r="AH79" s="9">
        <f t="shared" si="1"/>
        <v>0</v>
      </c>
      <c r="AI79" s="8">
        <f t="shared" si="1"/>
        <v>0</v>
      </c>
      <c r="AJ79" s="8">
        <f t="shared" si="1"/>
        <v>0</v>
      </c>
      <c r="AK79" s="8">
        <f t="shared" si="1"/>
        <v>0</v>
      </c>
      <c r="AL79" s="8">
        <f t="shared" si="1"/>
        <v>0</v>
      </c>
      <c r="AM79" s="9">
        <f t="shared" si="1"/>
        <v>0</v>
      </c>
      <c r="AO79" s="8">
        <f>AO77</f>
        <v>38</v>
      </c>
      <c r="AP79" s="9"/>
      <c r="AQ79" s="9"/>
      <c r="AR79" s="9"/>
      <c r="AS79" s="9"/>
      <c r="AT79" s="9"/>
    </row>
    <row r="80" spans="1:64" ht="12.75" customHeight="1" x14ac:dyDescent="0.2">
      <c r="A80" s="3" t="s">
        <v>534</v>
      </c>
      <c r="G80">
        <f t="shared" ref="G80:M80" si="2">G77</f>
        <v>25</v>
      </c>
      <c r="H80">
        <f t="shared" si="2"/>
        <v>25</v>
      </c>
      <c r="I80">
        <f t="shared" si="2"/>
        <v>25</v>
      </c>
      <c r="J80">
        <f t="shared" si="2"/>
        <v>21</v>
      </c>
      <c r="K80">
        <f t="shared" si="2"/>
        <v>26</v>
      </c>
      <c r="L80">
        <f t="shared" si="2"/>
        <v>21</v>
      </c>
      <c r="M80">
        <f t="shared" si="2"/>
        <v>21</v>
      </c>
      <c r="N80">
        <f>N77+20</f>
        <v>58</v>
      </c>
      <c r="O80">
        <f t="shared" ref="O80:AM80" si="3">O77</f>
        <v>0</v>
      </c>
      <c r="P80">
        <f t="shared" si="3"/>
        <v>0</v>
      </c>
      <c r="Q80">
        <f t="shared" si="3"/>
        <v>0</v>
      </c>
      <c r="R80">
        <f t="shared" si="3"/>
        <v>0</v>
      </c>
      <c r="S80">
        <f t="shared" si="3"/>
        <v>0</v>
      </c>
      <c r="T80">
        <f t="shared" si="3"/>
        <v>0</v>
      </c>
      <c r="U80">
        <f t="shared" si="3"/>
        <v>0</v>
      </c>
      <c r="V80" s="9">
        <f t="shared" si="3"/>
        <v>0</v>
      </c>
      <c r="W80" s="9">
        <f t="shared" si="3"/>
        <v>0</v>
      </c>
      <c r="X80" s="9">
        <f t="shared" si="3"/>
        <v>0</v>
      </c>
      <c r="Y80" s="9">
        <f t="shared" si="3"/>
        <v>0</v>
      </c>
      <c r="Z80" s="9">
        <f t="shared" si="3"/>
        <v>0</v>
      </c>
      <c r="AA80" s="9">
        <f t="shared" si="3"/>
        <v>0</v>
      </c>
      <c r="AB80" s="3">
        <f t="shared" si="3"/>
        <v>81</v>
      </c>
      <c r="AC80" s="9">
        <f t="shared" si="3"/>
        <v>0</v>
      </c>
      <c r="AD80" s="9">
        <f t="shared" si="3"/>
        <v>0</v>
      </c>
      <c r="AE80" s="8">
        <f t="shared" si="3"/>
        <v>0</v>
      </c>
      <c r="AF80" s="8">
        <f t="shared" si="3"/>
        <v>0</v>
      </c>
      <c r="AG80" s="8">
        <f t="shared" si="3"/>
        <v>0</v>
      </c>
      <c r="AH80" s="9">
        <f t="shared" si="3"/>
        <v>0</v>
      </c>
      <c r="AI80" s="8">
        <f t="shared" si="3"/>
        <v>0</v>
      </c>
      <c r="AJ80" s="8">
        <f t="shared" si="3"/>
        <v>0</v>
      </c>
      <c r="AK80" s="8">
        <f t="shared" si="3"/>
        <v>0</v>
      </c>
      <c r="AL80" s="8">
        <f t="shared" si="3"/>
        <v>0</v>
      </c>
      <c r="AM80" s="9">
        <f t="shared" si="3"/>
        <v>0</v>
      </c>
      <c r="AO80" s="8">
        <f>AO77</f>
        <v>38</v>
      </c>
      <c r="AP80" s="9"/>
      <c r="AQ80" s="9"/>
      <c r="AR80" s="9"/>
      <c r="AS80" s="9"/>
      <c r="AT80" s="9"/>
    </row>
    <row r="81" spans="1:46" ht="12.75" customHeight="1" x14ac:dyDescent="0.2">
      <c r="A81" s="3" t="s">
        <v>535</v>
      </c>
      <c r="G81">
        <v>39</v>
      </c>
      <c r="H81">
        <v>37</v>
      </c>
      <c r="V81" s="9"/>
      <c r="W81" s="9"/>
      <c r="X81" s="9"/>
      <c r="Y81" s="9"/>
      <c r="Z81" s="9"/>
      <c r="AA81" s="9"/>
      <c r="AB81" s="3">
        <v>-121</v>
      </c>
      <c r="AC81" s="9"/>
      <c r="AD81" s="9"/>
      <c r="AE81" s="8"/>
      <c r="AF81" s="8"/>
      <c r="AG81" s="8"/>
      <c r="AH81" s="9"/>
      <c r="AI81" s="8"/>
      <c r="AJ81" s="8"/>
      <c r="AK81" s="8"/>
      <c r="AL81" s="8"/>
      <c r="AM81" s="9"/>
      <c r="AO81" s="8">
        <v>23</v>
      </c>
      <c r="AP81" s="9"/>
      <c r="AQ81" s="9"/>
      <c r="AR81" s="9"/>
      <c r="AS81" s="9"/>
      <c r="AT81" s="9"/>
    </row>
    <row r="82" spans="1:46" ht="12.75" customHeight="1" x14ac:dyDescent="0.2">
      <c r="A82" s="3" t="s">
        <v>536</v>
      </c>
      <c r="G82">
        <f>G81+8</f>
        <v>47</v>
      </c>
      <c r="H82">
        <f t="shared" ref="H82:N82" si="4">H81</f>
        <v>37</v>
      </c>
      <c r="I82">
        <f t="shared" si="4"/>
        <v>0</v>
      </c>
      <c r="J82">
        <f t="shared" si="4"/>
        <v>0</v>
      </c>
      <c r="K82">
        <f t="shared" si="4"/>
        <v>0</v>
      </c>
      <c r="L82">
        <f t="shared" si="4"/>
        <v>0</v>
      </c>
      <c r="M82">
        <f t="shared" si="4"/>
        <v>0</v>
      </c>
      <c r="N82">
        <f t="shared" si="4"/>
        <v>0</v>
      </c>
      <c r="O82">
        <f>O81+20</f>
        <v>20</v>
      </c>
      <c r="P82">
        <f t="shared" ref="P82:U82" si="5">P81</f>
        <v>0</v>
      </c>
      <c r="Q82">
        <f t="shared" si="5"/>
        <v>0</v>
      </c>
      <c r="R82">
        <f t="shared" si="5"/>
        <v>0</v>
      </c>
      <c r="S82">
        <f t="shared" si="5"/>
        <v>0</v>
      </c>
      <c r="T82">
        <f t="shared" si="5"/>
        <v>0</v>
      </c>
      <c r="U82">
        <f t="shared" si="5"/>
        <v>0</v>
      </c>
      <c r="V82" s="9">
        <f>V81+0.03</f>
        <v>0.03</v>
      </c>
      <c r="W82" s="9">
        <f t="shared" ref="W82:AM82" si="6">W81</f>
        <v>0</v>
      </c>
      <c r="X82" s="9">
        <f t="shared" si="6"/>
        <v>0</v>
      </c>
      <c r="Y82" s="9">
        <f t="shared" si="6"/>
        <v>0</v>
      </c>
      <c r="Z82" s="9">
        <f t="shared" si="6"/>
        <v>0</v>
      </c>
      <c r="AA82" s="9">
        <f t="shared" si="6"/>
        <v>0</v>
      </c>
      <c r="AB82" s="3">
        <f t="shared" si="6"/>
        <v>-121</v>
      </c>
      <c r="AC82" s="9">
        <f t="shared" si="6"/>
        <v>0</v>
      </c>
      <c r="AD82" s="9">
        <f t="shared" si="6"/>
        <v>0</v>
      </c>
      <c r="AE82" s="8">
        <f t="shared" si="6"/>
        <v>0</v>
      </c>
      <c r="AF82" s="8">
        <f t="shared" si="6"/>
        <v>0</v>
      </c>
      <c r="AG82" s="8">
        <f t="shared" si="6"/>
        <v>0</v>
      </c>
      <c r="AH82" s="9">
        <f t="shared" si="6"/>
        <v>0</v>
      </c>
      <c r="AI82" s="8">
        <f t="shared" si="6"/>
        <v>0</v>
      </c>
      <c r="AJ82" s="8">
        <f t="shared" si="6"/>
        <v>0</v>
      </c>
      <c r="AK82" s="8">
        <f t="shared" si="6"/>
        <v>0</v>
      </c>
      <c r="AL82" s="8">
        <f t="shared" si="6"/>
        <v>0</v>
      </c>
      <c r="AM82" s="9">
        <f t="shared" si="6"/>
        <v>0</v>
      </c>
      <c r="AO82" s="8">
        <f>AO81</f>
        <v>23</v>
      </c>
      <c r="AP82" s="9"/>
      <c r="AQ82" s="9"/>
      <c r="AR82" s="9"/>
      <c r="AS82" s="9"/>
      <c r="AT82" s="9"/>
    </row>
    <row r="83" spans="1:46" ht="12.75" customHeight="1" x14ac:dyDescent="0.2">
      <c r="A83" s="3" t="s">
        <v>219</v>
      </c>
      <c r="B83" s="3"/>
      <c r="C83" s="3"/>
      <c r="D83" s="3"/>
      <c r="E83" s="3"/>
      <c r="F83" s="3"/>
      <c r="G83" s="3">
        <f>G81</f>
        <v>39</v>
      </c>
      <c r="H83" s="3">
        <f>H81+8</f>
        <v>45</v>
      </c>
      <c r="I83" s="3">
        <f>I81</f>
        <v>0</v>
      </c>
      <c r="J83" s="3">
        <f>J81</f>
        <v>0</v>
      </c>
      <c r="K83" s="3">
        <f>K81</f>
        <v>0</v>
      </c>
      <c r="L83" s="3">
        <f>L81</f>
        <v>0</v>
      </c>
      <c r="M83" s="3">
        <f>M81</f>
        <v>0</v>
      </c>
      <c r="N83" s="3">
        <f>N81+20</f>
        <v>20</v>
      </c>
      <c r="O83" s="3">
        <f t="shared" ref="O83:AB83" si="7">O81</f>
        <v>0</v>
      </c>
      <c r="P83" s="3">
        <f t="shared" si="7"/>
        <v>0</v>
      </c>
      <c r="Q83" s="3">
        <f t="shared" si="7"/>
        <v>0</v>
      </c>
      <c r="R83" s="3">
        <f t="shared" si="7"/>
        <v>0</v>
      </c>
      <c r="S83" s="3">
        <f t="shared" si="7"/>
        <v>0</v>
      </c>
      <c r="T83" s="3">
        <f t="shared" si="7"/>
        <v>0</v>
      </c>
      <c r="U83" s="3">
        <f t="shared" si="7"/>
        <v>0</v>
      </c>
      <c r="V83" s="9">
        <f t="shared" si="7"/>
        <v>0</v>
      </c>
      <c r="W83" s="9">
        <f t="shared" si="7"/>
        <v>0</v>
      </c>
      <c r="X83" s="9">
        <f t="shared" si="7"/>
        <v>0</v>
      </c>
      <c r="Y83" s="9">
        <f t="shared" si="7"/>
        <v>0</v>
      </c>
      <c r="Z83" s="9">
        <f t="shared" si="7"/>
        <v>0</v>
      </c>
      <c r="AA83" s="9">
        <f t="shared" si="7"/>
        <v>0</v>
      </c>
      <c r="AB83" s="3">
        <f t="shared" si="7"/>
        <v>-121</v>
      </c>
      <c r="AC83" s="9">
        <f>AC81+0.03</f>
        <v>0.03</v>
      </c>
      <c r="AD83" s="9">
        <f t="shared" ref="AD83:AM83" si="8">AD81</f>
        <v>0</v>
      </c>
      <c r="AE83" s="8">
        <f t="shared" si="8"/>
        <v>0</v>
      </c>
      <c r="AF83" s="8">
        <f t="shared" si="8"/>
        <v>0</v>
      </c>
      <c r="AG83" s="8">
        <f t="shared" si="8"/>
        <v>0</v>
      </c>
      <c r="AH83" s="9">
        <f t="shared" si="8"/>
        <v>0</v>
      </c>
      <c r="AI83" s="8">
        <f t="shared" si="8"/>
        <v>0</v>
      </c>
      <c r="AJ83" s="8">
        <f t="shared" si="8"/>
        <v>0</v>
      </c>
      <c r="AK83" s="8">
        <f t="shared" si="8"/>
        <v>0</v>
      </c>
      <c r="AL83" s="8">
        <f t="shared" si="8"/>
        <v>0</v>
      </c>
      <c r="AM83" s="9">
        <f t="shared" si="8"/>
        <v>0</v>
      </c>
      <c r="AO83" s="8">
        <f>AO81</f>
        <v>23</v>
      </c>
      <c r="AP83" s="9"/>
      <c r="AQ83" s="9"/>
      <c r="AR83" s="9"/>
      <c r="AS83" s="9"/>
      <c r="AT83" s="9"/>
    </row>
    <row r="84" spans="1:46" ht="12.75" customHeight="1" x14ac:dyDescent="0.2">
      <c r="A84" s="3" t="s">
        <v>537</v>
      </c>
      <c r="G84">
        <f t="shared" ref="G84:M84" si="9">G81</f>
        <v>39</v>
      </c>
      <c r="H84">
        <f t="shared" si="9"/>
        <v>37</v>
      </c>
      <c r="I84">
        <f t="shared" si="9"/>
        <v>0</v>
      </c>
      <c r="J84">
        <f t="shared" si="9"/>
        <v>0</v>
      </c>
      <c r="K84">
        <f t="shared" si="9"/>
        <v>0</v>
      </c>
      <c r="L84">
        <f t="shared" si="9"/>
        <v>0</v>
      </c>
      <c r="M84">
        <f t="shared" si="9"/>
        <v>0</v>
      </c>
      <c r="N84">
        <f>N81+10</f>
        <v>10</v>
      </c>
      <c r="O84">
        <f>O81+10</f>
        <v>10</v>
      </c>
      <c r="P84">
        <f t="shared" ref="P84:AD84" si="10">P81</f>
        <v>0</v>
      </c>
      <c r="Q84">
        <f t="shared" si="10"/>
        <v>0</v>
      </c>
      <c r="R84">
        <f t="shared" si="10"/>
        <v>0</v>
      </c>
      <c r="S84">
        <f t="shared" si="10"/>
        <v>0</v>
      </c>
      <c r="T84">
        <f t="shared" si="10"/>
        <v>0</v>
      </c>
      <c r="U84">
        <f t="shared" si="10"/>
        <v>0</v>
      </c>
      <c r="V84" s="9">
        <f t="shared" si="10"/>
        <v>0</v>
      </c>
      <c r="W84" s="9">
        <f t="shared" si="10"/>
        <v>0</v>
      </c>
      <c r="X84" s="9">
        <f t="shared" si="10"/>
        <v>0</v>
      </c>
      <c r="Y84" s="9">
        <f t="shared" si="10"/>
        <v>0</v>
      </c>
      <c r="Z84" s="9">
        <f t="shared" si="10"/>
        <v>0</v>
      </c>
      <c r="AA84" s="9">
        <f t="shared" si="10"/>
        <v>0</v>
      </c>
      <c r="AB84" s="3">
        <f t="shared" si="10"/>
        <v>-121</v>
      </c>
      <c r="AC84" s="9">
        <f t="shared" si="10"/>
        <v>0</v>
      </c>
      <c r="AD84" s="9">
        <f t="shared" si="10"/>
        <v>0</v>
      </c>
      <c r="AE84" s="8">
        <f>AE81+5</f>
        <v>5</v>
      </c>
      <c r="AF84" s="8">
        <f t="shared" ref="AF84:AM84" si="11">AF81</f>
        <v>0</v>
      </c>
      <c r="AG84" s="8">
        <f t="shared" si="11"/>
        <v>0</v>
      </c>
      <c r="AH84" s="9">
        <f t="shared" si="11"/>
        <v>0</v>
      </c>
      <c r="AI84" s="8">
        <f t="shared" si="11"/>
        <v>0</v>
      </c>
      <c r="AJ84" s="8">
        <f t="shared" si="11"/>
        <v>0</v>
      </c>
      <c r="AK84" s="8">
        <f t="shared" si="11"/>
        <v>0</v>
      </c>
      <c r="AL84" s="8">
        <f t="shared" si="11"/>
        <v>0</v>
      </c>
      <c r="AM84" s="9">
        <f t="shared" si="11"/>
        <v>0</v>
      </c>
      <c r="AO84" s="8">
        <f>AO81</f>
        <v>23</v>
      </c>
      <c r="AP84" s="9"/>
      <c r="AQ84" s="9"/>
      <c r="AR84" s="9"/>
      <c r="AS84" s="9"/>
      <c r="AT84" s="9"/>
    </row>
    <row r="85" spans="1:46" ht="12.75" customHeight="1" x14ac:dyDescent="0.2">
      <c r="A85" s="3" t="s">
        <v>210</v>
      </c>
      <c r="G85">
        <f>G81+8</f>
        <v>47</v>
      </c>
      <c r="H85">
        <f>H81+8</f>
        <v>45</v>
      </c>
      <c r="I85">
        <f>I81</f>
        <v>0</v>
      </c>
      <c r="J85">
        <f>J81</f>
        <v>0</v>
      </c>
      <c r="K85">
        <f>K81+35</f>
        <v>35</v>
      </c>
      <c r="L85">
        <f t="shared" ref="L85:AM85" si="12">L81</f>
        <v>0</v>
      </c>
      <c r="M85">
        <f t="shared" si="12"/>
        <v>0</v>
      </c>
      <c r="N85">
        <f t="shared" si="12"/>
        <v>0</v>
      </c>
      <c r="O85">
        <f t="shared" si="12"/>
        <v>0</v>
      </c>
      <c r="P85">
        <f t="shared" si="12"/>
        <v>0</v>
      </c>
      <c r="Q85">
        <f t="shared" si="12"/>
        <v>0</v>
      </c>
      <c r="R85">
        <f t="shared" si="12"/>
        <v>0</v>
      </c>
      <c r="S85">
        <f t="shared" si="12"/>
        <v>0</v>
      </c>
      <c r="T85">
        <f t="shared" si="12"/>
        <v>0</v>
      </c>
      <c r="U85">
        <f t="shared" si="12"/>
        <v>0</v>
      </c>
      <c r="V85" s="9">
        <f t="shared" si="12"/>
        <v>0</v>
      </c>
      <c r="W85" s="9">
        <f t="shared" si="12"/>
        <v>0</v>
      </c>
      <c r="X85" s="9">
        <f t="shared" si="12"/>
        <v>0</v>
      </c>
      <c r="Y85" s="9">
        <f t="shared" si="12"/>
        <v>0</v>
      </c>
      <c r="Z85" s="9">
        <f t="shared" si="12"/>
        <v>0</v>
      </c>
      <c r="AA85" s="9">
        <f t="shared" si="12"/>
        <v>0</v>
      </c>
      <c r="AB85" s="3">
        <f t="shared" si="12"/>
        <v>-121</v>
      </c>
      <c r="AC85" s="9">
        <f t="shared" si="12"/>
        <v>0</v>
      </c>
      <c r="AD85" s="9">
        <f t="shared" si="12"/>
        <v>0</v>
      </c>
      <c r="AE85" s="8">
        <f t="shared" si="12"/>
        <v>0</v>
      </c>
      <c r="AF85" s="8">
        <f t="shared" si="12"/>
        <v>0</v>
      </c>
      <c r="AG85" s="8">
        <f t="shared" si="12"/>
        <v>0</v>
      </c>
      <c r="AH85" s="9">
        <f t="shared" si="12"/>
        <v>0</v>
      </c>
      <c r="AI85" s="8">
        <f t="shared" si="12"/>
        <v>0</v>
      </c>
      <c r="AJ85" s="8">
        <f t="shared" si="12"/>
        <v>0</v>
      </c>
      <c r="AK85" s="8">
        <f t="shared" si="12"/>
        <v>0</v>
      </c>
      <c r="AL85" s="8">
        <f t="shared" si="12"/>
        <v>0</v>
      </c>
      <c r="AM85" s="9">
        <f t="shared" si="12"/>
        <v>0</v>
      </c>
      <c r="AO85" s="8">
        <f>AO81</f>
        <v>23</v>
      </c>
      <c r="AP85" s="9"/>
      <c r="AQ85" s="9"/>
      <c r="AR85" s="9"/>
      <c r="AS85" s="9"/>
      <c r="AT85" s="9"/>
    </row>
    <row r="86" spans="1:46" s="112" customFormat="1" ht="12.75" customHeight="1" x14ac:dyDescent="0.2">
      <c r="A86" s="113" t="s">
        <v>881</v>
      </c>
      <c r="G86" s="112">
        <f>16+25</f>
        <v>41</v>
      </c>
      <c r="H86" s="112">
        <f>16+25</f>
        <v>41</v>
      </c>
      <c r="I86" s="112">
        <v>16</v>
      </c>
      <c r="J86" s="112">
        <v>16</v>
      </c>
      <c r="K86" s="112">
        <v>16</v>
      </c>
      <c r="L86" s="112">
        <v>16</v>
      </c>
      <c r="M86" s="112">
        <v>16</v>
      </c>
      <c r="N86" s="112">
        <v>8</v>
      </c>
      <c r="V86" s="114">
        <v>0.03</v>
      </c>
      <c r="W86" s="114"/>
      <c r="X86" s="114"/>
      <c r="Y86" s="114"/>
      <c r="Z86" s="114"/>
      <c r="AA86" s="114"/>
      <c r="AB86" s="113">
        <f>ROUNDDOWN(1024*0.08,0)</f>
        <v>81</v>
      </c>
      <c r="AC86" s="114">
        <v>0.1</v>
      </c>
      <c r="AD86" s="114"/>
      <c r="AE86" s="115"/>
      <c r="AF86" s="115"/>
      <c r="AG86" s="115"/>
      <c r="AH86" s="114"/>
      <c r="AI86" s="115"/>
      <c r="AJ86" s="115"/>
      <c r="AK86" s="115"/>
      <c r="AL86" s="115"/>
      <c r="AM86" s="114"/>
      <c r="AO86" s="115"/>
      <c r="AP86" s="114"/>
      <c r="AQ86" s="114"/>
      <c r="AR86" s="114"/>
      <c r="AS86" s="114"/>
      <c r="AT86" s="114"/>
    </row>
    <row r="87" spans="1:46" ht="12.75" customHeight="1" x14ac:dyDescent="0.2">
      <c r="A87" t="s">
        <v>538</v>
      </c>
      <c r="G87">
        <v>19</v>
      </c>
      <c r="H87">
        <v>21</v>
      </c>
      <c r="I87">
        <v>15</v>
      </c>
      <c r="J87">
        <v>19</v>
      </c>
      <c r="K87">
        <v>14</v>
      </c>
      <c r="L87">
        <v>14</v>
      </c>
      <c r="M87">
        <v>14</v>
      </c>
      <c r="O87">
        <f>36+45</f>
        <v>81</v>
      </c>
      <c r="T87" s="3"/>
      <c r="U87" s="3"/>
      <c r="V87" s="9"/>
      <c r="W87" s="9">
        <v>0.04</v>
      </c>
      <c r="X87" s="9"/>
      <c r="Y87" s="9"/>
      <c r="Z87" s="9"/>
      <c r="AA87" s="9"/>
      <c r="AB87">
        <v>81</v>
      </c>
      <c r="AC87" s="9"/>
      <c r="AD87" s="9"/>
      <c r="AE87" s="8"/>
      <c r="AF87" s="8"/>
      <c r="AG87" s="8"/>
      <c r="AH87" s="9"/>
      <c r="AI87" s="8"/>
      <c r="AJ87" s="8"/>
      <c r="AK87" s="8"/>
      <c r="AL87" s="8"/>
      <c r="AM87" s="9"/>
      <c r="AO87" s="8">
        <v>41</v>
      </c>
      <c r="AP87" s="9"/>
    </row>
    <row r="88" spans="1:46" ht="12.75" customHeight="1" x14ac:dyDescent="0.2">
      <c r="A88" t="s">
        <v>539</v>
      </c>
      <c r="G88">
        <f>G87</f>
        <v>19</v>
      </c>
      <c r="H88">
        <f>H87+12</f>
        <v>33</v>
      </c>
      <c r="I88">
        <f>I87</f>
        <v>15</v>
      </c>
      <c r="J88">
        <f>J87+12</f>
        <v>31</v>
      </c>
      <c r="K88">
        <f>K87</f>
        <v>14</v>
      </c>
      <c r="L88">
        <f>L87</f>
        <v>14</v>
      </c>
      <c r="M88">
        <f>M87</f>
        <v>14</v>
      </c>
      <c r="N88">
        <f>N87+20</f>
        <v>20</v>
      </c>
      <c r="O88">
        <f t="shared" ref="O88:AS88" si="13">O87</f>
        <v>81</v>
      </c>
      <c r="P88">
        <f t="shared" si="13"/>
        <v>0</v>
      </c>
      <c r="Q88">
        <f t="shared" si="13"/>
        <v>0</v>
      </c>
      <c r="R88">
        <f t="shared" si="13"/>
        <v>0</v>
      </c>
      <c r="S88">
        <f t="shared" si="13"/>
        <v>0</v>
      </c>
      <c r="T88">
        <f t="shared" si="13"/>
        <v>0</v>
      </c>
      <c r="U88">
        <f t="shared" si="13"/>
        <v>0</v>
      </c>
      <c r="V88" s="9">
        <f t="shared" si="13"/>
        <v>0</v>
      </c>
      <c r="W88" s="9">
        <f t="shared" si="13"/>
        <v>0.04</v>
      </c>
      <c r="X88" s="9">
        <f t="shared" si="13"/>
        <v>0</v>
      </c>
      <c r="Y88" s="9">
        <f t="shared" si="13"/>
        <v>0</v>
      </c>
      <c r="Z88" s="9">
        <f t="shared" si="13"/>
        <v>0</v>
      </c>
      <c r="AA88" s="9">
        <f t="shared" si="13"/>
        <v>0</v>
      </c>
      <c r="AB88">
        <f t="shared" si="13"/>
        <v>81</v>
      </c>
      <c r="AC88" s="9">
        <f t="shared" si="13"/>
        <v>0</v>
      </c>
      <c r="AD88" s="9">
        <f t="shared" si="13"/>
        <v>0</v>
      </c>
      <c r="AE88" s="8">
        <f t="shared" si="13"/>
        <v>0</v>
      </c>
      <c r="AF88" s="8">
        <f t="shared" si="13"/>
        <v>0</v>
      </c>
      <c r="AG88" s="8">
        <f t="shared" si="13"/>
        <v>0</v>
      </c>
      <c r="AH88" s="9">
        <f t="shared" si="13"/>
        <v>0</v>
      </c>
      <c r="AI88" s="8">
        <f t="shared" si="13"/>
        <v>0</v>
      </c>
      <c r="AJ88" s="8">
        <f t="shared" si="13"/>
        <v>0</v>
      </c>
      <c r="AK88" s="8">
        <f t="shared" si="13"/>
        <v>0</v>
      </c>
      <c r="AL88" s="8">
        <f t="shared" si="13"/>
        <v>0</v>
      </c>
      <c r="AM88" s="9">
        <f t="shared" si="13"/>
        <v>0</v>
      </c>
      <c r="AN88">
        <f t="shared" si="13"/>
        <v>0</v>
      </c>
      <c r="AO88" s="8">
        <f t="shared" si="13"/>
        <v>41</v>
      </c>
      <c r="AP88" s="9">
        <f t="shared" si="13"/>
        <v>0</v>
      </c>
      <c r="AQ88">
        <f t="shared" si="13"/>
        <v>0</v>
      </c>
      <c r="AR88">
        <f t="shared" si="13"/>
        <v>0</v>
      </c>
      <c r="AS88">
        <f t="shared" si="13"/>
        <v>0</v>
      </c>
    </row>
    <row r="89" spans="1:46" ht="12.75" customHeight="1" x14ac:dyDescent="0.2">
      <c r="A89" t="s">
        <v>212</v>
      </c>
      <c r="G89">
        <f>G87+12</f>
        <v>31</v>
      </c>
      <c r="H89">
        <f>H87+12</f>
        <v>33</v>
      </c>
      <c r="I89">
        <f t="shared" ref="I89:N89" si="14">I87</f>
        <v>15</v>
      </c>
      <c r="J89">
        <f t="shared" si="14"/>
        <v>19</v>
      </c>
      <c r="K89">
        <f t="shared" si="14"/>
        <v>14</v>
      </c>
      <c r="L89">
        <f t="shared" si="14"/>
        <v>14</v>
      </c>
      <c r="M89">
        <f t="shared" si="14"/>
        <v>14</v>
      </c>
      <c r="N89">
        <f t="shared" si="14"/>
        <v>0</v>
      </c>
      <c r="O89">
        <f>O87+20</f>
        <v>101</v>
      </c>
      <c r="P89">
        <f t="shared" ref="P89:AS89" si="15">P87</f>
        <v>0</v>
      </c>
      <c r="Q89">
        <f t="shared" si="15"/>
        <v>0</v>
      </c>
      <c r="R89">
        <f t="shared" si="15"/>
        <v>0</v>
      </c>
      <c r="S89">
        <f t="shared" si="15"/>
        <v>0</v>
      </c>
      <c r="T89">
        <f t="shared" si="15"/>
        <v>0</v>
      </c>
      <c r="U89">
        <f t="shared" si="15"/>
        <v>0</v>
      </c>
      <c r="V89" s="9">
        <f t="shared" si="15"/>
        <v>0</v>
      </c>
      <c r="W89" s="9">
        <f t="shared" si="15"/>
        <v>0.04</v>
      </c>
      <c r="X89" s="9">
        <f t="shared" si="15"/>
        <v>0</v>
      </c>
      <c r="Y89" s="9">
        <f t="shared" si="15"/>
        <v>0</v>
      </c>
      <c r="Z89" s="9">
        <f t="shared" si="15"/>
        <v>0</v>
      </c>
      <c r="AA89" s="9">
        <f t="shared" si="15"/>
        <v>0</v>
      </c>
      <c r="AB89">
        <f t="shared" si="15"/>
        <v>81</v>
      </c>
      <c r="AC89" s="9">
        <f t="shared" si="15"/>
        <v>0</v>
      </c>
      <c r="AD89" s="9">
        <f t="shared" si="15"/>
        <v>0</v>
      </c>
      <c r="AE89" s="8">
        <f t="shared" si="15"/>
        <v>0</v>
      </c>
      <c r="AF89" s="8">
        <f t="shared" si="15"/>
        <v>0</v>
      </c>
      <c r="AG89" s="8">
        <f t="shared" si="15"/>
        <v>0</v>
      </c>
      <c r="AH89" s="9">
        <f t="shared" si="15"/>
        <v>0</v>
      </c>
      <c r="AI89" s="8">
        <f t="shared" si="15"/>
        <v>0</v>
      </c>
      <c r="AJ89" s="8">
        <f t="shared" si="15"/>
        <v>0</v>
      </c>
      <c r="AK89" s="8">
        <f t="shared" si="15"/>
        <v>0</v>
      </c>
      <c r="AL89" s="8">
        <f t="shared" si="15"/>
        <v>0</v>
      </c>
      <c r="AM89" s="9">
        <f t="shared" si="15"/>
        <v>0</v>
      </c>
      <c r="AN89">
        <f t="shared" si="15"/>
        <v>0</v>
      </c>
      <c r="AO89" s="8">
        <f t="shared" si="15"/>
        <v>41</v>
      </c>
      <c r="AP89" s="9">
        <f t="shared" si="15"/>
        <v>0</v>
      </c>
      <c r="AQ89">
        <f t="shared" si="15"/>
        <v>0</v>
      </c>
      <c r="AR89">
        <f t="shared" si="15"/>
        <v>0</v>
      </c>
      <c r="AS89">
        <f t="shared" si="15"/>
        <v>0</v>
      </c>
    </row>
    <row r="90" spans="1:46" ht="12.75" customHeight="1" x14ac:dyDescent="0.2">
      <c r="A90" t="s">
        <v>540</v>
      </c>
      <c r="G90">
        <v>22</v>
      </c>
      <c r="H90">
        <v>28</v>
      </c>
      <c r="I90">
        <v>18</v>
      </c>
      <c r="J90">
        <v>25</v>
      </c>
      <c r="K90">
        <v>20</v>
      </c>
      <c r="L90">
        <v>16</v>
      </c>
      <c r="M90">
        <v>17</v>
      </c>
      <c r="O90">
        <v>15</v>
      </c>
      <c r="T90" s="3"/>
      <c r="U90" s="3"/>
      <c r="V90" s="9"/>
      <c r="W90" s="9"/>
      <c r="X90" s="9"/>
      <c r="Y90" s="9"/>
      <c r="Z90" s="9"/>
      <c r="AA90" s="9"/>
      <c r="AB90">
        <v>81</v>
      </c>
      <c r="AC90" s="9"/>
      <c r="AD90" s="9"/>
      <c r="AE90" s="8"/>
      <c r="AF90" s="8"/>
      <c r="AG90" s="8"/>
      <c r="AH90" s="9"/>
      <c r="AI90" s="8"/>
      <c r="AJ90" s="8"/>
      <c r="AK90" s="8"/>
      <c r="AL90" s="8"/>
      <c r="AM90" s="9"/>
      <c r="AO90" s="8">
        <v>38</v>
      </c>
      <c r="AP90" s="9"/>
    </row>
    <row r="91" spans="1:46" ht="12.75" customHeight="1" x14ac:dyDescent="0.2">
      <c r="A91" t="s">
        <v>198</v>
      </c>
      <c r="G91">
        <f t="shared" ref="G91:M91" si="16">G90</f>
        <v>22</v>
      </c>
      <c r="H91">
        <f t="shared" si="16"/>
        <v>28</v>
      </c>
      <c r="I91">
        <f t="shared" si="16"/>
        <v>18</v>
      </c>
      <c r="J91">
        <f t="shared" si="16"/>
        <v>25</v>
      </c>
      <c r="K91">
        <f t="shared" si="16"/>
        <v>20</v>
      </c>
      <c r="L91">
        <f t="shared" si="16"/>
        <v>16</v>
      </c>
      <c r="M91">
        <f t="shared" si="16"/>
        <v>17</v>
      </c>
      <c r="N91">
        <f>N90+15</f>
        <v>15</v>
      </c>
      <c r="O91">
        <f>O90+15</f>
        <v>30</v>
      </c>
      <c r="P91">
        <f t="shared" ref="P91:V91" si="17">P90</f>
        <v>0</v>
      </c>
      <c r="Q91">
        <f t="shared" si="17"/>
        <v>0</v>
      </c>
      <c r="R91">
        <f t="shared" si="17"/>
        <v>0</v>
      </c>
      <c r="S91">
        <f t="shared" si="17"/>
        <v>0</v>
      </c>
      <c r="T91">
        <f t="shared" si="17"/>
        <v>0</v>
      </c>
      <c r="U91">
        <f t="shared" si="17"/>
        <v>0</v>
      </c>
      <c r="V91" s="9">
        <f t="shared" si="17"/>
        <v>0</v>
      </c>
      <c r="W91" s="9">
        <f>W90+4%</f>
        <v>0.04</v>
      </c>
      <c r="X91" s="9">
        <f t="shared" ref="X91:AS91" si="18">X90</f>
        <v>0</v>
      </c>
      <c r="Y91" s="9">
        <f t="shared" si="18"/>
        <v>0</v>
      </c>
      <c r="Z91" s="9">
        <f t="shared" si="18"/>
        <v>0</v>
      </c>
      <c r="AA91" s="9">
        <f t="shared" si="18"/>
        <v>0</v>
      </c>
      <c r="AB91">
        <f t="shared" si="18"/>
        <v>81</v>
      </c>
      <c r="AC91" s="9">
        <f t="shared" si="18"/>
        <v>0</v>
      </c>
      <c r="AD91" s="9">
        <f t="shared" si="18"/>
        <v>0</v>
      </c>
      <c r="AE91" s="8">
        <f t="shared" si="18"/>
        <v>0</v>
      </c>
      <c r="AF91" s="8">
        <f t="shared" si="18"/>
        <v>0</v>
      </c>
      <c r="AG91" s="8">
        <f t="shared" si="18"/>
        <v>0</v>
      </c>
      <c r="AH91" s="9">
        <f t="shared" si="18"/>
        <v>0</v>
      </c>
      <c r="AI91" s="8">
        <f t="shared" si="18"/>
        <v>0</v>
      </c>
      <c r="AJ91" s="8">
        <f t="shared" si="18"/>
        <v>0</v>
      </c>
      <c r="AK91" s="8">
        <f t="shared" si="18"/>
        <v>0</v>
      </c>
      <c r="AL91" s="8">
        <f t="shared" si="18"/>
        <v>0</v>
      </c>
      <c r="AM91" s="9">
        <f t="shared" si="18"/>
        <v>0</v>
      </c>
      <c r="AN91">
        <f t="shared" si="18"/>
        <v>0</v>
      </c>
      <c r="AO91" s="8">
        <f t="shared" si="18"/>
        <v>38</v>
      </c>
      <c r="AP91" s="9">
        <f t="shared" si="18"/>
        <v>0</v>
      </c>
      <c r="AQ91">
        <f t="shared" si="18"/>
        <v>0</v>
      </c>
      <c r="AR91">
        <f t="shared" si="18"/>
        <v>0</v>
      </c>
      <c r="AS91">
        <f t="shared" si="18"/>
        <v>0</v>
      </c>
    </row>
    <row r="92" spans="1:46" ht="12.75" customHeight="1" x14ac:dyDescent="0.2">
      <c r="A92" t="s">
        <v>541</v>
      </c>
      <c r="G92">
        <f t="shared" ref="G92:M92" si="19">G90</f>
        <v>22</v>
      </c>
      <c r="H92">
        <f t="shared" si="19"/>
        <v>28</v>
      </c>
      <c r="I92">
        <f t="shared" si="19"/>
        <v>18</v>
      </c>
      <c r="J92">
        <f t="shared" si="19"/>
        <v>25</v>
      </c>
      <c r="K92">
        <f t="shared" si="19"/>
        <v>20</v>
      </c>
      <c r="L92">
        <f t="shared" si="19"/>
        <v>16</v>
      </c>
      <c r="M92">
        <f t="shared" si="19"/>
        <v>17</v>
      </c>
      <c r="N92">
        <f>N90+15</f>
        <v>15</v>
      </c>
      <c r="O92">
        <f>O90+15</f>
        <v>30</v>
      </c>
      <c r="P92">
        <f t="shared" ref="P92:AD92" si="20">P90</f>
        <v>0</v>
      </c>
      <c r="Q92">
        <f t="shared" si="20"/>
        <v>0</v>
      </c>
      <c r="R92">
        <f t="shared" si="20"/>
        <v>0</v>
      </c>
      <c r="S92">
        <f t="shared" si="20"/>
        <v>0</v>
      </c>
      <c r="T92">
        <f t="shared" si="20"/>
        <v>0</v>
      </c>
      <c r="U92">
        <f t="shared" si="20"/>
        <v>0</v>
      </c>
      <c r="V92" s="9">
        <f t="shared" si="20"/>
        <v>0</v>
      </c>
      <c r="W92" s="9">
        <f t="shared" si="20"/>
        <v>0</v>
      </c>
      <c r="X92" s="9">
        <f t="shared" si="20"/>
        <v>0</v>
      </c>
      <c r="Y92" s="9">
        <f t="shared" si="20"/>
        <v>0</v>
      </c>
      <c r="Z92" s="9">
        <f t="shared" si="20"/>
        <v>0</v>
      </c>
      <c r="AA92" s="9">
        <f t="shared" si="20"/>
        <v>0</v>
      </c>
      <c r="AB92">
        <f t="shared" si="20"/>
        <v>81</v>
      </c>
      <c r="AC92" s="9">
        <f t="shared" si="20"/>
        <v>0</v>
      </c>
      <c r="AD92" s="9">
        <f t="shared" si="20"/>
        <v>0</v>
      </c>
      <c r="AE92" s="8">
        <f>AE90+6</f>
        <v>6</v>
      </c>
      <c r="AF92" s="8">
        <f t="shared" ref="AF92:AS92" si="21">AF90</f>
        <v>0</v>
      </c>
      <c r="AG92" s="8">
        <f t="shared" si="21"/>
        <v>0</v>
      </c>
      <c r="AH92" s="9">
        <f t="shared" si="21"/>
        <v>0</v>
      </c>
      <c r="AI92" s="8">
        <f t="shared" si="21"/>
        <v>0</v>
      </c>
      <c r="AJ92" s="8">
        <f t="shared" si="21"/>
        <v>0</v>
      </c>
      <c r="AK92" s="8">
        <f t="shared" si="21"/>
        <v>0</v>
      </c>
      <c r="AL92" s="8">
        <f t="shared" si="21"/>
        <v>0</v>
      </c>
      <c r="AM92" s="9">
        <f t="shared" si="21"/>
        <v>0</v>
      </c>
      <c r="AN92">
        <f t="shared" si="21"/>
        <v>0</v>
      </c>
      <c r="AO92" s="8">
        <f t="shared" si="21"/>
        <v>38</v>
      </c>
      <c r="AP92" s="9">
        <f t="shared" si="21"/>
        <v>0</v>
      </c>
      <c r="AQ92">
        <f t="shared" si="21"/>
        <v>0</v>
      </c>
      <c r="AR92">
        <f t="shared" si="21"/>
        <v>0</v>
      </c>
      <c r="AS92">
        <f t="shared" si="21"/>
        <v>0</v>
      </c>
    </row>
    <row r="93" spans="1:46" ht="12.75" customHeight="1" x14ac:dyDescent="0.2">
      <c r="A93" t="s">
        <v>542</v>
      </c>
      <c r="G93">
        <f t="shared" ref="G93:M93" si="22">G90</f>
        <v>22</v>
      </c>
      <c r="H93">
        <f t="shared" si="22"/>
        <v>28</v>
      </c>
      <c r="I93">
        <f>I90+14</f>
        <v>32</v>
      </c>
      <c r="J93">
        <f t="shared" si="22"/>
        <v>25</v>
      </c>
      <c r="K93">
        <f t="shared" si="22"/>
        <v>20</v>
      </c>
      <c r="L93">
        <f t="shared" si="22"/>
        <v>16</v>
      </c>
      <c r="M93">
        <f t="shared" si="22"/>
        <v>17</v>
      </c>
      <c r="N93">
        <f>N90+3</f>
        <v>3</v>
      </c>
      <c r="O93">
        <f>O90+1</f>
        <v>16</v>
      </c>
      <c r="P93">
        <f t="shared" ref="P93:AG93" si="23">P90</f>
        <v>0</v>
      </c>
      <c r="Q93">
        <f t="shared" si="23"/>
        <v>0</v>
      </c>
      <c r="R93">
        <f t="shared" si="23"/>
        <v>0</v>
      </c>
      <c r="S93">
        <f t="shared" si="23"/>
        <v>0</v>
      </c>
      <c r="T93">
        <f t="shared" si="23"/>
        <v>0</v>
      </c>
      <c r="U93">
        <f t="shared" si="23"/>
        <v>0</v>
      </c>
      <c r="V93" s="9">
        <f t="shared" si="23"/>
        <v>0</v>
      </c>
      <c r="W93" s="9">
        <f t="shared" si="23"/>
        <v>0</v>
      </c>
      <c r="X93" s="9">
        <f t="shared" si="23"/>
        <v>0</v>
      </c>
      <c r="Y93" s="9">
        <f t="shared" si="23"/>
        <v>0</v>
      </c>
      <c r="Z93" s="9">
        <f t="shared" si="23"/>
        <v>0</v>
      </c>
      <c r="AA93" s="9">
        <f t="shared" si="23"/>
        <v>0</v>
      </c>
      <c r="AB93">
        <f t="shared" si="23"/>
        <v>81</v>
      </c>
      <c r="AC93" s="9">
        <f t="shared" si="23"/>
        <v>0</v>
      </c>
      <c r="AD93" s="9">
        <f t="shared" si="23"/>
        <v>0</v>
      </c>
      <c r="AE93" s="8">
        <f t="shared" si="23"/>
        <v>0</v>
      </c>
      <c r="AF93" s="8">
        <f t="shared" si="23"/>
        <v>0</v>
      </c>
      <c r="AG93" s="8">
        <f t="shared" si="23"/>
        <v>0</v>
      </c>
      <c r="AH93" s="9">
        <f>AH90+4%</f>
        <v>0.04</v>
      </c>
      <c r="AI93" s="8">
        <f t="shared" ref="AI93:AS93" si="24">AI90</f>
        <v>0</v>
      </c>
      <c r="AJ93" s="8">
        <f t="shared" si="24"/>
        <v>0</v>
      </c>
      <c r="AK93" s="8">
        <f t="shared" si="24"/>
        <v>0</v>
      </c>
      <c r="AL93" s="8">
        <f t="shared" si="24"/>
        <v>0</v>
      </c>
      <c r="AM93" s="9">
        <f t="shared" si="24"/>
        <v>0</v>
      </c>
      <c r="AN93">
        <f t="shared" si="24"/>
        <v>0</v>
      </c>
      <c r="AO93" s="8">
        <f t="shared" si="24"/>
        <v>38</v>
      </c>
      <c r="AP93" s="9">
        <f t="shared" si="24"/>
        <v>0</v>
      </c>
      <c r="AQ93">
        <f t="shared" si="24"/>
        <v>0</v>
      </c>
      <c r="AR93">
        <f t="shared" si="24"/>
        <v>0</v>
      </c>
      <c r="AS93">
        <f t="shared" si="24"/>
        <v>0</v>
      </c>
    </row>
    <row r="94" spans="1:46" ht="12.75" customHeight="1" x14ac:dyDescent="0.2">
      <c r="T94" s="3"/>
      <c r="U94" s="3"/>
      <c r="V94" s="9"/>
      <c r="W94" s="9"/>
      <c r="X94" s="9"/>
      <c r="Y94" s="9"/>
      <c r="Z94" s="9"/>
      <c r="AA94" s="9"/>
      <c r="AC94" s="9"/>
      <c r="AD94" s="9"/>
      <c r="AE94" s="8"/>
      <c r="AF94" s="8"/>
      <c r="AG94" s="8"/>
      <c r="AH94" s="9"/>
      <c r="AI94" s="8"/>
      <c r="AJ94" s="8"/>
      <c r="AK94" s="8"/>
      <c r="AL94" s="8"/>
      <c r="AM94" s="9"/>
      <c r="AO94" s="8"/>
      <c r="AP94" s="9"/>
    </row>
    <row r="95" spans="1:46" ht="12.75" customHeight="1" x14ac:dyDescent="0.2">
      <c r="T95" s="3"/>
      <c r="U95" s="3"/>
      <c r="V95" s="9"/>
      <c r="W95" s="9"/>
      <c r="X95" s="9"/>
      <c r="Y95" s="9"/>
      <c r="Z95" s="9"/>
      <c r="AA95" s="9"/>
      <c r="AC95" s="9"/>
      <c r="AD95" s="9"/>
      <c r="AE95" s="8"/>
      <c r="AF95" s="8"/>
      <c r="AG95" s="8"/>
      <c r="AH95" s="9"/>
      <c r="AI95" s="8"/>
      <c r="AJ95" s="8"/>
      <c r="AK95" s="8"/>
      <c r="AL95" s="8"/>
      <c r="AM95" s="9"/>
      <c r="AO95" s="8"/>
      <c r="AP95" s="9"/>
    </row>
    <row r="96" spans="1:46" ht="12.75" customHeight="1" x14ac:dyDescent="0.2">
      <c r="A96" t="s">
        <v>177</v>
      </c>
      <c r="B96" t="s">
        <v>477</v>
      </c>
      <c r="C96" t="s">
        <v>478</v>
      </c>
      <c r="D96" t="s">
        <v>479</v>
      </c>
      <c r="E96" t="s">
        <v>480</v>
      </c>
      <c r="F96" s="3" t="s">
        <v>481</v>
      </c>
      <c r="G96" t="s">
        <v>30</v>
      </c>
      <c r="H96" t="s">
        <v>33</v>
      </c>
      <c r="I96" t="s">
        <v>29</v>
      </c>
      <c r="J96" t="s">
        <v>32</v>
      </c>
      <c r="K96" t="s">
        <v>153</v>
      </c>
      <c r="L96" t="s">
        <v>154</v>
      </c>
      <c r="M96" t="s">
        <v>482</v>
      </c>
      <c r="N96" t="s">
        <v>120</v>
      </c>
      <c r="O96" t="s">
        <v>156</v>
      </c>
      <c r="P96" t="s">
        <v>157</v>
      </c>
      <c r="Q96" t="s">
        <v>483</v>
      </c>
      <c r="R96" t="s">
        <v>484</v>
      </c>
      <c r="S96" t="s">
        <v>485</v>
      </c>
      <c r="T96" s="3" t="s">
        <v>486</v>
      </c>
      <c r="U96" s="3" t="s">
        <v>487</v>
      </c>
      <c r="V96" s="9" t="s">
        <v>158</v>
      </c>
      <c r="W96" s="9" t="s">
        <v>159</v>
      </c>
      <c r="X96" s="9" t="s">
        <v>160</v>
      </c>
      <c r="Y96" s="9" t="s">
        <v>488</v>
      </c>
      <c r="Z96" s="9" t="s">
        <v>161</v>
      </c>
      <c r="AA96" s="9" t="s">
        <v>165</v>
      </c>
      <c r="AB96" t="s">
        <v>164</v>
      </c>
      <c r="AC96" s="9" t="s">
        <v>162</v>
      </c>
      <c r="AD96" s="9" t="s">
        <v>163</v>
      </c>
      <c r="AE96" s="8" t="s">
        <v>166</v>
      </c>
      <c r="AF96" s="8" t="s">
        <v>130</v>
      </c>
      <c r="AG96" s="8" t="s">
        <v>205</v>
      </c>
      <c r="AH96" s="9" t="s">
        <v>207</v>
      </c>
      <c r="AI96" s="8" t="s">
        <v>208</v>
      </c>
      <c r="AJ96" s="8" t="s">
        <v>489</v>
      </c>
      <c r="AK96" s="8" t="s">
        <v>135</v>
      </c>
      <c r="AL96" s="8" t="s">
        <v>206</v>
      </c>
      <c r="AM96" s="9" t="s">
        <v>490</v>
      </c>
      <c r="AO96" s="8" t="s">
        <v>37</v>
      </c>
      <c r="AP96" s="9" t="s">
        <v>155</v>
      </c>
    </row>
    <row r="97" spans="1:42" ht="12.75" customHeight="1" x14ac:dyDescent="0.2">
      <c r="A97" t="s">
        <v>543</v>
      </c>
      <c r="K97">
        <v>6</v>
      </c>
      <c r="L97">
        <v>6</v>
      </c>
      <c r="T97" s="3"/>
      <c r="U97" s="3"/>
      <c r="V97" s="9"/>
      <c r="W97" s="9"/>
      <c r="X97" s="9"/>
      <c r="Y97" s="9"/>
      <c r="Z97" s="9"/>
      <c r="AA97" s="9"/>
      <c r="AC97" s="9"/>
      <c r="AD97" s="9"/>
      <c r="AE97" s="8"/>
      <c r="AF97" s="8"/>
      <c r="AG97" s="8"/>
      <c r="AH97" s="9"/>
      <c r="AI97" s="8"/>
      <c r="AJ97" s="8"/>
      <c r="AK97" s="8"/>
      <c r="AL97" s="8"/>
      <c r="AM97" s="9"/>
      <c r="AO97" s="8"/>
      <c r="AP97" s="9"/>
    </row>
    <row r="98" spans="1:42" ht="12.75" customHeight="1" x14ac:dyDescent="0.2">
      <c r="A98" t="s">
        <v>544</v>
      </c>
      <c r="T98" s="3"/>
      <c r="U98" s="3"/>
      <c r="V98" s="9"/>
      <c r="W98" s="9"/>
      <c r="X98" s="9"/>
      <c r="Y98" s="9"/>
      <c r="Z98" s="9"/>
      <c r="AA98" s="9"/>
      <c r="AC98" s="9"/>
      <c r="AD98" s="9"/>
      <c r="AE98" s="8">
        <v>2</v>
      </c>
      <c r="AF98" s="8"/>
      <c r="AG98" s="8"/>
      <c r="AH98" s="9"/>
      <c r="AI98" s="8"/>
      <c r="AJ98" s="8"/>
      <c r="AK98" s="8"/>
      <c r="AL98" s="8"/>
      <c r="AM98" s="9"/>
      <c r="AO98" s="8"/>
      <c r="AP98" s="9"/>
    </row>
    <row r="99" spans="1:42" s="30" customFormat="1" ht="12.75" customHeight="1" x14ac:dyDescent="0.2">
      <c r="A99" s="110" t="s">
        <v>870</v>
      </c>
      <c r="O99" s="30">
        <v>20</v>
      </c>
      <c r="T99" s="3"/>
      <c r="U99" s="3"/>
      <c r="V99" s="103"/>
      <c r="W99" s="103"/>
      <c r="X99" s="103"/>
      <c r="Y99" s="103"/>
      <c r="Z99" s="103"/>
      <c r="AA99" s="103"/>
      <c r="AC99" s="103"/>
      <c r="AD99" s="103"/>
      <c r="AE99" s="8">
        <v>7</v>
      </c>
      <c r="AF99" s="8"/>
      <c r="AG99" s="8"/>
      <c r="AH99" s="103"/>
      <c r="AI99" s="8"/>
      <c r="AJ99" s="8"/>
      <c r="AK99" s="8"/>
      <c r="AL99" s="8"/>
      <c r="AM99" s="103"/>
      <c r="AO99" s="8"/>
      <c r="AP99" s="103"/>
    </row>
    <row r="100" spans="1:42" ht="12.75" customHeight="1" x14ac:dyDescent="0.2">
      <c r="A100" t="s">
        <v>545</v>
      </c>
      <c r="O100">
        <v>8</v>
      </c>
      <c r="T100" s="3"/>
      <c r="U100" s="3"/>
      <c r="V100" s="9">
        <v>0.02</v>
      </c>
      <c r="W100" s="9"/>
      <c r="X100" s="9"/>
      <c r="Y100" s="9"/>
      <c r="Z100" s="9"/>
      <c r="AA100" s="9"/>
      <c r="AC100" s="9"/>
      <c r="AD100" s="9"/>
      <c r="AE100" s="8">
        <v>3</v>
      </c>
      <c r="AF100" s="8"/>
      <c r="AG100" s="8"/>
      <c r="AH100" s="9"/>
      <c r="AI100" s="8"/>
      <c r="AJ100" s="8"/>
      <c r="AK100" s="8"/>
      <c r="AL100" s="8"/>
      <c r="AM100" s="9"/>
      <c r="AO100" s="8"/>
      <c r="AP100" s="9"/>
    </row>
    <row r="101" spans="1:42" ht="12.75" customHeight="1" x14ac:dyDescent="0.2">
      <c r="A101" t="s">
        <v>546</v>
      </c>
      <c r="O101">
        <v>9</v>
      </c>
      <c r="T101" s="3"/>
      <c r="U101" s="3"/>
      <c r="V101" s="9"/>
      <c r="W101" s="9"/>
      <c r="X101" s="9"/>
      <c r="Y101" s="9"/>
      <c r="Z101" s="9"/>
      <c r="AA101" s="9"/>
      <c r="AB101" s="3"/>
      <c r="AC101" s="9"/>
      <c r="AD101" s="9"/>
      <c r="AE101" s="8"/>
      <c r="AF101" s="8"/>
      <c r="AG101" s="8"/>
      <c r="AH101" s="9"/>
      <c r="AI101" s="8"/>
      <c r="AJ101" s="8"/>
      <c r="AK101" s="8"/>
      <c r="AL101" s="8"/>
      <c r="AM101" s="9"/>
      <c r="AN101" s="9"/>
      <c r="AO101" s="8"/>
      <c r="AP101" s="9"/>
    </row>
    <row r="102" spans="1:42" ht="12.75" customHeight="1" x14ac:dyDescent="0.2">
      <c r="A102" t="s">
        <v>547</v>
      </c>
      <c r="G102">
        <v>6</v>
      </c>
      <c r="H102">
        <v>6</v>
      </c>
      <c r="O102">
        <v>10</v>
      </c>
      <c r="T102" s="3"/>
      <c r="U102" s="3"/>
      <c r="V102" s="9"/>
      <c r="W102" s="9"/>
      <c r="X102" s="9"/>
      <c r="Y102" s="9"/>
      <c r="Z102" s="9"/>
      <c r="AA102" s="9"/>
      <c r="AB102" s="3"/>
      <c r="AC102" s="9"/>
      <c r="AD102" s="9"/>
      <c r="AE102" s="8"/>
      <c r="AF102" s="8"/>
      <c r="AG102" s="8"/>
      <c r="AH102" s="9"/>
      <c r="AI102" s="8"/>
      <c r="AJ102" s="8"/>
      <c r="AK102" s="8"/>
      <c r="AL102" s="8"/>
      <c r="AM102" s="9"/>
      <c r="AN102" s="9"/>
      <c r="AO102" s="8"/>
      <c r="AP102" s="9"/>
    </row>
    <row r="103" spans="1:42" ht="12.75" customHeight="1" x14ac:dyDescent="0.2">
      <c r="A103" t="s">
        <v>548</v>
      </c>
      <c r="G103">
        <v>3</v>
      </c>
      <c r="N103">
        <v>5</v>
      </c>
      <c r="T103" s="3"/>
      <c r="U103" s="3"/>
      <c r="V103" s="9"/>
      <c r="W103" s="9"/>
      <c r="X103" s="9"/>
      <c r="Y103" s="9"/>
      <c r="Z103" s="9"/>
      <c r="AA103" s="9"/>
      <c r="AB103" s="3"/>
      <c r="AC103" s="9"/>
      <c r="AD103" s="9"/>
      <c r="AE103" s="8">
        <v>1</v>
      </c>
      <c r="AF103" s="8"/>
      <c r="AG103" s="8"/>
      <c r="AH103" s="9"/>
      <c r="AI103" s="8"/>
      <c r="AJ103" s="8"/>
      <c r="AK103" s="8"/>
      <c r="AL103" s="8"/>
      <c r="AM103" s="9"/>
      <c r="AN103" s="9"/>
      <c r="AO103" s="8"/>
      <c r="AP103" s="9"/>
    </row>
    <row r="104" spans="1:42" ht="12.75" customHeight="1" x14ac:dyDescent="0.2">
      <c r="A104" t="s">
        <v>549</v>
      </c>
      <c r="N104">
        <v>16</v>
      </c>
      <c r="T104" s="3"/>
      <c r="U104" s="3"/>
      <c r="V104" s="9"/>
      <c r="W104" s="9"/>
      <c r="X104" s="9"/>
      <c r="Y104" s="9"/>
      <c r="Z104" s="9"/>
      <c r="AA104" s="9"/>
      <c r="AB104" s="3"/>
      <c r="AC104" s="9"/>
      <c r="AD104" s="9"/>
      <c r="AE104" s="8"/>
      <c r="AF104" s="8"/>
      <c r="AG104" s="8"/>
      <c r="AH104" s="9"/>
      <c r="AI104" s="8"/>
      <c r="AJ104" s="8"/>
      <c r="AK104" s="8"/>
      <c r="AL104" s="8"/>
      <c r="AM104" s="9"/>
      <c r="AN104" s="9"/>
      <c r="AO104" s="8"/>
      <c r="AP104" s="9"/>
    </row>
    <row r="105" spans="1:42" ht="12.75" customHeight="1" x14ac:dyDescent="0.2">
      <c r="A105" t="s">
        <v>178</v>
      </c>
      <c r="G105">
        <v>15</v>
      </c>
      <c r="L105">
        <v>15</v>
      </c>
      <c r="T105" s="3"/>
      <c r="U105" s="3"/>
      <c r="V105" s="9"/>
      <c r="W105" s="9"/>
      <c r="X105" s="9"/>
      <c r="Y105" s="9"/>
      <c r="Z105" s="9"/>
      <c r="AA105" s="9"/>
      <c r="AB105" s="3"/>
      <c r="AC105" s="9"/>
      <c r="AD105" s="9"/>
      <c r="AE105" s="8"/>
      <c r="AF105" s="8"/>
      <c r="AG105" s="8"/>
      <c r="AH105" s="9"/>
      <c r="AI105" s="8"/>
      <c r="AJ105" s="8"/>
      <c r="AK105" s="8"/>
      <c r="AL105" s="8"/>
      <c r="AM105" s="9"/>
      <c r="AN105" s="9"/>
      <c r="AO105" s="8">
        <v>60</v>
      </c>
      <c r="AP105" s="9"/>
    </row>
    <row r="106" spans="1:42" ht="12.75" customHeight="1" x14ac:dyDescent="0.2">
      <c r="A106" s="3" t="s">
        <v>550</v>
      </c>
      <c r="Q106" s="3">
        <v>10</v>
      </c>
      <c r="R106" s="3">
        <v>5</v>
      </c>
      <c r="S106" s="3"/>
      <c r="T106" s="3"/>
      <c r="U106" s="3"/>
      <c r="V106" s="9"/>
      <c r="W106" s="9"/>
      <c r="X106" s="9"/>
      <c r="Y106" s="9"/>
      <c r="Z106" s="9"/>
      <c r="AA106" s="9"/>
      <c r="AB106" s="3"/>
      <c r="AC106" s="9"/>
      <c r="AD106" s="9"/>
      <c r="AE106" s="8">
        <v>4</v>
      </c>
      <c r="AF106" s="8"/>
      <c r="AG106" s="8"/>
      <c r="AH106" s="9"/>
      <c r="AI106" s="8"/>
      <c r="AJ106" s="8"/>
      <c r="AK106" s="8"/>
      <c r="AL106" s="8"/>
      <c r="AM106" s="9"/>
      <c r="AO106" s="8"/>
      <c r="AP106" s="9"/>
    </row>
    <row r="107" spans="1:42" ht="12.75" customHeight="1" x14ac:dyDescent="0.2">
      <c r="A107" s="110" t="s">
        <v>882</v>
      </c>
      <c r="N107">
        <v>10</v>
      </c>
      <c r="T107" s="3"/>
      <c r="U107" s="3"/>
      <c r="V107" s="9"/>
      <c r="W107" s="9"/>
      <c r="X107" s="9"/>
      <c r="Y107" s="9"/>
      <c r="Z107" s="9"/>
      <c r="AA107" s="9"/>
      <c r="AB107" s="3"/>
      <c r="AC107" s="9"/>
      <c r="AD107" s="9"/>
      <c r="AE107" s="8"/>
      <c r="AF107" s="8"/>
      <c r="AG107" s="8"/>
      <c r="AH107" s="9"/>
      <c r="AI107" s="8">
        <v>100</v>
      </c>
      <c r="AJ107" s="8"/>
      <c r="AK107" s="8"/>
      <c r="AL107" s="8"/>
      <c r="AM107" s="9"/>
      <c r="AN107" s="9"/>
      <c r="AO107" s="8"/>
      <c r="AP107" s="9"/>
    </row>
    <row r="108" spans="1:42" ht="12.75" customHeight="1" x14ac:dyDescent="0.2">
      <c r="A108" t="s">
        <v>551</v>
      </c>
      <c r="J108">
        <v>6</v>
      </c>
      <c r="N108">
        <v>6</v>
      </c>
      <c r="T108" s="3"/>
      <c r="U108" s="3"/>
      <c r="V108" s="9"/>
      <c r="W108" s="9"/>
      <c r="X108" s="9"/>
      <c r="Y108" s="9"/>
      <c r="Z108" s="9"/>
      <c r="AA108" s="9"/>
      <c r="AB108" s="3"/>
      <c r="AC108" s="9"/>
      <c r="AD108" s="9"/>
      <c r="AE108" s="8">
        <v>3</v>
      </c>
      <c r="AF108" s="8"/>
      <c r="AG108" s="8"/>
      <c r="AH108" s="9"/>
      <c r="AI108" s="8"/>
      <c r="AJ108" s="8"/>
      <c r="AK108" s="8"/>
      <c r="AL108" s="8"/>
      <c r="AM108" s="9"/>
      <c r="AN108" s="9"/>
      <c r="AO108" s="8"/>
      <c r="AP108" s="9"/>
    </row>
    <row r="109" spans="1:42" ht="12.75" customHeight="1" x14ac:dyDescent="0.2">
      <c r="A109" s="3" t="s">
        <v>552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>
        <v>13</v>
      </c>
      <c r="O109" s="3"/>
      <c r="T109" s="3"/>
      <c r="U109" s="3"/>
      <c r="V109" s="9"/>
      <c r="W109" s="9"/>
      <c r="X109" s="9"/>
      <c r="Y109" s="9"/>
      <c r="Z109" s="9"/>
      <c r="AA109" s="9"/>
      <c r="AB109" s="3"/>
      <c r="AC109" s="9"/>
      <c r="AD109" s="9"/>
      <c r="AE109" s="8"/>
      <c r="AF109" s="8"/>
      <c r="AG109" s="8"/>
      <c r="AH109" s="9"/>
      <c r="AI109" s="8"/>
      <c r="AJ109" s="8"/>
      <c r="AK109" s="8"/>
      <c r="AL109" s="8"/>
      <c r="AM109" s="9"/>
      <c r="AO109" s="8"/>
      <c r="AP109" s="9"/>
    </row>
    <row r="110" spans="1:42" ht="12.75" customHeight="1" x14ac:dyDescent="0.2">
      <c r="A110" t="s">
        <v>553</v>
      </c>
      <c r="G110">
        <v>7</v>
      </c>
      <c r="N110">
        <v>-3</v>
      </c>
      <c r="T110" s="3"/>
      <c r="U110" s="3"/>
      <c r="V110" s="9"/>
      <c r="W110" s="9"/>
      <c r="X110" s="9"/>
      <c r="Y110" s="9"/>
      <c r="Z110" s="9"/>
      <c r="AA110" s="9"/>
      <c r="AB110" s="3"/>
      <c r="AC110" s="9"/>
      <c r="AD110" s="9"/>
      <c r="AE110" s="8"/>
      <c r="AF110" s="8"/>
      <c r="AG110" s="8"/>
      <c r="AH110" s="9"/>
      <c r="AI110" s="8"/>
      <c r="AJ110" s="8"/>
      <c r="AK110" s="8"/>
      <c r="AL110" s="8"/>
      <c r="AM110" s="9"/>
      <c r="AN110" s="9"/>
      <c r="AO110" s="8"/>
      <c r="AP110" s="9"/>
    </row>
    <row r="111" spans="1:42" ht="12.75" customHeight="1" x14ac:dyDescent="0.2">
      <c r="A111" t="s">
        <v>554</v>
      </c>
      <c r="G111">
        <v>4</v>
      </c>
      <c r="O111">
        <v>15</v>
      </c>
      <c r="T111" s="3"/>
      <c r="U111" s="3"/>
      <c r="V111" s="9"/>
      <c r="W111" s="9"/>
      <c r="X111" s="9"/>
      <c r="Y111" s="9"/>
      <c r="Z111" s="9"/>
      <c r="AA111" s="9"/>
      <c r="AB111" s="3">
        <v>-50</v>
      </c>
      <c r="AC111" s="9"/>
      <c r="AD111" s="9"/>
      <c r="AE111" s="8"/>
      <c r="AF111" s="8"/>
      <c r="AG111" s="8"/>
      <c r="AH111" s="9"/>
      <c r="AI111" s="8"/>
      <c r="AJ111" s="8"/>
      <c r="AK111" s="8"/>
      <c r="AL111" s="8"/>
      <c r="AM111" s="9"/>
      <c r="AN111" s="9"/>
      <c r="AO111" s="8"/>
      <c r="AP111" s="9"/>
    </row>
    <row r="112" spans="1:42" ht="12.75" customHeight="1" x14ac:dyDescent="0.2">
      <c r="A112" s="3" t="s">
        <v>555</v>
      </c>
      <c r="G112">
        <v>7</v>
      </c>
      <c r="I112">
        <v>-5</v>
      </c>
      <c r="O112">
        <v>8</v>
      </c>
      <c r="T112" s="3"/>
      <c r="U112" s="3"/>
      <c r="V112" s="9"/>
      <c r="W112" s="9"/>
      <c r="X112" s="9"/>
      <c r="Y112" s="9"/>
      <c r="Z112" s="9"/>
      <c r="AA112" s="9"/>
      <c r="AB112" s="3"/>
      <c r="AC112" s="9"/>
      <c r="AD112" s="9"/>
      <c r="AE112" s="8"/>
      <c r="AF112" s="8"/>
      <c r="AG112" s="8"/>
      <c r="AH112" s="9"/>
      <c r="AI112" s="8"/>
      <c r="AJ112" s="8"/>
      <c r="AK112" s="8"/>
      <c r="AL112" s="8"/>
      <c r="AM112" s="9"/>
      <c r="AO112" s="8"/>
      <c r="AP112" s="9"/>
    </row>
    <row r="113" spans="1:64" ht="12.75" customHeight="1" x14ac:dyDescent="0.2">
      <c r="A113" s="3" t="s">
        <v>556</v>
      </c>
      <c r="N113">
        <v>3</v>
      </c>
      <c r="S113">
        <v>3</v>
      </c>
      <c r="T113" s="3"/>
      <c r="U113" s="3"/>
      <c r="V113" s="9"/>
      <c r="W113" s="9"/>
      <c r="X113" s="9"/>
      <c r="Y113" s="9"/>
      <c r="Z113" s="9"/>
      <c r="AA113" s="9"/>
      <c r="AB113" s="3"/>
      <c r="AC113" s="9">
        <v>0.03</v>
      </c>
      <c r="AD113" s="9"/>
      <c r="AE113" s="8"/>
      <c r="AF113" s="8"/>
      <c r="AG113" s="8"/>
      <c r="AH113" s="9"/>
      <c r="AI113" s="8"/>
      <c r="AJ113" s="8"/>
      <c r="AK113" s="8"/>
      <c r="AL113" s="8"/>
      <c r="AM113" s="9"/>
      <c r="AO113" s="8"/>
      <c r="AP113" s="9"/>
    </row>
    <row r="114" spans="1:64" ht="12.75" customHeight="1" x14ac:dyDescent="0.2">
      <c r="A114" s="3" t="s">
        <v>557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T114" s="3"/>
      <c r="U114" s="3"/>
      <c r="V114" s="9"/>
      <c r="W114" s="9"/>
      <c r="X114" s="9"/>
      <c r="Y114" s="9"/>
      <c r="Z114" s="9"/>
      <c r="AA114" s="9"/>
      <c r="AB114" s="3"/>
      <c r="AC114" s="9"/>
      <c r="AD114" s="9"/>
      <c r="AE114" s="8">
        <v>5</v>
      </c>
      <c r="AF114" s="8"/>
      <c r="AG114" s="8"/>
      <c r="AH114" s="9"/>
      <c r="AI114" s="8"/>
      <c r="AJ114" s="8"/>
      <c r="AK114" s="8"/>
      <c r="AL114" s="8"/>
      <c r="AM114" s="9"/>
      <c r="AO114" s="8"/>
      <c r="AP114" s="9"/>
    </row>
    <row r="115" spans="1:64" ht="12.75" customHeight="1" x14ac:dyDescent="0.2">
      <c r="A115" t="s">
        <v>558</v>
      </c>
      <c r="N115">
        <v>10</v>
      </c>
      <c r="T115" s="3"/>
      <c r="U115" s="3"/>
      <c r="V115" s="9"/>
      <c r="W115" s="9"/>
      <c r="X115" s="9"/>
      <c r="Y115" s="9"/>
      <c r="Z115" s="9"/>
      <c r="AA115" s="9"/>
      <c r="AB115" s="3"/>
      <c r="AC115" s="9"/>
      <c r="AD115" s="9"/>
      <c r="AE115" s="8"/>
      <c r="AF115" s="8"/>
      <c r="AG115" s="8"/>
      <c r="AH115" s="9"/>
      <c r="AI115" s="8"/>
      <c r="AJ115" s="8"/>
      <c r="AK115" s="8"/>
      <c r="AL115" s="8"/>
      <c r="AM115" s="9"/>
      <c r="AN115" s="9"/>
      <c r="AO115" s="8"/>
      <c r="AP115" s="9"/>
    </row>
    <row r="116" spans="1:64" ht="12.75" customHeight="1" x14ac:dyDescent="0.2">
      <c r="A116" t="s">
        <v>559</v>
      </c>
      <c r="N116">
        <v>3</v>
      </c>
      <c r="T116" s="3"/>
      <c r="U116" s="3"/>
      <c r="V116" s="9">
        <v>0.03</v>
      </c>
      <c r="W116" s="9"/>
      <c r="X116" s="9"/>
      <c r="Y116" s="9"/>
      <c r="Z116" s="9"/>
      <c r="AA116" s="9"/>
      <c r="AB116" s="3"/>
      <c r="AC116" s="9"/>
      <c r="AD116" s="9"/>
      <c r="AE116" s="8"/>
      <c r="AF116" s="8"/>
      <c r="AG116" s="8"/>
      <c r="AH116" s="9"/>
      <c r="AI116" s="8"/>
      <c r="AJ116" s="8"/>
      <c r="AK116" s="8"/>
      <c r="AL116" s="8"/>
      <c r="AM116" s="9"/>
      <c r="AN116" s="9"/>
      <c r="AO116" s="8"/>
      <c r="AP116" s="9"/>
    </row>
    <row r="117" spans="1:64" ht="12.75" customHeight="1" x14ac:dyDescent="0.2">
      <c r="A117" t="s">
        <v>560</v>
      </c>
      <c r="N117">
        <v>6</v>
      </c>
      <c r="T117" s="3"/>
      <c r="U117" s="3"/>
      <c r="V117" s="9"/>
      <c r="W117" s="9"/>
      <c r="X117" s="9"/>
      <c r="Y117" s="9"/>
      <c r="Z117" s="9"/>
      <c r="AA117" s="9"/>
      <c r="AB117" s="3"/>
      <c r="AC117" s="9">
        <v>0.05</v>
      </c>
      <c r="AD117" s="9"/>
      <c r="AE117" s="8"/>
      <c r="AF117" s="8"/>
      <c r="AG117" s="8"/>
      <c r="AH117" s="9"/>
      <c r="AI117" s="8"/>
      <c r="AJ117" s="8"/>
      <c r="AK117" s="8"/>
      <c r="AL117" s="8"/>
      <c r="AM117" s="9"/>
      <c r="AN117" s="9"/>
      <c r="AO117" s="8"/>
      <c r="AP117" s="9"/>
    </row>
    <row r="118" spans="1:64" ht="12.75" customHeight="1" x14ac:dyDescent="0.2">
      <c r="A118" s="3" t="s">
        <v>561</v>
      </c>
      <c r="H118">
        <v>7</v>
      </c>
      <c r="J118">
        <v>-5</v>
      </c>
      <c r="N118">
        <v>8</v>
      </c>
      <c r="S118" s="3"/>
      <c r="T118" s="3"/>
      <c r="U118" s="3"/>
      <c r="V118" s="9"/>
      <c r="W118" s="9"/>
      <c r="X118" s="9"/>
      <c r="Y118" s="9"/>
      <c r="Z118" s="9"/>
      <c r="AA118" s="9"/>
      <c r="AB118" s="3"/>
      <c r="AC118" s="9"/>
      <c r="AD118" s="9"/>
      <c r="AE118" s="8"/>
      <c r="AF118" s="8"/>
      <c r="AG118" s="8"/>
      <c r="AH118" s="9"/>
      <c r="AI118" s="8"/>
      <c r="AJ118" s="8"/>
      <c r="AK118" s="8"/>
      <c r="AL118" s="8"/>
      <c r="AM118" s="9"/>
      <c r="AO118" s="8"/>
      <c r="AP118" s="9"/>
    </row>
    <row r="119" spans="1:64" ht="12.75" customHeight="1" x14ac:dyDescent="0.2">
      <c r="A119" t="s">
        <v>562</v>
      </c>
      <c r="G119">
        <v>6</v>
      </c>
      <c r="I119">
        <v>6</v>
      </c>
      <c r="T119" s="3"/>
      <c r="U119" s="3"/>
      <c r="V119" s="9"/>
      <c r="W119" s="9"/>
      <c r="X119" s="9"/>
      <c r="Y119" s="9"/>
      <c r="Z119" s="9"/>
      <c r="AA119" s="9"/>
      <c r="AB119" s="3"/>
      <c r="AC119" s="9"/>
      <c r="AD119" s="9"/>
      <c r="AE119" s="8"/>
      <c r="AF119" s="8"/>
      <c r="AG119" s="8"/>
      <c r="AH119" s="9"/>
      <c r="AI119" s="8"/>
      <c r="AJ119" s="8"/>
      <c r="AK119" s="8"/>
      <c r="AL119" s="8"/>
      <c r="AM119" s="9"/>
      <c r="AN119" s="9"/>
      <c r="AO119" s="8"/>
      <c r="AP119" s="9"/>
    </row>
    <row r="120" spans="1:64" ht="12.75" customHeight="1" x14ac:dyDescent="0.2">
      <c r="A120" s="3" t="s">
        <v>563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>
        <v>20</v>
      </c>
      <c r="P120" s="3"/>
      <c r="Q120" s="3"/>
      <c r="R120" s="3"/>
      <c r="S120" s="3"/>
      <c r="T120" s="3"/>
      <c r="U120" s="3"/>
      <c r="V120" s="9">
        <v>-0.01</v>
      </c>
      <c r="W120" s="9"/>
      <c r="X120" s="9"/>
      <c r="Y120" s="9"/>
      <c r="Z120" s="9"/>
      <c r="AA120" s="9"/>
      <c r="AB120" s="3"/>
      <c r="AC120" s="9"/>
      <c r="AD120" s="9"/>
      <c r="AE120" s="8"/>
      <c r="AF120" s="8"/>
      <c r="AG120" s="8"/>
      <c r="AH120" s="9"/>
      <c r="AI120" s="8"/>
      <c r="AJ120" s="8"/>
      <c r="AK120" s="8"/>
      <c r="AL120" s="8"/>
      <c r="AM120" s="9"/>
      <c r="AN120" s="3"/>
      <c r="AO120" s="8"/>
      <c r="AP120" s="9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</row>
    <row r="121" spans="1:64" ht="12.75" customHeight="1" x14ac:dyDescent="0.2">
      <c r="T121" s="3"/>
      <c r="U121" s="3"/>
      <c r="V121" s="9"/>
      <c r="W121" s="9"/>
      <c r="X121" s="9"/>
      <c r="Y121" s="9"/>
      <c r="Z121" s="9"/>
      <c r="AA121" s="9"/>
      <c r="AC121" s="9"/>
      <c r="AD121" s="9"/>
      <c r="AE121" s="8"/>
      <c r="AF121" s="8"/>
      <c r="AG121" s="8"/>
      <c r="AH121" s="9"/>
      <c r="AI121" s="8"/>
      <c r="AJ121" s="8"/>
      <c r="AK121" s="8"/>
      <c r="AL121" s="8"/>
      <c r="AM121" s="9"/>
      <c r="AO121" s="8"/>
      <c r="AP121" s="9"/>
    </row>
    <row r="122" spans="1:64" ht="12.75" customHeight="1" x14ac:dyDescent="0.2">
      <c r="T122" s="3"/>
      <c r="U122" s="3"/>
      <c r="V122" s="9"/>
      <c r="W122" s="9"/>
      <c r="X122" s="9"/>
      <c r="Y122" s="9"/>
      <c r="Z122" s="9"/>
      <c r="AA122" s="9"/>
      <c r="AC122" s="9"/>
      <c r="AD122" s="9"/>
      <c r="AE122" s="8"/>
      <c r="AF122" s="8"/>
      <c r="AG122" s="8"/>
      <c r="AH122" s="9"/>
      <c r="AI122" s="8"/>
      <c r="AJ122" s="8"/>
      <c r="AK122" s="8"/>
      <c r="AL122" s="8"/>
      <c r="AM122" s="9"/>
      <c r="AO122" s="8"/>
      <c r="AP122" s="9"/>
    </row>
    <row r="123" spans="1:64" ht="12.75" customHeight="1" x14ac:dyDescent="0.2">
      <c r="A123" t="s">
        <v>564</v>
      </c>
      <c r="B123" t="s">
        <v>477</v>
      </c>
      <c r="C123" t="s">
        <v>478</v>
      </c>
      <c r="D123" t="s">
        <v>479</v>
      </c>
      <c r="E123" t="s">
        <v>480</v>
      </c>
      <c r="F123" s="3" t="s">
        <v>481</v>
      </c>
      <c r="G123" t="s">
        <v>30</v>
      </c>
      <c r="H123" t="s">
        <v>33</v>
      </c>
      <c r="I123" t="s">
        <v>29</v>
      </c>
      <c r="J123" t="s">
        <v>32</v>
      </c>
      <c r="K123" t="s">
        <v>153</v>
      </c>
      <c r="L123" t="s">
        <v>154</v>
      </c>
      <c r="M123" t="s">
        <v>482</v>
      </c>
      <c r="N123" t="s">
        <v>120</v>
      </c>
      <c r="O123" t="s">
        <v>156</v>
      </c>
      <c r="P123" t="s">
        <v>157</v>
      </c>
      <c r="Q123" t="s">
        <v>483</v>
      </c>
      <c r="R123" t="s">
        <v>484</v>
      </c>
      <c r="S123" t="s">
        <v>485</v>
      </c>
      <c r="T123" s="3" t="s">
        <v>486</v>
      </c>
      <c r="U123" s="3" t="s">
        <v>487</v>
      </c>
      <c r="V123" s="9" t="s">
        <v>158</v>
      </c>
      <c r="W123" s="9" t="s">
        <v>159</v>
      </c>
      <c r="X123" s="9" t="s">
        <v>160</v>
      </c>
      <c r="Y123" s="9" t="s">
        <v>488</v>
      </c>
      <c r="Z123" s="9" t="s">
        <v>161</v>
      </c>
      <c r="AA123" s="9" t="s">
        <v>165</v>
      </c>
      <c r="AB123" t="s">
        <v>164</v>
      </c>
      <c r="AC123" s="9" t="s">
        <v>162</v>
      </c>
      <c r="AD123" s="9" t="s">
        <v>163</v>
      </c>
      <c r="AE123" s="8" t="s">
        <v>166</v>
      </c>
      <c r="AF123" s="8" t="s">
        <v>130</v>
      </c>
      <c r="AG123" s="8" t="s">
        <v>205</v>
      </c>
      <c r="AH123" s="9" t="s">
        <v>207</v>
      </c>
      <c r="AI123" s="8" t="s">
        <v>208</v>
      </c>
      <c r="AJ123" s="8" t="s">
        <v>489</v>
      </c>
      <c r="AK123" s="8" t="s">
        <v>135</v>
      </c>
      <c r="AL123" s="8" t="s">
        <v>206</v>
      </c>
      <c r="AM123" s="9" t="s">
        <v>490</v>
      </c>
      <c r="AO123" s="8" t="s">
        <v>37</v>
      </c>
      <c r="AP123" s="9" t="s">
        <v>155</v>
      </c>
    </row>
    <row r="124" spans="1:64" ht="12.75" customHeight="1" x14ac:dyDescent="0.2">
      <c r="A124" t="s">
        <v>565</v>
      </c>
      <c r="O124">
        <v>7</v>
      </c>
      <c r="T124" s="3"/>
      <c r="U124" s="3"/>
      <c r="V124" s="9"/>
      <c r="W124" s="9"/>
      <c r="X124" s="9"/>
      <c r="Y124" s="9"/>
      <c r="Z124" s="9"/>
      <c r="AA124" s="9"/>
      <c r="AB124" s="3"/>
      <c r="AC124" s="9"/>
      <c r="AD124" s="9"/>
      <c r="AE124" s="8"/>
      <c r="AF124" s="8"/>
      <c r="AG124" s="8"/>
      <c r="AH124" s="9"/>
      <c r="AI124" s="8"/>
      <c r="AJ124" s="8"/>
      <c r="AK124" s="8"/>
      <c r="AL124" s="8">
        <v>0.03</v>
      </c>
      <c r="AM124" s="9"/>
      <c r="AN124" s="9"/>
      <c r="AO124" s="8"/>
      <c r="AP124" s="9"/>
    </row>
    <row r="125" spans="1:64" ht="12.75" customHeight="1" x14ac:dyDescent="0.2">
      <c r="A125" s="96" t="s">
        <v>566</v>
      </c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7">
        <v>10</v>
      </c>
      <c r="P125" s="96"/>
      <c r="Q125" s="96"/>
      <c r="R125" s="96"/>
      <c r="S125" s="96"/>
      <c r="T125" s="99"/>
      <c r="U125" s="99"/>
      <c r="V125" s="98"/>
      <c r="W125" s="98"/>
      <c r="X125" s="100">
        <v>0.01</v>
      </c>
      <c r="Y125" s="98"/>
      <c r="Z125" s="98"/>
      <c r="AA125" s="98"/>
      <c r="AB125" s="99"/>
      <c r="AC125" s="98"/>
      <c r="AD125" s="98"/>
      <c r="AE125" s="101">
        <v>3</v>
      </c>
      <c r="AF125" s="102"/>
      <c r="AG125" s="102"/>
      <c r="AH125" s="98"/>
      <c r="AI125" s="98"/>
      <c r="AJ125" s="98"/>
      <c r="AK125" s="98"/>
      <c r="AL125" s="98"/>
      <c r="AM125" s="98"/>
      <c r="AN125" s="98"/>
      <c r="AO125" s="98"/>
      <c r="AP125" s="98"/>
      <c r="AQ125" s="98"/>
      <c r="AR125" s="98"/>
      <c r="AS125" s="96"/>
      <c r="AT125" s="96"/>
      <c r="AU125" s="96"/>
      <c r="AV125" s="96"/>
      <c r="AW125" s="96"/>
      <c r="AX125" s="96"/>
      <c r="AY125" s="96"/>
      <c r="AZ125" s="96"/>
      <c r="BA125" s="96"/>
      <c r="BB125" s="96"/>
      <c r="BC125" s="96"/>
      <c r="BD125" s="96"/>
      <c r="BE125" s="96"/>
      <c r="BF125" s="96"/>
      <c r="BG125" s="96"/>
      <c r="BH125" s="96"/>
      <c r="BI125" s="96"/>
      <c r="BJ125" s="96"/>
      <c r="BK125" s="96"/>
      <c r="BL125" s="96"/>
    </row>
    <row r="126" spans="1:64" ht="12.75" customHeight="1" x14ac:dyDescent="0.2">
      <c r="A126" t="s">
        <v>567</v>
      </c>
      <c r="O126">
        <v>8</v>
      </c>
      <c r="T126" s="3"/>
      <c r="U126" s="3"/>
      <c r="V126" s="9"/>
      <c r="W126" s="9"/>
      <c r="X126" s="9"/>
      <c r="Y126" s="9"/>
      <c r="Z126" s="9"/>
      <c r="AA126" s="9"/>
      <c r="AB126" s="3"/>
      <c r="AC126" s="9"/>
      <c r="AD126" s="9"/>
      <c r="AE126" s="8">
        <v>1</v>
      </c>
      <c r="AF126" s="8"/>
      <c r="AG126" s="8"/>
      <c r="AH126" s="9"/>
      <c r="AI126" s="8"/>
      <c r="AJ126" s="8"/>
      <c r="AK126" s="8"/>
      <c r="AL126" s="8"/>
      <c r="AM126" s="9"/>
      <c r="AN126" s="9"/>
      <c r="AO126" s="8"/>
      <c r="AP126" s="9"/>
    </row>
    <row r="127" spans="1:64" ht="12.75" customHeight="1" x14ac:dyDescent="0.2">
      <c r="A127" t="s">
        <v>181</v>
      </c>
      <c r="T127" s="3"/>
      <c r="U127" s="3"/>
      <c r="V127" s="9">
        <v>0.05</v>
      </c>
      <c r="W127" s="9"/>
      <c r="X127" s="9"/>
      <c r="Y127" s="9"/>
      <c r="Z127" s="9"/>
      <c r="AA127" s="9"/>
      <c r="AB127" s="3"/>
      <c r="AC127" s="9"/>
      <c r="AD127" s="9"/>
      <c r="AE127" s="8">
        <v>1</v>
      </c>
      <c r="AF127" s="8"/>
      <c r="AG127" s="8"/>
      <c r="AH127" s="9"/>
      <c r="AI127" s="8"/>
      <c r="AJ127" s="8"/>
      <c r="AK127" s="8"/>
      <c r="AL127" s="8"/>
      <c r="AM127" s="9"/>
      <c r="AN127" s="9"/>
      <c r="AO127" s="8"/>
      <c r="AP127" s="9"/>
    </row>
    <row r="128" spans="1:64" ht="12.75" customHeight="1" x14ac:dyDescent="0.2">
      <c r="A128" t="s">
        <v>568</v>
      </c>
      <c r="N128">
        <v>6</v>
      </c>
      <c r="T128" s="3"/>
      <c r="U128" s="3"/>
      <c r="V128" s="9">
        <v>0.03</v>
      </c>
      <c r="W128" s="9"/>
      <c r="X128" s="9"/>
      <c r="Y128" s="9"/>
      <c r="Z128" s="9"/>
      <c r="AA128" s="9"/>
      <c r="AB128" s="3"/>
      <c r="AC128" s="9"/>
      <c r="AD128" s="9"/>
      <c r="AE128" s="8">
        <v>3</v>
      </c>
      <c r="AF128" s="8"/>
      <c r="AG128" s="8"/>
      <c r="AH128" s="9"/>
      <c r="AI128" s="8"/>
      <c r="AJ128" s="8"/>
      <c r="AK128" s="8"/>
      <c r="AL128" s="8"/>
      <c r="AM128" s="9"/>
      <c r="AN128" s="9"/>
      <c r="AO128" s="8"/>
      <c r="AP128" s="9"/>
    </row>
    <row r="129" spans="1:42" ht="12.75" customHeight="1" x14ac:dyDescent="0.2">
      <c r="A129" t="s">
        <v>569</v>
      </c>
      <c r="O129">
        <v>5</v>
      </c>
      <c r="T129" s="3"/>
      <c r="U129" s="3"/>
      <c r="V129" s="9"/>
      <c r="W129" s="9"/>
      <c r="X129" s="9"/>
      <c r="Y129" s="9"/>
      <c r="Z129" s="9"/>
      <c r="AA129" s="9"/>
      <c r="AB129" s="3"/>
      <c r="AC129" s="9"/>
      <c r="AD129" s="9"/>
      <c r="AE129" s="8"/>
      <c r="AF129" s="8"/>
      <c r="AG129" s="8"/>
      <c r="AH129" s="9"/>
      <c r="AI129" s="8"/>
      <c r="AJ129" s="8"/>
      <c r="AK129" s="8"/>
      <c r="AL129" s="8"/>
      <c r="AM129" s="9"/>
      <c r="AN129" s="9"/>
      <c r="AO129" s="8"/>
      <c r="AP129" s="9"/>
    </row>
    <row r="130" spans="1:42" ht="12.75" customHeight="1" x14ac:dyDescent="0.2">
      <c r="A130" t="s">
        <v>570</v>
      </c>
      <c r="O130">
        <v>8</v>
      </c>
      <c r="T130" s="3"/>
      <c r="U130" s="3"/>
      <c r="V130" s="9"/>
      <c r="W130" s="9"/>
      <c r="X130" s="9"/>
      <c r="Y130" s="9"/>
      <c r="Z130" s="9"/>
      <c r="AA130" s="9"/>
      <c r="AB130" s="3"/>
      <c r="AC130" s="9"/>
      <c r="AD130" s="9"/>
      <c r="AE130" s="8"/>
      <c r="AF130" s="8"/>
      <c r="AG130" s="8"/>
      <c r="AH130" s="9"/>
      <c r="AI130" s="8"/>
      <c r="AJ130" s="8"/>
      <c r="AK130" s="8"/>
      <c r="AL130" s="8"/>
      <c r="AM130" s="9"/>
      <c r="AN130" s="9"/>
      <c r="AO130" s="8"/>
      <c r="AP130" s="9"/>
    </row>
    <row r="131" spans="1:42" ht="12.75" customHeight="1" x14ac:dyDescent="0.2">
      <c r="A131" t="s">
        <v>571</v>
      </c>
      <c r="O131">
        <v>5</v>
      </c>
      <c r="T131" s="3"/>
      <c r="U131" s="3"/>
      <c r="V131" s="9"/>
      <c r="W131" s="9"/>
      <c r="X131" s="9"/>
      <c r="Y131" s="9"/>
      <c r="Z131" s="9"/>
      <c r="AA131" s="9"/>
      <c r="AB131" s="3"/>
      <c r="AC131" s="9"/>
      <c r="AD131" s="9"/>
      <c r="AE131" s="8"/>
      <c r="AF131" s="8"/>
      <c r="AG131" s="8"/>
      <c r="AH131" s="9"/>
      <c r="AI131" s="8"/>
      <c r="AJ131" s="8"/>
      <c r="AK131" s="8"/>
      <c r="AL131" s="8"/>
      <c r="AM131" s="9"/>
      <c r="AN131" s="9"/>
      <c r="AO131" s="8">
        <v>15</v>
      </c>
      <c r="AP131" s="9"/>
    </row>
    <row r="132" spans="1:42" ht="12.75" customHeight="1" x14ac:dyDescent="0.2">
      <c r="A132" t="s">
        <v>572</v>
      </c>
      <c r="N132">
        <v>3</v>
      </c>
      <c r="O132">
        <v>9</v>
      </c>
      <c r="T132" s="3"/>
      <c r="U132" s="3"/>
      <c r="V132" s="9"/>
      <c r="W132" s="9"/>
      <c r="X132" s="9"/>
      <c r="Y132" s="9"/>
      <c r="Z132" s="9"/>
      <c r="AA132" s="9"/>
      <c r="AB132" s="3"/>
      <c r="AC132" s="9"/>
      <c r="AD132" s="9"/>
      <c r="AE132" s="8"/>
      <c r="AF132" s="8"/>
      <c r="AG132" s="8"/>
      <c r="AH132" s="9"/>
      <c r="AI132" s="8"/>
      <c r="AJ132" s="8"/>
      <c r="AK132" s="8"/>
      <c r="AL132" s="8"/>
      <c r="AM132" s="9"/>
      <c r="AN132" s="9"/>
      <c r="AO132" s="8"/>
      <c r="AP132" s="9"/>
    </row>
    <row r="133" spans="1:42" ht="12.75" customHeight="1" x14ac:dyDescent="0.2">
      <c r="A133" t="s">
        <v>573</v>
      </c>
      <c r="N133">
        <v>8</v>
      </c>
      <c r="T133" s="3"/>
      <c r="U133" s="3"/>
      <c r="V133" s="9"/>
      <c r="W133" s="9"/>
      <c r="X133" s="9"/>
      <c r="Y133" s="9"/>
      <c r="Z133" s="9"/>
      <c r="AA133" s="9"/>
      <c r="AB133" s="3"/>
      <c r="AC133" s="9"/>
      <c r="AD133" s="9"/>
      <c r="AE133" s="8"/>
      <c r="AF133" s="8"/>
      <c r="AG133" s="8"/>
      <c r="AH133" s="9"/>
      <c r="AI133" s="8"/>
      <c r="AJ133" s="8"/>
      <c r="AK133" s="8"/>
      <c r="AL133" s="8"/>
      <c r="AM133" s="9"/>
      <c r="AN133" s="9"/>
      <c r="AO133" s="8"/>
      <c r="AP133" s="9"/>
    </row>
    <row r="134" spans="1:42" ht="12.75" customHeight="1" x14ac:dyDescent="0.2">
      <c r="A134" t="s">
        <v>574</v>
      </c>
      <c r="H134">
        <v>2</v>
      </c>
      <c r="N134">
        <v>3</v>
      </c>
      <c r="T134" s="3"/>
      <c r="U134" s="3"/>
      <c r="V134" s="9"/>
      <c r="W134" s="9"/>
      <c r="X134" s="9"/>
      <c r="Y134" s="9"/>
      <c r="Z134" s="9"/>
      <c r="AA134" s="9"/>
      <c r="AB134" s="3"/>
      <c r="AC134" s="9"/>
      <c r="AD134" s="9"/>
      <c r="AE134" s="8"/>
      <c r="AF134" s="8"/>
      <c r="AG134" s="8"/>
      <c r="AH134" s="9"/>
      <c r="AI134" s="8"/>
      <c r="AJ134" s="8"/>
      <c r="AK134" s="8"/>
      <c r="AL134" s="8"/>
      <c r="AM134" s="9"/>
      <c r="AN134" s="9"/>
      <c r="AO134" s="8"/>
      <c r="AP134" s="9"/>
    </row>
    <row r="135" spans="1:42" ht="12.75" customHeight="1" x14ac:dyDescent="0.2">
      <c r="A135" t="s">
        <v>180</v>
      </c>
      <c r="T135" s="3"/>
      <c r="U135" s="3"/>
      <c r="V135" s="9"/>
      <c r="W135" s="9"/>
      <c r="X135" s="9"/>
      <c r="Y135" s="9"/>
      <c r="Z135" s="9"/>
      <c r="AA135" s="9"/>
      <c r="AB135" s="3"/>
      <c r="AC135" s="9"/>
      <c r="AD135" s="9"/>
      <c r="AE135" s="8"/>
      <c r="AF135" s="8"/>
      <c r="AG135" s="8"/>
      <c r="AH135" s="9">
        <v>0.02</v>
      </c>
      <c r="AI135" s="8"/>
      <c r="AJ135" s="8"/>
      <c r="AK135" s="8"/>
      <c r="AL135" s="8"/>
      <c r="AM135" s="9"/>
      <c r="AN135" s="9"/>
      <c r="AO135" s="8"/>
      <c r="AP135" s="9"/>
    </row>
    <row r="136" spans="1:42" ht="12.75" customHeight="1" x14ac:dyDescent="0.2">
      <c r="A136" t="s">
        <v>575</v>
      </c>
      <c r="G136">
        <v>2</v>
      </c>
      <c r="I136">
        <v>2</v>
      </c>
      <c r="N136">
        <v>4</v>
      </c>
      <c r="T136" s="3"/>
      <c r="U136" s="3"/>
      <c r="V136" s="9"/>
      <c r="W136" s="9"/>
      <c r="X136" s="9"/>
      <c r="Y136" s="9"/>
      <c r="Z136" s="9"/>
      <c r="AA136" s="9"/>
      <c r="AB136" s="3"/>
      <c r="AC136" s="9"/>
      <c r="AD136" s="9"/>
      <c r="AE136" s="8"/>
      <c r="AF136" s="8"/>
      <c r="AG136" s="8"/>
      <c r="AH136" s="9"/>
      <c r="AI136" s="8"/>
      <c r="AJ136" s="8"/>
      <c r="AK136" s="8"/>
      <c r="AL136" s="8"/>
      <c r="AM136" s="9"/>
      <c r="AN136" s="9"/>
      <c r="AO136" s="8"/>
      <c r="AP136" s="9"/>
    </row>
    <row r="137" spans="1:42" ht="12.75" customHeight="1" x14ac:dyDescent="0.2">
      <c r="A137" t="s">
        <v>576</v>
      </c>
      <c r="G137">
        <v>2</v>
      </c>
      <c r="H137">
        <v>2</v>
      </c>
      <c r="O137">
        <v>17</v>
      </c>
      <c r="T137" s="3"/>
      <c r="U137" s="3"/>
      <c r="V137" s="9"/>
      <c r="W137" s="9"/>
      <c r="X137" s="9"/>
      <c r="Y137" s="9"/>
      <c r="Z137" s="9"/>
      <c r="AA137" s="9"/>
      <c r="AB137" s="3"/>
      <c r="AC137" s="9"/>
      <c r="AD137" s="9"/>
      <c r="AE137" s="8"/>
      <c r="AF137" s="8"/>
      <c r="AG137" s="8"/>
      <c r="AH137" s="9"/>
      <c r="AI137" s="8"/>
      <c r="AJ137" s="8"/>
      <c r="AK137" s="8"/>
      <c r="AL137" s="8"/>
      <c r="AM137" s="9"/>
      <c r="AO137" s="8"/>
      <c r="AP137" s="9"/>
    </row>
    <row r="138" spans="1:42" ht="12.75" customHeight="1" x14ac:dyDescent="0.2">
      <c r="A138" t="s">
        <v>577</v>
      </c>
      <c r="H138">
        <v>8</v>
      </c>
      <c r="N138">
        <v>10</v>
      </c>
      <c r="T138" s="3"/>
      <c r="U138" s="3"/>
      <c r="V138" s="9">
        <v>0.02</v>
      </c>
      <c r="W138" s="9"/>
      <c r="X138" s="9"/>
      <c r="Y138" s="9"/>
      <c r="Z138" s="9"/>
      <c r="AA138" s="9"/>
      <c r="AB138" s="3"/>
      <c r="AC138" s="9"/>
      <c r="AD138" s="9"/>
      <c r="AE138" s="8"/>
      <c r="AF138" s="8"/>
      <c r="AG138" s="8"/>
      <c r="AH138" s="9"/>
      <c r="AI138" s="8"/>
      <c r="AJ138" s="8"/>
      <c r="AK138" s="8"/>
      <c r="AL138" s="8"/>
      <c r="AM138" s="9"/>
      <c r="AO138" s="8"/>
      <c r="AP138" s="9"/>
    </row>
    <row r="139" spans="1:42" ht="12.75" customHeight="1" x14ac:dyDescent="0.2">
      <c r="A139" t="s">
        <v>578</v>
      </c>
      <c r="O139">
        <v>6</v>
      </c>
      <c r="T139" s="3"/>
      <c r="U139" s="3"/>
      <c r="V139" s="9"/>
      <c r="W139" s="9"/>
      <c r="X139" s="9"/>
      <c r="Y139" s="9"/>
      <c r="Z139" s="9"/>
      <c r="AA139" s="9"/>
      <c r="AB139" s="3"/>
      <c r="AC139" s="9"/>
      <c r="AD139" s="9"/>
      <c r="AE139" s="8"/>
      <c r="AF139" s="8"/>
      <c r="AG139" s="8"/>
      <c r="AH139" s="9"/>
      <c r="AI139" s="8"/>
      <c r="AJ139" s="8"/>
      <c r="AK139" s="8"/>
      <c r="AL139" s="8"/>
      <c r="AM139" s="9"/>
      <c r="AN139" s="9"/>
      <c r="AO139" s="8"/>
      <c r="AP139" s="9"/>
    </row>
    <row r="140" spans="1:42" ht="12.75" customHeight="1" x14ac:dyDescent="0.2">
      <c r="A140" t="s">
        <v>579</v>
      </c>
      <c r="G140">
        <v>1</v>
      </c>
      <c r="H140">
        <v>1</v>
      </c>
      <c r="N140">
        <v>3</v>
      </c>
      <c r="T140" s="3"/>
      <c r="U140" s="3"/>
      <c r="V140" s="9"/>
      <c r="W140" s="9"/>
      <c r="X140" s="9"/>
      <c r="Y140" s="9"/>
      <c r="Z140" s="9"/>
      <c r="AA140" s="9"/>
      <c r="AB140" s="3"/>
      <c r="AC140" s="9"/>
      <c r="AD140" s="9"/>
      <c r="AE140" s="8"/>
      <c r="AF140" s="8"/>
      <c r="AG140" s="8"/>
      <c r="AH140" s="9"/>
      <c r="AI140" s="8"/>
      <c r="AJ140" s="8"/>
      <c r="AK140" s="8"/>
      <c r="AL140" s="8"/>
      <c r="AM140" s="9"/>
      <c r="AN140" s="9"/>
      <c r="AO140" s="8"/>
      <c r="AP140" s="9"/>
    </row>
    <row r="141" spans="1:42" ht="12.75" customHeight="1" x14ac:dyDescent="0.2">
      <c r="A141" t="s">
        <v>211</v>
      </c>
      <c r="O141">
        <v>4</v>
      </c>
      <c r="T141" s="3"/>
      <c r="U141" s="3"/>
      <c r="V141" s="9"/>
      <c r="W141" s="9"/>
      <c r="X141" s="9"/>
      <c r="Y141" s="9"/>
      <c r="Z141" s="9"/>
      <c r="AA141" s="9"/>
      <c r="AB141" s="3"/>
      <c r="AC141" s="9"/>
      <c r="AD141" s="9"/>
      <c r="AE141" s="8"/>
      <c r="AF141" s="8"/>
      <c r="AG141" s="8">
        <v>250</v>
      </c>
      <c r="AH141" s="9"/>
      <c r="AI141" s="8"/>
      <c r="AJ141" s="8"/>
      <c r="AK141" s="8"/>
      <c r="AL141" s="8"/>
      <c r="AM141" s="9"/>
      <c r="AN141" s="9"/>
      <c r="AO141" s="8"/>
      <c r="AP141" s="9"/>
    </row>
    <row r="142" spans="1:42" ht="12.75" customHeight="1" x14ac:dyDescent="0.2">
      <c r="A142" t="s">
        <v>580</v>
      </c>
      <c r="N142">
        <v>4</v>
      </c>
      <c r="T142" s="3"/>
      <c r="U142" s="3"/>
      <c r="V142" s="9"/>
      <c r="W142" s="9"/>
      <c r="X142" s="9"/>
      <c r="Y142" s="9"/>
      <c r="Z142" s="9"/>
      <c r="AA142" s="9"/>
      <c r="AB142" s="3"/>
      <c r="AC142" s="9"/>
      <c r="AD142" s="9"/>
      <c r="AE142" s="8"/>
      <c r="AF142" s="8"/>
      <c r="AG142" s="8">
        <v>250</v>
      </c>
      <c r="AH142" s="9"/>
      <c r="AI142" s="8"/>
      <c r="AJ142" s="8"/>
      <c r="AK142" s="8"/>
      <c r="AL142" s="8"/>
      <c r="AM142" s="9"/>
      <c r="AN142" s="9"/>
      <c r="AO142" s="8"/>
      <c r="AP142" s="9"/>
    </row>
    <row r="143" spans="1:42" ht="12.75" customHeight="1" x14ac:dyDescent="0.2">
      <c r="A143" s="81" t="s">
        <v>581</v>
      </c>
      <c r="H143" s="81">
        <v>10</v>
      </c>
      <c r="N143" s="81">
        <v>10</v>
      </c>
      <c r="T143" s="3"/>
      <c r="U143" s="3"/>
      <c r="V143" s="9"/>
      <c r="W143" s="9"/>
      <c r="X143" s="9"/>
      <c r="Y143" s="9"/>
      <c r="Z143" s="9"/>
      <c r="AA143" s="9"/>
      <c r="AB143" s="3"/>
      <c r="AC143" s="103">
        <v>0.05</v>
      </c>
      <c r="AD143" s="9"/>
      <c r="AE143" s="8"/>
      <c r="AF143" s="8"/>
      <c r="AG143" s="8"/>
      <c r="AH143" s="9"/>
      <c r="AI143" s="8"/>
      <c r="AJ143" s="8"/>
      <c r="AK143" s="8"/>
      <c r="AL143" s="8"/>
      <c r="AM143" s="9"/>
      <c r="AN143" s="9"/>
      <c r="AO143" s="8"/>
      <c r="AP143" s="9"/>
    </row>
    <row r="144" spans="1:42" ht="12.75" customHeight="1" x14ac:dyDescent="0.2">
      <c r="A144" t="s">
        <v>183</v>
      </c>
      <c r="G144">
        <v>5</v>
      </c>
      <c r="H144">
        <v>5</v>
      </c>
      <c r="T144" s="3"/>
      <c r="U144" s="3"/>
      <c r="V144" s="9">
        <v>0.05</v>
      </c>
      <c r="W144" s="9"/>
      <c r="X144" s="9"/>
      <c r="Y144" s="9"/>
      <c r="Z144" s="9"/>
      <c r="AA144" s="9"/>
      <c r="AB144" s="3"/>
      <c r="AC144" s="9"/>
      <c r="AD144" s="9"/>
      <c r="AE144" s="8">
        <v>5</v>
      </c>
      <c r="AF144" s="8"/>
      <c r="AG144" s="8"/>
      <c r="AH144" s="9"/>
      <c r="AI144" s="8"/>
      <c r="AJ144" s="8"/>
      <c r="AK144" s="8"/>
      <c r="AL144" s="8"/>
      <c r="AM144" s="9"/>
      <c r="AN144" s="9"/>
      <c r="AO144" s="8"/>
      <c r="AP144" s="9"/>
    </row>
    <row r="145" spans="1:42" ht="12.75" customHeight="1" x14ac:dyDescent="0.2">
      <c r="A145" t="s">
        <v>582</v>
      </c>
      <c r="N145">
        <v>8</v>
      </c>
      <c r="T145" s="3"/>
      <c r="U145" s="3"/>
      <c r="V145" s="9"/>
      <c r="W145" s="9"/>
      <c r="X145" s="9"/>
      <c r="Y145" s="9"/>
      <c r="Z145" s="9"/>
      <c r="AA145" s="9"/>
      <c r="AB145" s="3"/>
      <c r="AC145" s="9"/>
      <c r="AD145" s="9"/>
      <c r="AE145" s="8">
        <v>1</v>
      </c>
      <c r="AF145" s="8"/>
      <c r="AG145" s="8"/>
      <c r="AH145" s="9"/>
      <c r="AI145" s="8"/>
      <c r="AJ145" s="8"/>
      <c r="AK145" s="8"/>
      <c r="AL145" s="8"/>
      <c r="AM145" s="9"/>
      <c r="AN145" s="9"/>
      <c r="AO145" s="8"/>
      <c r="AP145" s="9"/>
    </row>
    <row r="146" spans="1:42" ht="12.75" customHeight="1" x14ac:dyDescent="0.2">
      <c r="A146" t="s">
        <v>583</v>
      </c>
      <c r="N146">
        <v>6</v>
      </c>
      <c r="O146">
        <v>16</v>
      </c>
      <c r="T146" s="3"/>
      <c r="U146" s="3"/>
      <c r="V146" s="9"/>
      <c r="W146" s="9"/>
      <c r="X146" s="9"/>
      <c r="Y146" s="9"/>
      <c r="Z146" s="9"/>
      <c r="AA146" s="9"/>
      <c r="AB146" s="3"/>
      <c r="AC146" s="9"/>
      <c r="AD146" s="9"/>
      <c r="AE146" s="8"/>
      <c r="AF146" s="8"/>
      <c r="AG146" s="8"/>
      <c r="AH146" s="9"/>
      <c r="AI146" s="8"/>
      <c r="AJ146" s="8"/>
      <c r="AK146" s="8"/>
      <c r="AL146" s="8"/>
      <c r="AM146" s="9"/>
      <c r="AN146" s="3"/>
      <c r="AO146" s="8"/>
      <c r="AP146" s="9"/>
    </row>
    <row r="147" spans="1:42" ht="12.75" customHeight="1" x14ac:dyDescent="0.2">
      <c r="A147" t="s">
        <v>182</v>
      </c>
      <c r="N147">
        <v>10</v>
      </c>
      <c r="O147">
        <v>10</v>
      </c>
      <c r="T147" s="3"/>
      <c r="U147" s="3"/>
      <c r="V147" s="9">
        <v>0.01</v>
      </c>
      <c r="W147" s="9"/>
      <c r="X147" s="9"/>
      <c r="Y147" s="9"/>
      <c r="Z147" s="9"/>
      <c r="AA147" s="9"/>
      <c r="AB147" s="3"/>
      <c r="AC147" s="9"/>
      <c r="AD147" s="9"/>
      <c r="AE147" s="8">
        <v>5</v>
      </c>
      <c r="AF147" s="8"/>
      <c r="AG147" s="8"/>
      <c r="AH147" s="9"/>
      <c r="AI147" s="8"/>
      <c r="AJ147" s="8"/>
      <c r="AK147" s="8"/>
      <c r="AL147" s="8"/>
      <c r="AM147" s="9"/>
      <c r="AN147" s="3"/>
      <c r="AO147" s="8"/>
      <c r="AP147" s="9"/>
    </row>
    <row r="148" spans="1:42" ht="12.75" customHeight="1" x14ac:dyDescent="0.2">
      <c r="A148" t="s">
        <v>584</v>
      </c>
      <c r="O148">
        <v>6</v>
      </c>
      <c r="T148" s="3"/>
      <c r="U148" s="3"/>
      <c r="V148" s="9"/>
      <c r="W148" s="9"/>
      <c r="X148" s="9"/>
      <c r="Y148" s="9"/>
      <c r="Z148" s="9"/>
      <c r="AA148" s="9"/>
      <c r="AB148" s="3"/>
      <c r="AC148" s="9"/>
      <c r="AD148" s="9"/>
      <c r="AE148" s="8">
        <v>5</v>
      </c>
      <c r="AF148" s="8"/>
      <c r="AG148" s="8"/>
      <c r="AH148" s="9"/>
      <c r="AI148" s="8"/>
      <c r="AJ148" s="8"/>
      <c r="AK148" s="8"/>
      <c r="AL148" s="8"/>
      <c r="AM148" s="9"/>
      <c r="AN148" s="3"/>
      <c r="AO148" s="8"/>
      <c r="AP148" s="9"/>
    </row>
    <row r="149" spans="1:42" ht="12.75" customHeight="1" x14ac:dyDescent="0.2">
      <c r="A149" t="s">
        <v>585</v>
      </c>
      <c r="G149">
        <v>2</v>
      </c>
      <c r="T149" s="3"/>
      <c r="U149" s="3"/>
      <c r="V149" s="9"/>
      <c r="W149" s="9"/>
      <c r="X149" s="9"/>
      <c r="Y149" s="9"/>
      <c r="Z149" s="9"/>
      <c r="AA149" s="9"/>
      <c r="AB149" s="3"/>
      <c r="AC149" s="9"/>
      <c r="AD149" s="9"/>
      <c r="AE149" s="8"/>
      <c r="AF149" s="8"/>
      <c r="AG149" s="8"/>
      <c r="AH149" s="9"/>
      <c r="AI149" s="8"/>
      <c r="AJ149" s="8"/>
      <c r="AK149" s="8"/>
      <c r="AL149" s="8"/>
      <c r="AM149" s="9"/>
      <c r="AN149" s="9"/>
      <c r="AO149" s="8"/>
      <c r="AP149" s="9"/>
    </row>
    <row r="150" spans="1:42" ht="12.75" customHeight="1" x14ac:dyDescent="0.2">
      <c r="A150" s="3" t="s">
        <v>586</v>
      </c>
      <c r="T150" s="3"/>
      <c r="U150" s="3"/>
      <c r="V150" s="9">
        <v>0.03</v>
      </c>
      <c r="W150" s="9"/>
      <c r="X150" s="9"/>
      <c r="Y150" s="9"/>
      <c r="Z150" s="9"/>
      <c r="AA150" s="9"/>
      <c r="AB150" s="3"/>
      <c r="AC150" s="9"/>
      <c r="AD150" s="9"/>
      <c r="AE150" s="8"/>
      <c r="AF150" s="8"/>
      <c r="AG150" s="8"/>
      <c r="AH150" s="9"/>
      <c r="AI150" s="8"/>
      <c r="AJ150" s="8"/>
      <c r="AK150" s="8"/>
      <c r="AL150" s="8"/>
      <c r="AM150" s="9"/>
      <c r="AO150" s="8"/>
      <c r="AP150" s="9"/>
    </row>
    <row r="151" spans="1:42" ht="12.75" customHeight="1" x14ac:dyDescent="0.2">
      <c r="A151" t="s">
        <v>587</v>
      </c>
      <c r="G151">
        <v>3</v>
      </c>
      <c r="T151" s="3"/>
      <c r="U151" s="3"/>
      <c r="V151" s="9"/>
      <c r="W151" s="9"/>
      <c r="X151" s="9"/>
      <c r="Y151" s="9"/>
      <c r="Z151" s="9"/>
      <c r="AA151" s="9"/>
      <c r="AB151" s="3"/>
      <c r="AC151" s="9"/>
      <c r="AD151" s="9"/>
      <c r="AE151" s="8"/>
      <c r="AF151" s="8"/>
      <c r="AG151" s="8"/>
      <c r="AH151" s="9"/>
      <c r="AI151" s="8"/>
      <c r="AJ151" s="8"/>
      <c r="AK151" s="8"/>
      <c r="AL151" s="8"/>
      <c r="AM151" s="9"/>
      <c r="AN151" s="9"/>
      <c r="AO151" s="8"/>
      <c r="AP151" s="9"/>
    </row>
    <row r="152" spans="1:42" ht="12.75" customHeight="1" x14ac:dyDescent="0.2">
      <c r="A152" t="s">
        <v>588</v>
      </c>
      <c r="G152">
        <v>4</v>
      </c>
      <c r="T152" s="3"/>
      <c r="U152" s="3"/>
      <c r="V152" s="9"/>
      <c r="W152" s="9"/>
      <c r="X152" s="9"/>
      <c r="Y152" s="9"/>
      <c r="Z152" s="9"/>
      <c r="AA152" s="9"/>
      <c r="AB152" s="3"/>
      <c r="AC152" s="9"/>
      <c r="AD152" s="9"/>
      <c r="AE152" s="8"/>
      <c r="AF152" s="8"/>
      <c r="AG152" s="8"/>
      <c r="AH152" s="9"/>
      <c r="AI152" s="8"/>
      <c r="AJ152" s="8"/>
      <c r="AK152" s="8"/>
      <c r="AL152" s="8"/>
      <c r="AM152" s="9"/>
      <c r="AN152" s="9"/>
      <c r="AO152" s="8"/>
      <c r="AP152" s="9"/>
    </row>
    <row r="153" spans="1:42" ht="12.75" customHeight="1" x14ac:dyDescent="0.2">
      <c r="A153" s="3" t="s">
        <v>589</v>
      </c>
      <c r="N153">
        <v>12</v>
      </c>
      <c r="T153" s="3"/>
      <c r="U153" s="3"/>
      <c r="V153" s="9"/>
      <c r="W153" s="9"/>
      <c r="X153" s="9"/>
      <c r="Y153" s="9"/>
      <c r="Z153" s="9"/>
      <c r="AA153" s="9"/>
      <c r="AB153" s="3"/>
      <c r="AC153" s="9"/>
      <c r="AD153" s="9"/>
      <c r="AE153" s="8"/>
      <c r="AF153" s="8"/>
      <c r="AG153" s="8"/>
      <c r="AH153" s="9"/>
      <c r="AI153" s="8"/>
      <c r="AJ153" s="8"/>
      <c r="AK153" s="8"/>
      <c r="AL153" s="8"/>
      <c r="AM153" s="9"/>
      <c r="AO153" s="8"/>
      <c r="AP153" s="9"/>
    </row>
    <row r="154" spans="1:42" ht="12.75" customHeight="1" x14ac:dyDescent="0.2">
      <c r="T154" s="3"/>
      <c r="U154" s="3"/>
      <c r="V154" s="9"/>
      <c r="W154" s="9"/>
      <c r="X154" s="9"/>
      <c r="Y154" s="9"/>
      <c r="Z154" s="9"/>
      <c r="AA154" s="9"/>
      <c r="AC154" s="9"/>
      <c r="AD154" s="9"/>
      <c r="AE154" s="8"/>
      <c r="AF154" s="8"/>
      <c r="AG154" s="8"/>
      <c r="AH154" s="9"/>
      <c r="AI154" s="8"/>
      <c r="AJ154" s="8"/>
      <c r="AK154" s="8"/>
      <c r="AL154" s="8"/>
      <c r="AM154" s="9"/>
      <c r="AO154" s="8"/>
      <c r="AP154" s="9"/>
    </row>
    <row r="155" spans="1:42" ht="12.75" customHeight="1" x14ac:dyDescent="0.2">
      <c r="T155" s="3"/>
      <c r="U155" s="3"/>
      <c r="V155" s="9"/>
      <c r="W155" s="9"/>
      <c r="X155" s="9"/>
      <c r="Y155" s="9"/>
      <c r="Z155" s="9"/>
      <c r="AA155" s="9"/>
      <c r="AC155" s="9"/>
      <c r="AD155" s="9"/>
      <c r="AE155" s="8"/>
      <c r="AF155" s="8"/>
      <c r="AG155" s="8"/>
      <c r="AH155" s="9"/>
      <c r="AI155" s="8"/>
      <c r="AJ155" s="8"/>
      <c r="AK155" s="8"/>
      <c r="AL155" s="8"/>
      <c r="AM155" s="9"/>
      <c r="AO155" s="8"/>
      <c r="AP155" s="9"/>
    </row>
    <row r="156" spans="1:42" ht="12.75" customHeight="1" x14ac:dyDescent="0.2">
      <c r="A156" t="s">
        <v>184</v>
      </c>
      <c r="B156" t="s">
        <v>477</v>
      </c>
      <c r="C156" t="s">
        <v>478</v>
      </c>
      <c r="D156" t="s">
        <v>479</v>
      </c>
      <c r="E156" t="s">
        <v>480</v>
      </c>
      <c r="F156" s="3" t="s">
        <v>481</v>
      </c>
      <c r="G156" t="s">
        <v>30</v>
      </c>
      <c r="H156" t="s">
        <v>33</v>
      </c>
      <c r="I156" t="s">
        <v>29</v>
      </c>
      <c r="J156" t="s">
        <v>32</v>
      </c>
      <c r="K156" t="s">
        <v>153</v>
      </c>
      <c r="L156" t="s">
        <v>154</v>
      </c>
      <c r="M156" t="s">
        <v>482</v>
      </c>
      <c r="N156" t="s">
        <v>120</v>
      </c>
      <c r="O156" t="s">
        <v>156</v>
      </c>
      <c r="P156" t="s">
        <v>157</v>
      </c>
      <c r="Q156" t="s">
        <v>483</v>
      </c>
      <c r="R156" t="s">
        <v>484</v>
      </c>
      <c r="S156" t="s">
        <v>485</v>
      </c>
      <c r="T156" s="3" t="s">
        <v>486</v>
      </c>
      <c r="U156" s="3" t="s">
        <v>487</v>
      </c>
      <c r="V156" s="9" t="s">
        <v>158</v>
      </c>
      <c r="W156" s="9" t="s">
        <v>159</v>
      </c>
      <c r="X156" s="9" t="s">
        <v>160</v>
      </c>
      <c r="Y156" s="9" t="s">
        <v>488</v>
      </c>
      <c r="Z156" s="9" t="s">
        <v>161</v>
      </c>
      <c r="AA156" s="9" t="s">
        <v>165</v>
      </c>
      <c r="AB156" t="s">
        <v>164</v>
      </c>
      <c r="AC156" s="9" t="s">
        <v>162</v>
      </c>
      <c r="AD156" s="9" t="s">
        <v>163</v>
      </c>
      <c r="AE156" s="8" t="s">
        <v>166</v>
      </c>
      <c r="AF156" s="8" t="s">
        <v>130</v>
      </c>
      <c r="AG156" s="8" t="s">
        <v>205</v>
      </c>
      <c r="AH156" s="9" t="s">
        <v>207</v>
      </c>
      <c r="AI156" s="8" t="s">
        <v>208</v>
      </c>
      <c r="AJ156" s="8" t="s">
        <v>489</v>
      </c>
      <c r="AK156" s="8" t="s">
        <v>135</v>
      </c>
      <c r="AL156" s="8" t="s">
        <v>206</v>
      </c>
      <c r="AM156" s="9" t="s">
        <v>490</v>
      </c>
      <c r="AO156" s="8" t="s">
        <v>37</v>
      </c>
      <c r="AP156" s="9" t="s">
        <v>155</v>
      </c>
    </row>
    <row r="157" spans="1:42" ht="12.75" customHeight="1" x14ac:dyDescent="0.2">
      <c r="A157" s="3" t="s">
        <v>195</v>
      </c>
      <c r="G157">
        <v>34</v>
      </c>
      <c r="H157">
        <v>39</v>
      </c>
      <c r="I157">
        <v>34</v>
      </c>
      <c r="J157">
        <v>38</v>
      </c>
      <c r="K157">
        <v>33</v>
      </c>
      <c r="L157">
        <v>33</v>
      </c>
      <c r="M157">
        <v>33</v>
      </c>
      <c r="N157">
        <v>50</v>
      </c>
      <c r="T157" s="3"/>
      <c r="U157" s="3"/>
      <c r="V157" s="9"/>
      <c r="W157" s="9"/>
      <c r="X157" s="9"/>
      <c r="Y157" s="9"/>
      <c r="Z157" s="9"/>
      <c r="AA157" s="9"/>
      <c r="AB157" s="3">
        <v>40</v>
      </c>
      <c r="AC157" s="9"/>
      <c r="AD157" s="9"/>
      <c r="AE157" s="8"/>
      <c r="AF157" s="8"/>
      <c r="AG157" s="8"/>
      <c r="AH157" s="9"/>
      <c r="AI157" s="8"/>
      <c r="AJ157" s="8"/>
      <c r="AK157" s="8"/>
      <c r="AL157" s="8"/>
      <c r="AM157" s="9"/>
      <c r="AN157" s="3"/>
      <c r="AO157" s="8"/>
      <c r="AP157" s="9"/>
    </row>
    <row r="158" spans="1:42" ht="12.75" customHeight="1" x14ac:dyDescent="0.2">
      <c r="A158" s="3" t="s">
        <v>176</v>
      </c>
      <c r="G158">
        <v>34</v>
      </c>
      <c r="H158">
        <v>39</v>
      </c>
      <c r="I158">
        <v>34</v>
      </c>
      <c r="J158">
        <v>38</v>
      </c>
      <c r="K158">
        <v>33</v>
      </c>
      <c r="L158">
        <v>33</v>
      </c>
      <c r="M158">
        <v>33</v>
      </c>
      <c r="N158">
        <v>40</v>
      </c>
      <c r="O158">
        <v>65</v>
      </c>
      <c r="T158" s="3"/>
      <c r="U158" s="3"/>
      <c r="V158" s="9"/>
      <c r="W158" s="9"/>
      <c r="X158" s="9"/>
      <c r="Y158" s="9"/>
      <c r="Z158" s="9"/>
      <c r="AA158" s="9"/>
      <c r="AB158" s="3">
        <v>40</v>
      </c>
      <c r="AC158" s="9"/>
      <c r="AD158" s="9"/>
      <c r="AE158" s="8"/>
      <c r="AF158" s="8"/>
      <c r="AG158" s="8"/>
      <c r="AH158" s="9"/>
      <c r="AI158" s="8"/>
      <c r="AJ158" s="8"/>
      <c r="AK158" s="8"/>
      <c r="AL158" s="8"/>
      <c r="AM158" s="9"/>
      <c r="AN158" s="3"/>
      <c r="AO158" s="8"/>
      <c r="AP158" s="9"/>
    </row>
    <row r="159" spans="1:42" ht="12.75" customHeight="1" x14ac:dyDescent="0.2">
      <c r="A159" s="3" t="s">
        <v>530</v>
      </c>
      <c r="G159">
        <v>28</v>
      </c>
      <c r="H159">
        <v>30</v>
      </c>
      <c r="I159">
        <v>23</v>
      </c>
      <c r="J159">
        <v>29</v>
      </c>
      <c r="K159">
        <v>25</v>
      </c>
      <c r="L159">
        <v>24</v>
      </c>
      <c r="M159">
        <v>24</v>
      </c>
      <c r="N159">
        <v>28</v>
      </c>
      <c r="O159">
        <v>28</v>
      </c>
      <c r="T159" s="3"/>
      <c r="U159" s="3"/>
      <c r="V159" s="9"/>
      <c r="W159" s="9"/>
      <c r="X159" s="9"/>
      <c r="Y159" s="9"/>
      <c r="Z159" s="9"/>
      <c r="AA159" s="9"/>
      <c r="AB159" s="3">
        <v>40</v>
      </c>
      <c r="AC159" s="9"/>
      <c r="AD159" s="9"/>
      <c r="AE159" s="8"/>
      <c r="AF159" s="8"/>
      <c r="AG159" s="8"/>
      <c r="AH159" s="9"/>
      <c r="AI159" s="8"/>
      <c r="AJ159" s="8"/>
      <c r="AK159" s="8"/>
      <c r="AL159" s="8"/>
      <c r="AM159" s="9"/>
      <c r="AN159" s="9"/>
      <c r="AO159" s="8"/>
      <c r="AP159" s="9"/>
    </row>
    <row r="160" spans="1:42" ht="12.75" customHeight="1" x14ac:dyDescent="0.2">
      <c r="A160" t="s">
        <v>196</v>
      </c>
      <c r="G160">
        <v>34</v>
      </c>
      <c r="H160">
        <v>45</v>
      </c>
      <c r="I160">
        <v>23</v>
      </c>
      <c r="J160">
        <v>41</v>
      </c>
      <c r="K160">
        <v>19</v>
      </c>
      <c r="L160">
        <v>28</v>
      </c>
      <c r="M160">
        <v>29</v>
      </c>
      <c r="N160">
        <v>50</v>
      </c>
      <c r="O160">
        <v>46</v>
      </c>
      <c r="T160" s="3"/>
      <c r="U160" s="3"/>
      <c r="V160" s="9"/>
      <c r="W160" s="9"/>
      <c r="X160" s="9"/>
      <c r="Y160" s="9"/>
      <c r="Z160" s="9"/>
      <c r="AA160" s="9"/>
      <c r="AB160" s="3">
        <v>20</v>
      </c>
      <c r="AC160" s="9"/>
      <c r="AD160" s="9">
        <v>0.06</v>
      </c>
      <c r="AE160" s="8"/>
      <c r="AF160" s="8"/>
      <c r="AG160" s="8"/>
      <c r="AH160" s="9"/>
      <c r="AI160" s="8"/>
      <c r="AJ160" s="8"/>
      <c r="AK160" s="8"/>
      <c r="AL160" s="8"/>
      <c r="AM160" s="9"/>
      <c r="AN160" s="9"/>
      <c r="AO160" s="8"/>
      <c r="AP160" s="9"/>
    </row>
    <row r="161" spans="1:46" ht="12.75" customHeight="1" x14ac:dyDescent="0.2">
      <c r="A161" t="s">
        <v>213</v>
      </c>
      <c r="G161">
        <v>28</v>
      </c>
      <c r="H161">
        <v>48</v>
      </c>
      <c r="I161">
        <v>24</v>
      </c>
      <c r="J161">
        <v>33</v>
      </c>
      <c r="K161">
        <v>21</v>
      </c>
      <c r="L161">
        <v>31</v>
      </c>
      <c r="M161">
        <v>21</v>
      </c>
      <c r="N161">
        <v>46</v>
      </c>
      <c r="T161" s="3"/>
      <c r="U161" s="3"/>
      <c r="V161" s="9">
        <v>7.0000000000000007E-2</v>
      </c>
      <c r="W161" s="9"/>
      <c r="X161" s="9"/>
      <c r="Y161" s="9"/>
      <c r="Z161" s="9"/>
      <c r="AA161" s="9"/>
      <c r="AB161" s="3">
        <v>40</v>
      </c>
      <c r="AC161" s="9"/>
      <c r="AD161" s="9"/>
      <c r="AE161" s="8"/>
      <c r="AF161" s="8"/>
      <c r="AG161" s="8"/>
      <c r="AH161" s="9"/>
      <c r="AI161" s="8"/>
      <c r="AJ161" s="8"/>
      <c r="AK161" s="8"/>
      <c r="AL161" s="8"/>
      <c r="AM161" s="9"/>
      <c r="AN161" s="9"/>
      <c r="AO161" s="8"/>
      <c r="AP161" s="9"/>
    </row>
    <row r="162" spans="1:46" ht="12.75" customHeight="1" x14ac:dyDescent="0.2">
      <c r="A162" t="s">
        <v>187</v>
      </c>
      <c r="G162">
        <v>25</v>
      </c>
      <c r="H162">
        <v>47</v>
      </c>
      <c r="I162">
        <v>24</v>
      </c>
      <c r="J162">
        <v>44</v>
      </c>
      <c r="K162">
        <v>23</v>
      </c>
      <c r="L162">
        <v>23</v>
      </c>
      <c r="M162">
        <v>29</v>
      </c>
      <c r="N162">
        <v>52</v>
      </c>
      <c r="T162" s="3"/>
      <c r="U162" s="3"/>
      <c r="V162" s="9"/>
      <c r="W162" s="9"/>
      <c r="X162" s="9"/>
      <c r="Y162" s="9"/>
      <c r="Z162" s="9"/>
      <c r="AA162" s="9"/>
      <c r="AB162" s="3">
        <v>40</v>
      </c>
      <c r="AC162" s="9"/>
      <c r="AD162" s="9"/>
      <c r="AE162" s="8">
        <v>12</v>
      </c>
      <c r="AF162" s="8"/>
      <c r="AG162" s="8"/>
      <c r="AH162" s="9"/>
      <c r="AI162" s="8"/>
      <c r="AJ162" s="8"/>
      <c r="AK162" s="8"/>
      <c r="AL162" s="8"/>
      <c r="AM162" s="9"/>
      <c r="AN162" s="9"/>
      <c r="AO162" s="8">
        <v>129</v>
      </c>
      <c r="AP162" s="9"/>
    </row>
    <row r="163" spans="1:46" ht="12.75" customHeight="1" x14ac:dyDescent="0.2">
      <c r="A163" t="s">
        <v>185</v>
      </c>
      <c r="G163">
        <v>30</v>
      </c>
      <c r="H163">
        <v>40</v>
      </c>
      <c r="I163">
        <v>30</v>
      </c>
      <c r="J163">
        <v>30</v>
      </c>
      <c r="K163">
        <v>30</v>
      </c>
      <c r="L163">
        <v>30</v>
      </c>
      <c r="M163">
        <v>40</v>
      </c>
      <c r="N163">
        <v>45</v>
      </c>
      <c r="O163">
        <v>45</v>
      </c>
      <c r="T163" s="3"/>
      <c r="U163" s="3"/>
      <c r="V163" s="9"/>
      <c r="W163" s="9"/>
      <c r="X163" s="9"/>
      <c r="Y163" s="9"/>
      <c r="Z163" s="9"/>
      <c r="AA163" s="9"/>
      <c r="AB163" s="3">
        <v>40</v>
      </c>
      <c r="AC163" s="9"/>
      <c r="AD163" s="9"/>
      <c r="AE163" s="8">
        <v>10</v>
      </c>
      <c r="AF163" s="8"/>
      <c r="AG163" s="8"/>
      <c r="AH163" s="9"/>
      <c r="AI163" s="8"/>
      <c r="AJ163" s="8"/>
      <c r="AK163" s="8"/>
      <c r="AL163" s="8"/>
      <c r="AM163" s="9"/>
      <c r="AN163" s="9"/>
      <c r="AO163" s="8">
        <v>182</v>
      </c>
      <c r="AP163" s="9"/>
    </row>
    <row r="164" spans="1:46" ht="12.75" customHeight="1" x14ac:dyDescent="0.2">
      <c r="A164" s="3" t="s">
        <v>531</v>
      </c>
      <c r="G164">
        <v>29</v>
      </c>
      <c r="H164">
        <v>28</v>
      </c>
      <c r="I164">
        <v>25</v>
      </c>
      <c r="J164">
        <v>23</v>
      </c>
      <c r="K164">
        <v>26</v>
      </c>
      <c r="L164">
        <v>26</v>
      </c>
      <c r="M164">
        <v>26</v>
      </c>
      <c r="V164" s="9"/>
      <c r="W164" s="9"/>
      <c r="X164" s="9"/>
      <c r="Y164" s="9"/>
      <c r="Z164" s="9"/>
      <c r="AA164" s="9"/>
      <c r="AB164" s="3">
        <v>40</v>
      </c>
      <c r="AC164" s="9"/>
      <c r="AD164" s="9"/>
      <c r="AE164" s="8"/>
      <c r="AF164" s="8"/>
      <c r="AG164" s="8"/>
      <c r="AH164" s="9"/>
      <c r="AI164" s="8"/>
      <c r="AJ164" s="8"/>
      <c r="AK164" s="8"/>
      <c r="AL164" s="8"/>
      <c r="AM164" s="9"/>
      <c r="AO164" s="8">
        <v>96</v>
      </c>
      <c r="AP164" s="9"/>
      <c r="AQ164" s="9"/>
      <c r="AR164" s="9"/>
      <c r="AS164" s="9">
        <v>0.04</v>
      </c>
      <c r="AT164" s="9"/>
    </row>
    <row r="165" spans="1:46" ht="12.75" customHeight="1" x14ac:dyDescent="0.2">
      <c r="A165" s="3" t="s">
        <v>532</v>
      </c>
      <c r="G165">
        <f>G164+12</f>
        <v>41</v>
      </c>
      <c r="H165">
        <f>H164</f>
        <v>28</v>
      </c>
      <c r="I165">
        <f>I164</f>
        <v>25</v>
      </c>
      <c r="J165">
        <f>J164</f>
        <v>23</v>
      </c>
      <c r="K165">
        <f>K164+12</f>
        <v>38</v>
      </c>
      <c r="L165">
        <f t="shared" ref="L165:AM165" si="25">L164</f>
        <v>26</v>
      </c>
      <c r="M165">
        <f t="shared" si="25"/>
        <v>26</v>
      </c>
      <c r="N165">
        <f t="shared" si="25"/>
        <v>0</v>
      </c>
      <c r="O165">
        <f t="shared" si="25"/>
        <v>0</v>
      </c>
      <c r="P165">
        <f t="shared" si="25"/>
        <v>0</v>
      </c>
      <c r="Q165">
        <f t="shared" si="25"/>
        <v>0</v>
      </c>
      <c r="R165">
        <f t="shared" si="25"/>
        <v>0</v>
      </c>
      <c r="S165">
        <f t="shared" si="25"/>
        <v>0</v>
      </c>
      <c r="T165">
        <f t="shared" si="25"/>
        <v>0</v>
      </c>
      <c r="U165">
        <f t="shared" si="25"/>
        <v>0</v>
      </c>
      <c r="V165" s="9">
        <f t="shared" si="25"/>
        <v>0</v>
      </c>
      <c r="W165" s="9">
        <f t="shared" si="25"/>
        <v>0</v>
      </c>
      <c r="X165" s="9">
        <f t="shared" si="25"/>
        <v>0</v>
      </c>
      <c r="Y165" s="9">
        <f t="shared" si="25"/>
        <v>0</v>
      </c>
      <c r="Z165" s="9">
        <f t="shared" si="25"/>
        <v>0</v>
      </c>
      <c r="AA165" s="9">
        <f t="shared" si="25"/>
        <v>0</v>
      </c>
      <c r="AB165" s="3">
        <f t="shared" si="25"/>
        <v>40</v>
      </c>
      <c r="AC165" s="9">
        <f t="shared" si="25"/>
        <v>0</v>
      </c>
      <c r="AD165" s="9">
        <f t="shared" si="25"/>
        <v>0</v>
      </c>
      <c r="AE165" s="8">
        <f t="shared" si="25"/>
        <v>0</v>
      </c>
      <c r="AF165" s="8">
        <f t="shared" si="25"/>
        <v>0</v>
      </c>
      <c r="AG165" s="8">
        <f t="shared" si="25"/>
        <v>0</v>
      </c>
      <c r="AH165" s="9">
        <f t="shared" si="25"/>
        <v>0</v>
      </c>
      <c r="AI165" s="8">
        <f t="shared" si="25"/>
        <v>0</v>
      </c>
      <c r="AJ165" s="8">
        <f t="shared" si="25"/>
        <v>0</v>
      </c>
      <c r="AK165" s="8">
        <f t="shared" si="25"/>
        <v>0</v>
      </c>
      <c r="AL165" s="8">
        <f t="shared" si="25"/>
        <v>0</v>
      </c>
      <c r="AM165" s="9">
        <f t="shared" si="25"/>
        <v>0</v>
      </c>
      <c r="AO165" s="8">
        <f>AO164+80</f>
        <v>176</v>
      </c>
      <c r="AP165" s="9"/>
      <c r="AQ165" s="9">
        <f>AQ164</f>
        <v>0</v>
      </c>
      <c r="AR165" s="9">
        <f>AR164</f>
        <v>0</v>
      </c>
      <c r="AS165" s="9">
        <f>AS164</f>
        <v>0.04</v>
      </c>
      <c r="AT165" s="9">
        <f>AT164</f>
        <v>0</v>
      </c>
    </row>
    <row r="166" spans="1:46" ht="12.75" customHeight="1" x14ac:dyDescent="0.2">
      <c r="A166" s="3" t="s">
        <v>533</v>
      </c>
      <c r="G166">
        <f>G164</f>
        <v>29</v>
      </c>
      <c r="H166">
        <f>H164+12</f>
        <v>40</v>
      </c>
      <c r="I166">
        <f>I164</f>
        <v>25</v>
      </c>
      <c r="J166">
        <f>J164</f>
        <v>23</v>
      </c>
      <c r="K166">
        <f>K164</f>
        <v>26</v>
      </c>
      <c r="L166">
        <f>L164+20</f>
        <v>46</v>
      </c>
      <c r="M166">
        <f>M164</f>
        <v>26</v>
      </c>
      <c r="N166">
        <f>N164+12</f>
        <v>12</v>
      </c>
      <c r="O166">
        <f t="shared" ref="O166:AM166" si="26">O164</f>
        <v>0</v>
      </c>
      <c r="P166">
        <f t="shared" si="26"/>
        <v>0</v>
      </c>
      <c r="Q166">
        <f t="shared" si="26"/>
        <v>0</v>
      </c>
      <c r="R166">
        <f t="shared" si="26"/>
        <v>0</v>
      </c>
      <c r="S166">
        <f t="shared" si="26"/>
        <v>0</v>
      </c>
      <c r="T166">
        <f t="shared" si="26"/>
        <v>0</v>
      </c>
      <c r="U166">
        <f t="shared" si="26"/>
        <v>0</v>
      </c>
      <c r="V166" s="9">
        <f t="shared" si="26"/>
        <v>0</v>
      </c>
      <c r="W166" s="9">
        <f t="shared" si="26"/>
        <v>0</v>
      </c>
      <c r="X166" s="9">
        <f t="shared" si="26"/>
        <v>0</v>
      </c>
      <c r="Y166" s="9">
        <f t="shared" si="26"/>
        <v>0</v>
      </c>
      <c r="Z166" s="9">
        <f t="shared" si="26"/>
        <v>0</v>
      </c>
      <c r="AA166" s="9">
        <f t="shared" si="26"/>
        <v>0</v>
      </c>
      <c r="AB166" s="3">
        <f t="shared" si="26"/>
        <v>40</v>
      </c>
      <c r="AC166" s="9">
        <f t="shared" si="26"/>
        <v>0</v>
      </c>
      <c r="AD166" s="9">
        <f t="shared" si="26"/>
        <v>0</v>
      </c>
      <c r="AE166" s="8">
        <f t="shared" si="26"/>
        <v>0</v>
      </c>
      <c r="AF166" s="8">
        <f t="shared" si="26"/>
        <v>0</v>
      </c>
      <c r="AG166" s="8">
        <f t="shared" si="26"/>
        <v>0</v>
      </c>
      <c r="AH166" s="9">
        <f t="shared" si="26"/>
        <v>0</v>
      </c>
      <c r="AI166" s="8">
        <f t="shared" si="26"/>
        <v>0</v>
      </c>
      <c r="AJ166" s="8">
        <f t="shared" si="26"/>
        <v>0</v>
      </c>
      <c r="AK166" s="8">
        <f t="shared" si="26"/>
        <v>0</v>
      </c>
      <c r="AL166" s="8">
        <f t="shared" si="26"/>
        <v>0</v>
      </c>
      <c r="AM166" s="9">
        <f t="shared" si="26"/>
        <v>0</v>
      </c>
      <c r="AO166" s="8">
        <f>AO164</f>
        <v>96</v>
      </c>
      <c r="AP166" s="9"/>
      <c r="AQ166" s="9">
        <f>AQ164</f>
        <v>0</v>
      </c>
      <c r="AR166" s="9">
        <f>AR164</f>
        <v>0</v>
      </c>
      <c r="AS166" s="9">
        <f>AS164</f>
        <v>0.04</v>
      </c>
      <c r="AT166" s="9">
        <f>AT164</f>
        <v>0</v>
      </c>
    </row>
    <row r="167" spans="1:46" ht="12.75" customHeight="1" x14ac:dyDescent="0.2">
      <c r="A167" s="3" t="s">
        <v>534</v>
      </c>
      <c r="G167">
        <f t="shared" ref="G167:N167" si="27">G164</f>
        <v>29</v>
      </c>
      <c r="H167">
        <f t="shared" si="27"/>
        <v>28</v>
      </c>
      <c r="I167">
        <f t="shared" si="27"/>
        <v>25</v>
      </c>
      <c r="J167">
        <f t="shared" si="27"/>
        <v>23</v>
      </c>
      <c r="K167">
        <f t="shared" si="27"/>
        <v>26</v>
      </c>
      <c r="L167">
        <f t="shared" si="27"/>
        <v>26</v>
      </c>
      <c r="M167">
        <f t="shared" si="27"/>
        <v>26</v>
      </c>
      <c r="N167">
        <f t="shared" si="27"/>
        <v>0</v>
      </c>
      <c r="O167">
        <f>O164+20</f>
        <v>20</v>
      </c>
      <c r="P167">
        <f t="shared" ref="P167:U167" si="28">P164</f>
        <v>0</v>
      </c>
      <c r="Q167">
        <f t="shared" si="28"/>
        <v>0</v>
      </c>
      <c r="R167">
        <f t="shared" si="28"/>
        <v>0</v>
      </c>
      <c r="S167">
        <f t="shared" si="28"/>
        <v>0</v>
      </c>
      <c r="T167">
        <f t="shared" si="28"/>
        <v>0</v>
      </c>
      <c r="U167">
        <f t="shared" si="28"/>
        <v>0</v>
      </c>
      <c r="V167" s="9">
        <f>V164+0.04</f>
        <v>0.04</v>
      </c>
      <c r="W167" s="9">
        <f t="shared" ref="W167:AM167" si="29">W164</f>
        <v>0</v>
      </c>
      <c r="X167" s="9">
        <f t="shared" si="29"/>
        <v>0</v>
      </c>
      <c r="Y167" s="9">
        <f t="shared" si="29"/>
        <v>0</v>
      </c>
      <c r="Z167" s="9">
        <f t="shared" si="29"/>
        <v>0</v>
      </c>
      <c r="AA167" s="9">
        <f t="shared" si="29"/>
        <v>0</v>
      </c>
      <c r="AB167" s="3">
        <f t="shared" si="29"/>
        <v>40</v>
      </c>
      <c r="AC167" s="9">
        <f t="shared" si="29"/>
        <v>0</v>
      </c>
      <c r="AD167" s="9">
        <f t="shared" si="29"/>
        <v>0</v>
      </c>
      <c r="AE167" s="8">
        <f t="shared" si="29"/>
        <v>0</v>
      </c>
      <c r="AF167" s="8">
        <f t="shared" si="29"/>
        <v>0</v>
      </c>
      <c r="AG167" s="8">
        <f t="shared" si="29"/>
        <v>0</v>
      </c>
      <c r="AH167" s="9">
        <f t="shared" si="29"/>
        <v>0</v>
      </c>
      <c r="AI167" s="8">
        <f t="shared" si="29"/>
        <v>0</v>
      </c>
      <c r="AJ167" s="8">
        <f t="shared" si="29"/>
        <v>0</v>
      </c>
      <c r="AK167" s="8">
        <f t="shared" si="29"/>
        <v>0</v>
      </c>
      <c r="AL167" s="8">
        <f t="shared" si="29"/>
        <v>0</v>
      </c>
      <c r="AM167" s="9">
        <f t="shared" si="29"/>
        <v>0</v>
      </c>
      <c r="AO167" s="8">
        <f>AO164</f>
        <v>96</v>
      </c>
      <c r="AP167" s="9"/>
      <c r="AQ167" s="9">
        <f>AQ164</f>
        <v>0</v>
      </c>
      <c r="AR167" s="9">
        <f>AR164</f>
        <v>0</v>
      </c>
      <c r="AS167" s="9">
        <f>AS164</f>
        <v>0.04</v>
      </c>
      <c r="AT167" s="9">
        <f>AT164</f>
        <v>0</v>
      </c>
    </row>
    <row r="168" spans="1:46" ht="12.75" customHeight="1" x14ac:dyDescent="0.2">
      <c r="A168" s="3" t="s">
        <v>535</v>
      </c>
      <c r="G168">
        <v>41</v>
      </c>
      <c r="N168">
        <v>40</v>
      </c>
      <c r="V168" s="9"/>
      <c r="W168" s="9"/>
      <c r="X168" s="9"/>
      <c r="Y168" s="9"/>
      <c r="Z168" s="9"/>
      <c r="AA168" s="9"/>
      <c r="AB168" s="3">
        <v>-162</v>
      </c>
      <c r="AC168" s="9"/>
      <c r="AD168" s="9"/>
      <c r="AE168" s="8"/>
      <c r="AF168" s="8"/>
      <c r="AG168" s="8"/>
      <c r="AH168" s="9"/>
      <c r="AI168" s="8"/>
      <c r="AJ168" s="8"/>
      <c r="AK168" s="8"/>
      <c r="AL168" s="8"/>
      <c r="AM168" s="9"/>
      <c r="AO168" s="8">
        <v>35</v>
      </c>
      <c r="AP168" s="9"/>
      <c r="AQ168" s="9"/>
      <c r="AR168" s="9"/>
      <c r="AS168" s="9"/>
      <c r="AT168" s="9"/>
    </row>
    <row r="169" spans="1:46" ht="12.75" customHeight="1" x14ac:dyDescent="0.2">
      <c r="A169" s="3" t="s">
        <v>536</v>
      </c>
      <c r="G169">
        <f>G168+8</f>
        <v>49</v>
      </c>
      <c r="H169">
        <f t="shared" ref="H169:N169" si="30">H168</f>
        <v>0</v>
      </c>
      <c r="I169">
        <f t="shared" si="30"/>
        <v>0</v>
      </c>
      <c r="J169">
        <f t="shared" si="30"/>
        <v>0</v>
      </c>
      <c r="K169">
        <f t="shared" si="30"/>
        <v>0</v>
      </c>
      <c r="L169">
        <f t="shared" si="30"/>
        <v>0</v>
      </c>
      <c r="M169">
        <f t="shared" si="30"/>
        <v>0</v>
      </c>
      <c r="N169">
        <f t="shared" si="30"/>
        <v>40</v>
      </c>
      <c r="O169">
        <f>O168+20</f>
        <v>20</v>
      </c>
      <c r="P169">
        <f t="shared" ref="P169:U169" si="31">P168</f>
        <v>0</v>
      </c>
      <c r="Q169">
        <f t="shared" si="31"/>
        <v>0</v>
      </c>
      <c r="R169">
        <f t="shared" si="31"/>
        <v>0</v>
      </c>
      <c r="S169">
        <f t="shared" si="31"/>
        <v>0</v>
      </c>
      <c r="T169">
        <f t="shared" si="31"/>
        <v>0</v>
      </c>
      <c r="U169">
        <f t="shared" si="31"/>
        <v>0</v>
      </c>
      <c r="V169" s="9">
        <f>V168+0.03</f>
        <v>0.03</v>
      </c>
      <c r="W169" s="9">
        <f t="shared" ref="W169:AM169" si="32">W168</f>
        <v>0</v>
      </c>
      <c r="X169" s="9">
        <f t="shared" si="32"/>
        <v>0</v>
      </c>
      <c r="Y169" s="9">
        <f t="shared" si="32"/>
        <v>0</v>
      </c>
      <c r="Z169" s="9">
        <f t="shared" si="32"/>
        <v>0</v>
      </c>
      <c r="AA169" s="9">
        <f t="shared" si="32"/>
        <v>0</v>
      </c>
      <c r="AB169" s="3">
        <f t="shared" si="32"/>
        <v>-162</v>
      </c>
      <c r="AC169" s="9">
        <f t="shared" si="32"/>
        <v>0</v>
      </c>
      <c r="AD169" s="9">
        <f t="shared" si="32"/>
        <v>0</v>
      </c>
      <c r="AE169" s="8">
        <f t="shared" si="32"/>
        <v>0</v>
      </c>
      <c r="AF169" s="8">
        <f t="shared" si="32"/>
        <v>0</v>
      </c>
      <c r="AG169" s="8">
        <f t="shared" si="32"/>
        <v>0</v>
      </c>
      <c r="AH169" s="9">
        <f t="shared" si="32"/>
        <v>0</v>
      </c>
      <c r="AI169" s="8">
        <f t="shared" si="32"/>
        <v>0</v>
      </c>
      <c r="AJ169" s="8">
        <f t="shared" si="32"/>
        <v>0</v>
      </c>
      <c r="AK169" s="8">
        <f t="shared" si="32"/>
        <v>0</v>
      </c>
      <c r="AL169" s="8">
        <f t="shared" si="32"/>
        <v>0</v>
      </c>
      <c r="AM169" s="9">
        <f t="shared" si="32"/>
        <v>0</v>
      </c>
      <c r="AO169" s="8">
        <f>AO168</f>
        <v>35</v>
      </c>
      <c r="AP169" s="9"/>
      <c r="AQ169" s="9"/>
      <c r="AR169" s="9"/>
      <c r="AS169" s="9"/>
      <c r="AT169" s="9"/>
    </row>
    <row r="170" spans="1:46" ht="12.75" customHeight="1" x14ac:dyDescent="0.2">
      <c r="A170" s="3" t="s">
        <v>219</v>
      </c>
      <c r="B170" s="3"/>
      <c r="C170" s="3"/>
      <c r="D170" s="3"/>
      <c r="E170" s="3"/>
      <c r="F170" s="3"/>
      <c r="G170" s="3">
        <f>G168</f>
        <v>41</v>
      </c>
      <c r="H170" s="3">
        <f>H168+8</f>
        <v>8</v>
      </c>
      <c r="I170" s="3">
        <f>I168</f>
        <v>0</v>
      </c>
      <c r="J170" s="3">
        <f>J168</f>
        <v>0</v>
      </c>
      <c r="K170" s="3">
        <f>K168</f>
        <v>0</v>
      </c>
      <c r="L170" s="3">
        <f>L168</f>
        <v>0</v>
      </c>
      <c r="M170" s="3">
        <f>M168</f>
        <v>0</v>
      </c>
      <c r="N170" s="3">
        <f>N168+20</f>
        <v>60</v>
      </c>
      <c r="O170" s="3">
        <f t="shared" ref="O170:AB170" si="33">O168</f>
        <v>0</v>
      </c>
      <c r="P170" s="3">
        <f t="shared" si="33"/>
        <v>0</v>
      </c>
      <c r="Q170" s="3">
        <f t="shared" si="33"/>
        <v>0</v>
      </c>
      <c r="R170" s="3">
        <f t="shared" si="33"/>
        <v>0</v>
      </c>
      <c r="S170" s="3">
        <f t="shared" si="33"/>
        <v>0</v>
      </c>
      <c r="T170" s="3">
        <f t="shared" si="33"/>
        <v>0</v>
      </c>
      <c r="U170" s="3">
        <f t="shared" si="33"/>
        <v>0</v>
      </c>
      <c r="V170" s="9">
        <f t="shared" si="33"/>
        <v>0</v>
      </c>
      <c r="W170" s="9">
        <f t="shared" si="33"/>
        <v>0</v>
      </c>
      <c r="X170" s="9">
        <f t="shared" si="33"/>
        <v>0</v>
      </c>
      <c r="Y170" s="9">
        <f t="shared" si="33"/>
        <v>0</v>
      </c>
      <c r="Z170" s="9">
        <f t="shared" si="33"/>
        <v>0</v>
      </c>
      <c r="AA170" s="9">
        <f t="shared" si="33"/>
        <v>0</v>
      </c>
      <c r="AB170" s="3">
        <f t="shared" si="33"/>
        <v>-162</v>
      </c>
      <c r="AC170" s="9">
        <f>AC168+0.03</f>
        <v>0.03</v>
      </c>
      <c r="AD170" s="9">
        <f t="shared" ref="AD170:AM170" si="34">AD168</f>
        <v>0</v>
      </c>
      <c r="AE170" s="8">
        <f t="shared" si="34"/>
        <v>0</v>
      </c>
      <c r="AF170" s="8">
        <f t="shared" si="34"/>
        <v>0</v>
      </c>
      <c r="AG170" s="8">
        <f t="shared" si="34"/>
        <v>0</v>
      </c>
      <c r="AH170" s="9">
        <f t="shared" si="34"/>
        <v>0</v>
      </c>
      <c r="AI170" s="8">
        <f t="shared" si="34"/>
        <v>0</v>
      </c>
      <c r="AJ170" s="8">
        <f t="shared" si="34"/>
        <v>0</v>
      </c>
      <c r="AK170" s="8">
        <f t="shared" si="34"/>
        <v>0</v>
      </c>
      <c r="AL170" s="8">
        <f t="shared" si="34"/>
        <v>0</v>
      </c>
      <c r="AM170" s="9">
        <f t="shared" si="34"/>
        <v>0</v>
      </c>
      <c r="AO170" s="8">
        <f>AO168</f>
        <v>35</v>
      </c>
      <c r="AP170" s="9"/>
      <c r="AQ170" s="9"/>
      <c r="AR170" s="9"/>
      <c r="AS170" s="9"/>
      <c r="AT170" s="9"/>
    </row>
    <row r="171" spans="1:46" ht="12.75" customHeight="1" x14ac:dyDescent="0.2">
      <c r="A171" s="3" t="s">
        <v>537</v>
      </c>
      <c r="G171">
        <f t="shared" ref="G171:M171" si="35">G168</f>
        <v>41</v>
      </c>
      <c r="H171">
        <f t="shared" si="35"/>
        <v>0</v>
      </c>
      <c r="I171">
        <f t="shared" si="35"/>
        <v>0</v>
      </c>
      <c r="J171">
        <f t="shared" si="35"/>
        <v>0</v>
      </c>
      <c r="K171">
        <f t="shared" si="35"/>
        <v>0</v>
      </c>
      <c r="L171">
        <f t="shared" si="35"/>
        <v>0</v>
      </c>
      <c r="M171">
        <f t="shared" si="35"/>
        <v>0</v>
      </c>
      <c r="N171">
        <f>N168+10</f>
        <v>50</v>
      </c>
      <c r="O171">
        <f>O168+10</f>
        <v>10</v>
      </c>
      <c r="P171">
        <f t="shared" ref="P171:AD171" si="36">P168</f>
        <v>0</v>
      </c>
      <c r="Q171">
        <f t="shared" si="36"/>
        <v>0</v>
      </c>
      <c r="R171">
        <f t="shared" si="36"/>
        <v>0</v>
      </c>
      <c r="S171">
        <f t="shared" si="36"/>
        <v>0</v>
      </c>
      <c r="T171">
        <f t="shared" si="36"/>
        <v>0</v>
      </c>
      <c r="U171">
        <f t="shared" si="36"/>
        <v>0</v>
      </c>
      <c r="V171" s="9">
        <f t="shared" si="36"/>
        <v>0</v>
      </c>
      <c r="W171" s="9">
        <f t="shared" si="36"/>
        <v>0</v>
      </c>
      <c r="X171" s="9">
        <f t="shared" si="36"/>
        <v>0</v>
      </c>
      <c r="Y171" s="9">
        <f t="shared" si="36"/>
        <v>0</v>
      </c>
      <c r="Z171" s="9">
        <f t="shared" si="36"/>
        <v>0</v>
      </c>
      <c r="AA171" s="9">
        <f t="shared" si="36"/>
        <v>0</v>
      </c>
      <c r="AB171" s="3">
        <f t="shared" si="36"/>
        <v>-162</v>
      </c>
      <c r="AC171" s="9">
        <f t="shared" si="36"/>
        <v>0</v>
      </c>
      <c r="AD171" s="9">
        <f t="shared" si="36"/>
        <v>0</v>
      </c>
      <c r="AE171" s="8">
        <f>AE168+5</f>
        <v>5</v>
      </c>
      <c r="AF171" s="8">
        <f t="shared" ref="AF171:AM171" si="37">AF168</f>
        <v>0</v>
      </c>
      <c r="AG171" s="8">
        <f t="shared" si="37"/>
        <v>0</v>
      </c>
      <c r="AH171" s="9">
        <f t="shared" si="37"/>
        <v>0</v>
      </c>
      <c r="AI171" s="8">
        <f t="shared" si="37"/>
        <v>0</v>
      </c>
      <c r="AJ171" s="8">
        <f t="shared" si="37"/>
        <v>0</v>
      </c>
      <c r="AK171" s="8">
        <f t="shared" si="37"/>
        <v>0</v>
      </c>
      <c r="AL171" s="8">
        <f t="shared" si="37"/>
        <v>0</v>
      </c>
      <c r="AM171" s="9">
        <f t="shared" si="37"/>
        <v>0</v>
      </c>
      <c r="AO171" s="8">
        <f>AO168</f>
        <v>35</v>
      </c>
      <c r="AP171" s="9"/>
      <c r="AQ171" s="9"/>
      <c r="AR171" s="9"/>
      <c r="AS171" s="9"/>
      <c r="AT171" s="9"/>
    </row>
    <row r="172" spans="1:46" ht="12.75" customHeight="1" x14ac:dyDescent="0.2">
      <c r="A172" s="3" t="s">
        <v>210</v>
      </c>
      <c r="G172">
        <f t="shared" ref="G172:M172" si="38">G168</f>
        <v>41</v>
      </c>
      <c r="H172">
        <f t="shared" si="38"/>
        <v>0</v>
      </c>
      <c r="I172">
        <f t="shared" si="38"/>
        <v>0</v>
      </c>
      <c r="J172">
        <f t="shared" si="38"/>
        <v>0</v>
      </c>
      <c r="K172">
        <f t="shared" si="38"/>
        <v>0</v>
      </c>
      <c r="L172">
        <f t="shared" si="38"/>
        <v>0</v>
      </c>
      <c r="M172">
        <f t="shared" si="38"/>
        <v>0</v>
      </c>
      <c r="N172">
        <f>N168+10</f>
        <v>50</v>
      </c>
      <c r="O172">
        <f>O168+13</f>
        <v>13</v>
      </c>
      <c r="P172">
        <f t="shared" ref="P172:U172" si="39">P168</f>
        <v>0</v>
      </c>
      <c r="Q172">
        <f t="shared" si="39"/>
        <v>0</v>
      </c>
      <c r="R172">
        <f t="shared" si="39"/>
        <v>0</v>
      </c>
      <c r="S172">
        <f t="shared" si="39"/>
        <v>0</v>
      </c>
      <c r="T172">
        <f t="shared" si="39"/>
        <v>0</v>
      </c>
      <c r="U172">
        <f t="shared" si="39"/>
        <v>0</v>
      </c>
      <c r="V172" s="9">
        <f>V168+0.04</f>
        <v>0.04</v>
      </c>
      <c r="W172" s="9">
        <f t="shared" ref="W172:AM172" si="40">W168</f>
        <v>0</v>
      </c>
      <c r="X172" s="9">
        <f t="shared" si="40"/>
        <v>0</v>
      </c>
      <c r="Y172" s="9">
        <f t="shared" si="40"/>
        <v>0</v>
      </c>
      <c r="Z172" s="9">
        <f t="shared" si="40"/>
        <v>0</v>
      </c>
      <c r="AA172" s="9">
        <f t="shared" si="40"/>
        <v>0</v>
      </c>
      <c r="AB172" s="3">
        <f t="shared" si="40"/>
        <v>-162</v>
      </c>
      <c r="AC172" s="9">
        <f t="shared" si="40"/>
        <v>0</v>
      </c>
      <c r="AD172" s="9">
        <f t="shared" si="40"/>
        <v>0</v>
      </c>
      <c r="AE172" s="8">
        <f t="shared" si="40"/>
        <v>0</v>
      </c>
      <c r="AF172" s="8">
        <f t="shared" si="40"/>
        <v>0</v>
      </c>
      <c r="AG172" s="8">
        <f t="shared" si="40"/>
        <v>0</v>
      </c>
      <c r="AH172" s="9">
        <f t="shared" si="40"/>
        <v>0</v>
      </c>
      <c r="AI172" s="8">
        <f t="shared" si="40"/>
        <v>0</v>
      </c>
      <c r="AJ172" s="8">
        <f t="shared" si="40"/>
        <v>0</v>
      </c>
      <c r="AK172" s="8">
        <f t="shared" si="40"/>
        <v>0</v>
      </c>
      <c r="AL172" s="8">
        <f t="shared" si="40"/>
        <v>0</v>
      </c>
      <c r="AM172" s="9">
        <f t="shared" si="40"/>
        <v>0</v>
      </c>
      <c r="AO172" s="8">
        <f>AO168</f>
        <v>35</v>
      </c>
      <c r="AP172" s="9"/>
      <c r="AQ172" s="9"/>
      <c r="AR172" s="9"/>
      <c r="AS172" s="9"/>
      <c r="AT172" s="9"/>
    </row>
    <row r="173" spans="1:46" ht="12.75" customHeight="1" x14ac:dyDescent="0.2">
      <c r="A173" t="s">
        <v>538</v>
      </c>
      <c r="G173">
        <v>26</v>
      </c>
      <c r="H173">
        <v>33</v>
      </c>
      <c r="I173">
        <v>23</v>
      </c>
      <c r="J173">
        <v>29</v>
      </c>
      <c r="K173">
        <v>20</v>
      </c>
      <c r="L173">
        <v>20</v>
      </c>
      <c r="M173">
        <v>20</v>
      </c>
      <c r="N173">
        <v>35</v>
      </c>
      <c r="O173">
        <v>35</v>
      </c>
      <c r="T173" s="3"/>
      <c r="U173" s="3"/>
      <c r="V173" s="9"/>
      <c r="W173" s="9">
        <v>0.04</v>
      </c>
      <c r="X173" s="9"/>
      <c r="Y173" s="9"/>
      <c r="Z173" s="9"/>
      <c r="AA173" s="9">
        <v>0.06</v>
      </c>
      <c r="AB173">
        <v>40</v>
      </c>
      <c r="AC173" s="9"/>
      <c r="AD173" s="9"/>
      <c r="AE173" s="8"/>
      <c r="AF173" s="8"/>
      <c r="AG173" s="8"/>
      <c r="AH173" s="9"/>
      <c r="AI173" s="8"/>
      <c r="AJ173" s="8"/>
      <c r="AK173" s="8"/>
      <c r="AL173" s="8"/>
      <c r="AM173" s="9"/>
      <c r="AO173" s="8">
        <v>63</v>
      </c>
      <c r="AP173" s="9"/>
    </row>
    <row r="174" spans="1:46" ht="12.75" customHeight="1" x14ac:dyDescent="0.2">
      <c r="A174" t="s">
        <v>539</v>
      </c>
      <c r="G174">
        <f>G173</f>
        <v>26</v>
      </c>
      <c r="H174">
        <f>H173+12</f>
        <v>45</v>
      </c>
      <c r="I174">
        <f>I173</f>
        <v>23</v>
      </c>
      <c r="J174">
        <f>J173+12</f>
        <v>41</v>
      </c>
      <c r="K174">
        <f>K173</f>
        <v>20</v>
      </c>
      <c r="L174">
        <f>L173</f>
        <v>20</v>
      </c>
      <c r="M174">
        <f>M173</f>
        <v>20</v>
      </c>
      <c r="N174">
        <f>N173+20</f>
        <v>55</v>
      </c>
      <c r="O174">
        <f t="shared" ref="O174:AS174" si="41">O173</f>
        <v>35</v>
      </c>
      <c r="P174">
        <f t="shared" si="41"/>
        <v>0</v>
      </c>
      <c r="Q174">
        <f t="shared" si="41"/>
        <v>0</v>
      </c>
      <c r="R174">
        <f t="shared" si="41"/>
        <v>0</v>
      </c>
      <c r="S174">
        <f t="shared" si="41"/>
        <v>0</v>
      </c>
      <c r="T174">
        <f t="shared" si="41"/>
        <v>0</v>
      </c>
      <c r="U174">
        <f t="shared" si="41"/>
        <v>0</v>
      </c>
      <c r="V174" s="9">
        <f t="shared" si="41"/>
        <v>0</v>
      </c>
      <c r="W174" s="9">
        <f t="shared" si="41"/>
        <v>0.04</v>
      </c>
      <c r="X174" s="9">
        <f t="shared" si="41"/>
        <v>0</v>
      </c>
      <c r="Y174" s="9">
        <f t="shared" si="41"/>
        <v>0</v>
      </c>
      <c r="Z174" s="9">
        <f t="shared" si="41"/>
        <v>0</v>
      </c>
      <c r="AA174" s="9">
        <f t="shared" si="41"/>
        <v>0.06</v>
      </c>
      <c r="AB174">
        <f t="shared" si="41"/>
        <v>40</v>
      </c>
      <c r="AC174" s="9">
        <f t="shared" si="41"/>
        <v>0</v>
      </c>
      <c r="AD174" s="9">
        <f t="shared" si="41"/>
        <v>0</v>
      </c>
      <c r="AE174" s="8">
        <f t="shared" si="41"/>
        <v>0</v>
      </c>
      <c r="AF174" s="8">
        <f t="shared" si="41"/>
        <v>0</v>
      </c>
      <c r="AG174" s="8">
        <f t="shared" si="41"/>
        <v>0</v>
      </c>
      <c r="AH174" s="9">
        <f t="shared" si="41"/>
        <v>0</v>
      </c>
      <c r="AI174" s="8">
        <f t="shared" si="41"/>
        <v>0</v>
      </c>
      <c r="AJ174" s="8">
        <f t="shared" si="41"/>
        <v>0</v>
      </c>
      <c r="AK174" s="8">
        <f t="shared" si="41"/>
        <v>0</v>
      </c>
      <c r="AL174" s="8">
        <f t="shared" si="41"/>
        <v>0</v>
      </c>
      <c r="AM174" s="9">
        <f t="shared" si="41"/>
        <v>0</v>
      </c>
      <c r="AN174">
        <f t="shared" si="41"/>
        <v>0</v>
      </c>
      <c r="AO174" s="8">
        <f t="shared" si="41"/>
        <v>63</v>
      </c>
      <c r="AP174" s="9">
        <f t="shared" si="41"/>
        <v>0</v>
      </c>
      <c r="AQ174">
        <f t="shared" si="41"/>
        <v>0</v>
      </c>
      <c r="AR174">
        <f t="shared" si="41"/>
        <v>0</v>
      </c>
      <c r="AS174">
        <f t="shared" si="41"/>
        <v>0</v>
      </c>
    </row>
    <row r="175" spans="1:46" ht="12.75" customHeight="1" x14ac:dyDescent="0.2">
      <c r="A175" t="s">
        <v>212</v>
      </c>
      <c r="G175">
        <f>G173+12</f>
        <v>38</v>
      </c>
      <c r="H175">
        <f>H173+12</f>
        <v>45</v>
      </c>
      <c r="I175">
        <f t="shared" ref="I175:N175" si="42">I173</f>
        <v>23</v>
      </c>
      <c r="J175">
        <f t="shared" si="42"/>
        <v>29</v>
      </c>
      <c r="K175">
        <f t="shared" si="42"/>
        <v>20</v>
      </c>
      <c r="L175">
        <f t="shared" si="42"/>
        <v>20</v>
      </c>
      <c r="M175">
        <f t="shared" si="42"/>
        <v>20</v>
      </c>
      <c r="N175">
        <f t="shared" si="42"/>
        <v>35</v>
      </c>
      <c r="O175">
        <f>O173+20</f>
        <v>55</v>
      </c>
      <c r="P175">
        <f t="shared" ref="P175:AS175" si="43">P173</f>
        <v>0</v>
      </c>
      <c r="Q175">
        <f t="shared" si="43"/>
        <v>0</v>
      </c>
      <c r="R175">
        <f t="shared" si="43"/>
        <v>0</v>
      </c>
      <c r="S175">
        <f t="shared" si="43"/>
        <v>0</v>
      </c>
      <c r="T175">
        <f t="shared" si="43"/>
        <v>0</v>
      </c>
      <c r="U175">
        <f t="shared" si="43"/>
        <v>0</v>
      </c>
      <c r="V175" s="9">
        <f t="shared" si="43"/>
        <v>0</v>
      </c>
      <c r="W175" s="9">
        <f t="shared" si="43"/>
        <v>0.04</v>
      </c>
      <c r="X175" s="9">
        <f t="shared" si="43"/>
        <v>0</v>
      </c>
      <c r="Y175" s="9">
        <f t="shared" si="43"/>
        <v>0</v>
      </c>
      <c r="Z175" s="9">
        <f t="shared" si="43"/>
        <v>0</v>
      </c>
      <c r="AA175" s="9">
        <f t="shared" si="43"/>
        <v>0.06</v>
      </c>
      <c r="AB175">
        <f t="shared" si="43"/>
        <v>40</v>
      </c>
      <c r="AC175" s="9">
        <f t="shared" si="43"/>
        <v>0</v>
      </c>
      <c r="AD175" s="9">
        <f t="shared" si="43"/>
        <v>0</v>
      </c>
      <c r="AE175" s="8">
        <f t="shared" si="43"/>
        <v>0</v>
      </c>
      <c r="AF175" s="8">
        <f t="shared" si="43"/>
        <v>0</v>
      </c>
      <c r="AG175" s="8">
        <f t="shared" si="43"/>
        <v>0</v>
      </c>
      <c r="AH175" s="9">
        <f t="shared" si="43"/>
        <v>0</v>
      </c>
      <c r="AI175" s="8">
        <f t="shared" si="43"/>
        <v>0</v>
      </c>
      <c r="AJ175" s="8">
        <f t="shared" si="43"/>
        <v>0</v>
      </c>
      <c r="AK175" s="8">
        <f t="shared" si="43"/>
        <v>0</v>
      </c>
      <c r="AL175" s="8">
        <f t="shared" si="43"/>
        <v>0</v>
      </c>
      <c r="AM175" s="9">
        <f t="shared" si="43"/>
        <v>0</v>
      </c>
      <c r="AN175">
        <f t="shared" si="43"/>
        <v>0</v>
      </c>
      <c r="AO175" s="8">
        <f t="shared" si="43"/>
        <v>63</v>
      </c>
      <c r="AP175" s="9">
        <f t="shared" si="43"/>
        <v>0</v>
      </c>
      <c r="AQ175">
        <f t="shared" si="43"/>
        <v>0</v>
      </c>
      <c r="AR175">
        <f t="shared" si="43"/>
        <v>0</v>
      </c>
      <c r="AS175">
        <f t="shared" si="43"/>
        <v>0</v>
      </c>
    </row>
    <row r="176" spans="1:46" ht="12.75" customHeight="1" x14ac:dyDescent="0.2">
      <c r="A176" t="s">
        <v>540</v>
      </c>
      <c r="G176">
        <v>28</v>
      </c>
      <c r="H176">
        <v>34</v>
      </c>
      <c r="I176">
        <v>24</v>
      </c>
      <c r="J176">
        <v>30</v>
      </c>
      <c r="K176">
        <v>21</v>
      </c>
      <c r="L176">
        <v>20</v>
      </c>
      <c r="M176">
        <v>21</v>
      </c>
      <c r="N176">
        <v>15</v>
      </c>
      <c r="T176" s="3"/>
      <c r="U176" s="3"/>
      <c r="V176" s="9"/>
      <c r="W176" s="9"/>
      <c r="X176" s="9"/>
      <c r="Y176" s="9"/>
      <c r="Z176" s="9"/>
      <c r="AA176" s="9"/>
      <c r="AB176">
        <v>40</v>
      </c>
      <c r="AC176" s="9">
        <v>0.03</v>
      </c>
      <c r="AD176" s="9"/>
      <c r="AE176" s="8">
        <v>3</v>
      </c>
      <c r="AF176" s="8"/>
      <c r="AG176" s="8"/>
      <c r="AH176" s="9"/>
      <c r="AI176" s="8"/>
      <c r="AJ176" s="8"/>
      <c r="AK176" s="8"/>
      <c r="AL176" s="8"/>
      <c r="AM176" s="9"/>
      <c r="AO176" s="8">
        <v>61</v>
      </c>
      <c r="AP176" s="9"/>
    </row>
    <row r="177" spans="1:45" ht="12.75" customHeight="1" x14ac:dyDescent="0.2">
      <c r="A177" t="s">
        <v>198</v>
      </c>
      <c r="G177">
        <f t="shared" ref="G177:M177" si="44">G176</f>
        <v>28</v>
      </c>
      <c r="H177">
        <f t="shared" si="44"/>
        <v>34</v>
      </c>
      <c r="I177">
        <f t="shared" si="44"/>
        <v>24</v>
      </c>
      <c r="J177">
        <f t="shared" si="44"/>
        <v>30</v>
      </c>
      <c r="K177">
        <f t="shared" si="44"/>
        <v>21</v>
      </c>
      <c r="L177">
        <f t="shared" si="44"/>
        <v>20</v>
      </c>
      <c r="M177">
        <f t="shared" si="44"/>
        <v>21</v>
      </c>
      <c r="N177">
        <f>N176+15</f>
        <v>30</v>
      </c>
      <c r="O177">
        <f>O176+15</f>
        <v>15</v>
      </c>
      <c r="P177">
        <f t="shared" ref="P177:V177" si="45">P176</f>
        <v>0</v>
      </c>
      <c r="Q177">
        <f t="shared" si="45"/>
        <v>0</v>
      </c>
      <c r="R177">
        <f t="shared" si="45"/>
        <v>0</v>
      </c>
      <c r="S177">
        <f t="shared" si="45"/>
        <v>0</v>
      </c>
      <c r="T177">
        <f t="shared" si="45"/>
        <v>0</v>
      </c>
      <c r="U177">
        <f t="shared" si="45"/>
        <v>0</v>
      </c>
      <c r="V177" s="9">
        <f t="shared" si="45"/>
        <v>0</v>
      </c>
      <c r="W177" s="9">
        <f>W176+4%</f>
        <v>0.04</v>
      </c>
      <c r="X177" s="9">
        <f t="shared" ref="X177:AS177" si="46">X176</f>
        <v>0</v>
      </c>
      <c r="Y177" s="9">
        <f t="shared" si="46"/>
        <v>0</v>
      </c>
      <c r="Z177" s="9">
        <f t="shared" si="46"/>
        <v>0</v>
      </c>
      <c r="AA177" s="9">
        <f t="shared" si="46"/>
        <v>0</v>
      </c>
      <c r="AB177">
        <f t="shared" si="46"/>
        <v>40</v>
      </c>
      <c r="AC177" s="9">
        <f t="shared" si="46"/>
        <v>0.03</v>
      </c>
      <c r="AD177" s="9">
        <f t="shared" si="46"/>
        <v>0</v>
      </c>
      <c r="AE177" s="8">
        <f t="shared" si="46"/>
        <v>3</v>
      </c>
      <c r="AF177" s="8">
        <f t="shared" si="46"/>
        <v>0</v>
      </c>
      <c r="AG177" s="8">
        <f t="shared" si="46"/>
        <v>0</v>
      </c>
      <c r="AH177" s="9">
        <f t="shared" si="46"/>
        <v>0</v>
      </c>
      <c r="AI177" s="8">
        <f t="shared" si="46"/>
        <v>0</v>
      </c>
      <c r="AJ177" s="8">
        <f t="shared" si="46"/>
        <v>0</v>
      </c>
      <c r="AK177" s="8">
        <f t="shared" si="46"/>
        <v>0</v>
      </c>
      <c r="AL177" s="8">
        <f t="shared" si="46"/>
        <v>0</v>
      </c>
      <c r="AM177" s="9">
        <f t="shared" si="46"/>
        <v>0</v>
      </c>
      <c r="AN177">
        <f t="shared" si="46"/>
        <v>0</v>
      </c>
      <c r="AO177" s="8">
        <f t="shared" si="46"/>
        <v>61</v>
      </c>
      <c r="AP177" s="9">
        <f t="shared" si="46"/>
        <v>0</v>
      </c>
      <c r="AQ177">
        <f t="shared" si="46"/>
        <v>0</v>
      </c>
      <c r="AR177">
        <f t="shared" si="46"/>
        <v>0</v>
      </c>
      <c r="AS177">
        <f t="shared" si="46"/>
        <v>0</v>
      </c>
    </row>
    <row r="178" spans="1:45" ht="12.75" customHeight="1" x14ac:dyDescent="0.2">
      <c r="A178" t="s">
        <v>541</v>
      </c>
      <c r="G178">
        <f t="shared" ref="G178:M178" si="47">G176</f>
        <v>28</v>
      </c>
      <c r="H178">
        <f t="shared" si="47"/>
        <v>34</v>
      </c>
      <c r="I178">
        <f t="shared" si="47"/>
        <v>24</v>
      </c>
      <c r="J178">
        <f t="shared" si="47"/>
        <v>30</v>
      </c>
      <c r="K178">
        <f t="shared" si="47"/>
        <v>21</v>
      </c>
      <c r="L178">
        <f t="shared" si="47"/>
        <v>20</v>
      </c>
      <c r="M178">
        <f t="shared" si="47"/>
        <v>21</v>
      </c>
      <c r="N178">
        <f>N176+15</f>
        <v>30</v>
      </c>
      <c r="O178">
        <f>O176+15</f>
        <v>15</v>
      </c>
      <c r="P178">
        <f t="shared" ref="P178:AD178" si="48">P176</f>
        <v>0</v>
      </c>
      <c r="Q178">
        <f t="shared" si="48"/>
        <v>0</v>
      </c>
      <c r="R178">
        <f t="shared" si="48"/>
        <v>0</v>
      </c>
      <c r="S178">
        <f t="shared" si="48"/>
        <v>0</v>
      </c>
      <c r="T178">
        <f t="shared" si="48"/>
        <v>0</v>
      </c>
      <c r="U178">
        <f t="shared" si="48"/>
        <v>0</v>
      </c>
      <c r="V178" s="9">
        <f t="shared" si="48"/>
        <v>0</v>
      </c>
      <c r="W178" s="9">
        <f t="shared" si="48"/>
        <v>0</v>
      </c>
      <c r="X178" s="9">
        <f t="shared" si="48"/>
        <v>0</v>
      </c>
      <c r="Y178" s="9">
        <f t="shared" si="48"/>
        <v>0</v>
      </c>
      <c r="Z178" s="9">
        <f t="shared" si="48"/>
        <v>0</v>
      </c>
      <c r="AA178" s="9">
        <f t="shared" si="48"/>
        <v>0</v>
      </c>
      <c r="AB178">
        <f t="shared" si="48"/>
        <v>40</v>
      </c>
      <c r="AC178" s="9">
        <f t="shared" si="48"/>
        <v>0.03</v>
      </c>
      <c r="AD178" s="9">
        <f t="shared" si="48"/>
        <v>0</v>
      </c>
      <c r="AE178" s="8">
        <f>AE176+6</f>
        <v>9</v>
      </c>
      <c r="AF178" s="8">
        <f t="shared" ref="AF178:AS178" si="49">AF176</f>
        <v>0</v>
      </c>
      <c r="AG178" s="8">
        <f t="shared" si="49"/>
        <v>0</v>
      </c>
      <c r="AH178" s="9">
        <f t="shared" si="49"/>
        <v>0</v>
      </c>
      <c r="AI178" s="8">
        <f t="shared" si="49"/>
        <v>0</v>
      </c>
      <c r="AJ178" s="8">
        <f t="shared" si="49"/>
        <v>0</v>
      </c>
      <c r="AK178" s="8">
        <f t="shared" si="49"/>
        <v>0</v>
      </c>
      <c r="AL178" s="8">
        <f t="shared" si="49"/>
        <v>0</v>
      </c>
      <c r="AM178" s="9">
        <f t="shared" si="49"/>
        <v>0</v>
      </c>
      <c r="AN178">
        <f t="shared" si="49"/>
        <v>0</v>
      </c>
      <c r="AO178" s="8">
        <f t="shared" si="49"/>
        <v>61</v>
      </c>
      <c r="AP178" s="9">
        <f t="shared" si="49"/>
        <v>0</v>
      </c>
      <c r="AQ178">
        <f t="shared" si="49"/>
        <v>0</v>
      </c>
      <c r="AR178">
        <f t="shared" si="49"/>
        <v>0</v>
      </c>
      <c r="AS178">
        <f t="shared" si="49"/>
        <v>0</v>
      </c>
    </row>
    <row r="179" spans="1:45" ht="12.75" customHeight="1" x14ac:dyDescent="0.2">
      <c r="A179" t="s">
        <v>542</v>
      </c>
      <c r="G179">
        <f>G176+3</f>
        <v>31</v>
      </c>
      <c r="H179">
        <f t="shared" ref="H179:M179" si="50">H176</f>
        <v>34</v>
      </c>
      <c r="I179">
        <f t="shared" si="50"/>
        <v>24</v>
      </c>
      <c r="J179">
        <f t="shared" si="50"/>
        <v>30</v>
      </c>
      <c r="K179">
        <f t="shared" si="50"/>
        <v>21</v>
      </c>
      <c r="L179">
        <f t="shared" si="50"/>
        <v>20</v>
      </c>
      <c r="M179">
        <f t="shared" si="50"/>
        <v>21</v>
      </c>
      <c r="N179">
        <f>N176+0</f>
        <v>15</v>
      </c>
      <c r="O179">
        <f>O176+28</f>
        <v>28</v>
      </c>
      <c r="P179">
        <f t="shared" ref="P179:AG179" si="51">P176</f>
        <v>0</v>
      </c>
      <c r="Q179">
        <f t="shared" si="51"/>
        <v>0</v>
      </c>
      <c r="R179">
        <f t="shared" si="51"/>
        <v>0</v>
      </c>
      <c r="S179">
        <f t="shared" si="51"/>
        <v>0</v>
      </c>
      <c r="T179">
        <f t="shared" si="51"/>
        <v>0</v>
      </c>
      <c r="U179">
        <f t="shared" si="51"/>
        <v>0</v>
      </c>
      <c r="V179" s="9">
        <f t="shared" si="51"/>
        <v>0</v>
      </c>
      <c r="W179" s="9">
        <f t="shared" si="51"/>
        <v>0</v>
      </c>
      <c r="X179" s="9">
        <f t="shared" si="51"/>
        <v>0</v>
      </c>
      <c r="Y179" s="9">
        <f t="shared" si="51"/>
        <v>0</v>
      </c>
      <c r="Z179" s="9">
        <f t="shared" si="51"/>
        <v>0</v>
      </c>
      <c r="AA179" s="9">
        <f t="shared" si="51"/>
        <v>0</v>
      </c>
      <c r="AB179">
        <f t="shared" si="51"/>
        <v>40</v>
      </c>
      <c r="AC179" s="9">
        <f t="shared" si="51"/>
        <v>0.03</v>
      </c>
      <c r="AD179" s="9">
        <f t="shared" si="51"/>
        <v>0</v>
      </c>
      <c r="AE179" s="8">
        <f t="shared" si="51"/>
        <v>3</v>
      </c>
      <c r="AF179" s="8">
        <f t="shared" si="51"/>
        <v>0</v>
      </c>
      <c r="AG179" s="8">
        <f t="shared" si="51"/>
        <v>0</v>
      </c>
      <c r="AH179" s="9">
        <f>AH176+4%</f>
        <v>0.04</v>
      </c>
      <c r="AI179" s="8">
        <f t="shared" ref="AI179:AS179" si="52">AI176</f>
        <v>0</v>
      </c>
      <c r="AJ179" s="8">
        <f t="shared" si="52"/>
        <v>0</v>
      </c>
      <c r="AK179" s="8">
        <f t="shared" si="52"/>
        <v>0</v>
      </c>
      <c r="AL179" s="8">
        <f t="shared" si="52"/>
        <v>0</v>
      </c>
      <c r="AM179" s="9">
        <f t="shared" si="52"/>
        <v>0</v>
      </c>
      <c r="AN179">
        <f t="shared" si="52"/>
        <v>0</v>
      </c>
      <c r="AO179" s="8">
        <f t="shared" si="52"/>
        <v>61</v>
      </c>
      <c r="AP179" s="9">
        <f t="shared" si="52"/>
        <v>0</v>
      </c>
      <c r="AQ179">
        <f t="shared" si="52"/>
        <v>0</v>
      </c>
      <c r="AR179">
        <f t="shared" si="52"/>
        <v>0</v>
      </c>
      <c r="AS179">
        <f t="shared" si="52"/>
        <v>0</v>
      </c>
    </row>
    <row r="180" spans="1:45" ht="12.75" customHeight="1" x14ac:dyDescent="0.2">
      <c r="T180" s="3"/>
      <c r="U180" s="3"/>
      <c r="V180" s="9"/>
      <c r="W180" s="9"/>
      <c r="X180" s="9"/>
      <c r="Y180" s="9"/>
      <c r="Z180" s="9"/>
      <c r="AA180" s="9"/>
      <c r="AC180" s="9"/>
      <c r="AD180" s="9"/>
      <c r="AE180" s="8"/>
      <c r="AF180" s="8"/>
      <c r="AG180" s="8"/>
      <c r="AH180" s="9"/>
      <c r="AI180" s="8"/>
      <c r="AJ180" s="8"/>
      <c r="AK180" s="8"/>
      <c r="AL180" s="8"/>
      <c r="AM180" s="9"/>
      <c r="AO180" s="8"/>
      <c r="AP180" s="9"/>
    </row>
    <row r="181" spans="1:45" ht="12.75" customHeight="1" x14ac:dyDescent="0.2">
      <c r="T181" s="3"/>
      <c r="U181" s="3"/>
      <c r="V181" s="9"/>
      <c r="W181" s="9"/>
      <c r="X181" s="9"/>
      <c r="Y181" s="9"/>
      <c r="Z181" s="9"/>
      <c r="AA181" s="9"/>
      <c r="AC181" s="9"/>
      <c r="AD181" s="9"/>
      <c r="AE181" s="8"/>
      <c r="AF181" s="8"/>
      <c r="AG181" s="8"/>
      <c r="AH181" s="9"/>
      <c r="AI181" s="8"/>
      <c r="AJ181" s="8"/>
      <c r="AK181" s="8"/>
      <c r="AL181" s="8"/>
      <c r="AM181" s="9"/>
      <c r="AO181" s="8"/>
      <c r="AP181" s="9"/>
    </row>
    <row r="182" spans="1:45" ht="12.75" customHeight="1" x14ac:dyDescent="0.2">
      <c r="A182" t="s">
        <v>186</v>
      </c>
      <c r="B182" t="s">
        <v>477</v>
      </c>
      <c r="C182" t="s">
        <v>478</v>
      </c>
      <c r="D182" t="s">
        <v>479</v>
      </c>
      <c r="E182" t="s">
        <v>480</v>
      </c>
      <c r="F182" s="3" t="s">
        <v>481</v>
      </c>
      <c r="G182" t="s">
        <v>30</v>
      </c>
      <c r="H182" t="s">
        <v>33</v>
      </c>
      <c r="I182" t="s">
        <v>29</v>
      </c>
      <c r="J182" t="s">
        <v>32</v>
      </c>
      <c r="K182" t="s">
        <v>153</v>
      </c>
      <c r="L182" t="s">
        <v>154</v>
      </c>
      <c r="M182" t="s">
        <v>482</v>
      </c>
      <c r="N182" t="s">
        <v>120</v>
      </c>
      <c r="O182" t="s">
        <v>156</v>
      </c>
      <c r="P182" t="s">
        <v>157</v>
      </c>
      <c r="Q182" t="s">
        <v>483</v>
      </c>
      <c r="R182" t="s">
        <v>484</v>
      </c>
      <c r="S182" t="s">
        <v>485</v>
      </c>
      <c r="T182" s="3" t="s">
        <v>486</v>
      </c>
      <c r="U182" s="3" t="s">
        <v>487</v>
      </c>
      <c r="V182" s="9" t="s">
        <v>158</v>
      </c>
      <c r="W182" s="9" t="s">
        <v>159</v>
      </c>
      <c r="X182" s="9" t="s">
        <v>160</v>
      </c>
      <c r="Y182" s="9" t="s">
        <v>488</v>
      </c>
      <c r="Z182" s="9" t="s">
        <v>161</v>
      </c>
      <c r="AA182" s="9" t="s">
        <v>165</v>
      </c>
      <c r="AB182" t="s">
        <v>164</v>
      </c>
      <c r="AC182" s="9" t="s">
        <v>162</v>
      </c>
      <c r="AD182" s="9" t="s">
        <v>163</v>
      </c>
      <c r="AE182" s="8" t="s">
        <v>166</v>
      </c>
      <c r="AF182" s="8" t="s">
        <v>130</v>
      </c>
      <c r="AG182" s="8" t="s">
        <v>205</v>
      </c>
      <c r="AH182" s="9" t="s">
        <v>207</v>
      </c>
      <c r="AI182" s="8" t="s">
        <v>208</v>
      </c>
      <c r="AJ182" s="8" t="s">
        <v>489</v>
      </c>
      <c r="AK182" s="8" t="s">
        <v>135</v>
      </c>
      <c r="AL182" s="8" t="s">
        <v>206</v>
      </c>
      <c r="AM182" s="9" t="s">
        <v>490</v>
      </c>
      <c r="AO182" s="8" t="s">
        <v>37</v>
      </c>
      <c r="AP182" s="9" t="s">
        <v>155</v>
      </c>
    </row>
    <row r="183" spans="1:45" ht="12.75" customHeight="1" x14ac:dyDescent="0.2">
      <c r="A183" s="3" t="s">
        <v>195</v>
      </c>
      <c r="G183">
        <v>21</v>
      </c>
      <c r="H183">
        <v>45</v>
      </c>
      <c r="I183">
        <v>42</v>
      </c>
      <c r="J183">
        <v>15</v>
      </c>
      <c r="K183">
        <v>22</v>
      </c>
      <c r="L183">
        <v>40</v>
      </c>
      <c r="M183">
        <v>27</v>
      </c>
      <c r="N183">
        <v>48</v>
      </c>
      <c r="T183" s="3"/>
      <c r="U183" s="3"/>
      <c r="V183" s="9"/>
      <c r="W183" s="9"/>
      <c r="X183" s="9"/>
      <c r="Y183" s="9"/>
      <c r="Z183" s="9"/>
      <c r="AA183" s="9"/>
      <c r="AB183" s="3">
        <v>50</v>
      </c>
      <c r="AC183" s="9"/>
      <c r="AD183" s="9"/>
      <c r="AE183" s="8"/>
      <c r="AF183" s="8"/>
      <c r="AG183" s="8"/>
      <c r="AH183" s="9"/>
      <c r="AI183" s="8"/>
      <c r="AJ183" s="8"/>
      <c r="AK183" s="8"/>
      <c r="AL183" s="8"/>
      <c r="AM183" s="9"/>
      <c r="AN183" s="3"/>
      <c r="AO183" s="8"/>
      <c r="AP183" s="9"/>
    </row>
    <row r="184" spans="1:45" ht="12.75" customHeight="1" x14ac:dyDescent="0.2">
      <c r="A184" s="3" t="s">
        <v>176</v>
      </c>
      <c r="G184">
        <v>21</v>
      </c>
      <c r="H184">
        <v>45</v>
      </c>
      <c r="I184">
        <v>42</v>
      </c>
      <c r="J184">
        <v>15</v>
      </c>
      <c r="K184">
        <v>22</v>
      </c>
      <c r="L184">
        <v>40</v>
      </c>
      <c r="M184">
        <v>27</v>
      </c>
      <c r="N184">
        <v>38</v>
      </c>
      <c r="O184">
        <v>81</v>
      </c>
      <c r="T184" s="3"/>
      <c r="U184" s="3"/>
      <c r="V184" s="9"/>
      <c r="W184" s="9"/>
      <c r="X184" s="9"/>
      <c r="Y184" s="9"/>
      <c r="Z184" s="9"/>
      <c r="AA184" s="9"/>
      <c r="AB184" s="3">
        <v>50</v>
      </c>
      <c r="AC184" s="9"/>
      <c r="AD184" s="9"/>
      <c r="AE184" s="8"/>
      <c r="AF184" s="8"/>
      <c r="AG184" s="8"/>
      <c r="AH184" s="9"/>
      <c r="AI184" s="8"/>
      <c r="AJ184" s="8"/>
      <c r="AK184" s="8"/>
      <c r="AL184" s="8"/>
      <c r="AM184" s="9"/>
      <c r="AN184" s="3"/>
      <c r="AO184" s="8"/>
      <c r="AP184" s="9"/>
    </row>
    <row r="185" spans="1:45" ht="12.75" customHeight="1" x14ac:dyDescent="0.2">
      <c r="A185" s="3" t="s">
        <v>530</v>
      </c>
      <c r="G185">
        <v>16</v>
      </c>
      <c r="H185">
        <v>42</v>
      </c>
      <c r="I185">
        <v>30</v>
      </c>
      <c r="J185">
        <v>7</v>
      </c>
      <c r="K185">
        <v>16</v>
      </c>
      <c r="L185">
        <v>30</v>
      </c>
      <c r="M185">
        <v>19</v>
      </c>
      <c r="T185" s="3"/>
      <c r="U185" s="3"/>
      <c r="V185" s="9"/>
      <c r="W185" s="9"/>
      <c r="X185" s="9"/>
      <c r="Y185" s="9"/>
      <c r="Z185" s="9"/>
      <c r="AA185" s="9"/>
      <c r="AB185" s="3">
        <v>50</v>
      </c>
      <c r="AC185" s="9"/>
      <c r="AD185" s="9"/>
      <c r="AE185" s="8"/>
      <c r="AF185" s="8"/>
      <c r="AG185" s="8"/>
      <c r="AH185" s="9"/>
      <c r="AI185" s="8"/>
      <c r="AJ185" s="8"/>
      <c r="AK185" s="8"/>
      <c r="AL185" s="8"/>
      <c r="AM185" s="9"/>
      <c r="AN185" s="9"/>
      <c r="AO185" s="8"/>
      <c r="AP185" s="9"/>
    </row>
    <row r="186" spans="1:45" ht="12.75" customHeight="1" x14ac:dyDescent="0.2">
      <c r="A186" t="s">
        <v>196</v>
      </c>
      <c r="G186">
        <v>23</v>
      </c>
      <c r="H186">
        <v>50</v>
      </c>
      <c r="I186">
        <v>29</v>
      </c>
      <c r="J186">
        <v>19</v>
      </c>
      <c r="K186">
        <v>11</v>
      </c>
      <c r="L186">
        <v>34</v>
      </c>
      <c r="M186">
        <v>27</v>
      </c>
      <c r="N186">
        <v>47</v>
      </c>
      <c r="O186">
        <v>43</v>
      </c>
      <c r="T186" s="3"/>
      <c r="U186" s="3"/>
      <c r="V186" s="9"/>
      <c r="W186" s="9"/>
      <c r="X186" s="9"/>
      <c r="Y186" s="9"/>
      <c r="Z186" s="9"/>
      <c r="AA186" s="9"/>
      <c r="AB186" s="3">
        <v>40</v>
      </c>
      <c r="AC186" s="9"/>
      <c r="AD186" s="9"/>
      <c r="AE186" s="8"/>
      <c r="AF186" s="8"/>
      <c r="AG186" s="8"/>
      <c r="AH186" s="9">
        <v>7.0000000000000007E-2</v>
      </c>
      <c r="AI186" s="8"/>
      <c r="AJ186" s="8"/>
      <c r="AK186" s="8"/>
      <c r="AL186" s="8"/>
      <c r="AM186" s="9"/>
      <c r="AN186" s="9"/>
      <c r="AO186" s="8"/>
      <c r="AP186" s="9"/>
    </row>
    <row r="187" spans="1:45" ht="12.75" customHeight="1" x14ac:dyDescent="0.2">
      <c r="A187" t="s">
        <v>213</v>
      </c>
      <c r="G187">
        <v>16</v>
      </c>
      <c r="H187">
        <v>53</v>
      </c>
      <c r="I187">
        <v>30</v>
      </c>
      <c r="J187">
        <v>11</v>
      </c>
      <c r="K187">
        <v>14</v>
      </c>
      <c r="L187">
        <v>37</v>
      </c>
      <c r="M187">
        <v>19</v>
      </c>
      <c r="N187">
        <v>43</v>
      </c>
      <c r="T187" s="3"/>
      <c r="U187" s="3"/>
      <c r="V187" s="9"/>
      <c r="W187" s="9"/>
      <c r="X187" s="9"/>
      <c r="Y187" s="9"/>
      <c r="Z187" s="9"/>
      <c r="AA187" s="9"/>
      <c r="AB187" s="3">
        <v>40</v>
      </c>
      <c r="AC187" s="9"/>
      <c r="AD187" s="9"/>
      <c r="AE187" s="8"/>
      <c r="AF187" s="8"/>
      <c r="AG187" s="8"/>
      <c r="AH187" s="9"/>
      <c r="AI187" s="8"/>
      <c r="AJ187" s="8"/>
      <c r="AK187" s="8"/>
      <c r="AL187" s="8"/>
      <c r="AM187" s="9"/>
      <c r="AN187" s="9"/>
      <c r="AO187" s="8"/>
      <c r="AP187" s="9"/>
    </row>
    <row r="188" spans="1:45" ht="12.75" customHeight="1" x14ac:dyDescent="0.2">
      <c r="A188" t="s">
        <v>187</v>
      </c>
      <c r="G188">
        <v>12</v>
      </c>
      <c r="H188">
        <v>51</v>
      </c>
      <c r="I188">
        <v>32</v>
      </c>
      <c r="J188">
        <v>5</v>
      </c>
      <c r="K188">
        <v>15</v>
      </c>
      <c r="L188">
        <v>30</v>
      </c>
      <c r="M188">
        <v>23</v>
      </c>
      <c r="N188">
        <v>49</v>
      </c>
      <c r="T188" s="3"/>
      <c r="U188" s="3"/>
      <c r="V188" s="9"/>
      <c r="W188" s="9"/>
      <c r="X188" s="9"/>
      <c r="Y188" s="9"/>
      <c r="Z188" s="9"/>
      <c r="AA188" s="9"/>
      <c r="AB188" s="3">
        <v>40</v>
      </c>
      <c r="AC188" s="9"/>
      <c r="AD188" s="9"/>
      <c r="AE188" s="8"/>
      <c r="AF188" s="8"/>
      <c r="AG188" s="8"/>
      <c r="AH188" s="9"/>
      <c r="AI188" s="8"/>
      <c r="AJ188" s="8"/>
      <c r="AK188" s="8"/>
      <c r="AL188" s="8"/>
      <c r="AM188" s="9"/>
      <c r="AN188" s="9"/>
      <c r="AO188" s="8">
        <v>74</v>
      </c>
      <c r="AP188" s="9"/>
    </row>
    <row r="189" spans="1:45" ht="12.75" customHeight="1" x14ac:dyDescent="0.2">
      <c r="A189" s="3" t="s">
        <v>531</v>
      </c>
      <c r="G189">
        <v>10</v>
      </c>
      <c r="H189">
        <v>33</v>
      </c>
      <c r="I189">
        <v>32</v>
      </c>
      <c r="J189">
        <v>12</v>
      </c>
      <c r="K189">
        <v>14</v>
      </c>
      <c r="L189">
        <v>32</v>
      </c>
      <c r="M189">
        <v>23</v>
      </c>
      <c r="V189" s="9"/>
      <c r="W189" s="9"/>
      <c r="X189" s="9"/>
      <c r="Y189" s="9"/>
      <c r="Z189" s="9"/>
      <c r="AA189" s="9"/>
      <c r="AB189" s="3">
        <v>50</v>
      </c>
      <c r="AC189" s="9"/>
      <c r="AD189" s="9"/>
      <c r="AE189" s="8"/>
      <c r="AF189" s="8"/>
      <c r="AG189" s="8"/>
      <c r="AH189" s="9"/>
      <c r="AI189" s="8"/>
      <c r="AJ189" s="8"/>
      <c r="AK189" s="8"/>
      <c r="AL189" s="8"/>
      <c r="AM189" s="9"/>
      <c r="AO189" s="8">
        <v>27</v>
      </c>
      <c r="AP189" s="9"/>
      <c r="AQ189" s="9"/>
      <c r="AR189" s="9"/>
      <c r="AS189" s="9"/>
    </row>
    <row r="190" spans="1:45" ht="12.75" customHeight="1" x14ac:dyDescent="0.2">
      <c r="A190" s="3" t="s">
        <v>532</v>
      </c>
      <c r="G190">
        <f>G189+12</f>
        <v>22</v>
      </c>
      <c r="H190">
        <f>H189</f>
        <v>33</v>
      </c>
      <c r="I190">
        <f>I189</f>
        <v>32</v>
      </c>
      <c r="J190">
        <f>J189</f>
        <v>12</v>
      </c>
      <c r="K190">
        <f>K189+12</f>
        <v>26</v>
      </c>
      <c r="L190">
        <f t="shared" ref="L190:AM190" si="53">L189</f>
        <v>32</v>
      </c>
      <c r="M190">
        <f t="shared" si="53"/>
        <v>23</v>
      </c>
      <c r="N190">
        <f t="shared" si="53"/>
        <v>0</v>
      </c>
      <c r="O190">
        <f t="shared" si="53"/>
        <v>0</v>
      </c>
      <c r="P190">
        <f t="shared" si="53"/>
        <v>0</v>
      </c>
      <c r="Q190">
        <f t="shared" si="53"/>
        <v>0</v>
      </c>
      <c r="R190">
        <f t="shared" si="53"/>
        <v>0</v>
      </c>
      <c r="S190">
        <f t="shared" si="53"/>
        <v>0</v>
      </c>
      <c r="T190">
        <f t="shared" si="53"/>
        <v>0</v>
      </c>
      <c r="U190">
        <f t="shared" si="53"/>
        <v>0</v>
      </c>
      <c r="V190" s="9">
        <f t="shared" si="53"/>
        <v>0</v>
      </c>
      <c r="W190" s="9">
        <f t="shared" si="53"/>
        <v>0</v>
      </c>
      <c r="X190" s="9">
        <f t="shared" si="53"/>
        <v>0</v>
      </c>
      <c r="Y190" s="9">
        <f t="shared" si="53"/>
        <v>0</v>
      </c>
      <c r="Z190" s="9">
        <f t="shared" si="53"/>
        <v>0</v>
      </c>
      <c r="AA190" s="9">
        <f t="shared" si="53"/>
        <v>0</v>
      </c>
      <c r="AB190" s="3">
        <f t="shared" si="53"/>
        <v>50</v>
      </c>
      <c r="AC190" s="9">
        <f t="shared" si="53"/>
        <v>0</v>
      </c>
      <c r="AD190" s="9">
        <f t="shared" si="53"/>
        <v>0</v>
      </c>
      <c r="AE190" s="8">
        <f t="shared" si="53"/>
        <v>0</v>
      </c>
      <c r="AF190" s="8">
        <f t="shared" si="53"/>
        <v>0</v>
      </c>
      <c r="AG190" s="8">
        <f t="shared" si="53"/>
        <v>0</v>
      </c>
      <c r="AH190" s="9">
        <f t="shared" si="53"/>
        <v>0</v>
      </c>
      <c r="AI190" s="8">
        <f t="shared" si="53"/>
        <v>0</v>
      </c>
      <c r="AJ190" s="8">
        <f t="shared" si="53"/>
        <v>0</v>
      </c>
      <c r="AK190" s="8">
        <f t="shared" si="53"/>
        <v>0</v>
      </c>
      <c r="AL190" s="8">
        <f t="shared" si="53"/>
        <v>0</v>
      </c>
      <c r="AM190" s="9">
        <f t="shared" si="53"/>
        <v>0</v>
      </c>
      <c r="AO190" s="8">
        <f>AO189+80</f>
        <v>107</v>
      </c>
      <c r="AP190" s="9"/>
      <c r="AQ190" s="9"/>
      <c r="AR190" s="9"/>
      <c r="AS190" s="9"/>
    </row>
    <row r="191" spans="1:45" ht="12.75" customHeight="1" x14ac:dyDescent="0.2">
      <c r="A191" s="3" t="s">
        <v>533</v>
      </c>
      <c r="G191">
        <f>G189</f>
        <v>10</v>
      </c>
      <c r="H191">
        <f>H189+12</f>
        <v>45</v>
      </c>
      <c r="I191">
        <f>I189</f>
        <v>32</v>
      </c>
      <c r="J191">
        <f>J189</f>
        <v>12</v>
      </c>
      <c r="K191">
        <f>K189</f>
        <v>14</v>
      </c>
      <c r="L191">
        <f>L189+20</f>
        <v>52</v>
      </c>
      <c r="M191">
        <f>M189</f>
        <v>23</v>
      </c>
      <c r="N191">
        <f>N189+12</f>
        <v>12</v>
      </c>
      <c r="O191">
        <f t="shared" ref="O191:AM191" si="54">O189</f>
        <v>0</v>
      </c>
      <c r="P191">
        <f t="shared" si="54"/>
        <v>0</v>
      </c>
      <c r="Q191">
        <f t="shared" si="54"/>
        <v>0</v>
      </c>
      <c r="R191">
        <f t="shared" si="54"/>
        <v>0</v>
      </c>
      <c r="S191">
        <f t="shared" si="54"/>
        <v>0</v>
      </c>
      <c r="T191">
        <f t="shared" si="54"/>
        <v>0</v>
      </c>
      <c r="U191">
        <f t="shared" si="54"/>
        <v>0</v>
      </c>
      <c r="V191" s="9">
        <f t="shared" si="54"/>
        <v>0</v>
      </c>
      <c r="W191" s="9">
        <f t="shared" si="54"/>
        <v>0</v>
      </c>
      <c r="X191" s="9">
        <f t="shared" si="54"/>
        <v>0</v>
      </c>
      <c r="Y191" s="9">
        <f t="shared" si="54"/>
        <v>0</v>
      </c>
      <c r="Z191" s="9">
        <f t="shared" si="54"/>
        <v>0</v>
      </c>
      <c r="AA191" s="9">
        <f t="shared" si="54"/>
        <v>0</v>
      </c>
      <c r="AB191" s="3">
        <f t="shared" si="54"/>
        <v>50</v>
      </c>
      <c r="AC191" s="9">
        <f t="shared" si="54"/>
        <v>0</v>
      </c>
      <c r="AD191" s="9">
        <f t="shared" si="54"/>
        <v>0</v>
      </c>
      <c r="AE191" s="8">
        <f t="shared" si="54"/>
        <v>0</v>
      </c>
      <c r="AF191" s="8">
        <f t="shared" si="54"/>
        <v>0</v>
      </c>
      <c r="AG191" s="8">
        <f t="shared" si="54"/>
        <v>0</v>
      </c>
      <c r="AH191" s="9">
        <f t="shared" si="54"/>
        <v>0</v>
      </c>
      <c r="AI191" s="8">
        <f t="shared" si="54"/>
        <v>0</v>
      </c>
      <c r="AJ191" s="8">
        <f t="shared" si="54"/>
        <v>0</v>
      </c>
      <c r="AK191" s="8">
        <f t="shared" si="54"/>
        <v>0</v>
      </c>
      <c r="AL191" s="8">
        <f t="shared" si="54"/>
        <v>0</v>
      </c>
      <c r="AM191" s="9">
        <f t="shared" si="54"/>
        <v>0</v>
      </c>
      <c r="AO191" s="8">
        <f>AO189</f>
        <v>27</v>
      </c>
      <c r="AP191" s="9"/>
      <c r="AQ191" s="9"/>
      <c r="AR191" s="9"/>
      <c r="AS191" s="9"/>
    </row>
    <row r="192" spans="1:45" ht="12.75" customHeight="1" x14ac:dyDescent="0.2">
      <c r="A192" s="3" t="s">
        <v>535</v>
      </c>
      <c r="G192">
        <v>22</v>
      </c>
      <c r="H192">
        <v>44</v>
      </c>
      <c r="V192" s="9"/>
      <c r="W192" s="9"/>
      <c r="X192" s="9"/>
      <c r="Y192" s="9"/>
      <c r="Z192" s="9"/>
      <c r="AA192" s="9"/>
      <c r="AB192" s="3">
        <v>-81</v>
      </c>
      <c r="AC192" s="9"/>
      <c r="AD192" s="9"/>
      <c r="AE192" s="8"/>
      <c r="AF192" s="8"/>
      <c r="AG192" s="8"/>
      <c r="AH192" s="9"/>
      <c r="AI192" s="8"/>
      <c r="AJ192" s="8"/>
      <c r="AK192" s="8"/>
      <c r="AL192" s="8"/>
      <c r="AM192" s="9"/>
      <c r="AO192" s="8">
        <v>16</v>
      </c>
      <c r="AP192" s="9"/>
      <c r="AQ192" s="9"/>
      <c r="AR192" s="9"/>
      <c r="AS192" s="9"/>
    </row>
    <row r="193" spans="1:45" ht="12.75" customHeight="1" x14ac:dyDescent="0.2">
      <c r="A193" s="3" t="s">
        <v>536</v>
      </c>
      <c r="G193">
        <f>G192+8</f>
        <v>30</v>
      </c>
      <c r="H193">
        <f t="shared" ref="H193:N193" si="55">H192</f>
        <v>44</v>
      </c>
      <c r="I193">
        <f t="shared" si="55"/>
        <v>0</v>
      </c>
      <c r="J193">
        <f t="shared" si="55"/>
        <v>0</v>
      </c>
      <c r="K193">
        <f t="shared" si="55"/>
        <v>0</v>
      </c>
      <c r="L193">
        <f t="shared" si="55"/>
        <v>0</v>
      </c>
      <c r="M193">
        <f t="shared" si="55"/>
        <v>0</v>
      </c>
      <c r="N193">
        <f t="shared" si="55"/>
        <v>0</v>
      </c>
      <c r="O193">
        <f>O192+20</f>
        <v>20</v>
      </c>
      <c r="P193">
        <f t="shared" ref="P193:U193" si="56">P192</f>
        <v>0</v>
      </c>
      <c r="Q193">
        <f t="shared" si="56"/>
        <v>0</v>
      </c>
      <c r="R193">
        <f t="shared" si="56"/>
        <v>0</v>
      </c>
      <c r="S193">
        <f t="shared" si="56"/>
        <v>0</v>
      </c>
      <c r="T193">
        <f t="shared" si="56"/>
        <v>0</v>
      </c>
      <c r="U193">
        <f t="shared" si="56"/>
        <v>0</v>
      </c>
      <c r="V193" s="9">
        <f>V192+0.03</f>
        <v>0.03</v>
      </c>
      <c r="W193" s="9">
        <f t="shared" ref="W193:AM193" si="57">W192</f>
        <v>0</v>
      </c>
      <c r="X193" s="9">
        <f t="shared" si="57"/>
        <v>0</v>
      </c>
      <c r="Y193" s="9">
        <f t="shared" si="57"/>
        <v>0</v>
      </c>
      <c r="Z193" s="9">
        <f t="shared" si="57"/>
        <v>0</v>
      </c>
      <c r="AA193" s="9">
        <f t="shared" si="57"/>
        <v>0</v>
      </c>
      <c r="AB193" s="3">
        <f t="shared" si="57"/>
        <v>-81</v>
      </c>
      <c r="AC193" s="9">
        <f t="shared" si="57"/>
        <v>0</v>
      </c>
      <c r="AD193" s="9">
        <f t="shared" si="57"/>
        <v>0</v>
      </c>
      <c r="AE193" s="8">
        <f t="shared" si="57"/>
        <v>0</v>
      </c>
      <c r="AF193" s="8">
        <f t="shared" si="57"/>
        <v>0</v>
      </c>
      <c r="AG193" s="8">
        <f t="shared" si="57"/>
        <v>0</v>
      </c>
      <c r="AH193" s="9">
        <f t="shared" si="57"/>
        <v>0</v>
      </c>
      <c r="AI193" s="8">
        <f t="shared" si="57"/>
        <v>0</v>
      </c>
      <c r="AJ193" s="8">
        <f t="shared" si="57"/>
        <v>0</v>
      </c>
      <c r="AK193" s="8">
        <f t="shared" si="57"/>
        <v>0</v>
      </c>
      <c r="AL193" s="8">
        <f t="shared" si="57"/>
        <v>0</v>
      </c>
      <c r="AM193" s="9">
        <f t="shared" si="57"/>
        <v>0</v>
      </c>
      <c r="AO193" s="8">
        <f>AO192</f>
        <v>16</v>
      </c>
      <c r="AP193" s="9"/>
      <c r="AQ193" s="9"/>
      <c r="AR193" s="9"/>
      <c r="AS193" s="9"/>
    </row>
    <row r="194" spans="1:45" ht="12.75" customHeight="1" x14ac:dyDescent="0.2">
      <c r="A194" s="3" t="s">
        <v>219</v>
      </c>
      <c r="B194" s="3"/>
      <c r="C194" s="3"/>
      <c r="D194" s="3"/>
      <c r="E194" s="3"/>
      <c r="F194" s="3"/>
      <c r="G194" s="3">
        <f>G192</f>
        <v>22</v>
      </c>
      <c r="H194" s="3">
        <f>H192+8</f>
        <v>52</v>
      </c>
      <c r="I194" s="3">
        <f>I192</f>
        <v>0</v>
      </c>
      <c r="J194" s="3">
        <f>J192</f>
        <v>0</v>
      </c>
      <c r="K194" s="3">
        <f>K192</f>
        <v>0</v>
      </c>
      <c r="L194" s="3">
        <f>L192</f>
        <v>0</v>
      </c>
      <c r="M194" s="3">
        <f>M192</f>
        <v>0</v>
      </c>
      <c r="N194" s="3">
        <f>N192+20</f>
        <v>20</v>
      </c>
      <c r="O194" s="3">
        <f t="shared" ref="O194:AB194" si="58">O192</f>
        <v>0</v>
      </c>
      <c r="P194" s="3">
        <f t="shared" si="58"/>
        <v>0</v>
      </c>
      <c r="Q194" s="3">
        <f t="shared" si="58"/>
        <v>0</v>
      </c>
      <c r="R194" s="3">
        <f t="shared" si="58"/>
        <v>0</v>
      </c>
      <c r="S194" s="3">
        <f t="shared" si="58"/>
        <v>0</v>
      </c>
      <c r="T194" s="3">
        <f t="shared" si="58"/>
        <v>0</v>
      </c>
      <c r="U194" s="3">
        <f t="shared" si="58"/>
        <v>0</v>
      </c>
      <c r="V194" s="9">
        <f t="shared" si="58"/>
        <v>0</v>
      </c>
      <c r="W194" s="9">
        <f t="shared" si="58"/>
        <v>0</v>
      </c>
      <c r="X194" s="9">
        <f t="shared" si="58"/>
        <v>0</v>
      </c>
      <c r="Y194" s="9">
        <f t="shared" si="58"/>
        <v>0</v>
      </c>
      <c r="Z194" s="9">
        <f t="shared" si="58"/>
        <v>0</v>
      </c>
      <c r="AA194" s="9">
        <f t="shared" si="58"/>
        <v>0</v>
      </c>
      <c r="AB194" s="3">
        <f t="shared" si="58"/>
        <v>-81</v>
      </c>
      <c r="AC194" s="9">
        <f>AC192+0.03</f>
        <v>0.03</v>
      </c>
      <c r="AD194" s="9">
        <f t="shared" ref="AD194:AM194" si="59">AD192</f>
        <v>0</v>
      </c>
      <c r="AE194" s="8">
        <f t="shared" si="59"/>
        <v>0</v>
      </c>
      <c r="AF194" s="8">
        <f t="shared" si="59"/>
        <v>0</v>
      </c>
      <c r="AG194" s="8">
        <f t="shared" si="59"/>
        <v>0</v>
      </c>
      <c r="AH194" s="9">
        <f t="shared" si="59"/>
        <v>0</v>
      </c>
      <c r="AI194" s="8">
        <f t="shared" si="59"/>
        <v>0</v>
      </c>
      <c r="AJ194" s="8">
        <f t="shared" si="59"/>
        <v>0</v>
      </c>
      <c r="AK194" s="8">
        <f t="shared" si="59"/>
        <v>0</v>
      </c>
      <c r="AL194" s="8">
        <f t="shared" si="59"/>
        <v>0</v>
      </c>
      <c r="AM194" s="9">
        <f t="shared" si="59"/>
        <v>0</v>
      </c>
      <c r="AO194" s="8">
        <f>AO192</f>
        <v>16</v>
      </c>
      <c r="AP194" s="9"/>
      <c r="AQ194" s="9"/>
      <c r="AR194" s="9"/>
      <c r="AS194" s="9"/>
    </row>
    <row r="195" spans="1:45" ht="12.75" customHeight="1" x14ac:dyDescent="0.2">
      <c r="A195" s="3" t="s">
        <v>537</v>
      </c>
      <c r="G195">
        <f t="shared" ref="G195:M195" si="60">G192</f>
        <v>22</v>
      </c>
      <c r="H195">
        <f t="shared" si="60"/>
        <v>44</v>
      </c>
      <c r="I195">
        <f t="shared" si="60"/>
        <v>0</v>
      </c>
      <c r="J195">
        <f t="shared" si="60"/>
        <v>0</v>
      </c>
      <c r="K195">
        <f t="shared" si="60"/>
        <v>0</v>
      </c>
      <c r="L195">
        <f t="shared" si="60"/>
        <v>0</v>
      </c>
      <c r="M195">
        <f t="shared" si="60"/>
        <v>0</v>
      </c>
      <c r="N195">
        <f>N192+10</f>
        <v>10</v>
      </c>
      <c r="O195">
        <f>O192+10</f>
        <v>10</v>
      </c>
      <c r="P195">
        <f t="shared" ref="P195:AD195" si="61">P192</f>
        <v>0</v>
      </c>
      <c r="Q195">
        <f t="shared" si="61"/>
        <v>0</v>
      </c>
      <c r="R195">
        <f t="shared" si="61"/>
        <v>0</v>
      </c>
      <c r="S195">
        <f t="shared" si="61"/>
        <v>0</v>
      </c>
      <c r="T195">
        <f t="shared" si="61"/>
        <v>0</v>
      </c>
      <c r="U195">
        <f t="shared" si="61"/>
        <v>0</v>
      </c>
      <c r="V195" s="9">
        <f t="shared" si="61"/>
        <v>0</v>
      </c>
      <c r="W195" s="9">
        <f t="shared" si="61"/>
        <v>0</v>
      </c>
      <c r="X195" s="9">
        <f t="shared" si="61"/>
        <v>0</v>
      </c>
      <c r="Y195" s="9">
        <f t="shared" si="61"/>
        <v>0</v>
      </c>
      <c r="Z195" s="9">
        <f t="shared" si="61"/>
        <v>0</v>
      </c>
      <c r="AA195" s="9">
        <f t="shared" si="61"/>
        <v>0</v>
      </c>
      <c r="AB195" s="3">
        <f t="shared" si="61"/>
        <v>-81</v>
      </c>
      <c r="AC195" s="9">
        <f t="shared" si="61"/>
        <v>0</v>
      </c>
      <c r="AD195" s="9">
        <f t="shared" si="61"/>
        <v>0</v>
      </c>
      <c r="AE195" s="8">
        <f>AE192+5</f>
        <v>5</v>
      </c>
      <c r="AF195" s="8">
        <f t="shared" ref="AF195:AM195" si="62">AF192</f>
        <v>0</v>
      </c>
      <c r="AG195" s="8">
        <f t="shared" si="62"/>
        <v>0</v>
      </c>
      <c r="AH195" s="9">
        <f t="shared" si="62"/>
        <v>0</v>
      </c>
      <c r="AI195" s="8">
        <f t="shared" si="62"/>
        <v>0</v>
      </c>
      <c r="AJ195" s="8">
        <f t="shared" si="62"/>
        <v>0</v>
      </c>
      <c r="AK195" s="8">
        <f t="shared" si="62"/>
        <v>0</v>
      </c>
      <c r="AL195" s="8">
        <f t="shared" si="62"/>
        <v>0</v>
      </c>
      <c r="AM195" s="9">
        <f t="shared" si="62"/>
        <v>0</v>
      </c>
      <c r="AO195" s="8">
        <f>AO192</f>
        <v>16</v>
      </c>
      <c r="AP195" s="9"/>
      <c r="AQ195" s="9"/>
      <c r="AR195" s="9"/>
      <c r="AS195" s="9"/>
    </row>
    <row r="196" spans="1:45" ht="12.75" customHeight="1" x14ac:dyDescent="0.2">
      <c r="A196" s="3" t="s">
        <v>210</v>
      </c>
      <c r="G196">
        <f>G192+13</f>
        <v>35</v>
      </c>
      <c r="H196">
        <f>H192+10</f>
        <v>54</v>
      </c>
      <c r="I196">
        <f>I192</f>
        <v>0</v>
      </c>
      <c r="J196">
        <f>J192</f>
        <v>0</v>
      </c>
      <c r="K196">
        <f>K192</f>
        <v>0</v>
      </c>
      <c r="L196">
        <f>L192</f>
        <v>0</v>
      </c>
      <c r="M196">
        <f>M192</f>
        <v>0</v>
      </c>
      <c r="N196">
        <f>N192+30</f>
        <v>30</v>
      </c>
      <c r="O196">
        <f t="shared" ref="O196:AM196" si="63">O192</f>
        <v>0</v>
      </c>
      <c r="P196">
        <f t="shared" si="63"/>
        <v>0</v>
      </c>
      <c r="Q196">
        <f t="shared" si="63"/>
        <v>0</v>
      </c>
      <c r="R196">
        <f t="shared" si="63"/>
        <v>0</v>
      </c>
      <c r="S196">
        <f t="shared" si="63"/>
        <v>0</v>
      </c>
      <c r="T196">
        <f t="shared" si="63"/>
        <v>0</v>
      </c>
      <c r="U196">
        <f t="shared" si="63"/>
        <v>0</v>
      </c>
      <c r="V196" s="9">
        <f t="shared" si="63"/>
        <v>0</v>
      </c>
      <c r="W196" s="9">
        <f t="shared" si="63"/>
        <v>0</v>
      </c>
      <c r="X196" s="9">
        <f t="shared" si="63"/>
        <v>0</v>
      </c>
      <c r="Y196" s="9">
        <f t="shared" si="63"/>
        <v>0</v>
      </c>
      <c r="Z196" s="9">
        <f t="shared" si="63"/>
        <v>0</v>
      </c>
      <c r="AA196" s="9">
        <f t="shared" si="63"/>
        <v>0</v>
      </c>
      <c r="AB196" s="3">
        <f t="shared" si="63"/>
        <v>-81</v>
      </c>
      <c r="AC196" s="9">
        <f t="shared" si="63"/>
        <v>0</v>
      </c>
      <c r="AD196" s="9">
        <f t="shared" si="63"/>
        <v>0</v>
      </c>
      <c r="AE196" s="8">
        <f t="shared" si="63"/>
        <v>0</v>
      </c>
      <c r="AF196" s="8">
        <f t="shared" si="63"/>
        <v>0</v>
      </c>
      <c r="AG196" s="8">
        <f t="shared" si="63"/>
        <v>0</v>
      </c>
      <c r="AH196" s="9">
        <f t="shared" si="63"/>
        <v>0</v>
      </c>
      <c r="AI196" s="8">
        <f t="shared" si="63"/>
        <v>0</v>
      </c>
      <c r="AJ196" s="8">
        <f t="shared" si="63"/>
        <v>0</v>
      </c>
      <c r="AK196" s="8">
        <f t="shared" si="63"/>
        <v>0</v>
      </c>
      <c r="AL196" s="8">
        <f t="shared" si="63"/>
        <v>0</v>
      </c>
      <c r="AM196" s="9">
        <f t="shared" si="63"/>
        <v>0</v>
      </c>
      <c r="AO196" s="8">
        <f>AO192</f>
        <v>16</v>
      </c>
      <c r="AP196" s="9"/>
      <c r="AQ196" s="9"/>
      <c r="AR196" s="9"/>
      <c r="AS196" s="9"/>
    </row>
    <row r="197" spans="1:45" ht="12.75" customHeight="1" x14ac:dyDescent="0.2">
      <c r="A197" t="s">
        <v>538</v>
      </c>
      <c r="G197">
        <v>15</v>
      </c>
      <c r="H197">
        <v>44</v>
      </c>
      <c r="I197">
        <v>29</v>
      </c>
      <c r="J197">
        <v>7</v>
      </c>
      <c r="K197">
        <v>12</v>
      </c>
      <c r="L197">
        <v>30</v>
      </c>
      <c r="M197">
        <v>17</v>
      </c>
      <c r="N197">
        <v>32</v>
      </c>
      <c r="T197" s="3"/>
      <c r="U197" s="3"/>
      <c r="V197" s="9"/>
      <c r="W197" s="9">
        <v>0.04</v>
      </c>
      <c r="X197" s="9"/>
      <c r="Y197" s="9"/>
      <c r="Z197" s="9"/>
      <c r="AA197" s="9"/>
      <c r="AB197">
        <v>50</v>
      </c>
      <c r="AC197" s="9"/>
      <c r="AD197" s="9"/>
      <c r="AE197" s="8">
        <v>7</v>
      </c>
      <c r="AF197" s="8"/>
      <c r="AG197" s="8"/>
      <c r="AH197" s="9"/>
      <c r="AI197" s="8"/>
      <c r="AJ197" s="8"/>
      <c r="AK197" s="8"/>
      <c r="AL197" s="8"/>
      <c r="AM197" s="9"/>
      <c r="AO197" s="8">
        <v>22</v>
      </c>
      <c r="AP197" s="9"/>
    </row>
    <row r="198" spans="1:45" ht="12.75" customHeight="1" x14ac:dyDescent="0.2">
      <c r="A198" t="s">
        <v>539</v>
      </c>
      <c r="G198">
        <f>G197</f>
        <v>15</v>
      </c>
      <c r="H198">
        <f>H197+12</f>
        <v>56</v>
      </c>
      <c r="I198">
        <f>I197</f>
        <v>29</v>
      </c>
      <c r="J198">
        <f>J197+12</f>
        <v>19</v>
      </c>
      <c r="K198">
        <f>K197</f>
        <v>12</v>
      </c>
      <c r="L198">
        <f>L197</f>
        <v>30</v>
      </c>
      <c r="M198">
        <f>M197</f>
        <v>17</v>
      </c>
      <c r="N198">
        <f>N197+20</f>
        <v>52</v>
      </c>
      <c r="O198">
        <f t="shared" ref="O198:AS198" si="64">O197</f>
        <v>0</v>
      </c>
      <c r="P198">
        <f t="shared" si="64"/>
        <v>0</v>
      </c>
      <c r="Q198">
        <f t="shared" si="64"/>
        <v>0</v>
      </c>
      <c r="R198">
        <f t="shared" si="64"/>
        <v>0</v>
      </c>
      <c r="S198">
        <f t="shared" si="64"/>
        <v>0</v>
      </c>
      <c r="T198">
        <f t="shared" si="64"/>
        <v>0</v>
      </c>
      <c r="U198">
        <f t="shared" si="64"/>
        <v>0</v>
      </c>
      <c r="V198" s="9">
        <f t="shared" si="64"/>
        <v>0</v>
      </c>
      <c r="W198" s="9">
        <f t="shared" si="64"/>
        <v>0.04</v>
      </c>
      <c r="X198" s="9">
        <f t="shared" si="64"/>
        <v>0</v>
      </c>
      <c r="Y198" s="9">
        <f t="shared" si="64"/>
        <v>0</v>
      </c>
      <c r="Z198" s="9">
        <f t="shared" si="64"/>
        <v>0</v>
      </c>
      <c r="AA198" s="9">
        <f t="shared" si="64"/>
        <v>0</v>
      </c>
      <c r="AB198">
        <f t="shared" si="64"/>
        <v>50</v>
      </c>
      <c r="AC198" s="9">
        <f t="shared" si="64"/>
        <v>0</v>
      </c>
      <c r="AD198" s="9">
        <f t="shared" si="64"/>
        <v>0</v>
      </c>
      <c r="AE198" s="8">
        <f t="shared" si="64"/>
        <v>7</v>
      </c>
      <c r="AF198" s="8">
        <f t="shared" si="64"/>
        <v>0</v>
      </c>
      <c r="AG198" s="8">
        <f t="shared" si="64"/>
        <v>0</v>
      </c>
      <c r="AH198" s="9">
        <f t="shared" si="64"/>
        <v>0</v>
      </c>
      <c r="AI198" s="8">
        <f t="shared" si="64"/>
        <v>0</v>
      </c>
      <c r="AJ198" s="8">
        <f t="shared" si="64"/>
        <v>0</v>
      </c>
      <c r="AK198" s="8">
        <f t="shared" si="64"/>
        <v>0</v>
      </c>
      <c r="AL198" s="8">
        <f t="shared" si="64"/>
        <v>0</v>
      </c>
      <c r="AM198" s="9">
        <f t="shared" si="64"/>
        <v>0</v>
      </c>
      <c r="AN198">
        <f t="shared" si="64"/>
        <v>0</v>
      </c>
      <c r="AO198" s="8">
        <f t="shared" si="64"/>
        <v>22</v>
      </c>
      <c r="AP198" s="9">
        <f t="shared" si="64"/>
        <v>0</v>
      </c>
      <c r="AQ198">
        <f t="shared" si="64"/>
        <v>0</v>
      </c>
      <c r="AR198">
        <f t="shared" si="64"/>
        <v>0</v>
      </c>
      <c r="AS198">
        <f t="shared" si="64"/>
        <v>0</v>
      </c>
    </row>
    <row r="199" spans="1:45" ht="12.75" customHeight="1" x14ac:dyDescent="0.2">
      <c r="A199" t="s">
        <v>212</v>
      </c>
      <c r="G199">
        <f>G197+12</f>
        <v>27</v>
      </c>
      <c r="H199">
        <f>H197+12</f>
        <v>56</v>
      </c>
      <c r="I199">
        <f t="shared" ref="I199:N199" si="65">I197</f>
        <v>29</v>
      </c>
      <c r="J199">
        <f t="shared" si="65"/>
        <v>7</v>
      </c>
      <c r="K199">
        <f t="shared" si="65"/>
        <v>12</v>
      </c>
      <c r="L199">
        <f t="shared" si="65"/>
        <v>30</v>
      </c>
      <c r="M199">
        <f t="shared" si="65"/>
        <v>17</v>
      </c>
      <c r="N199">
        <f t="shared" si="65"/>
        <v>32</v>
      </c>
      <c r="O199">
        <f>O197+20</f>
        <v>20</v>
      </c>
      <c r="P199">
        <f t="shared" ref="P199:AS199" si="66">P197</f>
        <v>0</v>
      </c>
      <c r="Q199">
        <f t="shared" si="66"/>
        <v>0</v>
      </c>
      <c r="R199">
        <f t="shared" si="66"/>
        <v>0</v>
      </c>
      <c r="S199">
        <f t="shared" si="66"/>
        <v>0</v>
      </c>
      <c r="T199">
        <f t="shared" si="66"/>
        <v>0</v>
      </c>
      <c r="U199">
        <f t="shared" si="66"/>
        <v>0</v>
      </c>
      <c r="V199" s="9">
        <f t="shared" si="66"/>
        <v>0</v>
      </c>
      <c r="W199" s="9">
        <f t="shared" si="66"/>
        <v>0.04</v>
      </c>
      <c r="X199" s="9">
        <f t="shared" si="66"/>
        <v>0</v>
      </c>
      <c r="Y199" s="9">
        <f t="shared" si="66"/>
        <v>0</v>
      </c>
      <c r="Z199" s="9">
        <f t="shared" si="66"/>
        <v>0</v>
      </c>
      <c r="AA199" s="9">
        <f t="shared" si="66"/>
        <v>0</v>
      </c>
      <c r="AB199">
        <f t="shared" si="66"/>
        <v>50</v>
      </c>
      <c r="AC199" s="9">
        <f t="shared" si="66"/>
        <v>0</v>
      </c>
      <c r="AD199" s="9">
        <f t="shared" si="66"/>
        <v>0</v>
      </c>
      <c r="AE199" s="8">
        <f t="shared" si="66"/>
        <v>7</v>
      </c>
      <c r="AF199" s="8">
        <f t="shared" si="66"/>
        <v>0</v>
      </c>
      <c r="AG199" s="8">
        <f t="shared" si="66"/>
        <v>0</v>
      </c>
      <c r="AH199" s="9">
        <f t="shared" si="66"/>
        <v>0</v>
      </c>
      <c r="AI199" s="8">
        <f t="shared" si="66"/>
        <v>0</v>
      </c>
      <c r="AJ199" s="8">
        <f t="shared" si="66"/>
        <v>0</v>
      </c>
      <c r="AK199" s="8">
        <f t="shared" si="66"/>
        <v>0</v>
      </c>
      <c r="AL199" s="8">
        <f t="shared" si="66"/>
        <v>0</v>
      </c>
      <c r="AM199" s="9">
        <f t="shared" si="66"/>
        <v>0</v>
      </c>
      <c r="AN199">
        <f t="shared" si="66"/>
        <v>0</v>
      </c>
      <c r="AO199" s="8">
        <f>AO197</f>
        <v>22</v>
      </c>
      <c r="AP199" s="9">
        <f t="shared" si="66"/>
        <v>0</v>
      </c>
      <c r="AQ199">
        <f t="shared" si="66"/>
        <v>0</v>
      </c>
      <c r="AR199">
        <f t="shared" si="66"/>
        <v>0</v>
      </c>
      <c r="AS199">
        <f t="shared" si="66"/>
        <v>0</v>
      </c>
    </row>
    <row r="200" spans="1:45" ht="12.75" customHeight="1" x14ac:dyDescent="0.2">
      <c r="A200" t="s">
        <v>540</v>
      </c>
      <c r="G200">
        <v>16</v>
      </c>
      <c r="H200">
        <v>39</v>
      </c>
      <c r="I200">
        <v>30</v>
      </c>
      <c r="J200">
        <v>8</v>
      </c>
      <c r="K200">
        <v>14</v>
      </c>
      <c r="L200">
        <v>26</v>
      </c>
      <c r="M200">
        <v>19</v>
      </c>
      <c r="N200">
        <v>12</v>
      </c>
      <c r="T200" s="3"/>
      <c r="U200" s="3"/>
      <c r="V200" s="9"/>
      <c r="W200" s="9">
        <v>0.02</v>
      </c>
      <c r="X200" s="9"/>
      <c r="Y200" s="9"/>
      <c r="Z200" s="9"/>
      <c r="AA200" s="9"/>
      <c r="AB200">
        <v>50</v>
      </c>
      <c r="AC200" s="9"/>
      <c r="AD200" s="9"/>
      <c r="AE200" s="8"/>
      <c r="AF200" s="8"/>
      <c r="AG200" s="8"/>
      <c r="AH200" s="9"/>
      <c r="AI200" s="8"/>
      <c r="AJ200" s="8"/>
      <c r="AK200" s="8"/>
      <c r="AL200" s="8"/>
      <c r="AM200" s="9"/>
      <c r="AO200" s="8">
        <v>20</v>
      </c>
      <c r="AP200" s="9"/>
    </row>
    <row r="201" spans="1:45" s="30" customFormat="1" ht="12.75" customHeight="1" x14ac:dyDescent="0.2">
      <c r="A201" s="30" t="s">
        <v>198</v>
      </c>
      <c r="G201" s="30">
        <f>G200+1</f>
        <v>17</v>
      </c>
      <c r="H201" s="30">
        <f t="shared" ref="H201:M201" si="67">H200</f>
        <v>39</v>
      </c>
      <c r="I201" s="30">
        <f t="shared" si="67"/>
        <v>30</v>
      </c>
      <c r="J201" s="30">
        <f t="shared" si="67"/>
        <v>8</v>
      </c>
      <c r="K201" s="30">
        <f t="shared" si="67"/>
        <v>14</v>
      </c>
      <c r="L201" s="30">
        <f t="shared" si="67"/>
        <v>26</v>
      </c>
      <c r="M201" s="30">
        <f t="shared" si="67"/>
        <v>19</v>
      </c>
      <c r="N201" s="30">
        <f>N200+19</f>
        <v>31</v>
      </c>
      <c r="O201" s="30">
        <f>O200+27</f>
        <v>27</v>
      </c>
      <c r="P201" s="30">
        <f t="shared" ref="P201:V202" si="68">P199</f>
        <v>0</v>
      </c>
      <c r="Q201" s="30">
        <f t="shared" si="68"/>
        <v>0</v>
      </c>
      <c r="R201" s="30">
        <f t="shared" si="68"/>
        <v>0</v>
      </c>
      <c r="S201" s="30">
        <f t="shared" si="68"/>
        <v>0</v>
      </c>
      <c r="T201" s="30">
        <f t="shared" si="68"/>
        <v>0</v>
      </c>
      <c r="U201" s="30">
        <f t="shared" si="68"/>
        <v>0</v>
      </c>
      <c r="V201" s="103">
        <f t="shared" si="68"/>
        <v>0</v>
      </c>
      <c r="W201" s="103">
        <f>W200+3%</f>
        <v>0.05</v>
      </c>
      <c r="X201" s="103">
        <f t="shared" ref="X201:AN201" si="69">X200+0%</f>
        <v>0</v>
      </c>
      <c r="Y201" s="103">
        <f t="shared" si="69"/>
        <v>0</v>
      </c>
      <c r="Z201" s="103">
        <f t="shared" si="69"/>
        <v>0</v>
      </c>
      <c r="AA201" s="103">
        <f t="shared" si="69"/>
        <v>0</v>
      </c>
      <c r="AB201" s="103">
        <f>AB200+0%</f>
        <v>50</v>
      </c>
      <c r="AC201" s="103">
        <f t="shared" si="69"/>
        <v>0</v>
      </c>
      <c r="AD201" s="103">
        <f t="shared" si="69"/>
        <v>0</v>
      </c>
      <c r="AE201" s="103">
        <f t="shared" si="69"/>
        <v>0</v>
      </c>
      <c r="AF201" s="103">
        <f t="shared" si="69"/>
        <v>0</v>
      </c>
      <c r="AG201" s="103">
        <f t="shared" si="69"/>
        <v>0</v>
      </c>
      <c r="AH201" s="103">
        <f t="shared" si="69"/>
        <v>0</v>
      </c>
      <c r="AI201" s="103">
        <f t="shared" si="69"/>
        <v>0</v>
      </c>
      <c r="AJ201" s="103">
        <f t="shared" si="69"/>
        <v>0</v>
      </c>
      <c r="AK201" s="103">
        <f t="shared" si="69"/>
        <v>0</v>
      </c>
      <c r="AL201" s="103">
        <f t="shared" si="69"/>
        <v>0</v>
      </c>
      <c r="AM201" s="103">
        <f t="shared" si="69"/>
        <v>0</v>
      </c>
      <c r="AN201" s="103">
        <f t="shared" si="69"/>
        <v>0</v>
      </c>
      <c r="AO201" s="103">
        <f>AO200</f>
        <v>20</v>
      </c>
      <c r="AP201" s="103">
        <f t="shared" ref="Y201:AS202" si="70">AP199</f>
        <v>0</v>
      </c>
      <c r="AQ201" s="30">
        <f t="shared" si="70"/>
        <v>0</v>
      </c>
      <c r="AR201" s="30">
        <f t="shared" si="70"/>
        <v>0</v>
      </c>
      <c r="AS201" s="30">
        <f t="shared" si="70"/>
        <v>0</v>
      </c>
    </row>
    <row r="202" spans="1:45" ht="12.75" customHeight="1" x14ac:dyDescent="0.2">
      <c r="A202" s="110" t="s">
        <v>880</v>
      </c>
      <c r="G202">
        <f t="shared" ref="G202:O202" si="71">G200</f>
        <v>16</v>
      </c>
      <c r="H202" s="30">
        <f t="shared" si="71"/>
        <v>39</v>
      </c>
      <c r="I202" s="30">
        <f t="shared" si="71"/>
        <v>30</v>
      </c>
      <c r="J202" s="30">
        <f t="shared" si="71"/>
        <v>8</v>
      </c>
      <c r="K202" s="30">
        <f t="shared" si="71"/>
        <v>14</v>
      </c>
      <c r="L202" s="30">
        <f t="shared" si="71"/>
        <v>26</v>
      </c>
      <c r="M202" s="30">
        <f t="shared" si="71"/>
        <v>19</v>
      </c>
      <c r="N202" s="30">
        <f t="shared" si="71"/>
        <v>12</v>
      </c>
      <c r="O202" s="30">
        <f t="shared" si="71"/>
        <v>0</v>
      </c>
      <c r="P202">
        <f t="shared" si="68"/>
        <v>0</v>
      </c>
      <c r="Q202">
        <f t="shared" si="68"/>
        <v>0</v>
      </c>
      <c r="R202">
        <f t="shared" si="68"/>
        <v>0</v>
      </c>
      <c r="S202">
        <f t="shared" si="68"/>
        <v>0</v>
      </c>
      <c r="T202">
        <f t="shared" si="68"/>
        <v>0</v>
      </c>
      <c r="U202">
        <f t="shared" si="68"/>
        <v>0</v>
      </c>
      <c r="V202" s="9">
        <f t="shared" si="68"/>
        <v>0</v>
      </c>
      <c r="W202" s="9">
        <f>W200+0%</f>
        <v>0.02</v>
      </c>
      <c r="X202" s="9">
        <f>X200+3%</f>
        <v>0.03</v>
      </c>
      <c r="Y202" s="9">
        <f t="shared" si="70"/>
        <v>0</v>
      </c>
      <c r="Z202" s="9">
        <f t="shared" si="70"/>
        <v>0</v>
      </c>
      <c r="AA202" s="9">
        <f t="shared" si="70"/>
        <v>0</v>
      </c>
      <c r="AB202">
        <f t="shared" si="70"/>
        <v>50</v>
      </c>
      <c r="AC202" s="9">
        <f t="shared" si="70"/>
        <v>0</v>
      </c>
      <c r="AD202" s="9">
        <f t="shared" si="70"/>
        <v>0</v>
      </c>
      <c r="AE202" s="8">
        <f t="shared" si="70"/>
        <v>0</v>
      </c>
      <c r="AF202" s="8">
        <f t="shared" si="70"/>
        <v>0</v>
      </c>
      <c r="AG202" s="8">
        <f t="shared" si="70"/>
        <v>0</v>
      </c>
      <c r="AH202" s="9">
        <f t="shared" si="70"/>
        <v>0</v>
      </c>
      <c r="AI202" s="8">
        <f t="shared" si="70"/>
        <v>0</v>
      </c>
      <c r="AJ202" s="8">
        <f t="shared" si="70"/>
        <v>0</v>
      </c>
      <c r="AK202" s="8">
        <f t="shared" si="70"/>
        <v>0</v>
      </c>
      <c r="AL202" s="8">
        <f t="shared" si="70"/>
        <v>0</v>
      </c>
      <c r="AM202" s="9">
        <f t="shared" si="70"/>
        <v>0</v>
      </c>
      <c r="AN202">
        <f t="shared" si="70"/>
        <v>0</v>
      </c>
      <c r="AO202" s="8">
        <f>AO200</f>
        <v>20</v>
      </c>
      <c r="AP202" s="9">
        <f t="shared" si="70"/>
        <v>0</v>
      </c>
      <c r="AQ202">
        <f t="shared" si="70"/>
        <v>0</v>
      </c>
      <c r="AR202">
        <f t="shared" si="70"/>
        <v>0</v>
      </c>
      <c r="AS202">
        <f t="shared" si="70"/>
        <v>0</v>
      </c>
    </row>
    <row r="203" spans="1:45" ht="12.75" customHeight="1" x14ac:dyDescent="0.2">
      <c r="A203" t="s">
        <v>541</v>
      </c>
      <c r="G203">
        <f t="shared" ref="G203:M203" si="72">G200</f>
        <v>16</v>
      </c>
      <c r="H203">
        <f t="shared" si="72"/>
        <v>39</v>
      </c>
      <c r="I203">
        <f t="shared" si="72"/>
        <v>30</v>
      </c>
      <c r="J203">
        <f t="shared" si="72"/>
        <v>8</v>
      </c>
      <c r="K203">
        <f t="shared" si="72"/>
        <v>14</v>
      </c>
      <c r="L203">
        <f t="shared" si="72"/>
        <v>26</v>
      </c>
      <c r="M203">
        <f t="shared" si="72"/>
        <v>19</v>
      </c>
      <c r="N203">
        <f>N200+15</f>
        <v>27</v>
      </c>
      <c r="O203">
        <f>O200+15</f>
        <v>15</v>
      </c>
      <c r="P203">
        <f t="shared" ref="P203:AD203" si="73">P200</f>
        <v>0</v>
      </c>
      <c r="Q203">
        <f t="shared" si="73"/>
        <v>0</v>
      </c>
      <c r="R203">
        <f t="shared" si="73"/>
        <v>0</v>
      </c>
      <c r="S203">
        <f t="shared" si="73"/>
        <v>0</v>
      </c>
      <c r="T203">
        <f t="shared" si="73"/>
        <v>0</v>
      </c>
      <c r="U203">
        <f t="shared" si="73"/>
        <v>0</v>
      </c>
      <c r="V203" s="9">
        <f t="shared" si="73"/>
        <v>0</v>
      </c>
      <c r="W203" s="9">
        <f t="shared" si="73"/>
        <v>0.02</v>
      </c>
      <c r="X203" s="9">
        <f t="shared" si="73"/>
        <v>0</v>
      </c>
      <c r="Y203" s="9">
        <f t="shared" si="73"/>
        <v>0</v>
      </c>
      <c r="Z203" s="9">
        <f t="shared" si="73"/>
        <v>0</v>
      </c>
      <c r="AA203" s="9">
        <f t="shared" si="73"/>
        <v>0</v>
      </c>
      <c r="AB203">
        <f t="shared" si="73"/>
        <v>50</v>
      </c>
      <c r="AC203" s="9">
        <f t="shared" si="73"/>
        <v>0</v>
      </c>
      <c r="AD203" s="9">
        <f t="shared" si="73"/>
        <v>0</v>
      </c>
      <c r="AE203" s="8">
        <f>AE200+6</f>
        <v>6</v>
      </c>
      <c r="AF203" s="8">
        <f t="shared" ref="AF203:AS203" si="74">AF200</f>
        <v>0</v>
      </c>
      <c r="AG203" s="8">
        <f t="shared" si="74"/>
        <v>0</v>
      </c>
      <c r="AH203" s="9">
        <f t="shared" si="74"/>
        <v>0</v>
      </c>
      <c r="AI203" s="8">
        <f t="shared" si="74"/>
        <v>0</v>
      </c>
      <c r="AJ203" s="8">
        <f t="shared" si="74"/>
        <v>0</v>
      </c>
      <c r="AK203" s="8">
        <f t="shared" si="74"/>
        <v>0</v>
      </c>
      <c r="AL203" s="8">
        <f t="shared" si="74"/>
        <v>0</v>
      </c>
      <c r="AM203" s="9">
        <f t="shared" si="74"/>
        <v>0</v>
      </c>
      <c r="AN203">
        <f t="shared" si="74"/>
        <v>0</v>
      </c>
      <c r="AO203" s="8">
        <f t="shared" si="74"/>
        <v>20</v>
      </c>
      <c r="AP203" s="9">
        <f t="shared" si="74"/>
        <v>0</v>
      </c>
      <c r="AQ203">
        <f t="shared" si="74"/>
        <v>0</v>
      </c>
      <c r="AR203">
        <f t="shared" si="74"/>
        <v>0</v>
      </c>
      <c r="AS203">
        <f t="shared" si="74"/>
        <v>0</v>
      </c>
    </row>
    <row r="204" spans="1:45" ht="12.75" customHeight="1" x14ac:dyDescent="0.2">
      <c r="A204" t="s">
        <v>542</v>
      </c>
      <c r="G204">
        <f t="shared" ref="G204:M204" si="75">G200</f>
        <v>16</v>
      </c>
      <c r="H204">
        <f t="shared" si="75"/>
        <v>39</v>
      </c>
      <c r="I204">
        <f t="shared" si="75"/>
        <v>30</v>
      </c>
      <c r="J204">
        <f t="shared" si="75"/>
        <v>8</v>
      </c>
      <c r="K204">
        <f t="shared" si="75"/>
        <v>14</v>
      </c>
      <c r="L204">
        <f t="shared" si="75"/>
        <v>26</v>
      </c>
      <c r="M204">
        <f t="shared" si="75"/>
        <v>19</v>
      </c>
      <c r="N204">
        <f>N200+15</f>
        <v>27</v>
      </c>
      <c r="O204">
        <f>O200+15</f>
        <v>15</v>
      </c>
      <c r="P204">
        <f t="shared" ref="P204:AG204" si="76">P200</f>
        <v>0</v>
      </c>
      <c r="Q204">
        <f t="shared" si="76"/>
        <v>0</v>
      </c>
      <c r="R204">
        <f t="shared" si="76"/>
        <v>0</v>
      </c>
      <c r="S204">
        <f t="shared" si="76"/>
        <v>0</v>
      </c>
      <c r="T204">
        <f t="shared" si="76"/>
        <v>0</v>
      </c>
      <c r="U204">
        <f t="shared" si="76"/>
        <v>0</v>
      </c>
      <c r="V204" s="9">
        <f t="shared" si="76"/>
        <v>0</v>
      </c>
      <c r="W204" s="9">
        <f t="shared" si="76"/>
        <v>0.02</v>
      </c>
      <c r="X204" s="9">
        <f t="shared" si="76"/>
        <v>0</v>
      </c>
      <c r="Y204" s="9">
        <f t="shared" si="76"/>
        <v>0</v>
      </c>
      <c r="Z204" s="9">
        <f t="shared" si="76"/>
        <v>0</v>
      </c>
      <c r="AA204" s="9">
        <f t="shared" si="76"/>
        <v>0</v>
      </c>
      <c r="AB204">
        <f t="shared" si="76"/>
        <v>50</v>
      </c>
      <c r="AC204" s="9">
        <f t="shared" si="76"/>
        <v>0</v>
      </c>
      <c r="AD204" s="9">
        <f t="shared" si="76"/>
        <v>0</v>
      </c>
      <c r="AE204" s="8">
        <f t="shared" si="76"/>
        <v>0</v>
      </c>
      <c r="AF204" s="8">
        <f t="shared" si="76"/>
        <v>0</v>
      </c>
      <c r="AG204" s="8">
        <f t="shared" si="76"/>
        <v>0</v>
      </c>
      <c r="AH204" s="9">
        <f>AH200+5%</f>
        <v>0.05</v>
      </c>
      <c r="AI204" s="8">
        <f t="shared" ref="AI204:AS204" si="77">AI200</f>
        <v>0</v>
      </c>
      <c r="AJ204" s="8">
        <f t="shared" si="77"/>
        <v>0</v>
      </c>
      <c r="AK204" s="8">
        <f t="shared" si="77"/>
        <v>0</v>
      </c>
      <c r="AL204" s="8">
        <f t="shared" si="77"/>
        <v>0</v>
      </c>
      <c r="AM204" s="9">
        <f t="shared" si="77"/>
        <v>0</v>
      </c>
      <c r="AN204">
        <f t="shared" si="77"/>
        <v>0</v>
      </c>
      <c r="AO204" s="8">
        <f t="shared" si="77"/>
        <v>20</v>
      </c>
      <c r="AP204" s="9">
        <f t="shared" si="77"/>
        <v>0</v>
      </c>
      <c r="AQ204">
        <f t="shared" si="77"/>
        <v>0</v>
      </c>
      <c r="AR204">
        <f t="shared" si="77"/>
        <v>0</v>
      </c>
      <c r="AS204">
        <f t="shared" si="77"/>
        <v>0</v>
      </c>
    </row>
    <row r="205" spans="1:45" ht="12.75" customHeight="1" x14ac:dyDescent="0.2">
      <c r="T205" s="3"/>
      <c r="U205" s="3"/>
      <c r="V205" s="9"/>
      <c r="W205" s="9"/>
      <c r="X205" s="9"/>
      <c r="Y205" s="9"/>
      <c r="Z205" s="9"/>
      <c r="AA205" s="9"/>
      <c r="AC205" s="9"/>
      <c r="AD205" s="9"/>
      <c r="AE205" s="8"/>
      <c r="AF205" s="8"/>
      <c r="AG205" s="8"/>
      <c r="AH205" s="9"/>
      <c r="AI205" s="8"/>
      <c r="AJ205" s="8"/>
      <c r="AK205" s="8"/>
      <c r="AL205" s="8"/>
      <c r="AM205" s="9"/>
      <c r="AO205" s="8"/>
      <c r="AP205" s="9"/>
    </row>
    <row r="206" spans="1:45" ht="12.75" customHeight="1" x14ac:dyDescent="0.2">
      <c r="T206" s="3"/>
      <c r="U206" s="3"/>
      <c r="V206" s="9"/>
      <c r="W206" s="9"/>
      <c r="X206" s="9"/>
      <c r="Y206" s="9"/>
      <c r="Z206" s="9"/>
      <c r="AA206" s="9"/>
      <c r="AC206" s="9"/>
      <c r="AD206" s="9"/>
      <c r="AE206" s="8"/>
      <c r="AF206" s="8"/>
      <c r="AG206" s="8"/>
      <c r="AH206" s="9"/>
      <c r="AI206" s="8"/>
      <c r="AJ206" s="8"/>
      <c r="AK206" s="8"/>
      <c r="AL206" s="8"/>
      <c r="AM206" s="9"/>
      <c r="AO206" s="8"/>
      <c r="AP206" s="9"/>
    </row>
    <row r="207" spans="1:45" ht="12.75" customHeight="1" x14ac:dyDescent="0.2">
      <c r="A207" t="s">
        <v>590</v>
      </c>
      <c r="B207" t="s">
        <v>477</v>
      </c>
      <c r="C207" t="s">
        <v>478</v>
      </c>
      <c r="D207" t="s">
        <v>479</v>
      </c>
      <c r="E207" t="s">
        <v>480</v>
      </c>
      <c r="F207" s="3" t="s">
        <v>481</v>
      </c>
      <c r="G207" t="s">
        <v>30</v>
      </c>
      <c r="H207" t="s">
        <v>33</v>
      </c>
      <c r="I207" t="s">
        <v>29</v>
      </c>
      <c r="J207" t="s">
        <v>32</v>
      </c>
      <c r="K207" t="s">
        <v>153</v>
      </c>
      <c r="L207" t="s">
        <v>154</v>
      </c>
      <c r="M207" t="s">
        <v>482</v>
      </c>
      <c r="N207" t="s">
        <v>120</v>
      </c>
      <c r="O207" t="s">
        <v>156</v>
      </c>
      <c r="P207" t="s">
        <v>157</v>
      </c>
      <c r="Q207" t="s">
        <v>483</v>
      </c>
      <c r="R207" t="s">
        <v>484</v>
      </c>
      <c r="S207" t="s">
        <v>485</v>
      </c>
      <c r="T207" s="3" t="s">
        <v>486</v>
      </c>
      <c r="U207" s="3" t="s">
        <v>487</v>
      </c>
      <c r="V207" s="9" t="s">
        <v>158</v>
      </c>
      <c r="W207" s="9" t="s">
        <v>159</v>
      </c>
      <c r="X207" s="9" t="s">
        <v>160</v>
      </c>
      <c r="Y207" s="9" t="s">
        <v>488</v>
      </c>
      <c r="Z207" s="9" t="s">
        <v>161</v>
      </c>
      <c r="AA207" s="9" t="s">
        <v>165</v>
      </c>
      <c r="AB207" t="s">
        <v>164</v>
      </c>
      <c r="AC207" s="9" t="s">
        <v>162</v>
      </c>
      <c r="AD207" s="9" t="s">
        <v>163</v>
      </c>
      <c r="AE207" s="8" t="s">
        <v>166</v>
      </c>
      <c r="AF207" s="8" t="s">
        <v>130</v>
      </c>
      <c r="AG207" s="8" t="s">
        <v>205</v>
      </c>
      <c r="AH207" s="9" t="s">
        <v>207</v>
      </c>
      <c r="AI207" s="8" t="s">
        <v>208</v>
      </c>
      <c r="AJ207" s="8" t="s">
        <v>489</v>
      </c>
      <c r="AK207" s="8" t="s">
        <v>135</v>
      </c>
      <c r="AL207" s="8" t="s">
        <v>206</v>
      </c>
      <c r="AM207" s="9" t="s">
        <v>490</v>
      </c>
      <c r="AO207" s="8" t="s">
        <v>37</v>
      </c>
      <c r="AP207" s="9" t="s">
        <v>155</v>
      </c>
    </row>
    <row r="208" spans="1:45" ht="12.75" customHeight="1" x14ac:dyDescent="0.2">
      <c r="A208" s="3" t="s">
        <v>591</v>
      </c>
      <c r="J208">
        <v>5</v>
      </c>
      <c r="S208">
        <v>3</v>
      </c>
      <c r="T208" s="3">
        <v>3</v>
      </c>
      <c r="U208" s="3"/>
      <c r="V208" s="9"/>
      <c r="W208" s="9"/>
      <c r="X208" s="9"/>
      <c r="Y208" s="9"/>
      <c r="Z208" s="9"/>
      <c r="AA208" s="9"/>
      <c r="AB208" s="3"/>
      <c r="AC208" s="9"/>
      <c r="AD208" s="9"/>
      <c r="AE208" s="8"/>
      <c r="AF208" s="8"/>
      <c r="AG208" s="8"/>
      <c r="AH208" s="9"/>
      <c r="AI208" s="8"/>
      <c r="AJ208" s="8"/>
      <c r="AK208" s="8"/>
      <c r="AL208" s="8"/>
      <c r="AM208" s="9"/>
      <c r="AO208" s="8"/>
      <c r="AP208" s="9"/>
    </row>
    <row r="209" spans="1:64" ht="12.75" customHeight="1" x14ac:dyDescent="0.2">
      <c r="A209" t="s">
        <v>592</v>
      </c>
      <c r="N209">
        <v>6</v>
      </c>
      <c r="T209" s="3"/>
      <c r="U209" s="3"/>
      <c r="V209" s="9"/>
      <c r="W209" s="9"/>
      <c r="X209" s="9"/>
      <c r="Y209" s="9"/>
      <c r="Z209" s="9"/>
      <c r="AA209" s="9"/>
      <c r="AB209" s="3"/>
      <c r="AC209" s="9"/>
      <c r="AD209" s="9"/>
      <c r="AE209" s="8"/>
      <c r="AF209" s="8"/>
      <c r="AG209" s="8"/>
      <c r="AH209" s="9"/>
      <c r="AI209" s="8"/>
      <c r="AJ209" s="8"/>
      <c r="AK209" s="8"/>
      <c r="AL209" s="8"/>
      <c r="AM209" s="9"/>
      <c r="AO209" s="8"/>
      <c r="AP209" s="9"/>
    </row>
    <row r="210" spans="1:64" ht="12.75" customHeight="1" x14ac:dyDescent="0.2">
      <c r="A210" t="s">
        <v>593</v>
      </c>
      <c r="N210">
        <v>6</v>
      </c>
      <c r="T210" s="3"/>
      <c r="U210" s="3"/>
      <c r="V210" s="9"/>
      <c r="W210" s="9"/>
      <c r="X210" s="9"/>
      <c r="Y210" s="9"/>
      <c r="Z210" s="9"/>
      <c r="AA210" s="9"/>
      <c r="AB210" s="3"/>
      <c r="AC210" s="9"/>
      <c r="AD210" s="9"/>
      <c r="AE210" s="8"/>
      <c r="AF210" s="8"/>
      <c r="AG210" s="8"/>
      <c r="AH210" s="9"/>
      <c r="AI210" s="8"/>
      <c r="AJ210" s="8"/>
      <c r="AK210" s="8"/>
      <c r="AL210" s="8"/>
      <c r="AM210" s="9"/>
      <c r="AN210" s="9"/>
      <c r="AO210" s="8">
        <v>50</v>
      </c>
      <c r="AP210" s="9"/>
    </row>
    <row r="211" spans="1:64" ht="12.75" customHeight="1" x14ac:dyDescent="0.2">
      <c r="A211" t="s">
        <v>594</v>
      </c>
      <c r="G211">
        <v>6</v>
      </c>
      <c r="N211">
        <v>3</v>
      </c>
      <c r="T211" s="3"/>
      <c r="U211" s="3"/>
      <c r="V211" s="9"/>
      <c r="W211" s="9"/>
      <c r="X211" s="9"/>
      <c r="Y211" s="9"/>
      <c r="Z211" s="9"/>
      <c r="AA211" s="9"/>
      <c r="AB211" s="3"/>
      <c r="AC211" s="9"/>
      <c r="AD211" s="9"/>
      <c r="AE211" s="8"/>
      <c r="AF211" s="8"/>
      <c r="AG211" s="8"/>
      <c r="AH211" s="9"/>
      <c r="AI211" s="8"/>
      <c r="AJ211" s="8"/>
      <c r="AK211" s="8"/>
      <c r="AL211" s="8"/>
      <c r="AM211" s="9"/>
      <c r="AN211" s="9"/>
      <c r="AO211" s="8"/>
      <c r="AP211" s="9"/>
    </row>
    <row r="212" spans="1:64" s="116" customFormat="1" ht="12.75" x14ac:dyDescent="0.2">
      <c r="A212" s="121" t="s">
        <v>886</v>
      </c>
      <c r="H212" s="116">
        <v>10</v>
      </c>
      <c r="J212" s="116">
        <v>10</v>
      </c>
      <c r="N212" s="116">
        <v>11</v>
      </c>
      <c r="Q212" s="116">
        <v>16</v>
      </c>
      <c r="V212" s="117"/>
      <c r="W212" s="117"/>
      <c r="X212" s="117"/>
      <c r="Y212" s="117"/>
      <c r="Z212" s="117"/>
      <c r="AC212" s="117"/>
      <c r="AD212" s="117"/>
      <c r="AF212" s="117"/>
      <c r="AG212" s="117"/>
      <c r="AH212" s="117"/>
      <c r="AL212" s="117"/>
      <c r="AM212" s="117"/>
    </row>
    <row r="213" spans="1:64" ht="12.75" customHeight="1" x14ac:dyDescent="0.2">
      <c r="A213" s="3" t="s">
        <v>595</v>
      </c>
      <c r="M213">
        <v>9</v>
      </c>
      <c r="T213" s="3"/>
      <c r="U213" s="3"/>
      <c r="V213" s="9"/>
      <c r="W213" s="9"/>
      <c r="X213" s="9"/>
      <c r="Y213" s="9"/>
      <c r="Z213" s="9"/>
      <c r="AA213" s="9"/>
      <c r="AB213" s="3"/>
      <c r="AC213" s="9"/>
      <c r="AD213" s="9"/>
      <c r="AE213" s="8"/>
      <c r="AF213" s="8"/>
      <c r="AG213" s="8"/>
      <c r="AH213" s="9"/>
      <c r="AI213" s="8"/>
      <c r="AJ213" s="8"/>
      <c r="AK213" s="8"/>
      <c r="AL213" s="8"/>
      <c r="AM213" s="9"/>
      <c r="AO213" s="8"/>
      <c r="AP213" s="9"/>
    </row>
    <row r="214" spans="1:64" ht="12.75" customHeight="1" x14ac:dyDescent="0.2">
      <c r="A214" s="3" t="s">
        <v>596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>
        <v>14</v>
      </c>
      <c r="P214" s="3"/>
      <c r="Q214" s="3"/>
      <c r="R214" s="3"/>
      <c r="S214" s="3"/>
      <c r="T214" s="3"/>
      <c r="U214" s="3"/>
      <c r="V214" s="9"/>
      <c r="W214" s="9"/>
      <c r="X214" s="9"/>
      <c r="Y214" s="9"/>
      <c r="Z214" s="9"/>
      <c r="AA214" s="9"/>
      <c r="AB214" s="3"/>
      <c r="AC214" s="9"/>
      <c r="AD214" s="9"/>
      <c r="AE214" s="8"/>
      <c r="AF214" s="8"/>
      <c r="AG214" s="8"/>
      <c r="AH214" s="9"/>
      <c r="AI214" s="8"/>
      <c r="AJ214" s="8"/>
      <c r="AK214" s="8"/>
      <c r="AL214" s="8"/>
      <c r="AM214" s="9"/>
      <c r="AN214" s="3"/>
      <c r="AO214" s="8"/>
      <c r="AP214" s="9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</row>
    <row r="215" spans="1:64" ht="12.75" customHeight="1" x14ac:dyDescent="0.2">
      <c r="A215" s="3" t="s">
        <v>597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9"/>
      <c r="W215" s="9"/>
      <c r="X215" s="9"/>
      <c r="Y215" s="9"/>
      <c r="Z215" s="9"/>
      <c r="AA215" s="9"/>
      <c r="AB215" s="3"/>
      <c r="AC215" s="9"/>
      <c r="AD215" s="9"/>
      <c r="AE215" s="8"/>
      <c r="AF215" s="8"/>
      <c r="AG215" s="8"/>
      <c r="AH215" s="9"/>
      <c r="AI215" s="8"/>
      <c r="AJ215" s="8"/>
      <c r="AK215" s="8"/>
      <c r="AL215" s="8"/>
      <c r="AM215" s="9"/>
      <c r="AN215" s="3"/>
      <c r="AO215" s="8"/>
      <c r="AP215" s="9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</row>
    <row r="216" spans="1:64" ht="12.75" customHeight="1" x14ac:dyDescent="0.2">
      <c r="A216" t="s">
        <v>598</v>
      </c>
      <c r="N216">
        <v>4</v>
      </c>
      <c r="T216" s="3"/>
      <c r="U216" s="3"/>
      <c r="V216" s="9"/>
      <c r="W216" s="9"/>
      <c r="X216" s="9"/>
      <c r="Y216" s="9"/>
      <c r="Z216" s="9"/>
      <c r="AA216" s="9"/>
      <c r="AB216" s="3"/>
      <c r="AC216" s="9"/>
      <c r="AD216" s="9"/>
      <c r="AE216" s="8">
        <v>1</v>
      </c>
      <c r="AF216" s="8"/>
      <c r="AG216" s="8"/>
      <c r="AH216" s="9"/>
      <c r="AI216" s="8"/>
      <c r="AJ216" s="8"/>
      <c r="AK216" s="8"/>
      <c r="AL216" s="8"/>
      <c r="AM216" s="9"/>
      <c r="AN216" s="9"/>
      <c r="AO216" s="8"/>
      <c r="AP216" s="9"/>
    </row>
    <row r="217" spans="1:64" ht="12.75" customHeight="1" x14ac:dyDescent="0.2">
      <c r="A217" s="3" t="s">
        <v>599</v>
      </c>
      <c r="B217" s="3"/>
      <c r="C217" s="3"/>
      <c r="D217" s="3"/>
      <c r="E217" s="3"/>
      <c r="F217" s="3"/>
      <c r="G217" s="3"/>
      <c r="H217" s="3">
        <v>2</v>
      </c>
      <c r="I217" s="3"/>
      <c r="J217" s="3"/>
      <c r="K217" s="3"/>
      <c r="L217" s="3"/>
      <c r="M217" s="3"/>
      <c r="N217" s="3">
        <v>7</v>
      </c>
      <c r="O217" s="3"/>
      <c r="P217" s="3"/>
      <c r="Q217" s="3"/>
      <c r="R217" s="3"/>
      <c r="S217" s="3"/>
      <c r="T217" s="3"/>
      <c r="U217" s="3"/>
      <c r="V217" s="9"/>
      <c r="W217" s="9"/>
      <c r="X217" s="9"/>
      <c r="Y217" s="9"/>
      <c r="Z217" s="9"/>
      <c r="AA217" s="9"/>
      <c r="AB217" s="3"/>
      <c r="AC217" s="9"/>
      <c r="AD217" s="9"/>
      <c r="AE217" s="8"/>
      <c r="AF217" s="8"/>
      <c r="AG217" s="8"/>
      <c r="AH217" s="9"/>
      <c r="AI217" s="8"/>
      <c r="AJ217" s="8"/>
      <c r="AK217" s="8"/>
      <c r="AL217" s="8"/>
      <c r="AM217" s="9"/>
      <c r="AN217" s="3"/>
      <c r="AO217" s="8"/>
      <c r="AP217" s="9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</row>
    <row r="218" spans="1:64" ht="12.75" customHeight="1" x14ac:dyDescent="0.2">
      <c r="A218" s="3" t="s">
        <v>216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9"/>
      <c r="W218" s="9"/>
      <c r="X218" s="9"/>
      <c r="Y218" s="9"/>
      <c r="Z218" s="9"/>
      <c r="AA218" s="9"/>
      <c r="AB218" s="3"/>
      <c r="AC218" s="9"/>
      <c r="AD218" s="9"/>
      <c r="AE218" s="8">
        <v>-10</v>
      </c>
      <c r="AF218" s="8"/>
      <c r="AG218" s="8"/>
      <c r="AH218" s="9">
        <v>0.05</v>
      </c>
      <c r="AI218" s="8"/>
      <c r="AJ218" s="8"/>
      <c r="AK218" s="8"/>
      <c r="AL218" s="8"/>
      <c r="AM218" s="9"/>
      <c r="AN218" s="3"/>
      <c r="AO218" s="8"/>
      <c r="AP218" s="9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</row>
    <row r="219" spans="1:64" ht="12.75" customHeight="1" x14ac:dyDescent="0.2">
      <c r="A219" t="s">
        <v>600</v>
      </c>
      <c r="T219" s="3"/>
      <c r="U219" s="3"/>
      <c r="V219" s="9">
        <v>0.03</v>
      </c>
      <c r="W219" s="9">
        <v>0.03</v>
      </c>
      <c r="X219" s="9"/>
      <c r="Y219" s="9"/>
      <c r="Z219" s="9"/>
      <c r="AA219" s="9"/>
      <c r="AB219" s="3"/>
      <c r="AC219" s="9"/>
      <c r="AD219" s="9"/>
      <c r="AE219" s="8"/>
      <c r="AF219" s="8"/>
      <c r="AG219" s="8"/>
      <c r="AH219" s="9"/>
      <c r="AI219" s="8"/>
      <c r="AJ219" s="8"/>
      <c r="AK219" s="8"/>
      <c r="AL219" s="8"/>
      <c r="AM219" s="9"/>
      <c r="AN219" s="9"/>
      <c r="AO219" s="8"/>
      <c r="AP219" s="9"/>
    </row>
    <row r="220" spans="1:64" ht="12.75" customHeight="1" x14ac:dyDescent="0.2">
      <c r="A220" t="s">
        <v>601</v>
      </c>
      <c r="O220">
        <v>8</v>
      </c>
      <c r="T220" s="3"/>
      <c r="U220" s="3"/>
      <c r="V220" s="9"/>
      <c r="W220" s="9"/>
      <c r="X220" s="9"/>
      <c r="Y220" s="9"/>
      <c r="Z220" s="9"/>
      <c r="AA220" s="9"/>
      <c r="AB220" s="3"/>
      <c r="AC220" s="9"/>
      <c r="AD220" s="9"/>
      <c r="AE220" s="8"/>
      <c r="AF220" s="8"/>
      <c r="AG220" s="8"/>
      <c r="AH220" s="9"/>
      <c r="AI220" s="8"/>
      <c r="AJ220" s="8"/>
      <c r="AK220" s="8"/>
      <c r="AL220" s="8"/>
      <c r="AM220" s="9"/>
      <c r="AN220" s="9"/>
      <c r="AO220" s="8"/>
      <c r="AP220" s="9"/>
    </row>
    <row r="221" spans="1:64" ht="12.75" customHeight="1" x14ac:dyDescent="0.2">
      <c r="A221" s="3" t="s">
        <v>602</v>
      </c>
      <c r="S221">
        <v>3</v>
      </c>
      <c r="T221" s="3">
        <v>3</v>
      </c>
      <c r="U221" s="3">
        <v>5</v>
      </c>
      <c r="V221" s="9"/>
      <c r="W221" s="9"/>
      <c r="X221" s="9"/>
      <c r="Y221" s="9"/>
      <c r="Z221" s="9"/>
      <c r="AA221" s="9"/>
      <c r="AB221" s="3"/>
      <c r="AC221" s="9"/>
      <c r="AD221" s="9"/>
      <c r="AE221" s="8"/>
      <c r="AF221" s="8"/>
      <c r="AG221" s="8"/>
      <c r="AH221" s="9"/>
      <c r="AI221" s="8"/>
      <c r="AJ221" s="8"/>
      <c r="AK221" s="8"/>
      <c r="AL221" s="8"/>
      <c r="AM221" s="9"/>
      <c r="AO221" s="8"/>
      <c r="AP221" s="9"/>
    </row>
    <row r="222" spans="1:64" ht="12.75" customHeight="1" x14ac:dyDescent="0.2">
      <c r="A222" t="s">
        <v>603</v>
      </c>
      <c r="G222">
        <v>5</v>
      </c>
      <c r="T222" s="3"/>
      <c r="U222" s="3"/>
      <c r="V222" s="9"/>
      <c r="W222" s="9"/>
      <c r="X222" s="9"/>
      <c r="Y222" s="9"/>
      <c r="Z222" s="9"/>
      <c r="AA222" s="9"/>
      <c r="AB222" s="3"/>
      <c r="AC222" s="9"/>
      <c r="AD222" s="9"/>
      <c r="AE222" s="8"/>
      <c r="AF222" s="8"/>
      <c r="AG222" s="8"/>
      <c r="AH222" s="9"/>
      <c r="AI222" s="8"/>
      <c r="AJ222" s="8"/>
      <c r="AK222" s="8"/>
      <c r="AL222" s="8"/>
      <c r="AM222" s="9"/>
      <c r="AN222" s="9"/>
      <c r="AO222" s="8"/>
      <c r="AP222" s="9"/>
    </row>
    <row r="223" spans="1:64" ht="12.75" customHeight="1" x14ac:dyDescent="0.2">
      <c r="A223" s="3" t="s">
        <v>604</v>
      </c>
      <c r="J223">
        <v>9</v>
      </c>
      <c r="T223" s="3"/>
      <c r="U223" s="3"/>
      <c r="V223" s="9"/>
      <c r="W223" s="9"/>
      <c r="X223" s="9"/>
      <c r="Y223" s="9"/>
      <c r="Z223" s="9"/>
      <c r="AA223" s="9"/>
      <c r="AB223" s="3"/>
      <c r="AC223" s="9"/>
      <c r="AD223" s="9"/>
      <c r="AE223" s="8"/>
      <c r="AF223" s="8"/>
      <c r="AG223" s="8"/>
      <c r="AH223" s="9"/>
      <c r="AI223" s="8"/>
      <c r="AJ223" s="8"/>
      <c r="AK223" s="8"/>
      <c r="AL223" s="8"/>
      <c r="AM223" s="9"/>
      <c r="AO223" s="8"/>
      <c r="AP223" s="9"/>
    </row>
    <row r="224" spans="1:64" ht="12.75" customHeight="1" x14ac:dyDescent="0.2">
      <c r="A224" t="s">
        <v>605</v>
      </c>
      <c r="G224">
        <v>-4</v>
      </c>
      <c r="H224">
        <v>-4</v>
      </c>
      <c r="T224" s="3"/>
      <c r="U224" s="3"/>
      <c r="V224" s="9"/>
      <c r="W224" s="9"/>
      <c r="X224" s="9"/>
      <c r="Y224" s="9"/>
      <c r="Z224" s="9"/>
      <c r="AA224" s="9"/>
      <c r="AB224" s="3"/>
      <c r="AC224" s="9"/>
      <c r="AD224" s="9"/>
      <c r="AE224" s="8">
        <v>4</v>
      </c>
      <c r="AF224" s="8"/>
      <c r="AG224" s="8"/>
      <c r="AH224" s="9"/>
      <c r="AI224" s="8"/>
      <c r="AJ224" s="8"/>
      <c r="AK224" s="8"/>
      <c r="AL224" s="8"/>
      <c r="AM224" s="9"/>
      <c r="AN224" s="9"/>
      <c r="AO224" s="8"/>
      <c r="AP224" s="9"/>
    </row>
    <row r="225" spans="1:42" ht="12.75" customHeight="1" x14ac:dyDescent="0.2">
      <c r="A225" t="s">
        <v>606</v>
      </c>
      <c r="G225">
        <v>-3</v>
      </c>
      <c r="K225">
        <v>7</v>
      </c>
      <c r="T225" s="3"/>
      <c r="U225" s="3"/>
      <c r="V225" s="9"/>
      <c r="W225" s="9"/>
      <c r="X225" s="9"/>
      <c r="Y225" s="9"/>
      <c r="Z225" s="9"/>
      <c r="AA225" s="9"/>
      <c r="AB225" s="3"/>
      <c r="AC225" s="9"/>
      <c r="AD225" s="9"/>
      <c r="AE225" s="8"/>
      <c r="AF225" s="8"/>
      <c r="AG225" s="8"/>
      <c r="AH225" s="9"/>
      <c r="AI225" s="8"/>
      <c r="AJ225" s="8"/>
      <c r="AK225" s="8"/>
      <c r="AL225" s="8"/>
      <c r="AM225" s="9"/>
      <c r="AN225" s="9"/>
      <c r="AO225" s="8"/>
      <c r="AP225" s="9"/>
    </row>
    <row r="226" spans="1:42" ht="12.75" customHeight="1" x14ac:dyDescent="0.2">
      <c r="A226" s="3" t="s">
        <v>607</v>
      </c>
      <c r="G226">
        <v>9</v>
      </c>
      <c r="O226">
        <v>5</v>
      </c>
      <c r="T226" s="3"/>
      <c r="U226" s="3"/>
      <c r="V226" s="9"/>
      <c r="W226" s="9"/>
      <c r="X226" s="9"/>
      <c r="Y226" s="9"/>
      <c r="Z226" s="9"/>
      <c r="AA226" s="9"/>
      <c r="AB226" s="3"/>
      <c r="AC226" s="9"/>
      <c r="AD226" s="9"/>
      <c r="AE226" s="8"/>
      <c r="AF226" s="8"/>
      <c r="AG226" s="8"/>
      <c r="AH226" s="9"/>
      <c r="AI226" s="8"/>
      <c r="AJ226" s="8"/>
      <c r="AK226" s="8"/>
      <c r="AL226" s="8"/>
      <c r="AM226" s="9"/>
      <c r="AO226" s="8"/>
      <c r="AP226" s="9"/>
    </row>
    <row r="227" spans="1:42" ht="12.75" customHeight="1" x14ac:dyDescent="0.2">
      <c r="A227" s="3" t="s">
        <v>608</v>
      </c>
      <c r="H227">
        <v>10</v>
      </c>
      <c r="J227">
        <v>10</v>
      </c>
      <c r="O227">
        <v>25</v>
      </c>
      <c r="T227" s="3"/>
      <c r="U227" s="3"/>
      <c r="V227" s="9"/>
      <c r="W227" s="9"/>
      <c r="X227" s="9"/>
      <c r="Y227" s="9"/>
      <c r="Z227" s="9"/>
      <c r="AA227" s="9"/>
      <c r="AB227" s="3"/>
      <c r="AC227" s="9"/>
      <c r="AD227" s="9"/>
      <c r="AE227" s="8">
        <v>5</v>
      </c>
      <c r="AF227" s="8"/>
      <c r="AG227" s="8"/>
      <c r="AH227" s="9"/>
      <c r="AI227" s="8"/>
      <c r="AJ227" s="8"/>
      <c r="AK227" s="8"/>
      <c r="AL227" s="8"/>
      <c r="AM227" s="9"/>
      <c r="AO227" s="8">
        <v>0.6</v>
      </c>
      <c r="AP227" s="9"/>
    </row>
    <row r="228" spans="1:42" ht="12.75" customHeight="1" x14ac:dyDescent="0.2">
      <c r="A228" t="s">
        <v>609</v>
      </c>
      <c r="O228">
        <v>5</v>
      </c>
      <c r="T228" s="3"/>
      <c r="U228" s="3"/>
      <c r="V228" s="9"/>
      <c r="W228" s="9"/>
      <c r="X228" s="9"/>
      <c r="Y228" s="9"/>
      <c r="Z228" s="9"/>
      <c r="AA228" s="9"/>
      <c r="AB228" s="3"/>
      <c r="AC228" s="9"/>
      <c r="AD228" s="9"/>
      <c r="AE228" s="8">
        <v>5</v>
      </c>
      <c r="AF228" s="8"/>
      <c r="AG228" s="8"/>
      <c r="AH228" s="9"/>
      <c r="AI228" s="8"/>
      <c r="AJ228" s="8"/>
      <c r="AK228" s="8"/>
      <c r="AL228" s="8"/>
      <c r="AM228" s="9"/>
      <c r="AN228" s="9"/>
      <c r="AO228" s="8">
        <v>70</v>
      </c>
      <c r="AP228" s="9"/>
    </row>
    <row r="229" spans="1:42" ht="12.75" customHeight="1" x14ac:dyDescent="0.2">
      <c r="A229" t="s">
        <v>214</v>
      </c>
      <c r="N229">
        <v>5</v>
      </c>
      <c r="T229" s="3"/>
      <c r="U229" s="3"/>
      <c r="V229" s="9"/>
      <c r="W229" s="9"/>
      <c r="X229" s="9"/>
      <c r="Y229" s="9"/>
      <c r="Z229" s="9"/>
      <c r="AA229" s="9"/>
      <c r="AB229" s="3"/>
      <c r="AC229" s="9"/>
      <c r="AD229" s="9"/>
      <c r="AE229" s="8"/>
      <c r="AF229" s="8">
        <v>4</v>
      </c>
      <c r="AG229" s="8"/>
      <c r="AH229" s="9">
        <v>0.04</v>
      </c>
      <c r="AI229" s="8"/>
      <c r="AJ229" s="8"/>
      <c r="AK229" s="8"/>
      <c r="AL229" s="8"/>
      <c r="AM229" s="9"/>
      <c r="AN229" s="9"/>
      <c r="AO229" s="8"/>
      <c r="AP229" s="9"/>
    </row>
    <row r="230" spans="1:42" ht="12.75" customHeight="1" x14ac:dyDescent="0.2">
      <c r="A230" t="s">
        <v>610</v>
      </c>
      <c r="T230" s="3"/>
      <c r="U230" s="3"/>
      <c r="V230" s="9"/>
      <c r="W230" s="9"/>
      <c r="X230" s="9"/>
      <c r="Y230" s="9"/>
      <c r="Z230" s="9"/>
      <c r="AA230" s="9"/>
      <c r="AB230" s="3"/>
      <c r="AC230" s="9"/>
      <c r="AD230" s="9"/>
      <c r="AE230" s="8"/>
      <c r="AF230" s="8"/>
      <c r="AG230" s="8"/>
      <c r="AH230" s="9"/>
      <c r="AI230" s="8"/>
      <c r="AJ230" s="8"/>
      <c r="AK230" s="8"/>
      <c r="AL230" s="8"/>
      <c r="AM230" s="9"/>
      <c r="AN230" s="9"/>
      <c r="AO230" s="8"/>
      <c r="AP230" s="9"/>
    </row>
    <row r="231" spans="1:42" ht="12.75" customHeight="1" x14ac:dyDescent="0.2">
      <c r="A231" t="s">
        <v>611</v>
      </c>
      <c r="T231" s="3"/>
      <c r="U231" s="3"/>
      <c r="V231" s="9"/>
      <c r="W231" s="9"/>
      <c r="X231" s="9"/>
      <c r="Y231" s="9"/>
      <c r="Z231" s="9"/>
      <c r="AA231" s="9"/>
      <c r="AB231" s="3"/>
      <c r="AC231" s="9"/>
      <c r="AD231" s="9"/>
      <c r="AE231" s="8"/>
      <c r="AF231" s="8"/>
      <c r="AG231" s="8"/>
      <c r="AH231" s="9"/>
      <c r="AI231" s="8"/>
      <c r="AJ231" s="8"/>
      <c r="AK231" s="8"/>
      <c r="AL231" s="8"/>
      <c r="AM231" s="9"/>
      <c r="AN231" s="9"/>
      <c r="AO231" s="8"/>
      <c r="AP231" s="9"/>
    </row>
    <row r="232" spans="1:42" ht="12.75" customHeight="1" x14ac:dyDescent="0.2">
      <c r="A232" s="3" t="s">
        <v>612</v>
      </c>
      <c r="L232">
        <v>9</v>
      </c>
      <c r="T232" s="3"/>
      <c r="U232" s="3"/>
      <c r="V232" s="9"/>
      <c r="W232" s="9"/>
      <c r="X232" s="9"/>
      <c r="Y232" s="9"/>
      <c r="Z232" s="9"/>
      <c r="AA232" s="9"/>
      <c r="AB232" s="3"/>
      <c r="AC232" s="9"/>
      <c r="AD232" s="9"/>
      <c r="AE232" s="8"/>
      <c r="AF232" s="8"/>
      <c r="AG232" s="8"/>
      <c r="AH232" s="9"/>
      <c r="AI232" s="8"/>
      <c r="AJ232" s="8"/>
      <c r="AK232" s="8"/>
      <c r="AL232" s="8"/>
      <c r="AM232" s="9"/>
      <c r="AO232" s="8"/>
      <c r="AP232" s="9"/>
    </row>
    <row r="233" spans="1:42" ht="12.75" customHeight="1" x14ac:dyDescent="0.2">
      <c r="A233" t="s">
        <v>613</v>
      </c>
      <c r="T233" s="3"/>
      <c r="U233" s="3"/>
      <c r="V233" s="9"/>
      <c r="W233" s="9"/>
      <c r="X233" s="9"/>
      <c r="Y233" s="9"/>
      <c r="Z233" s="9"/>
      <c r="AA233" s="9"/>
      <c r="AB233" s="3"/>
      <c r="AC233" s="9"/>
      <c r="AD233" s="9"/>
      <c r="AE233" s="8"/>
      <c r="AF233" s="8"/>
      <c r="AG233" s="8"/>
      <c r="AH233" s="9"/>
      <c r="AI233" s="8"/>
      <c r="AJ233" s="8"/>
      <c r="AK233" s="8"/>
      <c r="AL233" s="8"/>
      <c r="AM233" s="9"/>
      <c r="AN233" s="9"/>
      <c r="AO233" s="8">
        <v>90</v>
      </c>
      <c r="AP233" s="9"/>
    </row>
    <row r="234" spans="1:42" ht="12.75" customHeight="1" x14ac:dyDescent="0.2">
      <c r="A234" t="s">
        <v>189</v>
      </c>
      <c r="N234">
        <v>8</v>
      </c>
      <c r="O234">
        <v>8</v>
      </c>
      <c r="T234" s="3"/>
      <c r="U234" s="3"/>
      <c r="V234" s="9"/>
      <c r="W234" s="9"/>
      <c r="X234" s="9"/>
      <c r="Y234" s="9"/>
      <c r="Z234" s="9"/>
      <c r="AA234" s="9"/>
      <c r="AB234" s="3"/>
      <c r="AC234" s="9"/>
      <c r="AD234" s="9"/>
      <c r="AE234" s="8">
        <v>5</v>
      </c>
      <c r="AF234" s="8"/>
      <c r="AG234" s="8"/>
      <c r="AH234" s="9"/>
      <c r="AI234" s="8"/>
      <c r="AJ234" s="8"/>
      <c r="AK234" s="8"/>
      <c r="AL234" s="8"/>
      <c r="AM234" s="9"/>
      <c r="AN234" s="9"/>
      <c r="AO234" s="8"/>
      <c r="AP234" s="9"/>
    </row>
    <row r="235" spans="1:42" ht="12.75" customHeight="1" x14ac:dyDescent="0.2">
      <c r="A235" t="s">
        <v>614</v>
      </c>
      <c r="G235">
        <v>10</v>
      </c>
      <c r="H235">
        <v>10</v>
      </c>
      <c r="I235">
        <v>10</v>
      </c>
      <c r="T235" s="3"/>
      <c r="U235" s="3"/>
      <c r="V235" s="9"/>
      <c r="W235" s="9"/>
      <c r="X235" s="9">
        <v>0.03</v>
      </c>
      <c r="Y235" s="9"/>
      <c r="Z235" s="9"/>
      <c r="AA235" s="9"/>
      <c r="AB235" s="3"/>
      <c r="AC235" s="9"/>
      <c r="AD235" s="9"/>
      <c r="AE235" s="8"/>
      <c r="AF235" s="8"/>
      <c r="AG235" s="8"/>
      <c r="AH235" s="9"/>
      <c r="AI235" s="8"/>
      <c r="AJ235" s="8"/>
      <c r="AK235" s="8"/>
      <c r="AL235" s="8"/>
      <c r="AM235" s="9"/>
      <c r="AN235" s="9"/>
      <c r="AO235" s="8"/>
      <c r="AP235" s="9"/>
    </row>
    <row r="236" spans="1:42" ht="12.75" customHeight="1" x14ac:dyDescent="0.2">
      <c r="A236" s="3" t="s">
        <v>615</v>
      </c>
      <c r="N236">
        <v>7</v>
      </c>
      <c r="T236" s="3"/>
      <c r="U236" s="3"/>
      <c r="V236" s="9"/>
      <c r="W236" s="9"/>
      <c r="X236" s="9"/>
      <c r="Y236" s="9"/>
      <c r="Z236" s="9"/>
      <c r="AA236" s="9"/>
      <c r="AB236" s="3"/>
      <c r="AC236" s="9"/>
      <c r="AD236" s="9"/>
      <c r="AE236" s="8"/>
      <c r="AF236" s="8"/>
      <c r="AG236" s="8"/>
      <c r="AH236" s="9"/>
      <c r="AI236" s="8"/>
      <c r="AJ236" s="8"/>
      <c r="AK236" s="8"/>
      <c r="AL236" s="8"/>
      <c r="AM236" s="9"/>
      <c r="AO236" s="8"/>
      <c r="AP236" s="9"/>
    </row>
    <row r="237" spans="1:42" ht="12.75" customHeight="1" x14ac:dyDescent="0.2">
      <c r="A237" s="3" t="s">
        <v>616</v>
      </c>
      <c r="G237">
        <v>3</v>
      </c>
      <c r="H237">
        <v>3</v>
      </c>
      <c r="I237">
        <v>3</v>
      </c>
      <c r="J237">
        <v>3</v>
      </c>
      <c r="T237" s="3"/>
      <c r="U237" s="3"/>
      <c r="V237" s="9">
        <v>0.01</v>
      </c>
      <c r="W237" s="9"/>
      <c r="X237" s="9"/>
      <c r="Y237" s="9"/>
      <c r="Z237" s="9"/>
      <c r="AA237" s="9"/>
      <c r="AB237" s="3"/>
      <c r="AC237" s="9"/>
      <c r="AD237" s="9"/>
      <c r="AE237" s="8">
        <v>5</v>
      </c>
      <c r="AF237" s="8"/>
      <c r="AG237" s="8"/>
      <c r="AH237" s="9"/>
      <c r="AI237" s="8"/>
      <c r="AJ237" s="8"/>
      <c r="AK237" s="8"/>
      <c r="AL237" s="8"/>
      <c r="AM237" s="9"/>
      <c r="AO237" s="8"/>
      <c r="AP237" s="9"/>
    </row>
    <row r="238" spans="1:42" ht="12.75" customHeight="1" x14ac:dyDescent="0.2">
      <c r="A238" t="s">
        <v>617</v>
      </c>
      <c r="G238">
        <v>7</v>
      </c>
      <c r="L238">
        <v>-3</v>
      </c>
      <c r="T238" s="3"/>
      <c r="U238" s="3"/>
      <c r="V238" s="9"/>
      <c r="W238" s="9"/>
      <c r="X238" s="9"/>
      <c r="Y238" s="9"/>
      <c r="Z238" s="9"/>
      <c r="AA238" s="9"/>
      <c r="AB238" s="3"/>
      <c r="AC238" s="9"/>
      <c r="AD238" s="9"/>
      <c r="AE238" s="8"/>
      <c r="AF238" s="8"/>
      <c r="AG238" s="8"/>
      <c r="AH238" s="9"/>
      <c r="AI238" s="8"/>
      <c r="AJ238" s="8"/>
      <c r="AK238" s="8"/>
      <c r="AL238" s="8"/>
      <c r="AM238" s="9"/>
      <c r="AN238" s="9"/>
      <c r="AO238" s="8"/>
      <c r="AP238" s="9"/>
    </row>
    <row r="239" spans="1:42" ht="12.75" customHeight="1" x14ac:dyDescent="0.2">
      <c r="A239" t="s">
        <v>618</v>
      </c>
      <c r="G239">
        <v>5</v>
      </c>
      <c r="H239">
        <v>5</v>
      </c>
      <c r="T239" s="3"/>
      <c r="U239" s="3"/>
      <c r="V239" s="9"/>
      <c r="W239" s="9"/>
      <c r="X239" s="9"/>
      <c r="Y239" s="9"/>
      <c r="Z239" s="9"/>
      <c r="AA239" s="9"/>
      <c r="AB239" s="3"/>
      <c r="AC239" s="9"/>
      <c r="AD239" s="9"/>
      <c r="AE239" s="8">
        <v>5</v>
      </c>
      <c r="AF239" s="8"/>
      <c r="AG239" s="8"/>
      <c r="AH239" s="9"/>
      <c r="AI239" s="8"/>
      <c r="AJ239" s="8"/>
      <c r="AK239" s="8"/>
      <c r="AL239" s="8"/>
      <c r="AM239" s="9"/>
      <c r="AN239" s="9"/>
      <c r="AO239" s="8"/>
      <c r="AP239" s="9"/>
    </row>
    <row r="240" spans="1:42" ht="12.75" customHeight="1" x14ac:dyDescent="0.2">
      <c r="A240" s="3" t="s">
        <v>215</v>
      </c>
      <c r="H240">
        <v>9</v>
      </c>
      <c r="N240">
        <v>5</v>
      </c>
      <c r="T240" s="3"/>
      <c r="U240" s="3"/>
      <c r="V240" s="9"/>
      <c r="W240" s="9"/>
      <c r="X240" s="9"/>
      <c r="Y240" s="9"/>
      <c r="Z240" s="9"/>
      <c r="AA240" s="9"/>
      <c r="AB240" s="3"/>
      <c r="AC240" s="9"/>
      <c r="AD240" s="9"/>
      <c r="AE240" s="8"/>
      <c r="AF240" s="8"/>
      <c r="AG240" s="8"/>
      <c r="AH240" s="9"/>
      <c r="AI240" s="8"/>
      <c r="AJ240" s="8"/>
      <c r="AK240" s="8"/>
      <c r="AL240" s="8"/>
      <c r="AM240" s="9"/>
      <c r="AO240" s="8"/>
      <c r="AP240" s="9"/>
    </row>
    <row r="241" spans="1:64" ht="12.75" customHeight="1" x14ac:dyDescent="0.2">
      <c r="A241" t="s">
        <v>619</v>
      </c>
      <c r="G241">
        <v>4</v>
      </c>
      <c r="T241" s="3"/>
      <c r="U241" s="3"/>
      <c r="V241" s="9"/>
      <c r="W241" s="9"/>
      <c r="X241" s="9"/>
      <c r="Y241" s="9"/>
      <c r="Z241" s="9"/>
      <c r="AA241" s="9"/>
      <c r="AB241" s="3"/>
      <c r="AC241" s="9"/>
      <c r="AD241" s="9"/>
      <c r="AE241" s="8"/>
      <c r="AF241" s="8"/>
      <c r="AG241" s="8"/>
      <c r="AH241" s="9"/>
      <c r="AI241" s="8"/>
      <c r="AJ241" s="8"/>
      <c r="AK241" s="8"/>
      <c r="AL241" s="8"/>
      <c r="AM241" s="9"/>
      <c r="AN241" s="9"/>
      <c r="AO241" s="8"/>
      <c r="AP241" s="9"/>
    </row>
    <row r="242" spans="1:64" ht="12.75" customHeight="1" x14ac:dyDescent="0.2">
      <c r="A242" s="3" t="s">
        <v>620</v>
      </c>
      <c r="K242">
        <v>8</v>
      </c>
      <c r="T242" s="3"/>
      <c r="U242" s="3"/>
      <c r="V242" s="9"/>
      <c r="W242" s="9"/>
      <c r="X242" s="9"/>
      <c r="Y242" s="9"/>
      <c r="Z242" s="9"/>
      <c r="AA242" s="9"/>
      <c r="AB242" s="3"/>
      <c r="AC242" s="9"/>
      <c r="AD242" s="9"/>
      <c r="AE242" s="8"/>
      <c r="AF242" s="8"/>
      <c r="AG242" s="8"/>
      <c r="AH242" s="9"/>
      <c r="AI242" s="8"/>
      <c r="AJ242" s="8"/>
      <c r="AK242" s="8"/>
      <c r="AL242" s="8"/>
      <c r="AM242" s="9"/>
      <c r="AO242" s="8"/>
      <c r="AP242" s="9"/>
    </row>
    <row r="243" spans="1:64" ht="12.75" customHeight="1" x14ac:dyDescent="0.2">
      <c r="A243" s="3" t="s">
        <v>621</v>
      </c>
      <c r="K243">
        <v>9</v>
      </c>
      <c r="T243" s="3"/>
      <c r="U243" s="3"/>
      <c r="V243" s="9"/>
      <c r="W243" s="9"/>
      <c r="X243" s="9"/>
      <c r="Y243" s="9"/>
      <c r="Z243" s="9"/>
      <c r="AA243" s="9"/>
      <c r="AB243" s="3"/>
      <c r="AC243" s="9"/>
      <c r="AD243" s="9"/>
      <c r="AE243" s="8"/>
      <c r="AF243" s="8"/>
      <c r="AG243" s="8"/>
      <c r="AH243" s="9"/>
      <c r="AI243" s="8"/>
      <c r="AJ243" s="8"/>
      <c r="AK243" s="8"/>
      <c r="AL243" s="8"/>
      <c r="AM243" s="9"/>
      <c r="AO243" s="8"/>
      <c r="AP243" s="9"/>
    </row>
    <row r="244" spans="1:64" ht="12.75" customHeight="1" x14ac:dyDescent="0.2">
      <c r="A244" t="s">
        <v>622</v>
      </c>
      <c r="G244">
        <v>3</v>
      </c>
      <c r="T244" s="3"/>
      <c r="U244" s="3"/>
      <c r="V244" s="9">
        <v>0.01</v>
      </c>
      <c r="W244" s="9"/>
      <c r="X244" s="9"/>
      <c r="Y244" s="9"/>
      <c r="Z244" s="9"/>
      <c r="AA244" s="9"/>
      <c r="AB244" s="3">
        <v>-20</v>
      </c>
      <c r="AC244" s="9"/>
      <c r="AD244" s="9"/>
      <c r="AE244" s="8"/>
      <c r="AF244" s="8"/>
      <c r="AG244" s="8"/>
      <c r="AH244" s="9"/>
      <c r="AI244" s="8"/>
      <c r="AJ244" s="8"/>
      <c r="AK244" s="8"/>
      <c r="AL244" s="8"/>
      <c r="AM244" s="9"/>
      <c r="AN244" s="9"/>
      <c r="AO244" s="8"/>
      <c r="AP244" s="9"/>
    </row>
    <row r="245" spans="1:64" ht="12.75" customHeight="1" x14ac:dyDescent="0.2">
      <c r="A245" t="s">
        <v>623</v>
      </c>
      <c r="N245">
        <v>5</v>
      </c>
      <c r="T245" s="3"/>
      <c r="U245" s="3"/>
      <c r="V245" s="9"/>
      <c r="W245" s="9"/>
      <c r="X245" s="9"/>
      <c r="Y245" s="9"/>
      <c r="Z245" s="9"/>
      <c r="AA245" s="9"/>
      <c r="AB245" s="3"/>
      <c r="AC245" s="9"/>
      <c r="AD245" s="9"/>
      <c r="AE245" s="8"/>
      <c r="AF245" s="8"/>
      <c r="AG245" s="8"/>
      <c r="AH245" s="9"/>
      <c r="AI245" s="8"/>
      <c r="AJ245" s="8"/>
      <c r="AK245" s="8"/>
      <c r="AL245" s="8"/>
      <c r="AM245" s="9"/>
      <c r="AN245" s="9"/>
      <c r="AO245" s="8"/>
      <c r="AP245" s="9"/>
    </row>
    <row r="246" spans="1:64" ht="12.75" customHeight="1" x14ac:dyDescent="0.2">
      <c r="A246" t="s">
        <v>624</v>
      </c>
      <c r="G246">
        <v>5</v>
      </c>
      <c r="I246">
        <v>5</v>
      </c>
      <c r="K246">
        <v>5</v>
      </c>
      <c r="T246" s="3"/>
      <c r="U246" s="3"/>
      <c r="V246" s="9"/>
      <c r="W246" s="9"/>
      <c r="X246" s="9"/>
      <c r="Y246" s="9"/>
      <c r="Z246" s="9"/>
      <c r="AA246" s="9"/>
      <c r="AB246" s="3"/>
      <c r="AC246" s="9"/>
      <c r="AD246" s="9"/>
      <c r="AE246" s="8"/>
      <c r="AF246" s="8"/>
      <c r="AG246" s="8"/>
      <c r="AH246" s="9"/>
      <c r="AI246" s="8"/>
      <c r="AJ246" s="8"/>
      <c r="AK246" s="8"/>
      <c r="AL246" s="8"/>
      <c r="AM246" s="9"/>
      <c r="AN246" s="9"/>
      <c r="AO246" s="8"/>
      <c r="AP246" s="9"/>
    </row>
    <row r="247" spans="1:64" ht="12.75" customHeight="1" x14ac:dyDescent="0.2">
      <c r="A247" t="s">
        <v>625</v>
      </c>
      <c r="J247">
        <v>7</v>
      </c>
      <c r="K247">
        <v>-3</v>
      </c>
      <c r="T247" s="3"/>
      <c r="U247" s="3"/>
      <c r="V247" s="9"/>
      <c r="W247" s="9"/>
      <c r="X247" s="9"/>
      <c r="Y247" s="9"/>
      <c r="Z247" s="9"/>
      <c r="AA247" s="9"/>
      <c r="AB247" s="3"/>
      <c r="AC247" s="9"/>
      <c r="AD247" s="9"/>
      <c r="AE247" s="8"/>
      <c r="AF247" s="8"/>
      <c r="AG247" s="8"/>
      <c r="AH247" s="9"/>
      <c r="AI247" s="8"/>
      <c r="AJ247" s="8"/>
      <c r="AK247" s="8"/>
      <c r="AL247" s="8"/>
      <c r="AM247" s="9"/>
      <c r="AN247" s="9"/>
      <c r="AO247" s="8"/>
      <c r="AP247" s="9"/>
    </row>
    <row r="248" spans="1:64" ht="12.75" customHeight="1" x14ac:dyDescent="0.2">
      <c r="A248" t="s">
        <v>626</v>
      </c>
      <c r="G248">
        <v>6</v>
      </c>
      <c r="O248">
        <v>3</v>
      </c>
      <c r="T248" s="3"/>
      <c r="U248" s="3"/>
      <c r="V248" s="9"/>
      <c r="W248" s="9"/>
      <c r="X248" s="9"/>
      <c r="Y248" s="9"/>
      <c r="Z248" s="9"/>
      <c r="AA248" s="9"/>
      <c r="AB248" s="3"/>
      <c r="AC248" s="9"/>
      <c r="AD248" s="9"/>
      <c r="AE248" s="8"/>
      <c r="AF248" s="8"/>
      <c r="AG248" s="8"/>
      <c r="AH248" s="9"/>
      <c r="AI248" s="8"/>
      <c r="AJ248" s="8"/>
      <c r="AK248" s="8"/>
      <c r="AL248" s="8"/>
      <c r="AM248" s="9"/>
      <c r="AN248" s="9"/>
      <c r="AO248" s="8"/>
      <c r="AP248" s="9"/>
    </row>
    <row r="249" spans="1:64" ht="12.75" customHeight="1" x14ac:dyDescent="0.2">
      <c r="A249" t="s">
        <v>627</v>
      </c>
      <c r="H249">
        <v>7</v>
      </c>
      <c r="I249">
        <v>-3</v>
      </c>
      <c r="T249" s="3"/>
      <c r="U249" s="3"/>
      <c r="V249" s="9"/>
      <c r="W249" s="9"/>
      <c r="X249" s="9"/>
      <c r="Y249" s="9"/>
      <c r="Z249" s="9"/>
      <c r="AA249" s="9"/>
      <c r="AB249" s="3"/>
      <c r="AC249" s="9"/>
      <c r="AD249" s="9"/>
      <c r="AE249" s="8"/>
      <c r="AF249" s="8"/>
      <c r="AG249" s="8"/>
      <c r="AH249" s="9"/>
      <c r="AI249" s="8"/>
      <c r="AJ249" s="8"/>
      <c r="AK249" s="8"/>
      <c r="AL249" s="8"/>
      <c r="AM249" s="9"/>
      <c r="AN249" s="9"/>
      <c r="AO249" s="8"/>
      <c r="AP249" s="9"/>
    </row>
    <row r="250" spans="1:64" ht="12.75" customHeight="1" x14ac:dyDescent="0.2">
      <c r="A250" s="3" t="s">
        <v>628</v>
      </c>
      <c r="I250">
        <v>9</v>
      </c>
      <c r="T250" s="3"/>
      <c r="U250" s="3"/>
      <c r="V250" s="9"/>
      <c r="W250" s="9"/>
      <c r="X250" s="9"/>
      <c r="Y250" s="9"/>
      <c r="Z250" s="9"/>
      <c r="AA250" s="9"/>
      <c r="AB250" s="3"/>
      <c r="AC250" s="9"/>
      <c r="AD250" s="9"/>
      <c r="AE250" s="8"/>
      <c r="AF250" s="8"/>
      <c r="AG250" s="8"/>
      <c r="AH250" s="9"/>
      <c r="AI250" s="8"/>
      <c r="AJ250" s="8"/>
      <c r="AK250" s="8"/>
      <c r="AL250" s="8"/>
      <c r="AM250" s="9"/>
      <c r="AO250" s="8"/>
      <c r="AP250" s="9"/>
    </row>
    <row r="251" spans="1:64" ht="12.75" customHeight="1" x14ac:dyDescent="0.2">
      <c r="A251" t="s">
        <v>629</v>
      </c>
      <c r="N251">
        <v>7</v>
      </c>
      <c r="T251" s="3"/>
      <c r="U251" s="3"/>
      <c r="V251" s="9"/>
      <c r="W251" s="9"/>
      <c r="X251" s="9"/>
      <c r="Y251" s="9"/>
      <c r="Z251" s="9"/>
      <c r="AA251" s="9"/>
      <c r="AB251" s="3"/>
      <c r="AC251" s="9"/>
      <c r="AD251" s="9"/>
      <c r="AE251" s="8"/>
      <c r="AF251" s="8"/>
      <c r="AG251" s="8"/>
      <c r="AH251" s="9"/>
      <c r="AI251" s="8"/>
      <c r="AJ251" s="8"/>
      <c r="AK251" s="8"/>
      <c r="AL251" s="8"/>
      <c r="AM251" s="9"/>
      <c r="AN251" s="9"/>
      <c r="AO251" s="8"/>
      <c r="AP251" s="9"/>
    </row>
    <row r="252" spans="1:64" ht="12.75" customHeight="1" x14ac:dyDescent="0.2">
      <c r="A252" t="s">
        <v>630</v>
      </c>
      <c r="J252">
        <v>-4</v>
      </c>
      <c r="O252">
        <v>8</v>
      </c>
      <c r="T252" s="3"/>
      <c r="U252" s="3"/>
      <c r="V252" s="9"/>
      <c r="W252" s="9"/>
      <c r="X252" s="9"/>
      <c r="Y252" s="9"/>
      <c r="Z252" s="9"/>
      <c r="AA252" s="9"/>
      <c r="AB252" s="3"/>
      <c r="AC252" s="9"/>
      <c r="AD252" s="9"/>
      <c r="AE252" s="8">
        <v>4</v>
      </c>
      <c r="AF252" s="8"/>
      <c r="AG252" s="8"/>
      <c r="AH252" s="9"/>
      <c r="AI252" s="8"/>
      <c r="AJ252" s="8"/>
      <c r="AK252" s="8"/>
      <c r="AL252" s="8"/>
      <c r="AM252" s="9"/>
      <c r="AN252" s="9"/>
      <c r="AO252" s="8"/>
      <c r="AP252" s="9"/>
    </row>
    <row r="253" spans="1:64" ht="12.75" customHeight="1" x14ac:dyDescent="0.2">
      <c r="A253" t="s">
        <v>631</v>
      </c>
      <c r="N253">
        <v>4</v>
      </c>
      <c r="O253">
        <v>4</v>
      </c>
      <c r="T253" s="3"/>
      <c r="U253" s="3"/>
      <c r="V253" s="9"/>
      <c r="W253" s="9"/>
      <c r="X253" s="9"/>
      <c r="Y253" s="9"/>
      <c r="Z253" s="9"/>
      <c r="AA253" s="9"/>
      <c r="AB253" s="3"/>
      <c r="AC253" s="9"/>
      <c r="AD253" s="9"/>
      <c r="AE253" s="8"/>
      <c r="AF253" s="8"/>
      <c r="AG253" s="8"/>
      <c r="AH253" s="9"/>
      <c r="AI253" s="8"/>
      <c r="AJ253" s="8"/>
      <c r="AK253" s="8"/>
      <c r="AL253" s="8"/>
      <c r="AM253" s="9"/>
      <c r="AN253" s="9"/>
      <c r="AO253" s="8"/>
      <c r="AP253" s="9"/>
    </row>
    <row r="254" spans="1:64" ht="12.75" customHeight="1" x14ac:dyDescent="0.2">
      <c r="A254" s="3" t="s">
        <v>632</v>
      </c>
      <c r="B254" s="3"/>
      <c r="C254" s="3"/>
      <c r="D254" s="3"/>
      <c r="E254" s="3"/>
      <c r="F254" s="3"/>
      <c r="G254" s="3">
        <v>2</v>
      </c>
      <c r="H254" s="3"/>
      <c r="I254" s="3"/>
      <c r="J254" s="3"/>
      <c r="K254" s="3"/>
      <c r="L254" s="3"/>
      <c r="M254" s="3"/>
      <c r="N254" s="3"/>
      <c r="O254" s="3">
        <v>10</v>
      </c>
      <c r="P254" s="3"/>
      <c r="Q254" s="3"/>
      <c r="R254" s="3"/>
      <c r="S254" s="3"/>
      <c r="T254" s="3"/>
      <c r="U254" s="3"/>
      <c r="V254" s="9"/>
      <c r="W254" s="9"/>
      <c r="X254" s="9"/>
      <c r="Y254" s="9"/>
      <c r="Z254" s="9"/>
      <c r="AA254" s="9"/>
      <c r="AB254" s="3"/>
      <c r="AC254" s="9"/>
      <c r="AD254" s="9"/>
      <c r="AE254" s="8"/>
      <c r="AF254" s="8"/>
      <c r="AG254" s="8"/>
      <c r="AH254" s="9"/>
      <c r="AI254" s="8"/>
      <c r="AJ254" s="8"/>
      <c r="AK254" s="8"/>
      <c r="AL254" s="8"/>
      <c r="AM254" s="9"/>
      <c r="AN254" s="3"/>
      <c r="AO254" s="8"/>
      <c r="AP254" s="9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</row>
    <row r="255" spans="1:64" ht="12.75" customHeight="1" x14ac:dyDescent="0.2">
      <c r="A255" t="s">
        <v>587</v>
      </c>
      <c r="G255">
        <v>6</v>
      </c>
      <c r="T255" s="3"/>
      <c r="U255" s="3"/>
      <c r="V255" s="9"/>
      <c r="W255" s="9"/>
      <c r="X255" s="9"/>
      <c r="Y255" s="9"/>
      <c r="Z255" s="9"/>
      <c r="AA255" s="9"/>
      <c r="AB255" s="3"/>
      <c r="AC255" s="9"/>
      <c r="AD255" s="9"/>
      <c r="AE255" s="8"/>
      <c r="AF255" s="8"/>
      <c r="AG255" s="8"/>
      <c r="AH255" s="9"/>
      <c r="AI255" s="8"/>
      <c r="AJ255" s="8"/>
      <c r="AK255" s="8"/>
      <c r="AL255" s="8"/>
      <c r="AM255" s="9"/>
      <c r="AN255" s="9"/>
      <c r="AO255" s="8"/>
      <c r="AP255" s="9"/>
    </row>
    <row r="256" spans="1:64" ht="12.75" customHeight="1" x14ac:dyDescent="0.2">
      <c r="A256" s="3" t="s">
        <v>633</v>
      </c>
      <c r="N256">
        <v>8</v>
      </c>
      <c r="T256" s="3"/>
      <c r="U256" s="3"/>
      <c r="V256" s="9"/>
      <c r="W256" s="9"/>
      <c r="X256" s="9"/>
      <c r="Y256" s="9"/>
      <c r="Z256" s="9"/>
      <c r="AA256" s="9"/>
      <c r="AB256" s="3"/>
      <c r="AC256" s="9"/>
      <c r="AD256" s="9"/>
      <c r="AE256" s="8"/>
      <c r="AF256" s="8"/>
      <c r="AG256" s="8"/>
      <c r="AH256" s="9"/>
      <c r="AI256" s="8"/>
      <c r="AJ256" s="8"/>
      <c r="AK256" s="8"/>
      <c r="AL256" s="8"/>
      <c r="AM256" s="9"/>
      <c r="AO256" s="8"/>
      <c r="AP256" s="9"/>
    </row>
    <row r="257" spans="1:42" ht="12.75" customHeight="1" x14ac:dyDescent="0.2">
      <c r="T257" s="3"/>
      <c r="U257" s="3"/>
      <c r="V257" s="9"/>
      <c r="W257" s="9"/>
      <c r="X257" s="9"/>
      <c r="Y257" s="9"/>
      <c r="Z257" s="9"/>
      <c r="AA257" s="9"/>
      <c r="AC257" s="9"/>
      <c r="AD257" s="9"/>
      <c r="AE257" s="8"/>
      <c r="AF257" s="8"/>
      <c r="AG257" s="8"/>
      <c r="AH257" s="9"/>
      <c r="AI257" s="8"/>
      <c r="AJ257" s="8"/>
      <c r="AK257" s="8"/>
      <c r="AL257" s="8"/>
      <c r="AM257" s="9"/>
      <c r="AO257" s="8"/>
      <c r="AP257" s="9"/>
    </row>
    <row r="258" spans="1:42" ht="12.75" customHeight="1" x14ac:dyDescent="0.2">
      <c r="T258" s="3"/>
      <c r="U258" s="3"/>
      <c r="V258" s="9"/>
      <c r="W258" s="9"/>
      <c r="X258" s="9"/>
      <c r="Y258" s="9"/>
      <c r="Z258" s="9"/>
      <c r="AA258" s="9"/>
      <c r="AC258" s="9"/>
      <c r="AD258" s="9"/>
      <c r="AE258" s="8"/>
      <c r="AF258" s="8"/>
      <c r="AG258" s="8"/>
      <c r="AH258" s="9"/>
      <c r="AI258" s="8"/>
      <c r="AJ258" s="8"/>
      <c r="AK258" s="8"/>
      <c r="AL258" s="8"/>
      <c r="AM258" s="9"/>
      <c r="AO258" s="8"/>
      <c r="AP258" s="9"/>
    </row>
    <row r="259" spans="1:42" ht="12.75" customHeight="1" x14ac:dyDescent="0.2">
      <c r="A259" t="s">
        <v>190</v>
      </c>
      <c r="B259" t="s">
        <v>477</v>
      </c>
      <c r="C259" t="s">
        <v>478</v>
      </c>
      <c r="D259" t="s">
        <v>479</v>
      </c>
      <c r="E259" t="s">
        <v>480</v>
      </c>
      <c r="F259" s="3" t="s">
        <v>481</v>
      </c>
      <c r="G259" t="s">
        <v>30</v>
      </c>
      <c r="H259" t="s">
        <v>33</v>
      </c>
      <c r="I259" t="s">
        <v>29</v>
      </c>
      <c r="J259" t="s">
        <v>32</v>
      </c>
      <c r="K259" t="s">
        <v>153</v>
      </c>
      <c r="L259" t="s">
        <v>154</v>
      </c>
      <c r="M259" t="s">
        <v>482</v>
      </c>
      <c r="N259" t="s">
        <v>120</v>
      </c>
      <c r="O259" t="s">
        <v>156</v>
      </c>
      <c r="P259" t="s">
        <v>157</v>
      </c>
      <c r="Q259" t="s">
        <v>483</v>
      </c>
      <c r="R259" t="s">
        <v>484</v>
      </c>
      <c r="S259" t="s">
        <v>485</v>
      </c>
      <c r="T259" s="3" t="s">
        <v>486</v>
      </c>
      <c r="U259" s="3" t="s">
        <v>487</v>
      </c>
      <c r="V259" s="9" t="s">
        <v>158</v>
      </c>
      <c r="W259" s="9" t="s">
        <v>159</v>
      </c>
      <c r="X259" s="9" t="s">
        <v>160</v>
      </c>
      <c r="Y259" s="9" t="s">
        <v>488</v>
      </c>
      <c r="Z259" s="9" t="s">
        <v>161</v>
      </c>
      <c r="AA259" s="9" t="s">
        <v>165</v>
      </c>
      <c r="AB259" t="s">
        <v>164</v>
      </c>
      <c r="AC259" s="9" t="s">
        <v>162</v>
      </c>
      <c r="AD259" s="9" t="s">
        <v>163</v>
      </c>
      <c r="AE259" s="8" t="s">
        <v>166</v>
      </c>
      <c r="AF259" s="8" t="s">
        <v>130</v>
      </c>
      <c r="AG259" s="8" t="s">
        <v>205</v>
      </c>
      <c r="AH259" s="9" t="s">
        <v>207</v>
      </c>
      <c r="AI259" s="8" t="s">
        <v>208</v>
      </c>
      <c r="AJ259" s="8" t="s">
        <v>489</v>
      </c>
      <c r="AK259" s="8" t="s">
        <v>135</v>
      </c>
      <c r="AL259" s="8" t="s">
        <v>206</v>
      </c>
      <c r="AM259" s="9" t="s">
        <v>490</v>
      </c>
      <c r="AO259" s="8" t="s">
        <v>37</v>
      </c>
      <c r="AP259" s="9" t="s">
        <v>155</v>
      </c>
    </row>
    <row r="260" spans="1:42" s="30" customFormat="1" ht="12.75" customHeight="1" x14ac:dyDescent="0.2">
      <c r="A260" s="30" t="s">
        <v>191</v>
      </c>
      <c r="G260" s="30">
        <v>30</v>
      </c>
      <c r="N260" s="30">
        <v>20</v>
      </c>
      <c r="O260" s="30">
        <v>20</v>
      </c>
      <c r="T260" s="3"/>
      <c r="U260" s="3"/>
      <c r="V260" s="103">
        <v>0.1</v>
      </c>
      <c r="W260" s="103"/>
      <c r="X260" s="103"/>
      <c r="Y260" s="103"/>
      <c r="Z260" s="103"/>
      <c r="AA260" s="103"/>
      <c r="AB260" s="3"/>
      <c r="AC260" s="103"/>
      <c r="AD260" s="103"/>
      <c r="AE260" s="8"/>
      <c r="AF260" s="8"/>
      <c r="AG260" s="8"/>
      <c r="AH260" s="103"/>
      <c r="AI260" s="8"/>
      <c r="AJ260" s="8"/>
      <c r="AK260" s="8"/>
      <c r="AL260" s="8"/>
      <c r="AM260" s="103"/>
      <c r="AN260" s="103"/>
      <c r="AO260" s="8"/>
      <c r="AP260" s="103"/>
    </row>
    <row r="261" spans="1:42" ht="12.75" customHeight="1" x14ac:dyDescent="0.2">
      <c r="A261" s="110" t="s">
        <v>871</v>
      </c>
      <c r="H261">
        <v>30</v>
      </c>
      <c r="N261">
        <v>20</v>
      </c>
      <c r="O261">
        <v>20</v>
      </c>
      <c r="T261" s="3"/>
      <c r="U261" s="3"/>
      <c r="V261" s="9"/>
      <c r="W261" s="9"/>
      <c r="X261" s="9"/>
      <c r="Y261" s="9"/>
      <c r="Z261" s="9"/>
      <c r="AA261" s="9"/>
      <c r="AB261" s="3"/>
      <c r="AC261" s="9"/>
      <c r="AD261" s="9"/>
      <c r="AE261" s="8">
        <v>10</v>
      </c>
      <c r="AF261" s="8"/>
      <c r="AG261" s="8"/>
      <c r="AH261" s="9"/>
      <c r="AI261" s="8"/>
      <c r="AJ261" s="8"/>
      <c r="AK261" s="8"/>
      <c r="AL261" s="8"/>
      <c r="AM261" s="9"/>
      <c r="AN261" s="9"/>
      <c r="AO261" s="8"/>
      <c r="AP261" s="9"/>
    </row>
    <row r="262" spans="1:42" s="30" customFormat="1" ht="12.75" customHeight="1" x14ac:dyDescent="0.2">
      <c r="A262" s="110" t="s">
        <v>872</v>
      </c>
      <c r="G262" s="30">
        <v>30</v>
      </c>
      <c r="N262" s="30">
        <v>20</v>
      </c>
      <c r="O262" s="30">
        <v>20</v>
      </c>
      <c r="T262" s="3"/>
      <c r="U262" s="3"/>
      <c r="V262" s="103">
        <v>0.1</v>
      </c>
      <c r="W262" s="103"/>
      <c r="X262" s="103"/>
      <c r="Y262" s="103"/>
      <c r="Z262" s="103"/>
      <c r="AA262" s="103"/>
      <c r="AB262" s="3"/>
      <c r="AC262" s="103"/>
      <c r="AD262" s="103"/>
      <c r="AE262" s="8"/>
      <c r="AF262" s="8"/>
      <c r="AG262" s="8"/>
      <c r="AH262" s="103"/>
      <c r="AI262" s="8"/>
      <c r="AJ262" s="8"/>
      <c r="AK262" s="8"/>
      <c r="AL262" s="8"/>
      <c r="AM262" s="103"/>
      <c r="AN262" s="103"/>
      <c r="AO262" s="8"/>
      <c r="AP262" s="103"/>
    </row>
    <row r="263" spans="1:42" ht="12.75" customHeight="1" x14ac:dyDescent="0.2">
      <c r="T263" s="3"/>
      <c r="U263" s="3"/>
      <c r="V263" s="9"/>
      <c r="W263" s="9"/>
      <c r="X263" s="9"/>
      <c r="Y263" s="9"/>
      <c r="Z263" s="9"/>
      <c r="AA263" s="9"/>
      <c r="AB263" s="3"/>
      <c r="AC263" s="9"/>
      <c r="AD263" s="9"/>
      <c r="AE263" s="8"/>
      <c r="AF263" s="8"/>
      <c r="AG263" s="8"/>
      <c r="AH263" s="9"/>
      <c r="AI263" s="8"/>
      <c r="AJ263" s="8"/>
      <c r="AK263" s="8"/>
      <c r="AL263" s="8"/>
      <c r="AM263" s="9"/>
      <c r="AN263" s="9"/>
      <c r="AO263" s="8"/>
      <c r="AP263" s="9"/>
    </row>
    <row r="264" spans="1:42" ht="12.75" customHeight="1" x14ac:dyDescent="0.2">
      <c r="T264" s="3"/>
      <c r="U264" s="3"/>
      <c r="V264" s="9"/>
      <c r="W264" s="9"/>
      <c r="X264" s="9"/>
      <c r="Y264" s="9"/>
      <c r="Z264" s="9"/>
      <c r="AA264" s="9"/>
      <c r="AC264" s="9"/>
      <c r="AD264" s="9"/>
      <c r="AE264" s="8"/>
      <c r="AF264" s="8"/>
      <c r="AG264" s="8"/>
      <c r="AH264" s="9"/>
      <c r="AI264" s="8"/>
      <c r="AJ264" s="8"/>
      <c r="AK264" s="8"/>
      <c r="AL264" s="8"/>
      <c r="AM264" s="9"/>
      <c r="AO264" s="8"/>
      <c r="AP264" s="9"/>
    </row>
    <row r="265" spans="1:42" ht="12.75" customHeight="1" x14ac:dyDescent="0.2">
      <c r="A265" t="s">
        <v>192</v>
      </c>
      <c r="B265" t="s">
        <v>477</v>
      </c>
      <c r="C265" t="s">
        <v>478</v>
      </c>
      <c r="D265" t="s">
        <v>479</v>
      </c>
      <c r="E265" t="s">
        <v>480</v>
      </c>
      <c r="F265" s="3" t="s">
        <v>481</v>
      </c>
      <c r="G265" t="s">
        <v>30</v>
      </c>
      <c r="H265" t="s">
        <v>33</v>
      </c>
      <c r="I265" t="s">
        <v>29</v>
      </c>
      <c r="J265" t="s">
        <v>32</v>
      </c>
      <c r="K265" t="s">
        <v>153</v>
      </c>
      <c r="L265" t="s">
        <v>154</v>
      </c>
      <c r="M265" t="s">
        <v>482</v>
      </c>
      <c r="N265" t="s">
        <v>120</v>
      </c>
      <c r="O265" t="s">
        <v>156</v>
      </c>
      <c r="P265" t="s">
        <v>157</v>
      </c>
      <c r="Q265" t="s">
        <v>483</v>
      </c>
      <c r="R265" t="s">
        <v>484</v>
      </c>
      <c r="S265" t="s">
        <v>485</v>
      </c>
      <c r="T265" s="3" t="s">
        <v>486</v>
      </c>
      <c r="U265" s="3" t="s">
        <v>487</v>
      </c>
      <c r="V265" s="9" t="s">
        <v>158</v>
      </c>
      <c r="W265" s="9" t="s">
        <v>159</v>
      </c>
      <c r="X265" s="9" t="s">
        <v>160</v>
      </c>
      <c r="Y265" s="9" t="s">
        <v>488</v>
      </c>
      <c r="Z265" s="9" t="s">
        <v>161</v>
      </c>
      <c r="AA265" s="9" t="s">
        <v>165</v>
      </c>
      <c r="AB265" t="s">
        <v>164</v>
      </c>
      <c r="AC265" s="9" t="s">
        <v>162</v>
      </c>
      <c r="AD265" s="9" t="s">
        <v>163</v>
      </c>
      <c r="AE265" s="8" t="s">
        <v>166</v>
      </c>
      <c r="AF265" s="8" t="s">
        <v>130</v>
      </c>
      <c r="AG265" s="8" t="s">
        <v>205</v>
      </c>
      <c r="AH265" s="9" t="s">
        <v>207</v>
      </c>
      <c r="AI265" s="8" t="s">
        <v>208</v>
      </c>
      <c r="AJ265" s="8" t="s">
        <v>489</v>
      </c>
      <c r="AK265" s="8" t="s">
        <v>135</v>
      </c>
      <c r="AL265" s="8" t="s">
        <v>206</v>
      </c>
      <c r="AM265" s="9" t="s">
        <v>490</v>
      </c>
      <c r="AO265" s="8" t="s">
        <v>37</v>
      </c>
      <c r="AP265" s="9" t="s">
        <v>155</v>
      </c>
    </row>
    <row r="266" spans="1:42" ht="12.75" customHeight="1" x14ac:dyDescent="0.2">
      <c r="A266" t="s">
        <v>634</v>
      </c>
      <c r="N266">
        <v>15</v>
      </c>
      <c r="O266">
        <v>15</v>
      </c>
      <c r="T266" s="3"/>
      <c r="U266" s="3"/>
      <c r="V266" s="9">
        <v>0.01</v>
      </c>
      <c r="W266" s="9"/>
      <c r="X266" s="9"/>
      <c r="Y266" s="9"/>
      <c r="Z266" s="9"/>
      <c r="AA266" s="9"/>
      <c r="AB266" s="3"/>
      <c r="AC266" s="9"/>
      <c r="AD266" s="9"/>
      <c r="AE266" s="8"/>
      <c r="AF266" s="8"/>
      <c r="AG266" s="8"/>
      <c r="AH266" s="9"/>
      <c r="AI266" s="8"/>
      <c r="AJ266" s="8"/>
      <c r="AK266" s="8"/>
      <c r="AL266" s="8"/>
      <c r="AM266" s="9"/>
      <c r="AN266" s="9"/>
      <c r="AO266" s="8"/>
      <c r="AP266" s="9"/>
    </row>
    <row r="267" spans="1:42" ht="12.75" customHeight="1" x14ac:dyDescent="0.2">
      <c r="A267" t="s">
        <v>635</v>
      </c>
      <c r="G267">
        <v>9</v>
      </c>
      <c r="H267">
        <v>-7</v>
      </c>
      <c r="T267" s="3"/>
      <c r="U267" s="3"/>
      <c r="V267" s="9"/>
      <c r="W267" s="9"/>
      <c r="X267" s="9"/>
      <c r="Y267" s="9"/>
      <c r="Z267" s="9"/>
      <c r="AA267" s="9"/>
      <c r="AB267" s="3"/>
      <c r="AC267" s="9"/>
      <c r="AD267" s="9"/>
      <c r="AE267" s="8"/>
      <c r="AF267" s="8"/>
      <c r="AG267" s="8"/>
      <c r="AH267" s="9"/>
      <c r="AI267" s="8"/>
      <c r="AJ267" s="8"/>
      <c r="AK267" s="8"/>
      <c r="AL267" s="8"/>
      <c r="AM267" s="9"/>
      <c r="AN267" s="9"/>
      <c r="AO267" s="8"/>
      <c r="AP267" s="9"/>
    </row>
    <row r="268" spans="1:42" ht="12.75" customHeight="1" x14ac:dyDescent="0.2">
      <c r="A268" t="s">
        <v>636</v>
      </c>
      <c r="L268">
        <v>7</v>
      </c>
      <c r="T268" s="3"/>
      <c r="U268" s="3"/>
      <c r="V268" s="9"/>
      <c r="W268" s="9"/>
      <c r="X268" s="9"/>
      <c r="Y268" s="9"/>
      <c r="Z268" s="9"/>
      <c r="AA268" s="9"/>
      <c r="AB268" s="3"/>
      <c r="AC268" s="9"/>
      <c r="AD268" s="9"/>
      <c r="AE268" s="8"/>
      <c r="AF268" s="8"/>
      <c r="AG268" s="8"/>
      <c r="AH268" s="9"/>
      <c r="AI268" s="8"/>
      <c r="AJ268" s="8"/>
      <c r="AK268" s="8"/>
      <c r="AL268" s="8"/>
      <c r="AM268" s="9"/>
      <c r="AN268" s="9"/>
      <c r="AO268" s="8"/>
      <c r="AP268" s="9"/>
    </row>
    <row r="269" spans="1:42" ht="12.75" customHeight="1" x14ac:dyDescent="0.2">
      <c r="A269" t="s">
        <v>637</v>
      </c>
      <c r="G269">
        <v>6</v>
      </c>
      <c r="I269">
        <v>6</v>
      </c>
      <c r="K269">
        <v>6</v>
      </c>
      <c r="N269">
        <v>10</v>
      </c>
      <c r="O269">
        <v>15</v>
      </c>
      <c r="T269" s="3"/>
      <c r="U269" s="3"/>
      <c r="V269" s="9"/>
      <c r="W269" s="9"/>
      <c r="X269" s="9"/>
      <c r="Y269" s="9"/>
      <c r="Z269" s="9"/>
      <c r="AA269" s="9"/>
      <c r="AB269" s="3"/>
      <c r="AC269" s="9"/>
      <c r="AD269" s="9"/>
      <c r="AE269" s="8"/>
      <c r="AF269" s="8"/>
      <c r="AG269" s="8"/>
      <c r="AH269" s="9"/>
      <c r="AI269" s="8"/>
      <c r="AJ269" s="8"/>
      <c r="AK269" s="8"/>
      <c r="AL269" s="8"/>
      <c r="AM269" s="9"/>
      <c r="AN269" s="9"/>
      <c r="AO269" s="8"/>
      <c r="AP269" s="9"/>
    </row>
    <row r="270" spans="1:42" ht="12.75" customHeight="1" x14ac:dyDescent="0.2">
      <c r="A270" t="s">
        <v>638</v>
      </c>
      <c r="T270" s="3"/>
      <c r="U270" s="3"/>
      <c r="V270" s="9">
        <v>0.04</v>
      </c>
      <c r="W270" s="9"/>
      <c r="X270" s="9"/>
      <c r="Y270" s="9"/>
      <c r="Z270" s="9"/>
      <c r="AA270" s="9"/>
      <c r="AB270" s="3">
        <v>51</v>
      </c>
      <c r="AC270" s="9"/>
      <c r="AD270" s="9"/>
      <c r="AE270" s="8"/>
      <c r="AF270" s="8"/>
      <c r="AG270" s="8"/>
      <c r="AH270" s="9"/>
      <c r="AI270" s="8"/>
      <c r="AJ270" s="8"/>
      <c r="AK270" s="8"/>
      <c r="AL270" s="8"/>
      <c r="AM270" s="9"/>
      <c r="AO270" s="8"/>
      <c r="AP270" s="9"/>
    </row>
    <row r="271" spans="1:42" ht="12.75" customHeight="1" x14ac:dyDescent="0.2">
      <c r="A271" t="s">
        <v>639</v>
      </c>
      <c r="G271">
        <v>7</v>
      </c>
      <c r="I271">
        <v>5</v>
      </c>
      <c r="T271" s="3"/>
      <c r="U271" s="3"/>
      <c r="V271" s="9"/>
      <c r="W271" s="9"/>
      <c r="X271" s="9"/>
      <c r="Y271" s="9"/>
      <c r="Z271" s="9"/>
      <c r="AA271" s="9"/>
      <c r="AB271" s="3">
        <v>51</v>
      </c>
      <c r="AC271" s="9"/>
      <c r="AD271" s="9"/>
      <c r="AE271" s="8"/>
      <c r="AF271" s="8"/>
      <c r="AG271" s="8"/>
      <c r="AH271" s="9"/>
      <c r="AI271" s="8"/>
      <c r="AJ271" s="8"/>
      <c r="AK271" s="8"/>
      <c r="AL271" s="8"/>
      <c r="AM271" s="9"/>
      <c r="AO271" s="8"/>
      <c r="AP271" s="9"/>
    </row>
    <row r="272" spans="1:42" ht="12.75" customHeight="1" x14ac:dyDescent="0.2">
      <c r="A272" t="s">
        <v>640</v>
      </c>
      <c r="H272">
        <v>6</v>
      </c>
      <c r="O272">
        <v>10</v>
      </c>
      <c r="T272" s="3"/>
      <c r="U272" s="3"/>
      <c r="V272" s="9"/>
      <c r="W272" s="9"/>
      <c r="X272" s="9"/>
      <c r="Y272" s="9"/>
      <c r="Z272" s="9"/>
      <c r="AA272" s="9"/>
      <c r="AB272" s="3"/>
      <c r="AC272" s="9"/>
      <c r="AD272" s="9"/>
      <c r="AE272" s="8"/>
      <c r="AF272" s="8"/>
      <c r="AG272" s="8"/>
      <c r="AH272" s="9"/>
      <c r="AI272" s="8"/>
      <c r="AJ272" s="8"/>
      <c r="AK272" s="8"/>
      <c r="AL272" s="8"/>
      <c r="AM272" s="9"/>
      <c r="AN272" s="9"/>
      <c r="AO272" s="8">
        <v>15</v>
      </c>
      <c r="AP272" s="9"/>
    </row>
    <row r="273" spans="1:64" ht="12.75" customHeight="1" x14ac:dyDescent="0.2">
      <c r="A273" t="s">
        <v>641</v>
      </c>
      <c r="N273">
        <v>11</v>
      </c>
      <c r="T273" s="3"/>
      <c r="U273" s="3"/>
      <c r="V273" s="9"/>
      <c r="W273" s="9"/>
      <c r="X273" s="9"/>
      <c r="Y273" s="9"/>
      <c r="Z273" s="9"/>
      <c r="AA273" s="9"/>
      <c r="AB273">
        <v>61</v>
      </c>
      <c r="AC273" s="9"/>
      <c r="AD273" s="9"/>
      <c r="AE273" s="8"/>
      <c r="AF273" s="8"/>
      <c r="AG273" s="8"/>
      <c r="AH273" s="9"/>
      <c r="AI273" s="8"/>
      <c r="AJ273" s="8"/>
      <c r="AK273" s="8"/>
      <c r="AL273" s="8"/>
      <c r="AM273" s="9"/>
      <c r="AO273" s="8"/>
      <c r="AP273" s="9"/>
    </row>
    <row r="274" spans="1:64" ht="12.75" customHeight="1" x14ac:dyDescent="0.2">
      <c r="A274" t="s">
        <v>218</v>
      </c>
      <c r="N274">
        <v>10</v>
      </c>
      <c r="T274" s="3"/>
      <c r="U274" s="3"/>
      <c r="V274" s="9"/>
      <c r="W274" s="9"/>
      <c r="X274" s="9"/>
      <c r="Y274" s="9"/>
      <c r="Z274" s="9"/>
      <c r="AA274" s="9"/>
      <c r="AB274" s="3"/>
      <c r="AC274" s="9"/>
      <c r="AD274" s="9"/>
      <c r="AE274" s="8"/>
      <c r="AF274" s="8"/>
      <c r="AG274" s="8"/>
      <c r="AH274" s="9"/>
      <c r="AI274" s="8">
        <v>100</v>
      </c>
      <c r="AJ274" s="8"/>
      <c r="AK274" s="8"/>
      <c r="AL274" s="8">
        <v>7.0000000000000007E-2</v>
      </c>
      <c r="AM274" s="9"/>
      <c r="AN274" s="9"/>
      <c r="AO274" s="8"/>
      <c r="AP274" s="9"/>
    </row>
    <row r="275" spans="1:64" ht="12.75" customHeight="1" x14ac:dyDescent="0.2">
      <c r="A275" s="96" t="s">
        <v>642</v>
      </c>
      <c r="B275" s="96"/>
      <c r="C275" s="96"/>
      <c r="D275" s="96"/>
      <c r="E275" s="96"/>
      <c r="F275" s="96"/>
      <c r="G275" s="96"/>
      <c r="H275" s="97">
        <v>7</v>
      </c>
      <c r="I275" s="96"/>
      <c r="J275" s="97">
        <v>7</v>
      </c>
      <c r="K275" s="96"/>
      <c r="L275" s="96"/>
      <c r="M275" s="96"/>
      <c r="N275" s="96"/>
      <c r="O275" s="96"/>
      <c r="P275" s="96"/>
      <c r="Q275" s="96"/>
      <c r="R275" s="96"/>
      <c r="S275" s="96"/>
      <c r="T275" s="99"/>
      <c r="U275" s="99"/>
      <c r="V275" s="98"/>
      <c r="W275" s="98"/>
      <c r="X275" s="98"/>
      <c r="Y275" s="98"/>
      <c r="Z275" s="98"/>
      <c r="AA275" s="100">
        <v>0.04</v>
      </c>
      <c r="AB275" s="99"/>
      <c r="AC275" s="100">
        <v>0.04</v>
      </c>
      <c r="AD275" s="98"/>
      <c r="AE275" s="101">
        <v>6</v>
      </c>
      <c r="AF275" s="98"/>
      <c r="AG275" s="98"/>
      <c r="AH275" s="98"/>
      <c r="AI275" s="102"/>
      <c r="AJ275" s="102"/>
      <c r="AK275" s="102"/>
      <c r="AL275" s="98"/>
      <c r="AM275" s="98"/>
      <c r="AN275" s="98"/>
      <c r="AO275" s="98"/>
      <c r="AP275" s="98"/>
      <c r="AQ275" s="98"/>
      <c r="AR275" s="98"/>
      <c r="AS275" s="96"/>
      <c r="AT275" s="96"/>
      <c r="AU275" s="96"/>
      <c r="AV275" s="96"/>
      <c r="AW275" s="96"/>
      <c r="AX275" s="96"/>
      <c r="AY275" s="96"/>
      <c r="AZ275" s="96"/>
      <c r="BA275" s="96"/>
      <c r="BB275" s="96"/>
      <c r="BC275" s="96"/>
      <c r="BD275" s="96"/>
      <c r="BE275" s="96"/>
      <c r="BF275" s="96"/>
      <c r="BG275" s="96"/>
      <c r="BH275" s="96"/>
      <c r="BI275" s="96"/>
      <c r="BJ275" s="96"/>
      <c r="BK275" s="96"/>
      <c r="BL275" s="96"/>
    </row>
    <row r="276" spans="1:64" ht="12.75" customHeight="1" x14ac:dyDescent="0.2">
      <c r="A276" t="s">
        <v>643</v>
      </c>
      <c r="T276" s="3"/>
      <c r="U276" s="3"/>
      <c r="V276" s="9"/>
      <c r="W276" s="9"/>
      <c r="X276" s="9"/>
      <c r="Y276" s="9"/>
      <c r="Z276" s="9"/>
      <c r="AA276" s="9"/>
      <c r="AB276" s="3">
        <v>50</v>
      </c>
      <c r="AC276" s="9"/>
      <c r="AD276" s="9"/>
      <c r="AE276" s="8">
        <v>5</v>
      </c>
      <c r="AF276" s="8"/>
      <c r="AG276" s="8"/>
      <c r="AH276" s="9"/>
      <c r="AI276" s="8"/>
      <c r="AJ276" s="8"/>
      <c r="AK276" s="8"/>
      <c r="AL276" s="8"/>
      <c r="AM276" s="9"/>
      <c r="AN276" s="9"/>
      <c r="AO276" s="8"/>
      <c r="AP276" s="9"/>
    </row>
    <row r="277" spans="1:64" ht="12.75" customHeight="1" x14ac:dyDescent="0.2">
      <c r="A277" t="s">
        <v>644</v>
      </c>
      <c r="G277">
        <v>5</v>
      </c>
      <c r="H277">
        <v>5</v>
      </c>
      <c r="N277">
        <v>10</v>
      </c>
      <c r="O277">
        <v>20</v>
      </c>
      <c r="T277" s="3"/>
      <c r="U277" s="3"/>
      <c r="V277" s="9">
        <v>0.02</v>
      </c>
      <c r="W277" s="9"/>
      <c r="X277" s="9"/>
      <c r="Y277" s="9"/>
      <c r="Z277" s="9"/>
      <c r="AA277" s="9"/>
      <c r="AB277" s="3"/>
      <c r="AC277" s="9"/>
      <c r="AD277" s="9"/>
      <c r="AE277" s="8"/>
      <c r="AF277" s="8"/>
      <c r="AG277" s="8"/>
      <c r="AH277" s="9"/>
      <c r="AI277" s="8"/>
      <c r="AJ277" s="8"/>
      <c r="AK277" s="8"/>
      <c r="AL277" s="8"/>
      <c r="AM277" s="9"/>
      <c r="AN277" s="9"/>
      <c r="AO277" s="8"/>
      <c r="AP277" s="9"/>
    </row>
    <row r="278" spans="1:64" ht="12.75" customHeight="1" x14ac:dyDescent="0.2">
      <c r="A278" t="s">
        <v>645</v>
      </c>
      <c r="N278">
        <v>15</v>
      </c>
      <c r="T278" s="3"/>
      <c r="U278" s="3"/>
      <c r="V278" s="9"/>
      <c r="W278" s="9"/>
      <c r="X278" s="9"/>
      <c r="Y278" s="9"/>
      <c r="Z278" s="9"/>
      <c r="AA278" s="9"/>
      <c r="AB278" s="3">
        <v>71</v>
      </c>
      <c r="AC278" s="9"/>
      <c r="AD278" s="9"/>
      <c r="AE278" s="8"/>
      <c r="AF278" s="8"/>
      <c r="AG278" s="8"/>
      <c r="AH278" s="9"/>
      <c r="AI278" s="8"/>
      <c r="AJ278" s="8"/>
      <c r="AK278" s="8"/>
      <c r="AL278" s="8"/>
      <c r="AM278" s="9"/>
      <c r="AN278" s="9"/>
      <c r="AO278" s="8"/>
      <c r="AP278" s="9"/>
    </row>
    <row r="279" spans="1:64" ht="12.75" customHeight="1" x14ac:dyDescent="0.2">
      <c r="A279" t="s">
        <v>193</v>
      </c>
      <c r="N279">
        <v>17</v>
      </c>
      <c r="T279" s="3"/>
      <c r="U279" s="3"/>
      <c r="V279" s="9">
        <v>0.09</v>
      </c>
      <c r="W279" s="9"/>
      <c r="X279" s="9"/>
      <c r="Y279" s="9"/>
      <c r="Z279" s="9"/>
      <c r="AA279" s="9"/>
      <c r="AB279" s="3">
        <v>81</v>
      </c>
      <c r="AC279" s="9"/>
      <c r="AD279" s="9"/>
      <c r="AE279" s="8"/>
      <c r="AF279" s="8"/>
      <c r="AG279" s="8"/>
      <c r="AH279" s="9"/>
      <c r="AI279" s="8"/>
      <c r="AJ279" s="8"/>
      <c r="AK279" s="8"/>
      <c r="AL279" s="8"/>
      <c r="AM279" s="9"/>
      <c r="AN279" s="9"/>
      <c r="AO279" s="8"/>
      <c r="AP279" s="9"/>
    </row>
    <row r="280" spans="1:64" ht="12.75" customHeight="1" x14ac:dyDescent="0.2">
      <c r="A280" t="s">
        <v>646</v>
      </c>
      <c r="T280" s="3"/>
      <c r="U280" s="3"/>
      <c r="V280" s="9"/>
      <c r="W280" s="9"/>
      <c r="X280" s="9"/>
      <c r="Y280" s="9"/>
      <c r="Z280" s="9"/>
      <c r="AA280" s="9"/>
      <c r="AB280" s="3">
        <v>40</v>
      </c>
      <c r="AC280" s="9"/>
      <c r="AD280" s="9"/>
      <c r="AE280" s="8"/>
      <c r="AF280" s="8"/>
      <c r="AG280" s="8"/>
      <c r="AH280" s="9"/>
      <c r="AI280" s="8"/>
      <c r="AJ280" s="8"/>
      <c r="AK280" s="8"/>
      <c r="AL280" s="8"/>
      <c r="AM280" s="9"/>
      <c r="AO280" s="8">
        <v>30</v>
      </c>
      <c r="AP280" s="9"/>
    </row>
    <row r="281" spans="1:64" s="112" customFormat="1" ht="12.75" customHeight="1" x14ac:dyDescent="0.2">
      <c r="A281" s="111" t="s">
        <v>873</v>
      </c>
      <c r="G281" s="112">
        <v>10</v>
      </c>
      <c r="H281" s="112">
        <v>10</v>
      </c>
      <c r="N281" s="112">
        <v>14</v>
      </c>
      <c r="T281" s="113"/>
      <c r="U281" s="113"/>
      <c r="V281" s="114">
        <v>0.03</v>
      </c>
      <c r="W281" s="114"/>
      <c r="X281" s="114"/>
      <c r="Y281" s="114"/>
      <c r="Z281" s="114"/>
      <c r="AA281" s="114"/>
      <c r="AB281" s="113"/>
      <c r="AC281" s="114"/>
      <c r="AD281" s="114"/>
      <c r="AE281" s="115">
        <v>5</v>
      </c>
      <c r="AF281" s="115"/>
      <c r="AG281" s="115"/>
      <c r="AH281" s="114"/>
      <c r="AI281" s="115"/>
      <c r="AJ281" s="115"/>
      <c r="AK281" s="115"/>
      <c r="AL281" s="115"/>
      <c r="AM281" s="114"/>
      <c r="AO281" s="115"/>
      <c r="AP281" s="114"/>
    </row>
    <row r="282" spans="1:64" ht="12.75" customHeight="1" x14ac:dyDescent="0.2">
      <c r="A282" s="3" t="s">
        <v>647</v>
      </c>
      <c r="G282">
        <v>13</v>
      </c>
      <c r="N282">
        <v>5</v>
      </c>
      <c r="T282" s="3"/>
      <c r="U282" s="3"/>
      <c r="V282" s="9">
        <v>0.01</v>
      </c>
      <c r="W282" s="9"/>
      <c r="X282" s="9"/>
      <c r="Y282" s="9"/>
      <c r="Z282" s="9"/>
      <c r="AA282" s="9"/>
      <c r="AB282" s="3"/>
      <c r="AC282" s="9"/>
      <c r="AD282" s="9"/>
      <c r="AE282" s="8"/>
      <c r="AF282" s="8"/>
      <c r="AG282" s="8"/>
      <c r="AH282" s="9"/>
      <c r="AI282" s="8"/>
      <c r="AJ282" s="8"/>
      <c r="AK282" s="8"/>
      <c r="AL282" s="8"/>
      <c r="AM282" s="9"/>
      <c r="AN282" s="3"/>
      <c r="AO282" s="8"/>
      <c r="AP282" s="9"/>
    </row>
    <row r="283" spans="1:64" ht="12.75" customHeight="1" x14ac:dyDescent="0.2">
      <c r="A283" t="s">
        <v>648</v>
      </c>
      <c r="O283">
        <v>6</v>
      </c>
      <c r="T283" s="3"/>
      <c r="U283" s="3"/>
      <c r="V283" s="9"/>
      <c r="W283" s="9"/>
      <c r="X283" s="9"/>
      <c r="Y283" s="9"/>
      <c r="Z283" s="9"/>
      <c r="AA283" s="9"/>
      <c r="AB283" s="3">
        <v>61</v>
      </c>
      <c r="AC283" s="9"/>
      <c r="AD283" s="9"/>
      <c r="AE283" s="8"/>
      <c r="AF283" s="8"/>
      <c r="AG283" s="8"/>
      <c r="AH283" s="9"/>
      <c r="AI283" s="8"/>
      <c r="AJ283" s="8"/>
      <c r="AK283" s="8"/>
      <c r="AL283" s="8"/>
      <c r="AM283" s="9"/>
      <c r="AN283" s="9"/>
      <c r="AO283" s="8"/>
      <c r="AP283" s="9"/>
    </row>
    <row r="284" spans="1:64" ht="12.75" customHeight="1" x14ac:dyDescent="0.2">
      <c r="A284" s="3" t="s">
        <v>649</v>
      </c>
      <c r="N284">
        <v>20</v>
      </c>
      <c r="O284">
        <v>-5</v>
      </c>
      <c r="T284" s="3"/>
      <c r="U284" s="3"/>
      <c r="V284" s="9"/>
      <c r="W284" s="9"/>
      <c r="X284" s="9"/>
      <c r="Y284" s="9"/>
      <c r="Z284" s="9"/>
      <c r="AA284" s="9"/>
      <c r="AB284" s="3"/>
      <c r="AC284" s="9"/>
      <c r="AD284" s="9"/>
      <c r="AE284" s="8">
        <v>3</v>
      </c>
      <c r="AF284" s="8"/>
      <c r="AG284" s="8"/>
      <c r="AH284" s="9"/>
      <c r="AI284" s="8"/>
      <c r="AJ284" s="8"/>
      <c r="AK284" s="8"/>
      <c r="AL284" s="8"/>
      <c r="AM284" s="9"/>
      <c r="AO284" s="8"/>
      <c r="AP284" s="9"/>
    </row>
    <row r="285" spans="1:64" ht="12.75" customHeight="1" x14ac:dyDescent="0.2">
      <c r="A285" t="s">
        <v>650</v>
      </c>
      <c r="G285">
        <v>3</v>
      </c>
      <c r="T285" s="3"/>
      <c r="U285" s="3"/>
      <c r="V285" s="9"/>
      <c r="W285" s="9"/>
      <c r="X285" s="9"/>
      <c r="Y285" s="9"/>
      <c r="Z285" s="9"/>
      <c r="AA285" s="9"/>
      <c r="AB285" s="3"/>
      <c r="AC285" s="9"/>
      <c r="AD285" s="9"/>
      <c r="AE285" s="8"/>
      <c r="AF285" s="8"/>
      <c r="AG285" s="8"/>
      <c r="AH285" s="9"/>
      <c r="AI285" s="8"/>
      <c r="AJ285" s="8"/>
      <c r="AK285" s="8"/>
      <c r="AL285" s="8"/>
      <c r="AM285" s="9"/>
      <c r="AN285" s="9"/>
      <c r="AO285" s="8">
        <v>55</v>
      </c>
      <c r="AP285" s="9"/>
    </row>
    <row r="286" spans="1:64" ht="12.75" customHeight="1" x14ac:dyDescent="0.2">
      <c r="A286" t="s">
        <v>651</v>
      </c>
      <c r="O286">
        <v>10</v>
      </c>
      <c r="T286" s="3"/>
      <c r="U286" s="3"/>
      <c r="V286" s="9"/>
      <c r="W286" s="9"/>
      <c r="X286" s="9"/>
      <c r="Y286" s="9"/>
      <c r="Z286" s="9"/>
      <c r="AA286" s="9"/>
      <c r="AB286" s="3">
        <v>40</v>
      </c>
      <c r="AC286" s="9"/>
      <c r="AD286" s="9"/>
      <c r="AE286" s="8"/>
      <c r="AF286" s="8"/>
      <c r="AG286" s="8"/>
      <c r="AH286" s="9"/>
      <c r="AI286" s="8"/>
      <c r="AJ286" s="8"/>
      <c r="AK286" s="8"/>
      <c r="AL286" s="8"/>
      <c r="AM286" s="9"/>
      <c r="AN286" s="9"/>
      <c r="AO286" s="8"/>
      <c r="AP286" s="9"/>
    </row>
    <row r="287" spans="1:64" ht="12.75" customHeight="1" x14ac:dyDescent="0.2">
      <c r="A287" t="s">
        <v>652</v>
      </c>
      <c r="O287">
        <v>4</v>
      </c>
      <c r="T287" s="3"/>
      <c r="U287" s="3"/>
      <c r="V287" s="9"/>
      <c r="W287" s="9"/>
      <c r="X287" s="9"/>
      <c r="Y287" s="9"/>
      <c r="Z287" s="9"/>
      <c r="AA287" s="9"/>
      <c r="AB287">
        <v>51</v>
      </c>
      <c r="AC287" s="9"/>
      <c r="AD287" s="9"/>
      <c r="AE287" s="8"/>
      <c r="AF287" s="8"/>
      <c r="AG287" s="8"/>
      <c r="AH287" s="9"/>
      <c r="AI287" s="8"/>
      <c r="AJ287" s="8"/>
      <c r="AK287" s="8"/>
      <c r="AL287" s="8"/>
      <c r="AM287" s="9"/>
      <c r="AO287" s="8"/>
      <c r="AP287" s="9"/>
    </row>
    <row r="288" spans="1:64" ht="12.75" customHeight="1" x14ac:dyDescent="0.2">
      <c r="A288" t="s">
        <v>653</v>
      </c>
      <c r="N288">
        <v>6</v>
      </c>
      <c r="T288" s="3"/>
      <c r="U288" s="3"/>
      <c r="V288" s="9"/>
      <c r="W288" s="9"/>
      <c r="X288" s="9"/>
      <c r="Y288" s="9"/>
      <c r="Z288" s="9"/>
      <c r="AA288" s="9"/>
      <c r="AB288" s="3">
        <v>61</v>
      </c>
      <c r="AC288" s="9"/>
      <c r="AD288" s="9"/>
      <c r="AE288" s="8"/>
      <c r="AF288" s="8"/>
      <c r="AG288" s="8"/>
      <c r="AH288" s="9"/>
      <c r="AI288" s="8"/>
      <c r="AJ288" s="8"/>
      <c r="AK288" s="8"/>
      <c r="AL288" s="8"/>
      <c r="AM288" s="9"/>
      <c r="AN288" s="9"/>
      <c r="AO288" s="8"/>
      <c r="AP288" s="9"/>
    </row>
    <row r="289" spans="1:42" ht="12.75" customHeight="1" x14ac:dyDescent="0.2">
      <c r="A289" t="s">
        <v>654</v>
      </c>
      <c r="T289" s="3"/>
      <c r="U289" s="3"/>
      <c r="V289" s="9"/>
      <c r="W289" s="9"/>
      <c r="X289" s="9"/>
      <c r="Y289" s="9"/>
      <c r="Z289" s="9"/>
      <c r="AA289" s="9"/>
      <c r="AB289" s="3">
        <v>81</v>
      </c>
      <c r="AC289" s="9"/>
      <c r="AD289" s="9"/>
      <c r="AE289" s="8"/>
      <c r="AF289" s="8"/>
      <c r="AG289" s="8"/>
      <c r="AH289" s="9"/>
      <c r="AI289" s="8"/>
      <c r="AJ289" s="8"/>
      <c r="AK289" s="8"/>
      <c r="AL289" s="8"/>
      <c r="AM289" s="9"/>
      <c r="AN289" s="9"/>
      <c r="AO289" s="8"/>
      <c r="AP289" s="9"/>
    </row>
    <row r="290" spans="1:42" ht="12.75" customHeight="1" x14ac:dyDescent="0.2">
      <c r="A290" t="s">
        <v>655</v>
      </c>
      <c r="G290">
        <v>6</v>
      </c>
      <c r="H290">
        <v>6</v>
      </c>
      <c r="T290" s="3"/>
      <c r="U290" s="3"/>
      <c r="V290" s="9"/>
      <c r="W290" s="9"/>
      <c r="X290" s="9"/>
      <c r="Y290" s="9"/>
      <c r="Z290" s="9"/>
      <c r="AA290" s="9"/>
      <c r="AB290" s="3"/>
      <c r="AC290" s="9"/>
      <c r="AD290" s="9"/>
      <c r="AE290" s="8"/>
      <c r="AF290" s="8"/>
      <c r="AG290" s="8"/>
      <c r="AH290" s="9"/>
      <c r="AI290" s="8"/>
      <c r="AJ290" s="8"/>
      <c r="AK290" s="8"/>
      <c r="AL290" s="8"/>
      <c r="AM290" s="9"/>
      <c r="AN290" s="9"/>
      <c r="AO290" s="8"/>
      <c r="AP290" s="9"/>
    </row>
    <row r="291" spans="1:42" ht="12.75" customHeight="1" x14ac:dyDescent="0.2">
      <c r="A291" s="3" t="s">
        <v>656</v>
      </c>
      <c r="G291">
        <v>10</v>
      </c>
      <c r="N291">
        <v>5</v>
      </c>
      <c r="O291">
        <v>28</v>
      </c>
      <c r="T291" s="3"/>
      <c r="U291" s="3"/>
      <c r="V291" s="9">
        <v>-0.05</v>
      </c>
      <c r="W291" s="9"/>
      <c r="X291" s="9"/>
      <c r="Y291" s="9"/>
      <c r="Z291" s="9"/>
      <c r="AA291" s="9"/>
      <c r="AB291" s="3"/>
      <c r="AC291" s="9"/>
      <c r="AD291" s="9"/>
      <c r="AE291" s="8"/>
      <c r="AF291" s="8"/>
      <c r="AG291" s="8"/>
      <c r="AH291" s="9"/>
      <c r="AI291" s="8"/>
      <c r="AJ291" s="8"/>
      <c r="AK291" s="8"/>
      <c r="AL291" s="8"/>
      <c r="AM291" s="9"/>
      <c r="AO291" s="8"/>
      <c r="AP291" s="9"/>
    </row>
    <row r="292" spans="1:42" ht="12.75" customHeight="1" x14ac:dyDescent="0.2">
      <c r="A292" t="s">
        <v>657</v>
      </c>
      <c r="T292" s="3"/>
      <c r="U292" s="3"/>
      <c r="V292" s="9"/>
      <c r="W292" s="9"/>
      <c r="X292" s="9"/>
      <c r="Y292" s="9"/>
      <c r="Z292" s="9"/>
      <c r="AA292" s="9"/>
      <c r="AB292" s="3">
        <v>102</v>
      </c>
      <c r="AC292" s="9"/>
      <c r="AD292" s="9"/>
      <c r="AE292" s="8"/>
      <c r="AF292" s="8"/>
      <c r="AG292" s="8"/>
      <c r="AH292" s="9"/>
      <c r="AI292" s="8"/>
      <c r="AJ292" s="8"/>
      <c r="AK292" s="8"/>
      <c r="AL292" s="8"/>
      <c r="AM292" s="9"/>
      <c r="AN292" s="9"/>
      <c r="AO292" s="8"/>
      <c r="AP292" s="9"/>
    </row>
    <row r="293" spans="1:42" ht="12.75" customHeight="1" x14ac:dyDescent="0.2">
      <c r="A293" t="s">
        <v>658</v>
      </c>
      <c r="L293">
        <v>6</v>
      </c>
      <c r="T293" s="3"/>
      <c r="U293" s="3"/>
      <c r="V293" s="9"/>
      <c r="W293" s="9"/>
      <c r="X293" s="9"/>
      <c r="Y293" s="9"/>
      <c r="Z293" s="9"/>
      <c r="AA293" s="9"/>
      <c r="AB293" s="3"/>
      <c r="AC293" s="9"/>
      <c r="AD293" s="9"/>
      <c r="AE293" s="8"/>
      <c r="AF293" s="8"/>
      <c r="AG293" s="8"/>
      <c r="AH293" s="9"/>
      <c r="AI293" s="8"/>
      <c r="AJ293" s="8"/>
      <c r="AK293" s="8"/>
      <c r="AL293" s="8"/>
      <c r="AM293" s="9"/>
      <c r="AN293" s="9"/>
      <c r="AO293" s="8"/>
      <c r="AP293" s="9"/>
    </row>
    <row r="294" spans="1:42" s="112" customFormat="1" ht="12.75" customHeight="1" x14ac:dyDescent="0.2">
      <c r="A294" s="111" t="s">
        <v>869</v>
      </c>
      <c r="G294" s="112">
        <v>15</v>
      </c>
      <c r="O294" s="112">
        <v>15</v>
      </c>
      <c r="T294" s="113"/>
      <c r="U294" s="113"/>
      <c r="V294" s="114">
        <v>0.05</v>
      </c>
      <c r="W294" s="114">
        <v>0.02</v>
      </c>
      <c r="X294" s="114"/>
      <c r="Y294" s="114"/>
      <c r="Z294" s="114"/>
      <c r="AA294" s="114"/>
      <c r="AB294" s="113">
        <f>ROUNDDOWN(1024*0.09,0)</f>
        <v>92</v>
      </c>
      <c r="AC294" s="114"/>
      <c r="AD294" s="114"/>
      <c r="AE294" s="115"/>
      <c r="AF294" s="115"/>
      <c r="AG294" s="115"/>
      <c r="AH294" s="114"/>
      <c r="AI294" s="115"/>
      <c r="AJ294" s="115"/>
      <c r="AK294" s="115"/>
      <c r="AL294" s="115"/>
      <c r="AM294" s="114"/>
      <c r="AN294" s="114"/>
      <c r="AO294" s="115"/>
      <c r="AP294" s="114"/>
    </row>
    <row r="295" spans="1:42" ht="12.75" customHeight="1" x14ac:dyDescent="0.2">
      <c r="A295" t="s">
        <v>659</v>
      </c>
      <c r="T295" s="3"/>
      <c r="U295" s="3"/>
      <c r="V295" s="9"/>
      <c r="W295" s="9"/>
      <c r="X295" s="9"/>
      <c r="Y295" s="9"/>
      <c r="Z295" s="9"/>
      <c r="AA295" s="9"/>
      <c r="AB295" s="3">
        <v>60</v>
      </c>
      <c r="AC295" s="9"/>
      <c r="AD295" s="9"/>
      <c r="AE295" s="8"/>
      <c r="AF295" s="8"/>
      <c r="AG295" s="8"/>
      <c r="AH295" s="9"/>
      <c r="AI295" s="8"/>
      <c r="AJ295" s="8"/>
      <c r="AK295" s="8"/>
      <c r="AL295" s="8"/>
      <c r="AM295" s="9"/>
      <c r="AN295" s="9"/>
      <c r="AO295" s="8"/>
      <c r="AP295" s="9"/>
    </row>
    <row r="296" spans="1:42" ht="12.75" customHeight="1" x14ac:dyDescent="0.2">
      <c r="A296" s="3" t="s">
        <v>660</v>
      </c>
      <c r="O296">
        <v>18</v>
      </c>
      <c r="T296" s="3"/>
      <c r="U296" s="3"/>
      <c r="V296" s="9"/>
      <c r="W296" s="9"/>
      <c r="X296" s="9"/>
      <c r="Y296" s="9"/>
      <c r="Z296" s="9"/>
      <c r="AA296" s="9"/>
      <c r="AB296" s="3">
        <v>40</v>
      </c>
      <c r="AC296" s="9"/>
      <c r="AD296" s="9"/>
      <c r="AE296" s="8">
        <v>6</v>
      </c>
      <c r="AF296" s="8"/>
      <c r="AG296" s="8"/>
      <c r="AH296" s="9"/>
      <c r="AI296" s="8"/>
      <c r="AJ296" s="8"/>
      <c r="AK296" s="8"/>
      <c r="AL296" s="8"/>
      <c r="AM296" s="9"/>
      <c r="AN296" s="3"/>
      <c r="AO296" s="8"/>
      <c r="AP296" s="9"/>
    </row>
    <row r="297" spans="1:42" ht="12.75" customHeight="1" x14ac:dyDescent="0.2">
      <c r="A297" t="s">
        <v>661</v>
      </c>
      <c r="N297">
        <v>3</v>
      </c>
      <c r="O297">
        <v>-5</v>
      </c>
      <c r="T297" s="3"/>
      <c r="U297" s="3"/>
      <c r="V297" s="9"/>
      <c r="W297" s="9"/>
      <c r="X297" s="9"/>
      <c r="Y297" s="9"/>
      <c r="Z297" s="9"/>
      <c r="AA297" s="9"/>
      <c r="AB297" s="3">
        <v>40</v>
      </c>
      <c r="AC297" s="9"/>
      <c r="AD297" s="9"/>
      <c r="AE297" s="8"/>
      <c r="AF297" s="8"/>
      <c r="AG297" s="8"/>
      <c r="AH297" s="9"/>
      <c r="AI297" s="8"/>
      <c r="AJ297" s="8"/>
      <c r="AK297" s="8"/>
      <c r="AL297" s="8"/>
      <c r="AM297" s="9"/>
      <c r="AN297" s="9"/>
      <c r="AO297" s="8"/>
      <c r="AP297" s="9"/>
    </row>
    <row r="298" spans="1:42" ht="12.75" customHeight="1" x14ac:dyDescent="0.2">
      <c r="A298" t="s">
        <v>662</v>
      </c>
      <c r="T298" s="3"/>
      <c r="U298" s="3"/>
      <c r="V298" s="9">
        <v>0.02</v>
      </c>
      <c r="W298" s="9"/>
      <c r="X298" s="9"/>
      <c r="Y298" s="9"/>
      <c r="Z298" s="9"/>
      <c r="AA298" s="9"/>
      <c r="AB298" s="3">
        <v>71</v>
      </c>
      <c r="AC298" s="9"/>
      <c r="AD298" s="9"/>
      <c r="AE298" s="8"/>
      <c r="AF298" s="8"/>
      <c r="AG298" s="8"/>
      <c r="AH298" s="9"/>
      <c r="AI298" s="8"/>
      <c r="AJ298" s="8"/>
      <c r="AK298" s="8"/>
      <c r="AL298" s="8"/>
      <c r="AM298" s="9"/>
      <c r="AN298" s="9"/>
      <c r="AO298" s="8"/>
      <c r="AP298" s="9"/>
    </row>
    <row r="299" spans="1:42" ht="12.75" customHeight="1" x14ac:dyDescent="0.2">
      <c r="A299" t="s">
        <v>663</v>
      </c>
      <c r="N299">
        <v>12</v>
      </c>
      <c r="O299">
        <v>4</v>
      </c>
      <c r="T299" s="3"/>
      <c r="U299" s="3"/>
      <c r="V299" s="9"/>
      <c r="W299" s="9"/>
      <c r="X299" s="9"/>
      <c r="Y299" s="9"/>
      <c r="Z299" s="9"/>
      <c r="AA299" s="9"/>
      <c r="AB299" s="3"/>
      <c r="AC299" s="9"/>
      <c r="AD299" s="9"/>
      <c r="AE299" s="8"/>
      <c r="AF299" s="8"/>
      <c r="AG299" s="8"/>
      <c r="AH299" s="9"/>
      <c r="AI299" s="8"/>
      <c r="AJ299" s="8"/>
      <c r="AK299" s="8"/>
      <c r="AL299" s="8"/>
      <c r="AM299" s="9"/>
      <c r="AN299" s="9"/>
      <c r="AO299" s="8"/>
      <c r="AP299" s="9"/>
    </row>
    <row r="300" spans="1:42" ht="12.75" customHeight="1" x14ac:dyDescent="0.2">
      <c r="A300" t="s">
        <v>664</v>
      </c>
      <c r="G300">
        <v>8</v>
      </c>
      <c r="H300">
        <v>8</v>
      </c>
      <c r="I300">
        <v>-5</v>
      </c>
      <c r="J300">
        <v>-5</v>
      </c>
      <c r="K300">
        <v>8</v>
      </c>
      <c r="L300">
        <v>-5</v>
      </c>
      <c r="T300" s="3"/>
      <c r="U300" s="3"/>
      <c r="V300" s="9"/>
      <c r="W300" s="9"/>
      <c r="X300" s="9"/>
      <c r="Y300" s="9"/>
      <c r="Z300" s="9"/>
      <c r="AA300" s="9"/>
      <c r="AB300" s="3"/>
      <c r="AC300" s="9"/>
      <c r="AD300" s="9"/>
      <c r="AE300" s="8"/>
      <c r="AF300" s="8"/>
      <c r="AG300" s="8"/>
      <c r="AH300" s="9"/>
      <c r="AI300" s="8"/>
      <c r="AJ300" s="8"/>
      <c r="AK300" s="8"/>
      <c r="AL300" s="8"/>
      <c r="AM300" s="9"/>
      <c r="AN300" s="9"/>
      <c r="AO300" s="8"/>
      <c r="AP300" s="9"/>
    </row>
    <row r="301" spans="1:42" ht="12.75" customHeight="1" x14ac:dyDescent="0.2">
      <c r="A301" t="s">
        <v>665</v>
      </c>
      <c r="G301">
        <v>5</v>
      </c>
      <c r="H301">
        <v>5</v>
      </c>
      <c r="I301">
        <v>5</v>
      </c>
      <c r="T301" s="3"/>
      <c r="U301" s="3"/>
      <c r="V301" s="9"/>
      <c r="W301" s="9"/>
      <c r="X301" s="9"/>
      <c r="Y301" s="9"/>
      <c r="Z301" s="9"/>
      <c r="AA301" s="9"/>
      <c r="AB301" s="3"/>
      <c r="AC301" s="9"/>
      <c r="AD301" s="9"/>
      <c r="AE301" s="8"/>
      <c r="AF301" s="8"/>
      <c r="AG301" s="8"/>
      <c r="AH301" s="9"/>
      <c r="AI301" s="8"/>
      <c r="AJ301" s="8"/>
      <c r="AK301" s="8"/>
      <c r="AL301" s="8"/>
      <c r="AM301" s="9"/>
      <c r="AN301" s="9"/>
      <c r="AO301" s="8"/>
      <c r="AP301" s="9"/>
    </row>
    <row r="302" spans="1:42" ht="12.75" customHeight="1" x14ac:dyDescent="0.2">
      <c r="A302" s="3" t="s">
        <v>217</v>
      </c>
      <c r="N302">
        <v>2</v>
      </c>
      <c r="T302" s="3"/>
      <c r="U302" s="3"/>
      <c r="V302" s="9"/>
      <c r="W302" s="9">
        <v>0.02</v>
      </c>
      <c r="X302" s="9">
        <v>0.02</v>
      </c>
      <c r="Y302" s="9"/>
      <c r="Z302" s="9"/>
      <c r="AA302" s="9"/>
      <c r="AB302" s="3"/>
      <c r="AC302" s="9"/>
      <c r="AD302" s="9"/>
      <c r="AE302" s="8"/>
      <c r="AF302" s="8"/>
      <c r="AG302" s="8"/>
      <c r="AH302" s="9"/>
      <c r="AI302" s="8"/>
      <c r="AJ302" s="8"/>
      <c r="AK302" s="8"/>
      <c r="AL302" s="8"/>
      <c r="AM302" s="9"/>
      <c r="AO302" s="8"/>
      <c r="AP302" s="9"/>
    </row>
    <row r="303" spans="1:42" ht="12.75" customHeight="1" x14ac:dyDescent="0.2">
      <c r="T303" s="3"/>
      <c r="U303" s="3"/>
      <c r="V303" s="9"/>
      <c r="W303" s="9"/>
      <c r="X303" s="9"/>
      <c r="Y303" s="9"/>
      <c r="Z303" s="9"/>
      <c r="AA303" s="9"/>
      <c r="AC303" s="9"/>
      <c r="AD303" s="9"/>
      <c r="AE303" s="8"/>
      <c r="AF303" s="8"/>
      <c r="AG303" s="8"/>
      <c r="AH303" s="9"/>
      <c r="AI303" s="8"/>
      <c r="AJ303" s="8"/>
      <c r="AK303" s="8"/>
      <c r="AL303" s="8"/>
      <c r="AM303" s="9"/>
      <c r="AO303" s="8"/>
      <c r="AP303" s="9"/>
    </row>
    <row r="304" spans="1:42" ht="12.75" customHeight="1" x14ac:dyDescent="0.2">
      <c r="T304" s="3"/>
      <c r="U304" s="3"/>
      <c r="V304" s="9"/>
      <c r="W304" s="9"/>
      <c r="X304" s="9"/>
      <c r="Y304" s="9"/>
      <c r="Z304" s="9"/>
      <c r="AA304" s="9"/>
      <c r="AC304" s="9"/>
      <c r="AD304" s="9"/>
      <c r="AE304" s="8"/>
      <c r="AF304" s="8"/>
      <c r="AG304" s="8"/>
      <c r="AH304" s="9"/>
      <c r="AI304" s="8"/>
      <c r="AJ304" s="8"/>
      <c r="AK304" s="8"/>
      <c r="AL304" s="8"/>
      <c r="AM304" s="9"/>
      <c r="AO304" s="8"/>
      <c r="AP304" s="9"/>
    </row>
    <row r="305" spans="1:45" ht="12.75" customHeight="1" x14ac:dyDescent="0.2">
      <c r="A305" t="s">
        <v>194</v>
      </c>
      <c r="B305" t="s">
        <v>477</v>
      </c>
      <c r="C305" t="s">
        <v>478</v>
      </c>
      <c r="D305" t="s">
        <v>479</v>
      </c>
      <c r="E305" t="s">
        <v>480</v>
      </c>
      <c r="F305" s="3" t="s">
        <v>481</v>
      </c>
      <c r="G305" t="s">
        <v>30</v>
      </c>
      <c r="H305" t="s">
        <v>33</v>
      </c>
      <c r="I305" t="s">
        <v>29</v>
      </c>
      <c r="J305" t="s">
        <v>32</v>
      </c>
      <c r="K305" t="s">
        <v>153</v>
      </c>
      <c r="L305" t="s">
        <v>154</v>
      </c>
      <c r="M305" t="s">
        <v>482</v>
      </c>
      <c r="N305" t="s">
        <v>120</v>
      </c>
      <c r="O305" t="s">
        <v>156</v>
      </c>
      <c r="P305" t="s">
        <v>157</v>
      </c>
      <c r="Q305" t="s">
        <v>483</v>
      </c>
      <c r="R305" t="s">
        <v>484</v>
      </c>
      <c r="S305" t="s">
        <v>485</v>
      </c>
      <c r="T305" s="3" t="s">
        <v>486</v>
      </c>
      <c r="U305" s="3" t="s">
        <v>487</v>
      </c>
      <c r="V305" s="9" t="s">
        <v>158</v>
      </c>
      <c r="W305" s="9" t="s">
        <v>159</v>
      </c>
      <c r="X305" s="9" t="s">
        <v>160</v>
      </c>
      <c r="Y305" s="9" t="s">
        <v>488</v>
      </c>
      <c r="Z305" s="9" t="s">
        <v>161</v>
      </c>
      <c r="AA305" s="9" t="s">
        <v>165</v>
      </c>
      <c r="AB305" t="s">
        <v>164</v>
      </c>
      <c r="AC305" s="9" t="s">
        <v>162</v>
      </c>
      <c r="AD305" s="9" t="s">
        <v>163</v>
      </c>
      <c r="AE305" s="8" t="s">
        <v>166</v>
      </c>
      <c r="AF305" s="8" t="s">
        <v>130</v>
      </c>
      <c r="AG305" s="8" t="s">
        <v>205</v>
      </c>
      <c r="AH305" s="9" t="s">
        <v>207</v>
      </c>
      <c r="AI305" s="8" t="s">
        <v>208</v>
      </c>
      <c r="AJ305" s="8" t="s">
        <v>489</v>
      </c>
      <c r="AK305" s="8" t="s">
        <v>135</v>
      </c>
      <c r="AL305" s="8" t="s">
        <v>206</v>
      </c>
      <c r="AM305" s="9" t="s">
        <v>490</v>
      </c>
      <c r="AO305" s="8" t="s">
        <v>37</v>
      </c>
      <c r="AP305" s="9" t="s">
        <v>155</v>
      </c>
    </row>
    <row r="306" spans="1:45" ht="12.75" customHeight="1" x14ac:dyDescent="0.2">
      <c r="A306" s="3" t="s">
        <v>195</v>
      </c>
      <c r="G306">
        <v>39</v>
      </c>
      <c r="I306">
        <v>26</v>
      </c>
      <c r="J306">
        <v>30</v>
      </c>
      <c r="K306">
        <v>40</v>
      </c>
      <c r="L306">
        <v>28</v>
      </c>
      <c r="M306">
        <v>21</v>
      </c>
      <c r="N306">
        <v>49</v>
      </c>
      <c r="T306" s="3"/>
      <c r="U306" s="3"/>
      <c r="V306" s="9"/>
      <c r="W306" s="9"/>
      <c r="X306" s="9"/>
      <c r="Y306" s="9"/>
      <c r="Z306" s="9"/>
      <c r="AA306" s="9"/>
      <c r="AB306" s="3">
        <v>60</v>
      </c>
      <c r="AC306" s="9"/>
      <c r="AD306" s="9"/>
      <c r="AE306" s="8"/>
      <c r="AF306" s="8"/>
      <c r="AG306" s="8"/>
      <c r="AH306" s="9"/>
      <c r="AI306" s="8"/>
      <c r="AJ306" s="8"/>
      <c r="AK306" s="8"/>
      <c r="AL306" s="8"/>
      <c r="AM306" s="9"/>
      <c r="AN306" s="9"/>
      <c r="AO306" s="8"/>
      <c r="AP306" s="9"/>
    </row>
    <row r="307" spans="1:45" ht="12.75" customHeight="1" x14ac:dyDescent="0.2">
      <c r="A307" s="3" t="s">
        <v>176</v>
      </c>
      <c r="G307">
        <v>39</v>
      </c>
      <c r="I307">
        <v>26</v>
      </c>
      <c r="J307">
        <v>30</v>
      </c>
      <c r="K307">
        <v>40</v>
      </c>
      <c r="L307">
        <v>27</v>
      </c>
      <c r="M307">
        <v>21</v>
      </c>
      <c r="N307">
        <v>39</v>
      </c>
      <c r="O307">
        <v>64</v>
      </c>
      <c r="T307" s="3"/>
      <c r="U307" s="3"/>
      <c r="V307" s="9"/>
      <c r="W307" s="9"/>
      <c r="X307" s="9"/>
      <c r="Y307" s="9"/>
      <c r="Z307" s="9"/>
      <c r="AA307" s="9"/>
      <c r="AB307" s="3">
        <v>60</v>
      </c>
      <c r="AC307" s="9"/>
      <c r="AD307" s="9"/>
      <c r="AE307" s="8"/>
      <c r="AF307" s="8"/>
      <c r="AG307" s="8"/>
      <c r="AH307" s="9"/>
      <c r="AI307" s="8"/>
      <c r="AJ307" s="8"/>
      <c r="AK307" s="8"/>
      <c r="AL307" s="8"/>
      <c r="AM307" s="9"/>
      <c r="AN307" s="3"/>
      <c r="AO307" s="8"/>
      <c r="AP307" s="9"/>
    </row>
    <row r="308" spans="1:45" ht="12.75" customHeight="1" x14ac:dyDescent="0.2">
      <c r="A308" s="3" t="s">
        <v>530</v>
      </c>
      <c r="G308">
        <v>33</v>
      </c>
      <c r="I308">
        <v>15</v>
      </c>
      <c r="J308">
        <v>21</v>
      </c>
      <c r="K308">
        <v>33</v>
      </c>
      <c r="L308">
        <v>17</v>
      </c>
      <c r="M308">
        <v>12</v>
      </c>
      <c r="T308" s="3"/>
      <c r="U308" s="3"/>
      <c r="V308" s="9"/>
      <c r="W308" s="9"/>
      <c r="X308" s="9"/>
      <c r="Y308" s="9"/>
      <c r="Z308" s="9"/>
      <c r="AA308" s="9"/>
      <c r="AB308" s="3">
        <v>60</v>
      </c>
      <c r="AC308" s="9"/>
      <c r="AD308" s="9"/>
      <c r="AE308" s="8"/>
      <c r="AF308" s="8"/>
      <c r="AG308" s="8"/>
      <c r="AH308" s="9"/>
      <c r="AI308" s="8"/>
      <c r="AJ308" s="8"/>
      <c r="AK308" s="8"/>
      <c r="AL308" s="8"/>
      <c r="AM308" s="9"/>
      <c r="AN308" s="3"/>
      <c r="AO308" s="8"/>
      <c r="AP308" s="9"/>
    </row>
    <row r="309" spans="1:45" ht="12.75" customHeight="1" x14ac:dyDescent="0.2">
      <c r="A309" t="s">
        <v>196</v>
      </c>
      <c r="G309">
        <v>40</v>
      </c>
      <c r="I309">
        <v>15</v>
      </c>
      <c r="J309">
        <v>42</v>
      </c>
      <c r="K309">
        <v>26</v>
      </c>
      <c r="L309">
        <v>23</v>
      </c>
      <c r="M309">
        <v>18</v>
      </c>
      <c r="N309">
        <v>49</v>
      </c>
      <c r="O309">
        <v>45</v>
      </c>
      <c r="T309" s="3"/>
      <c r="U309" s="3"/>
      <c r="V309" s="9"/>
      <c r="W309" s="9">
        <v>0.05</v>
      </c>
      <c r="X309" s="9"/>
      <c r="Y309" s="9"/>
      <c r="Z309" s="9"/>
      <c r="AA309" s="9"/>
      <c r="AB309" s="3">
        <v>40</v>
      </c>
      <c r="AC309" s="9"/>
      <c r="AD309" s="9"/>
      <c r="AE309" s="8"/>
      <c r="AF309" s="8"/>
      <c r="AG309" s="8"/>
      <c r="AH309" s="9"/>
      <c r="AI309" s="8"/>
      <c r="AJ309" s="8"/>
      <c r="AK309" s="8"/>
      <c r="AL309" s="8"/>
      <c r="AM309" s="9"/>
      <c r="AN309" s="9"/>
      <c r="AO309" s="8"/>
      <c r="AP309" s="9"/>
    </row>
    <row r="310" spans="1:45" ht="12.75" customHeight="1" x14ac:dyDescent="0.2">
      <c r="A310" t="s">
        <v>213</v>
      </c>
      <c r="G310">
        <v>33</v>
      </c>
      <c r="H310">
        <v>11</v>
      </c>
      <c r="I310">
        <v>16</v>
      </c>
      <c r="J310">
        <v>34</v>
      </c>
      <c r="K310">
        <v>29</v>
      </c>
      <c r="L310">
        <v>26</v>
      </c>
      <c r="M310">
        <v>10</v>
      </c>
      <c r="N310">
        <v>45</v>
      </c>
      <c r="T310" s="3"/>
      <c r="U310" s="3"/>
      <c r="V310" s="9"/>
      <c r="W310" s="9"/>
      <c r="X310" s="9"/>
      <c r="Y310" s="9"/>
      <c r="Z310" s="9"/>
      <c r="AA310" s="9"/>
      <c r="AB310" s="3">
        <v>91</v>
      </c>
      <c r="AC310" s="9"/>
      <c r="AD310" s="9"/>
      <c r="AE310" s="8"/>
      <c r="AF310" s="8"/>
      <c r="AG310" s="8"/>
      <c r="AH310" s="9"/>
      <c r="AI310" s="8"/>
      <c r="AJ310" s="8"/>
      <c r="AK310" s="8"/>
      <c r="AL310" s="8"/>
      <c r="AM310" s="9"/>
      <c r="AN310" s="9"/>
      <c r="AO310" s="8"/>
      <c r="AP310" s="9"/>
    </row>
    <row r="311" spans="1:45" ht="12.75" customHeight="1" x14ac:dyDescent="0.2">
      <c r="A311" t="s">
        <v>187</v>
      </c>
      <c r="G311">
        <v>30</v>
      </c>
      <c r="H311">
        <v>5</v>
      </c>
      <c r="I311">
        <v>16</v>
      </c>
      <c r="J311">
        <v>37</v>
      </c>
      <c r="K311">
        <v>30</v>
      </c>
      <c r="L311">
        <v>17</v>
      </c>
      <c r="M311">
        <v>17</v>
      </c>
      <c r="N311">
        <v>51</v>
      </c>
      <c r="T311" s="3"/>
      <c r="U311" s="3"/>
      <c r="V311" s="9"/>
      <c r="W311" s="9"/>
      <c r="X311" s="9"/>
      <c r="Y311" s="9"/>
      <c r="Z311" s="9"/>
      <c r="AA311" s="9"/>
      <c r="AB311" s="3">
        <v>91</v>
      </c>
      <c r="AC311" s="9">
        <v>0.08</v>
      </c>
      <c r="AD311" s="9"/>
      <c r="AE311" s="8"/>
      <c r="AF311" s="8"/>
      <c r="AG311" s="8"/>
      <c r="AH311" s="9"/>
      <c r="AI311" s="8"/>
      <c r="AJ311" s="8"/>
      <c r="AK311" s="8"/>
      <c r="AL311" s="8"/>
      <c r="AM311" s="9"/>
      <c r="AN311" s="9"/>
      <c r="AO311" s="8">
        <v>122</v>
      </c>
      <c r="AP311" s="9"/>
    </row>
    <row r="312" spans="1:45" ht="12.75" customHeight="1" x14ac:dyDescent="0.2">
      <c r="A312" t="s">
        <v>666</v>
      </c>
      <c r="G312">
        <v>48</v>
      </c>
      <c r="H312">
        <v>16</v>
      </c>
      <c r="I312">
        <v>15</v>
      </c>
      <c r="J312">
        <v>30</v>
      </c>
      <c r="K312">
        <v>28</v>
      </c>
      <c r="L312">
        <v>16</v>
      </c>
      <c r="M312">
        <v>8</v>
      </c>
      <c r="N312">
        <v>15</v>
      </c>
      <c r="T312" s="3"/>
      <c r="U312" s="3"/>
      <c r="V312" s="9">
        <v>0.03</v>
      </c>
      <c r="W312" s="9">
        <v>0.03</v>
      </c>
      <c r="X312" s="9"/>
      <c r="Y312" s="9"/>
      <c r="Z312" s="9"/>
      <c r="AA312" s="9"/>
      <c r="AB312" s="3">
        <v>61</v>
      </c>
      <c r="AC312" s="9"/>
      <c r="AD312" s="9"/>
      <c r="AE312" s="8">
        <v>7</v>
      </c>
      <c r="AF312" s="8"/>
      <c r="AG312" s="8"/>
      <c r="AH312" s="9"/>
      <c r="AI312" s="8"/>
      <c r="AJ312" s="8"/>
      <c r="AK312" s="8"/>
      <c r="AL312" s="8"/>
      <c r="AM312" s="9"/>
      <c r="AN312" s="9"/>
      <c r="AO312" s="8">
        <v>41</v>
      </c>
      <c r="AP312" s="9"/>
    </row>
    <row r="313" spans="1:45" ht="12.75" customHeight="1" x14ac:dyDescent="0.2">
      <c r="A313" s="3" t="s">
        <v>531</v>
      </c>
      <c r="G313">
        <v>30</v>
      </c>
      <c r="I313">
        <v>17</v>
      </c>
      <c r="J313">
        <v>17</v>
      </c>
      <c r="K313">
        <v>29</v>
      </c>
      <c r="L313">
        <v>16</v>
      </c>
      <c r="M313">
        <v>16</v>
      </c>
      <c r="N313">
        <v>35</v>
      </c>
      <c r="O313">
        <v>35</v>
      </c>
      <c r="V313" s="9"/>
      <c r="W313" s="9"/>
      <c r="X313" s="9"/>
      <c r="Y313" s="9"/>
      <c r="Z313" s="9"/>
      <c r="AA313" s="9"/>
      <c r="AB313" s="3">
        <v>61</v>
      </c>
      <c r="AC313" s="9"/>
      <c r="AD313" s="9"/>
      <c r="AE313" s="8"/>
      <c r="AF313" s="8"/>
      <c r="AG313" s="8"/>
      <c r="AH313" s="9"/>
      <c r="AI313" s="8"/>
      <c r="AJ313" s="8"/>
      <c r="AK313" s="8"/>
      <c r="AL313" s="8"/>
      <c r="AM313" s="9"/>
      <c r="AO313" s="8">
        <v>50</v>
      </c>
      <c r="AP313" s="9"/>
      <c r="AQ313" s="9"/>
      <c r="AR313" s="9"/>
      <c r="AS313" s="9"/>
    </row>
    <row r="314" spans="1:45" ht="12.75" customHeight="1" x14ac:dyDescent="0.2">
      <c r="A314" s="3" t="s">
        <v>532</v>
      </c>
      <c r="G314">
        <f>G313+12</f>
        <v>42</v>
      </c>
      <c r="H314">
        <f>H313</f>
        <v>0</v>
      </c>
      <c r="I314">
        <f>I313</f>
        <v>17</v>
      </c>
      <c r="J314">
        <f>J313</f>
        <v>17</v>
      </c>
      <c r="K314">
        <f>K313+12</f>
        <v>41</v>
      </c>
      <c r="L314">
        <f t="shared" ref="L314:AM314" si="78">L313</f>
        <v>16</v>
      </c>
      <c r="M314">
        <f t="shared" si="78"/>
        <v>16</v>
      </c>
      <c r="N314">
        <f t="shared" si="78"/>
        <v>35</v>
      </c>
      <c r="O314">
        <f t="shared" si="78"/>
        <v>35</v>
      </c>
      <c r="P314">
        <f t="shared" si="78"/>
        <v>0</v>
      </c>
      <c r="Q314">
        <f t="shared" si="78"/>
        <v>0</v>
      </c>
      <c r="R314">
        <f t="shared" si="78"/>
        <v>0</v>
      </c>
      <c r="S314">
        <f t="shared" si="78"/>
        <v>0</v>
      </c>
      <c r="T314">
        <f t="shared" si="78"/>
        <v>0</v>
      </c>
      <c r="U314">
        <f t="shared" si="78"/>
        <v>0</v>
      </c>
      <c r="V314" s="9">
        <f t="shared" si="78"/>
        <v>0</v>
      </c>
      <c r="W314" s="9">
        <f t="shared" si="78"/>
        <v>0</v>
      </c>
      <c r="X314" s="9">
        <f t="shared" si="78"/>
        <v>0</v>
      </c>
      <c r="Y314" s="9">
        <f t="shared" si="78"/>
        <v>0</v>
      </c>
      <c r="Z314" s="9">
        <f t="shared" si="78"/>
        <v>0</v>
      </c>
      <c r="AA314" s="9">
        <f t="shared" si="78"/>
        <v>0</v>
      </c>
      <c r="AB314" s="3">
        <f t="shared" si="78"/>
        <v>61</v>
      </c>
      <c r="AC314" s="9">
        <f t="shared" si="78"/>
        <v>0</v>
      </c>
      <c r="AD314" s="9">
        <f t="shared" si="78"/>
        <v>0</v>
      </c>
      <c r="AE314" s="8">
        <f t="shared" si="78"/>
        <v>0</v>
      </c>
      <c r="AF314" s="8">
        <f t="shared" si="78"/>
        <v>0</v>
      </c>
      <c r="AG314" s="8">
        <f t="shared" si="78"/>
        <v>0</v>
      </c>
      <c r="AH314" s="9">
        <f t="shared" si="78"/>
        <v>0</v>
      </c>
      <c r="AI314" s="8">
        <f t="shared" si="78"/>
        <v>0</v>
      </c>
      <c r="AJ314" s="8">
        <f t="shared" si="78"/>
        <v>0</v>
      </c>
      <c r="AK314" s="8">
        <f t="shared" si="78"/>
        <v>0</v>
      </c>
      <c r="AL314" s="8">
        <f t="shared" si="78"/>
        <v>0</v>
      </c>
      <c r="AM314" s="9">
        <f t="shared" si="78"/>
        <v>0</v>
      </c>
      <c r="AO314" s="8">
        <f>AO313+80</f>
        <v>130</v>
      </c>
      <c r="AP314" s="9"/>
      <c r="AQ314" s="9"/>
      <c r="AR314" s="9"/>
      <c r="AS314" s="9"/>
    </row>
    <row r="315" spans="1:45" ht="12.75" customHeight="1" x14ac:dyDescent="0.2">
      <c r="A315" s="3" t="s">
        <v>533</v>
      </c>
      <c r="G315">
        <f>G313</f>
        <v>30</v>
      </c>
      <c r="H315">
        <f>H313+12</f>
        <v>12</v>
      </c>
      <c r="I315">
        <f>I313</f>
        <v>17</v>
      </c>
      <c r="J315">
        <f>J313</f>
        <v>17</v>
      </c>
      <c r="K315">
        <f>K313</f>
        <v>29</v>
      </c>
      <c r="L315">
        <f>L313+20</f>
        <v>36</v>
      </c>
      <c r="M315">
        <f>M313</f>
        <v>16</v>
      </c>
      <c r="N315">
        <f>N313+12</f>
        <v>47</v>
      </c>
      <c r="O315">
        <f t="shared" ref="O315:AM315" si="79">O313</f>
        <v>35</v>
      </c>
      <c r="P315">
        <f t="shared" si="79"/>
        <v>0</v>
      </c>
      <c r="Q315">
        <f t="shared" si="79"/>
        <v>0</v>
      </c>
      <c r="R315">
        <f t="shared" si="79"/>
        <v>0</v>
      </c>
      <c r="S315">
        <f t="shared" si="79"/>
        <v>0</v>
      </c>
      <c r="T315">
        <f t="shared" si="79"/>
        <v>0</v>
      </c>
      <c r="U315">
        <f t="shared" si="79"/>
        <v>0</v>
      </c>
      <c r="V315" s="9">
        <f t="shared" si="79"/>
        <v>0</v>
      </c>
      <c r="W315" s="9">
        <f t="shared" si="79"/>
        <v>0</v>
      </c>
      <c r="X315" s="9">
        <f t="shared" si="79"/>
        <v>0</v>
      </c>
      <c r="Y315" s="9">
        <f t="shared" si="79"/>
        <v>0</v>
      </c>
      <c r="Z315" s="9">
        <f t="shared" si="79"/>
        <v>0</v>
      </c>
      <c r="AA315" s="9">
        <f t="shared" si="79"/>
        <v>0</v>
      </c>
      <c r="AB315" s="3">
        <f t="shared" si="79"/>
        <v>61</v>
      </c>
      <c r="AC315" s="9">
        <f t="shared" si="79"/>
        <v>0</v>
      </c>
      <c r="AD315" s="9">
        <f t="shared" si="79"/>
        <v>0</v>
      </c>
      <c r="AE315" s="8">
        <f t="shared" si="79"/>
        <v>0</v>
      </c>
      <c r="AF315" s="8">
        <f t="shared" si="79"/>
        <v>0</v>
      </c>
      <c r="AG315" s="8">
        <f t="shared" si="79"/>
        <v>0</v>
      </c>
      <c r="AH315" s="9">
        <f t="shared" si="79"/>
        <v>0</v>
      </c>
      <c r="AI315" s="8">
        <f t="shared" si="79"/>
        <v>0</v>
      </c>
      <c r="AJ315" s="8">
        <f t="shared" si="79"/>
        <v>0</v>
      </c>
      <c r="AK315" s="8">
        <f t="shared" si="79"/>
        <v>0</v>
      </c>
      <c r="AL315" s="8">
        <f t="shared" si="79"/>
        <v>0</v>
      </c>
      <c r="AM315" s="9">
        <f t="shared" si="79"/>
        <v>0</v>
      </c>
      <c r="AO315" s="8">
        <f>AO313</f>
        <v>50</v>
      </c>
      <c r="AP315" s="9"/>
      <c r="AQ315" s="9"/>
      <c r="AR315" s="9"/>
      <c r="AS315" s="9"/>
    </row>
    <row r="316" spans="1:45" ht="12.75" customHeight="1" x14ac:dyDescent="0.2">
      <c r="A316" s="3" t="s">
        <v>534</v>
      </c>
      <c r="G316">
        <f t="shared" ref="G316:M316" si="80">G313</f>
        <v>30</v>
      </c>
      <c r="H316">
        <f t="shared" si="80"/>
        <v>0</v>
      </c>
      <c r="I316">
        <f t="shared" si="80"/>
        <v>17</v>
      </c>
      <c r="J316">
        <f t="shared" si="80"/>
        <v>17</v>
      </c>
      <c r="K316">
        <f t="shared" si="80"/>
        <v>29</v>
      </c>
      <c r="L316">
        <f t="shared" si="80"/>
        <v>16</v>
      </c>
      <c r="M316">
        <f t="shared" si="80"/>
        <v>16</v>
      </c>
      <c r="N316">
        <f>N313+20</f>
        <v>55</v>
      </c>
      <c r="O316">
        <f>O313+12</f>
        <v>47</v>
      </c>
      <c r="P316">
        <f t="shared" ref="P316:Z316" si="81">P313</f>
        <v>0</v>
      </c>
      <c r="Q316">
        <f t="shared" si="81"/>
        <v>0</v>
      </c>
      <c r="R316">
        <f t="shared" si="81"/>
        <v>0</v>
      </c>
      <c r="S316">
        <f t="shared" si="81"/>
        <v>0</v>
      </c>
      <c r="T316">
        <f t="shared" si="81"/>
        <v>0</v>
      </c>
      <c r="U316">
        <f t="shared" si="81"/>
        <v>0</v>
      </c>
      <c r="V316" s="9">
        <f t="shared" si="81"/>
        <v>0</v>
      </c>
      <c r="W316" s="9">
        <f t="shared" si="81"/>
        <v>0</v>
      </c>
      <c r="X316" s="9">
        <f t="shared" si="81"/>
        <v>0</v>
      </c>
      <c r="Y316" s="9">
        <f t="shared" si="81"/>
        <v>0</v>
      </c>
      <c r="Z316" s="9">
        <f t="shared" si="81"/>
        <v>0</v>
      </c>
      <c r="AA316" s="9">
        <f>AA313+0.06</f>
        <v>0.06</v>
      </c>
      <c r="AB316" s="3">
        <f t="shared" ref="AB316:AM316" si="82">AB313</f>
        <v>61</v>
      </c>
      <c r="AC316" s="9">
        <f t="shared" si="82"/>
        <v>0</v>
      </c>
      <c r="AD316" s="9">
        <f t="shared" si="82"/>
        <v>0</v>
      </c>
      <c r="AE316" s="8">
        <f t="shared" si="82"/>
        <v>0</v>
      </c>
      <c r="AF316" s="8">
        <f t="shared" si="82"/>
        <v>0</v>
      </c>
      <c r="AG316" s="8">
        <f t="shared" si="82"/>
        <v>0</v>
      </c>
      <c r="AH316" s="9">
        <f t="shared" si="82"/>
        <v>0</v>
      </c>
      <c r="AI316" s="8">
        <f t="shared" si="82"/>
        <v>0</v>
      </c>
      <c r="AJ316" s="8">
        <f t="shared" si="82"/>
        <v>0</v>
      </c>
      <c r="AK316" s="8">
        <f t="shared" si="82"/>
        <v>0</v>
      </c>
      <c r="AL316" s="8">
        <f t="shared" si="82"/>
        <v>0</v>
      </c>
      <c r="AM316" s="9">
        <f t="shared" si="82"/>
        <v>0</v>
      </c>
      <c r="AO316" s="8">
        <f>AO313</f>
        <v>50</v>
      </c>
      <c r="AP316" s="9"/>
      <c r="AQ316" s="9"/>
      <c r="AR316" s="9"/>
      <c r="AS316" s="9"/>
    </row>
    <row r="317" spans="1:45" ht="12.75" customHeight="1" x14ac:dyDescent="0.2">
      <c r="A317" s="3" t="s">
        <v>535</v>
      </c>
      <c r="H317">
        <v>35</v>
      </c>
      <c r="O317">
        <v>38</v>
      </c>
      <c r="V317" s="9"/>
      <c r="W317" s="9"/>
      <c r="X317" s="9"/>
      <c r="Y317" s="9"/>
      <c r="Z317" s="9"/>
      <c r="AA317" s="9"/>
      <c r="AB317" s="3">
        <v>-152</v>
      </c>
      <c r="AC317" s="9"/>
      <c r="AD317" s="9"/>
      <c r="AE317" s="8"/>
      <c r="AF317" s="8"/>
      <c r="AG317" s="8"/>
      <c r="AH317" s="9"/>
      <c r="AI317" s="8"/>
      <c r="AJ317" s="8"/>
      <c r="AK317" s="8"/>
      <c r="AL317" s="8"/>
      <c r="AM317" s="9"/>
      <c r="AO317" s="8">
        <v>28</v>
      </c>
      <c r="AP317" s="9"/>
      <c r="AQ317" s="9"/>
      <c r="AR317" s="9"/>
      <c r="AS317" s="9"/>
    </row>
    <row r="318" spans="1:45" ht="12.75" customHeight="1" x14ac:dyDescent="0.2">
      <c r="A318" s="3" t="s">
        <v>536</v>
      </c>
      <c r="G318">
        <f>G317+8</f>
        <v>8</v>
      </c>
      <c r="H318">
        <f t="shared" ref="H318:N318" si="83">H317</f>
        <v>35</v>
      </c>
      <c r="I318">
        <f ca="1">I318</f>
        <v>0</v>
      </c>
      <c r="J318">
        <f t="shared" si="83"/>
        <v>0</v>
      </c>
      <c r="K318">
        <f t="shared" si="83"/>
        <v>0</v>
      </c>
      <c r="L318">
        <f t="shared" si="83"/>
        <v>0</v>
      </c>
      <c r="M318">
        <f t="shared" si="83"/>
        <v>0</v>
      </c>
      <c r="N318">
        <f t="shared" si="83"/>
        <v>0</v>
      </c>
      <c r="O318">
        <f>O317+20</f>
        <v>58</v>
      </c>
      <c r="P318">
        <f t="shared" ref="P318:U318" si="84">P317</f>
        <v>0</v>
      </c>
      <c r="Q318">
        <f t="shared" si="84"/>
        <v>0</v>
      </c>
      <c r="R318">
        <f t="shared" si="84"/>
        <v>0</v>
      </c>
      <c r="S318">
        <f t="shared" si="84"/>
        <v>0</v>
      </c>
      <c r="T318">
        <f t="shared" si="84"/>
        <v>0</v>
      </c>
      <c r="U318">
        <f t="shared" si="84"/>
        <v>0</v>
      </c>
      <c r="V318" s="9">
        <f>V317+0.03</f>
        <v>0.03</v>
      </c>
      <c r="W318" s="9">
        <f t="shared" ref="W318:AM318" si="85">W317</f>
        <v>0</v>
      </c>
      <c r="X318" s="9">
        <f t="shared" si="85"/>
        <v>0</v>
      </c>
      <c r="Y318" s="9">
        <f t="shared" si="85"/>
        <v>0</v>
      </c>
      <c r="Z318" s="9">
        <f t="shared" si="85"/>
        <v>0</v>
      </c>
      <c r="AA318" s="9">
        <f t="shared" si="85"/>
        <v>0</v>
      </c>
      <c r="AB318" s="3">
        <f t="shared" si="85"/>
        <v>-152</v>
      </c>
      <c r="AC318" s="9">
        <f t="shared" si="85"/>
        <v>0</v>
      </c>
      <c r="AD318" s="9">
        <f t="shared" si="85"/>
        <v>0</v>
      </c>
      <c r="AE318" s="8">
        <f t="shared" si="85"/>
        <v>0</v>
      </c>
      <c r="AF318" s="8">
        <f t="shared" si="85"/>
        <v>0</v>
      </c>
      <c r="AG318" s="8">
        <f t="shared" si="85"/>
        <v>0</v>
      </c>
      <c r="AH318" s="9">
        <f t="shared" si="85"/>
        <v>0</v>
      </c>
      <c r="AI318" s="8">
        <f t="shared" si="85"/>
        <v>0</v>
      </c>
      <c r="AJ318" s="8">
        <f t="shared" si="85"/>
        <v>0</v>
      </c>
      <c r="AK318" s="8">
        <f t="shared" si="85"/>
        <v>0</v>
      </c>
      <c r="AL318" s="8">
        <f t="shared" si="85"/>
        <v>0</v>
      </c>
      <c r="AM318" s="9">
        <f t="shared" si="85"/>
        <v>0</v>
      </c>
      <c r="AO318" s="8">
        <f>AO317</f>
        <v>28</v>
      </c>
      <c r="AP318" s="9"/>
      <c r="AQ318" s="9"/>
      <c r="AR318" s="9"/>
      <c r="AS318" s="9"/>
    </row>
    <row r="319" spans="1:45" s="30" customFormat="1" ht="12.75" customHeight="1" x14ac:dyDescent="0.2">
      <c r="A319" s="3" t="s">
        <v>219</v>
      </c>
      <c r="B319" s="3"/>
      <c r="C319" s="3"/>
      <c r="D319" s="3"/>
      <c r="E319" s="3"/>
      <c r="F319" s="3"/>
      <c r="G319" s="3">
        <f>G317</f>
        <v>0</v>
      </c>
      <c r="H319" s="3">
        <f>H317+8</f>
        <v>43</v>
      </c>
      <c r="I319" s="3">
        <f ca="1">I318</f>
        <v>0</v>
      </c>
      <c r="J319" s="3">
        <f t="shared" ref="J319:N319" si="86">J318</f>
        <v>0</v>
      </c>
      <c r="K319" s="3">
        <f t="shared" si="86"/>
        <v>0</v>
      </c>
      <c r="L319" s="3">
        <f t="shared" si="86"/>
        <v>0</v>
      </c>
      <c r="M319" s="3">
        <f t="shared" si="86"/>
        <v>0</v>
      </c>
      <c r="N319" s="3">
        <f t="shared" si="86"/>
        <v>0</v>
      </c>
      <c r="O319" s="3">
        <f>O317</f>
        <v>38</v>
      </c>
      <c r="P319" s="3">
        <f t="shared" ref="P319:AB320" si="87">P316</f>
        <v>0</v>
      </c>
      <c r="Q319" s="3">
        <f t="shared" si="87"/>
        <v>0</v>
      </c>
      <c r="R319" s="3">
        <f t="shared" si="87"/>
        <v>0</v>
      </c>
      <c r="S319" s="3">
        <f t="shared" si="87"/>
        <v>0</v>
      </c>
      <c r="T319" s="3">
        <f t="shared" si="87"/>
        <v>0</v>
      </c>
      <c r="U319" s="3">
        <f t="shared" si="87"/>
        <v>0</v>
      </c>
      <c r="V319" s="103">
        <f t="shared" si="87"/>
        <v>0</v>
      </c>
      <c r="W319" s="103">
        <f t="shared" si="87"/>
        <v>0</v>
      </c>
      <c r="X319" s="103">
        <f t="shared" si="87"/>
        <v>0</v>
      </c>
      <c r="Y319" s="103">
        <f t="shared" si="87"/>
        <v>0</v>
      </c>
      <c r="Z319" s="103">
        <f t="shared" si="87"/>
        <v>0</v>
      </c>
      <c r="AA319" s="103">
        <f t="shared" si="87"/>
        <v>0.06</v>
      </c>
      <c r="AB319" s="3">
        <f t="shared" si="87"/>
        <v>61</v>
      </c>
      <c r="AC319" s="103">
        <f>AC316+0.03</f>
        <v>0.03</v>
      </c>
      <c r="AD319" s="103">
        <f t="shared" ref="AD319:AM320" si="88">AD316</f>
        <v>0</v>
      </c>
      <c r="AE319" s="8">
        <f t="shared" si="88"/>
        <v>0</v>
      </c>
      <c r="AF319" s="8">
        <f t="shared" si="88"/>
        <v>0</v>
      </c>
      <c r="AG319" s="8">
        <f t="shared" si="88"/>
        <v>0</v>
      </c>
      <c r="AH319" s="103">
        <f t="shared" si="88"/>
        <v>0</v>
      </c>
      <c r="AI319" s="8">
        <f t="shared" si="88"/>
        <v>0</v>
      </c>
      <c r="AJ319" s="8">
        <f t="shared" si="88"/>
        <v>0</v>
      </c>
      <c r="AK319" s="8">
        <f t="shared" si="88"/>
        <v>0</v>
      </c>
      <c r="AL319" s="8">
        <f t="shared" si="88"/>
        <v>0</v>
      </c>
      <c r="AM319" s="103">
        <f t="shared" si="88"/>
        <v>0</v>
      </c>
      <c r="AO319" s="8">
        <f>AO316</f>
        <v>50</v>
      </c>
      <c r="AP319" s="103"/>
      <c r="AQ319" s="103"/>
      <c r="AR319" s="103"/>
      <c r="AS319" s="103"/>
    </row>
    <row r="320" spans="1:45" s="112" customFormat="1" ht="12.75" customHeight="1" x14ac:dyDescent="0.2">
      <c r="A320" s="113" t="s">
        <v>879</v>
      </c>
      <c r="B320" s="113"/>
      <c r="C320" s="113"/>
      <c r="D320" s="113"/>
      <c r="E320" s="113"/>
      <c r="F320" s="113"/>
      <c r="G320" s="113">
        <f>G317</f>
        <v>0</v>
      </c>
      <c r="H320" s="113">
        <f>H317-3+5</f>
        <v>37</v>
      </c>
      <c r="I320" s="113">
        <f>I317</f>
        <v>0</v>
      </c>
      <c r="J320" s="113">
        <f>J317</f>
        <v>0</v>
      </c>
      <c r="K320" s="113">
        <f>K317</f>
        <v>0</v>
      </c>
      <c r="L320" s="113">
        <f>L317</f>
        <v>0</v>
      </c>
      <c r="M320" s="113">
        <f>M317</f>
        <v>0</v>
      </c>
      <c r="N320" s="113">
        <v>15</v>
      </c>
      <c r="O320" s="113">
        <v>35</v>
      </c>
      <c r="P320" s="113">
        <f t="shared" si="87"/>
        <v>0</v>
      </c>
      <c r="Q320" s="113">
        <f t="shared" si="87"/>
        <v>0</v>
      </c>
      <c r="R320" s="113">
        <f t="shared" si="87"/>
        <v>0</v>
      </c>
      <c r="S320" s="113">
        <f t="shared" si="87"/>
        <v>0</v>
      </c>
      <c r="T320" s="113">
        <f t="shared" si="87"/>
        <v>0</v>
      </c>
      <c r="U320" s="113">
        <f t="shared" si="87"/>
        <v>0</v>
      </c>
      <c r="V320" s="114">
        <f t="shared" si="87"/>
        <v>0</v>
      </c>
      <c r="W320" s="114">
        <f t="shared" si="87"/>
        <v>0</v>
      </c>
      <c r="X320" s="114">
        <f t="shared" si="87"/>
        <v>0</v>
      </c>
      <c r="Y320" s="114">
        <f t="shared" si="87"/>
        <v>0</v>
      </c>
      <c r="Z320" s="114">
        <f t="shared" si="87"/>
        <v>0</v>
      </c>
      <c r="AA320" s="114">
        <f t="shared" si="87"/>
        <v>0</v>
      </c>
      <c r="AB320" s="113">
        <f t="shared" si="87"/>
        <v>-152</v>
      </c>
      <c r="AC320" s="114">
        <v>0.02</v>
      </c>
      <c r="AD320" s="114">
        <f t="shared" si="88"/>
        <v>0</v>
      </c>
      <c r="AE320" s="115">
        <f t="shared" si="88"/>
        <v>0</v>
      </c>
      <c r="AF320" s="115">
        <f t="shared" si="88"/>
        <v>0</v>
      </c>
      <c r="AG320" s="115">
        <f t="shared" si="88"/>
        <v>0</v>
      </c>
      <c r="AH320" s="114">
        <f t="shared" si="88"/>
        <v>0</v>
      </c>
      <c r="AI320" s="115">
        <f t="shared" si="88"/>
        <v>0</v>
      </c>
      <c r="AJ320" s="115">
        <f t="shared" si="88"/>
        <v>0</v>
      </c>
      <c r="AK320" s="115">
        <f t="shared" si="88"/>
        <v>0</v>
      </c>
      <c r="AL320" s="115">
        <f t="shared" si="88"/>
        <v>0</v>
      </c>
      <c r="AM320" s="114">
        <f t="shared" si="88"/>
        <v>0</v>
      </c>
      <c r="AO320" s="115">
        <f>AO317</f>
        <v>28</v>
      </c>
      <c r="AP320" s="114"/>
      <c r="AQ320" s="114"/>
      <c r="AR320" s="114"/>
      <c r="AS320" s="114"/>
    </row>
    <row r="321" spans="1:45" ht="12.75" customHeight="1" x14ac:dyDescent="0.2">
      <c r="A321" s="3" t="s">
        <v>537</v>
      </c>
      <c r="G321">
        <f t="shared" ref="G321:M321" si="89">G317</f>
        <v>0</v>
      </c>
      <c r="H321">
        <f t="shared" si="89"/>
        <v>35</v>
      </c>
      <c r="I321">
        <f t="shared" si="89"/>
        <v>0</v>
      </c>
      <c r="J321">
        <f t="shared" si="89"/>
        <v>0</v>
      </c>
      <c r="K321">
        <f t="shared" si="89"/>
        <v>0</v>
      </c>
      <c r="L321">
        <f t="shared" si="89"/>
        <v>0</v>
      </c>
      <c r="M321">
        <f t="shared" si="89"/>
        <v>0</v>
      </c>
      <c r="N321">
        <f>N317+10</f>
        <v>10</v>
      </c>
      <c r="O321">
        <f>O317+10</f>
        <v>48</v>
      </c>
      <c r="P321">
        <f t="shared" ref="P321:AD321" si="90">P317</f>
        <v>0</v>
      </c>
      <c r="Q321">
        <f t="shared" si="90"/>
        <v>0</v>
      </c>
      <c r="R321">
        <f t="shared" si="90"/>
        <v>0</v>
      </c>
      <c r="S321">
        <f t="shared" si="90"/>
        <v>0</v>
      </c>
      <c r="T321">
        <f t="shared" si="90"/>
        <v>0</v>
      </c>
      <c r="U321">
        <f t="shared" si="90"/>
        <v>0</v>
      </c>
      <c r="V321" s="9">
        <f t="shared" si="90"/>
        <v>0</v>
      </c>
      <c r="W321" s="9">
        <f t="shared" si="90"/>
        <v>0</v>
      </c>
      <c r="X321" s="9">
        <f t="shared" si="90"/>
        <v>0</v>
      </c>
      <c r="Y321" s="9">
        <f t="shared" si="90"/>
        <v>0</v>
      </c>
      <c r="Z321" s="9">
        <f t="shared" si="90"/>
        <v>0</v>
      </c>
      <c r="AA321" s="9">
        <f t="shared" si="90"/>
        <v>0</v>
      </c>
      <c r="AB321" s="3">
        <f t="shared" si="90"/>
        <v>-152</v>
      </c>
      <c r="AC321" s="9">
        <f t="shared" si="90"/>
        <v>0</v>
      </c>
      <c r="AD321" s="9">
        <f t="shared" si="90"/>
        <v>0</v>
      </c>
      <c r="AE321" s="8">
        <f>AE317+5</f>
        <v>5</v>
      </c>
      <c r="AF321" s="8">
        <f t="shared" ref="AF321:AM321" si="91">AF317</f>
        <v>0</v>
      </c>
      <c r="AG321" s="8">
        <f t="shared" si="91"/>
        <v>0</v>
      </c>
      <c r="AH321" s="9">
        <f t="shared" si="91"/>
        <v>0</v>
      </c>
      <c r="AI321" s="8">
        <f t="shared" si="91"/>
        <v>0</v>
      </c>
      <c r="AJ321" s="8">
        <f t="shared" si="91"/>
        <v>0</v>
      </c>
      <c r="AK321" s="8">
        <f t="shared" si="91"/>
        <v>0</v>
      </c>
      <c r="AL321" s="8">
        <f t="shared" si="91"/>
        <v>0</v>
      </c>
      <c r="AM321" s="9">
        <f t="shared" si="91"/>
        <v>0</v>
      </c>
      <c r="AO321" s="8">
        <f>AO317</f>
        <v>28</v>
      </c>
      <c r="AP321" s="9"/>
      <c r="AQ321" s="9"/>
      <c r="AR321" s="9"/>
      <c r="AS321" s="9"/>
    </row>
    <row r="322" spans="1:45" ht="12.75" customHeight="1" x14ac:dyDescent="0.2">
      <c r="A322" s="3" t="s">
        <v>210</v>
      </c>
      <c r="G322">
        <f t="shared" ref="G322:N322" si="92">G317</f>
        <v>0</v>
      </c>
      <c r="H322">
        <f t="shared" si="92"/>
        <v>35</v>
      </c>
      <c r="I322">
        <f t="shared" si="92"/>
        <v>0</v>
      </c>
      <c r="J322">
        <f t="shared" si="92"/>
        <v>0</v>
      </c>
      <c r="K322">
        <f t="shared" si="92"/>
        <v>0</v>
      </c>
      <c r="L322">
        <f t="shared" si="92"/>
        <v>0</v>
      </c>
      <c r="M322">
        <f t="shared" si="92"/>
        <v>0</v>
      </c>
      <c r="N322">
        <f t="shared" si="92"/>
        <v>0</v>
      </c>
      <c r="O322">
        <f>O317+30</f>
        <v>68</v>
      </c>
      <c r="P322">
        <f t="shared" ref="P322:AM322" si="93">P317</f>
        <v>0</v>
      </c>
      <c r="Q322">
        <f t="shared" si="93"/>
        <v>0</v>
      </c>
      <c r="R322">
        <f t="shared" si="93"/>
        <v>0</v>
      </c>
      <c r="S322">
        <f t="shared" si="93"/>
        <v>0</v>
      </c>
      <c r="T322">
        <f t="shared" si="93"/>
        <v>0</v>
      </c>
      <c r="U322">
        <f t="shared" si="93"/>
        <v>0</v>
      </c>
      <c r="V322" s="9">
        <f t="shared" si="93"/>
        <v>0</v>
      </c>
      <c r="W322" s="9">
        <f t="shared" si="93"/>
        <v>0</v>
      </c>
      <c r="X322" s="9">
        <f t="shared" si="93"/>
        <v>0</v>
      </c>
      <c r="Y322" s="9">
        <f t="shared" si="93"/>
        <v>0</v>
      </c>
      <c r="Z322" s="9">
        <f t="shared" si="93"/>
        <v>0</v>
      </c>
      <c r="AA322" s="9">
        <f t="shared" si="93"/>
        <v>0</v>
      </c>
      <c r="AB322" s="3">
        <f t="shared" si="93"/>
        <v>-152</v>
      </c>
      <c r="AC322" s="9">
        <f t="shared" si="93"/>
        <v>0</v>
      </c>
      <c r="AD322" s="9">
        <f t="shared" si="93"/>
        <v>0</v>
      </c>
      <c r="AE322" s="8">
        <f t="shared" si="93"/>
        <v>0</v>
      </c>
      <c r="AF322" s="8">
        <f t="shared" si="93"/>
        <v>0</v>
      </c>
      <c r="AG322" s="8">
        <f t="shared" si="93"/>
        <v>0</v>
      </c>
      <c r="AH322" s="9">
        <f t="shared" si="93"/>
        <v>0</v>
      </c>
      <c r="AI322" s="8">
        <f t="shared" si="93"/>
        <v>0</v>
      </c>
      <c r="AJ322" s="8">
        <f t="shared" si="93"/>
        <v>0</v>
      </c>
      <c r="AK322" s="8">
        <f t="shared" si="93"/>
        <v>0</v>
      </c>
      <c r="AL322" s="8">
        <f t="shared" si="93"/>
        <v>0</v>
      </c>
      <c r="AM322" s="9">
        <f t="shared" si="93"/>
        <v>0</v>
      </c>
      <c r="AO322" s="8">
        <f>AO317+65</f>
        <v>93</v>
      </c>
      <c r="AP322" s="9"/>
      <c r="AQ322" s="9"/>
      <c r="AR322" s="9"/>
      <c r="AS322" s="9"/>
    </row>
    <row r="323" spans="1:45" ht="12.75" customHeight="1" x14ac:dyDescent="0.2">
      <c r="A323" t="s">
        <v>538</v>
      </c>
      <c r="G323">
        <v>32</v>
      </c>
      <c r="I323">
        <v>15</v>
      </c>
      <c r="J323">
        <v>30</v>
      </c>
      <c r="K323">
        <v>28</v>
      </c>
      <c r="L323">
        <v>16</v>
      </c>
      <c r="M323">
        <v>8</v>
      </c>
      <c r="N323">
        <v>34</v>
      </c>
      <c r="T323" s="3"/>
      <c r="U323" s="3"/>
      <c r="V323" s="9"/>
      <c r="W323" s="9"/>
      <c r="X323" s="9"/>
      <c r="Y323" s="9"/>
      <c r="Z323" s="9"/>
      <c r="AA323" s="9"/>
      <c r="AB323">
        <v>60</v>
      </c>
      <c r="AC323" s="9"/>
      <c r="AD323" s="9"/>
      <c r="AE323" s="8">
        <v>8</v>
      </c>
      <c r="AF323" s="8"/>
      <c r="AG323" s="8"/>
      <c r="AH323" s="9"/>
      <c r="AI323" s="8"/>
      <c r="AJ323" s="8"/>
      <c r="AK323" s="8"/>
      <c r="AL323" s="8"/>
      <c r="AM323" s="9"/>
      <c r="AO323" s="8">
        <v>41</v>
      </c>
      <c r="AP323" s="9"/>
    </row>
    <row r="324" spans="1:45" ht="12.75" customHeight="1" x14ac:dyDescent="0.2">
      <c r="A324" t="s">
        <v>539</v>
      </c>
      <c r="G324">
        <f>G323</f>
        <v>32</v>
      </c>
      <c r="H324">
        <f>H323+12</f>
        <v>12</v>
      </c>
      <c r="I324">
        <f>I323</f>
        <v>15</v>
      </c>
      <c r="J324">
        <f>J323+12</f>
        <v>42</v>
      </c>
      <c r="K324">
        <f>K323</f>
        <v>28</v>
      </c>
      <c r="L324">
        <f>L323</f>
        <v>16</v>
      </c>
      <c r="M324">
        <f>M323</f>
        <v>8</v>
      </c>
      <c r="N324">
        <f>N323+20</f>
        <v>54</v>
      </c>
      <c r="O324">
        <f t="shared" ref="O324:AS324" si="94">O323</f>
        <v>0</v>
      </c>
      <c r="P324">
        <f t="shared" si="94"/>
        <v>0</v>
      </c>
      <c r="Q324">
        <f t="shared" si="94"/>
        <v>0</v>
      </c>
      <c r="R324">
        <f t="shared" si="94"/>
        <v>0</v>
      </c>
      <c r="S324">
        <f t="shared" si="94"/>
        <v>0</v>
      </c>
      <c r="T324">
        <f t="shared" si="94"/>
        <v>0</v>
      </c>
      <c r="U324">
        <f t="shared" si="94"/>
        <v>0</v>
      </c>
      <c r="V324" s="9">
        <f t="shared" si="94"/>
        <v>0</v>
      </c>
      <c r="W324" s="9">
        <f t="shared" si="94"/>
        <v>0</v>
      </c>
      <c r="X324" s="9">
        <f t="shared" si="94"/>
        <v>0</v>
      </c>
      <c r="Y324" s="9">
        <f t="shared" si="94"/>
        <v>0</v>
      </c>
      <c r="Z324" s="9">
        <f t="shared" si="94"/>
        <v>0</v>
      </c>
      <c r="AA324" s="9">
        <f t="shared" si="94"/>
        <v>0</v>
      </c>
      <c r="AB324">
        <f t="shared" si="94"/>
        <v>60</v>
      </c>
      <c r="AC324" s="9">
        <f t="shared" si="94"/>
        <v>0</v>
      </c>
      <c r="AD324" s="9">
        <f t="shared" si="94"/>
        <v>0</v>
      </c>
      <c r="AE324" s="8">
        <f t="shared" si="94"/>
        <v>8</v>
      </c>
      <c r="AF324" s="8">
        <f t="shared" si="94"/>
        <v>0</v>
      </c>
      <c r="AG324" s="8">
        <f t="shared" si="94"/>
        <v>0</v>
      </c>
      <c r="AH324" s="9">
        <f t="shared" si="94"/>
        <v>0</v>
      </c>
      <c r="AI324" s="8">
        <f t="shared" si="94"/>
        <v>0</v>
      </c>
      <c r="AJ324" s="8">
        <f t="shared" si="94"/>
        <v>0</v>
      </c>
      <c r="AK324" s="8">
        <f t="shared" si="94"/>
        <v>0</v>
      </c>
      <c r="AL324" s="8">
        <f t="shared" si="94"/>
        <v>0</v>
      </c>
      <c r="AM324" s="9">
        <f t="shared" si="94"/>
        <v>0</v>
      </c>
      <c r="AN324">
        <f t="shared" si="94"/>
        <v>0</v>
      </c>
      <c r="AO324" s="8">
        <f t="shared" si="94"/>
        <v>41</v>
      </c>
      <c r="AP324" s="9">
        <f t="shared" si="94"/>
        <v>0</v>
      </c>
      <c r="AQ324">
        <f t="shared" si="94"/>
        <v>0</v>
      </c>
      <c r="AR324">
        <f t="shared" si="94"/>
        <v>0</v>
      </c>
      <c r="AS324">
        <f t="shared" si="94"/>
        <v>0</v>
      </c>
    </row>
    <row r="325" spans="1:45" ht="12.75" customHeight="1" x14ac:dyDescent="0.2">
      <c r="A325" t="s">
        <v>212</v>
      </c>
      <c r="G325">
        <f>G323+12</f>
        <v>44</v>
      </c>
      <c r="H325">
        <f>H323+12</f>
        <v>12</v>
      </c>
      <c r="I325">
        <f t="shared" ref="I325:N325" si="95">I323</f>
        <v>15</v>
      </c>
      <c r="J325">
        <f t="shared" si="95"/>
        <v>30</v>
      </c>
      <c r="K325">
        <f t="shared" si="95"/>
        <v>28</v>
      </c>
      <c r="L325">
        <f t="shared" si="95"/>
        <v>16</v>
      </c>
      <c r="M325">
        <f t="shared" si="95"/>
        <v>8</v>
      </c>
      <c r="N325">
        <f t="shared" si="95"/>
        <v>34</v>
      </c>
      <c r="O325">
        <f>O323+20</f>
        <v>20</v>
      </c>
      <c r="P325">
        <f t="shared" ref="P325:AS325" si="96">P323</f>
        <v>0</v>
      </c>
      <c r="Q325">
        <f t="shared" si="96"/>
        <v>0</v>
      </c>
      <c r="R325">
        <f t="shared" si="96"/>
        <v>0</v>
      </c>
      <c r="S325">
        <f t="shared" si="96"/>
        <v>0</v>
      </c>
      <c r="T325">
        <f t="shared" si="96"/>
        <v>0</v>
      </c>
      <c r="U325">
        <f t="shared" si="96"/>
        <v>0</v>
      </c>
      <c r="V325" s="9">
        <f t="shared" si="96"/>
        <v>0</v>
      </c>
      <c r="W325" s="9">
        <f t="shared" si="96"/>
        <v>0</v>
      </c>
      <c r="X325" s="9">
        <f t="shared" si="96"/>
        <v>0</v>
      </c>
      <c r="Y325" s="9">
        <f t="shared" si="96"/>
        <v>0</v>
      </c>
      <c r="Z325" s="9">
        <f t="shared" si="96"/>
        <v>0</v>
      </c>
      <c r="AA325" s="9">
        <f t="shared" si="96"/>
        <v>0</v>
      </c>
      <c r="AB325">
        <f t="shared" si="96"/>
        <v>60</v>
      </c>
      <c r="AC325" s="9">
        <f t="shared" si="96"/>
        <v>0</v>
      </c>
      <c r="AD325" s="9">
        <f t="shared" si="96"/>
        <v>0</v>
      </c>
      <c r="AE325" s="8">
        <f t="shared" si="96"/>
        <v>8</v>
      </c>
      <c r="AF325" s="8">
        <f t="shared" si="96"/>
        <v>0</v>
      </c>
      <c r="AG325" s="8">
        <f t="shared" si="96"/>
        <v>0</v>
      </c>
      <c r="AH325" s="9">
        <f t="shared" si="96"/>
        <v>0</v>
      </c>
      <c r="AI325" s="8">
        <f t="shared" si="96"/>
        <v>0</v>
      </c>
      <c r="AJ325" s="8">
        <f t="shared" si="96"/>
        <v>0</v>
      </c>
      <c r="AK325" s="8">
        <f t="shared" si="96"/>
        <v>0</v>
      </c>
      <c r="AL325" s="8">
        <f t="shared" si="96"/>
        <v>0</v>
      </c>
      <c r="AM325" s="9">
        <f t="shared" si="96"/>
        <v>0</v>
      </c>
      <c r="AN325">
        <f t="shared" si="96"/>
        <v>0</v>
      </c>
      <c r="AO325" s="8">
        <f t="shared" si="96"/>
        <v>41</v>
      </c>
      <c r="AP325" s="9">
        <f t="shared" si="96"/>
        <v>0</v>
      </c>
      <c r="AQ325">
        <f t="shared" si="96"/>
        <v>0</v>
      </c>
      <c r="AR325">
        <f t="shared" si="96"/>
        <v>0</v>
      </c>
      <c r="AS325">
        <f t="shared" si="96"/>
        <v>0</v>
      </c>
    </row>
    <row r="326" spans="1:45" ht="12.75" customHeight="1" x14ac:dyDescent="0.2">
      <c r="A326" t="s">
        <v>540</v>
      </c>
      <c r="G326">
        <v>33</v>
      </c>
      <c r="I326">
        <v>16</v>
      </c>
      <c r="J326">
        <v>32</v>
      </c>
      <c r="K326">
        <v>29</v>
      </c>
      <c r="L326">
        <v>15</v>
      </c>
      <c r="M326">
        <v>10</v>
      </c>
      <c r="O326">
        <v>15</v>
      </c>
      <c r="T326" s="3"/>
      <c r="U326" s="3"/>
      <c r="V326" s="9"/>
      <c r="W326" s="9"/>
      <c r="X326" s="9"/>
      <c r="Y326" s="9"/>
      <c r="Z326" s="9"/>
      <c r="AA326" s="9"/>
      <c r="AC326" s="9"/>
      <c r="AD326" s="9"/>
      <c r="AE326" s="8">
        <v>4</v>
      </c>
      <c r="AF326" s="8"/>
      <c r="AG326" s="8"/>
      <c r="AH326" s="9"/>
      <c r="AI326" s="8"/>
      <c r="AJ326" s="8"/>
      <c r="AK326" s="8"/>
      <c r="AL326" s="8"/>
      <c r="AM326" s="9"/>
      <c r="AO326" s="8">
        <v>38</v>
      </c>
      <c r="AP326" s="9"/>
    </row>
    <row r="327" spans="1:45" ht="12.75" customHeight="1" x14ac:dyDescent="0.2">
      <c r="A327" t="s">
        <v>198</v>
      </c>
      <c r="G327">
        <f>G326+10</f>
        <v>43</v>
      </c>
      <c r="H327">
        <f t="shared" ref="H327:M327" si="97">H326</f>
        <v>0</v>
      </c>
      <c r="I327">
        <f t="shared" si="97"/>
        <v>16</v>
      </c>
      <c r="J327">
        <f t="shared" si="97"/>
        <v>32</v>
      </c>
      <c r="K327">
        <f t="shared" si="97"/>
        <v>29</v>
      </c>
      <c r="L327">
        <f t="shared" si="97"/>
        <v>15</v>
      </c>
      <c r="M327">
        <f t="shared" si="97"/>
        <v>10</v>
      </c>
      <c r="N327">
        <f>N326+0</f>
        <v>0</v>
      </c>
      <c r="O327">
        <f>O326+1</f>
        <v>16</v>
      </c>
      <c r="P327">
        <f t="shared" ref="P327:V327" si="98">P326</f>
        <v>0</v>
      </c>
      <c r="Q327">
        <f t="shared" si="98"/>
        <v>0</v>
      </c>
      <c r="R327">
        <f t="shared" si="98"/>
        <v>0</v>
      </c>
      <c r="S327">
        <f t="shared" si="98"/>
        <v>0</v>
      </c>
      <c r="T327">
        <f t="shared" si="98"/>
        <v>0</v>
      </c>
      <c r="U327">
        <f t="shared" si="98"/>
        <v>0</v>
      </c>
      <c r="V327" s="9">
        <f t="shared" si="98"/>
        <v>0</v>
      </c>
      <c r="W327" s="9">
        <f>W326+4%</f>
        <v>0.04</v>
      </c>
      <c r="X327" s="9">
        <f t="shared" ref="X327:AS327" si="99">X326</f>
        <v>0</v>
      </c>
      <c r="Y327" s="9">
        <f t="shared" si="99"/>
        <v>0</v>
      </c>
      <c r="Z327" s="9">
        <f t="shared" si="99"/>
        <v>0</v>
      </c>
      <c r="AA327" s="9">
        <f t="shared" si="99"/>
        <v>0</v>
      </c>
      <c r="AB327">
        <f t="shared" si="99"/>
        <v>0</v>
      </c>
      <c r="AC327" s="9">
        <f t="shared" si="99"/>
        <v>0</v>
      </c>
      <c r="AD327" s="9">
        <f t="shared" si="99"/>
        <v>0</v>
      </c>
      <c r="AE327" s="8">
        <f t="shared" si="99"/>
        <v>4</v>
      </c>
      <c r="AF327" s="8">
        <f t="shared" si="99"/>
        <v>0</v>
      </c>
      <c r="AG327" s="8">
        <f t="shared" si="99"/>
        <v>0</v>
      </c>
      <c r="AH327" s="9">
        <f t="shared" si="99"/>
        <v>0</v>
      </c>
      <c r="AI327" s="8">
        <f t="shared" si="99"/>
        <v>0</v>
      </c>
      <c r="AJ327" s="8">
        <f t="shared" si="99"/>
        <v>0</v>
      </c>
      <c r="AK327" s="8">
        <f t="shared" si="99"/>
        <v>0</v>
      </c>
      <c r="AL327" s="8">
        <f t="shared" si="99"/>
        <v>0</v>
      </c>
      <c r="AM327" s="9">
        <f t="shared" si="99"/>
        <v>0</v>
      </c>
      <c r="AN327">
        <f t="shared" si="99"/>
        <v>0</v>
      </c>
      <c r="AO327" s="8">
        <f t="shared" si="99"/>
        <v>38</v>
      </c>
      <c r="AP327" s="9">
        <f t="shared" si="99"/>
        <v>0</v>
      </c>
      <c r="AQ327">
        <f t="shared" si="99"/>
        <v>0</v>
      </c>
      <c r="AR327">
        <f t="shared" si="99"/>
        <v>0</v>
      </c>
      <c r="AS327">
        <f t="shared" si="99"/>
        <v>0</v>
      </c>
    </row>
    <row r="328" spans="1:45" ht="12.75" customHeight="1" x14ac:dyDescent="0.2">
      <c r="A328" t="s">
        <v>541</v>
      </c>
      <c r="G328">
        <f t="shared" ref="G328:M328" si="100">G326</f>
        <v>33</v>
      </c>
      <c r="H328">
        <f t="shared" si="100"/>
        <v>0</v>
      </c>
      <c r="I328">
        <f t="shared" si="100"/>
        <v>16</v>
      </c>
      <c r="J328">
        <f t="shared" si="100"/>
        <v>32</v>
      </c>
      <c r="K328">
        <f t="shared" si="100"/>
        <v>29</v>
      </c>
      <c r="L328">
        <f t="shared" si="100"/>
        <v>15</v>
      </c>
      <c r="M328">
        <f t="shared" si="100"/>
        <v>10</v>
      </c>
      <c r="N328">
        <f>N326+15</f>
        <v>15</v>
      </c>
      <c r="O328">
        <f>O326+15</f>
        <v>30</v>
      </c>
      <c r="P328">
        <f t="shared" ref="P328:AD328" si="101">P326</f>
        <v>0</v>
      </c>
      <c r="Q328">
        <f t="shared" si="101"/>
        <v>0</v>
      </c>
      <c r="R328">
        <f t="shared" si="101"/>
        <v>0</v>
      </c>
      <c r="S328">
        <f t="shared" si="101"/>
        <v>0</v>
      </c>
      <c r="T328">
        <f t="shared" si="101"/>
        <v>0</v>
      </c>
      <c r="U328">
        <f t="shared" si="101"/>
        <v>0</v>
      </c>
      <c r="V328" s="9">
        <f t="shared" si="101"/>
        <v>0</v>
      </c>
      <c r="W328" s="9">
        <f t="shared" si="101"/>
        <v>0</v>
      </c>
      <c r="X328" s="9">
        <f t="shared" si="101"/>
        <v>0</v>
      </c>
      <c r="Y328" s="9">
        <f t="shared" si="101"/>
        <v>0</v>
      </c>
      <c r="Z328" s="9">
        <f t="shared" si="101"/>
        <v>0</v>
      </c>
      <c r="AA328" s="9">
        <f t="shared" si="101"/>
        <v>0</v>
      </c>
      <c r="AB328">
        <f t="shared" si="101"/>
        <v>0</v>
      </c>
      <c r="AC328" s="9">
        <f t="shared" si="101"/>
        <v>0</v>
      </c>
      <c r="AD328" s="9">
        <f t="shared" si="101"/>
        <v>0</v>
      </c>
      <c r="AE328" s="8">
        <f>AE326+6</f>
        <v>10</v>
      </c>
      <c r="AF328" s="8">
        <f t="shared" ref="AF328:AS328" si="102">AF326</f>
        <v>0</v>
      </c>
      <c r="AG328" s="8">
        <f t="shared" si="102"/>
        <v>0</v>
      </c>
      <c r="AH328" s="9">
        <f t="shared" si="102"/>
        <v>0</v>
      </c>
      <c r="AI328" s="8">
        <f t="shared" si="102"/>
        <v>0</v>
      </c>
      <c r="AJ328" s="8">
        <f t="shared" si="102"/>
        <v>0</v>
      </c>
      <c r="AK328" s="8">
        <f t="shared" si="102"/>
        <v>0</v>
      </c>
      <c r="AL328" s="8">
        <f t="shared" si="102"/>
        <v>0</v>
      </c>
      <c r="AM328" s="9">
        <f t="shared" si="102"/>
        <v>0</v>
      </c>
      <c r="AN328">
        <f t="shared" si="102"/>
        <v>0</v>
      </c>
      <c r="AO328" s="8">
        <f t="shared" si="102"/>
        <v>38</v>
      </c>
      <c r="AP328" s="9">
        <f t="shared" si="102"/>
        <v>0</v>
      </c>
      <c r="AQ328">
        <f t="shared" si="102"/>
        <v>0</v>
      </c>
      <c r="AR328">
        <f t="shared" si="102"/>
        <v>0</v>
      </c>
      <c r="AS328">
        <f t="shared" si="102"/>
        <v>0</v>
      </c>
    </row>
    <row r="329" spans="1:45" ht="12.75" customHeight="1" x14ac:dyDescent="0.2">
      <c r="A329" t="s">
        <v>542</v>
      </c>
      <c r="G329">
        <f t="shared" ref="G329:M329" si="103">G326</f>
        <v>33</v>
      </c>
      <c r="H329">
        <v>0</v>
      </c>
      <c r="I329">
        <f t="shared" si="103"/>
        <v>16</v>
      </c>
      <c r="J329">
        <f t="shared" si="103"/>
        <v>32</v>
      </c>
      <c r="K329">
        <f t="shared" si="103"/>
        <v>29</v>
      </c>
      <c r="L329">
        <f t="shared" si="103"/>
        <v>15</v>
      </c>
      <c r="M329">
        <f t="shared" si="103"/>
        <v>10</v>
      </c>
      <c r="N329">
        <f>N326+6</f>
        <v>6</v>
      </c>
      <c r="O329">
        <f>O326+5</f>
        <v>20</v>
      </c>
      <c r="P329">
        <f t="shared" ref="P329:AG329" si="104">P326</f>
        <v>0</v>
      </c>
      <c r="Q329">
        <f t="shared" si="104"/>
        <v>0</v>
      </c>
      <c r="R329">
        <f t="shared" si="104"/>
        <v>0</v>
      </c>
      <c r="S329">
        <f t="shared" si="104"/>
        <v>0</v>
      </c>
      <c r="T329">
        <f t="shared" si="104"/>
        <v>0</v>
      </c>
      <c r="U329">
        <f t="shared" si="104"/>
        <v>0</v>
      </c>
      <c r="V329" s="9">
        <f t="shared" si="104"/>
        <v>0</v>
      </c>
      <c r="W329" s="9">
        <f t="shared" si="104"/>
        <v>0</v>
      </c>
      <c r="X329" s="9">
        <f t="shared" si="104"/>
        <v>0</v>
      </c>
      <c r="Y329" s="9">
        <f t="shared" si="104"/>
        <v>0</v>
      </c>
      <c r="Z329" s="9">
        <f t="shared" si="104"/>
        <v>0</v>
      </c>
      <c r="AA329" s="9">
        <f t="shared" si="104"/>
        <v>0</v>
      </c>
      <c r="AB329">
        <f t="shared" si="104"/>
        <v>0</v>
      </c>
      <c r="AC329" s="9">
        <f t="shared" si="104"/>
        <v>0</v>
      </c>
      <c r="AD329" s="9">
        <f t="shared" si="104"/>
        <v>0</v>
      </c>
      <c r="AE329" s="8">
        <f t="shared" si="104"/>
        <v>4</v>
      </c>
      <c r="AF329" s="8">
        <f t="shared" si="104"/>
        <v>0</v>
      </c>
      <c r="AG329" s="8">
        <f t="shared" si="104"/>
        <v>0</v>
      </c>
      <c r="AH329" s="9">
        <f>AH326+5%</f>
        <v>0.05</v>
      </c>
      <c r="AI329" s="8">
        <f t="shared" ref="AI329:AS329" si="105">AI326</f>
        <v>0</v>
      </c>
      <c r="AJ329" s="8">
        <f t="shared" si="105"/>
        <v>0</v>
      </c>
      <c r="AK329" s="8">
        <f t="shared" si="105"/>
        <v>0</v>
      </c>
      <c r="AL329" s="8">
        <f t="shared" si="105"/>
        <v>0</v>
      </c>
      <c r="AM329" s="9">
        <f t="shared" si="105"/>
        <v>0</v>
      </c>
      <c r="AN329">
        <f t="shared" si="105"/>
        <v>0</v>
      </c>
      <c r="AO329" s="8">
        <f t="shared" si="105"/>
        <v>38</v>
      </c>
      <c r="AP329" s="9">
        <f t="shared" si="105"/>
        <v>0</v>
      </c>
      <c r="AQ329">
        <f t="shared" si="105"/>
        <v>0</v>
      </c>
      <c r="AR329">
        <f t="shared" si="105"/>
        <v>0</v>
      </c>
      <c r="AS329">
        <f t="shared" si="105"/>
        <v>0</v>
      </c>
    </row>
    <row r="330" spans="1:45" ht="12.75" customHeight="1" x14ac:dyDescent="0.2">
      <c r="T330" s="3"/>
      <c r="U330" s="3"/>
      <c r="V330" s="9"/>
      <c r="W330" s="9"/>
      <c r="X330" s="9"/>
      <c r="Y330" s="9"/>
      <c r="Z330" s="9"/>
      <c r="AA330" s="9"/>
      <c r="AC330" s="9"/>
      <c r="AD330" s="9"/>
      <c r="AE330" s="8"/>
      <c r="AF330" s="8"/>
      <c r="AG330" s="8"/>
      <c r="AH330" s="9"/>
      <c r="AI330" s="8"/>
      <c r="AJ330" s="8"/>
      <c r="AK330" s="8"/>
      <c r="AL330" s="8"/>
      <c r="AM330" s="9"/>
      <c r="AN330" s="9"/>
      <c r="AO330" s="8"/>
      <c r="AP330" s="9"/>
    </row>
    <row r="331" spans="1:45" ht="12.75" customHeight="1" x14ac:dyDescent="0.2">
      <c r="T331" s="3"/>
      <c r="U331" s="3"/>
      <c r="V331" s="9"/>
      <c r="W331" s="9"/>
      <c r="X331" s="9"/>
      <c r="Y331" s="9"/>
      <c r="Z331" s="9"/>
      <c r="AA331" s="9"/>
      <c r="AC331" s="9"/>
      <c r="AD331" s="9"/>
      <c r="AE331" s="8"/>
      <c r="AF331" s="8"/>
      <c r="AG331" s="8"/>
      <c r="AH331" s="9"/>
      <c r="AI331" s="8"/>
      <c r="AJ331" s="8"/>
      <c r="AK331" s="8"/>
      <c r="AL331" s="8"/>
      <c r="AM331" s="9"/>
      <c r="AO331" s="8"/>
      <c r="AP331" s="9"/>
    </row>
    <row r="332" spans="1:45" ht="12.75" customHeight="1" x14ac:dyDescent="0.2">
      <c r="A332" t="s">
        <v>197</v>
      </c>
      <c r="B332" t="s">
        <v>477</v>
      </c>
      <c r="C332" t="s">
        <v>478</v>
      </c>
      <c r="D332" t="s">
        <v>479</v>
      </c>
      <c r="E332" t="s">
        <v>480</v>
      </c>
      <c r="F332" s="3" t="s">
        <v>481</v>
      </c>
      <c r="G332" t="s">
        <v>30</v>
      </c>
      <c r="H332" t="s">
        <v>33</v>
      </c>
      <c r="I332" t="s">
        <v>29</v>
      </c>
      <c r="J332" t="s">
        <v>32</v>
      </c>
      <c r="K332" t="s">
        <v>153</v>
      </c>
      <c r="L332" t="s">
        <v>154</v>
      </c>
      <c r="M332" t="s">
        <v>482</v>
      </c>
      <c r="N332" t="s">
        <v>120</v>
      </c>
      <c r="O332" t="s">
        <v>156</v>
      </c>
      <c r="P332" t="s">
        <v>157</v>
      </c>
      <c r="Q332" t="s">
        <v>483</v>
      </c>
      <c r="R332" t="s">
        <v>484</v>
      </c>
      <c r="S332" t="s">
        <v>485</v>
      </c>
      <c r="T332" s="3" t="s">
        <v>486</v>
      </c>
      <c r="U332" s="3" t="s">
        <v>487</v>
      </c>
      <c r="V332" s="9" t="s">
        <v>158</v>
      </c>
      <c r="W332" s="9" t="s">
        <v>159</v>
      </c>
      <c r="X332" s="9" t="s">
        <v>160</v>
      </c>
      <c r="Y332" s="9" t="s">
        <v>488</v>
      </c>
      <c r="Z332" s="9" t="s">
        <v>161</v>
      </c>
      <c r="AA332" s="9" t="s">
        <v>165</v>
      </c>
      <c r="AB332" t="s">
        <v>164</v>
      </c>
      <c r="AC332" s="9" t="s">
        <v>162</v>
      </c>
      <c r="AD332" s="9" t="s">
        <v>163</v>
      </c>
      <c r="AE332" s="8" t="s">
        <v>166</v>
      </c>
      <c r="AF332" s="8" t="s">
        <v>130</v>
      </c>
      <c r="AG332" s="8" t="s">
        <v>205</v>
      </c>
      <c r="AH332" s="9" t="s">
        <v>207</v>
      </c>
      <c r="AI332" s="8" t="s">
        <v>208</v>
      </c>
      <c r="AJ332" s="8" t="s">
        <v>489</v>
      </c>
      <c r="AK332" s="8" t="s">
        <v>135</v>
      </c>
      <c r="AL332" s="8" t="s">
        <v>206</v>
      </c>
      <c r="AM332" s="9" t="s">
        <v>490</v>
      </c>
      <c r="AO332" s="8" t="s">
        <v>37</v>
      </c>
      <c r="AP332" s="9" t="s">
        <v>155</v>
      </c>
    </row>
    <row r="333" spans="1:45" ht="12.75" customHeight="1" x14ac:dyDescent="0.2">
      <c r="A333" s="3" t="s">
        <v>195</v>
      </c>
      <c r="G333">
        <v>22</v>
      </c>
      <c r="H333">
        <v>34</v>
      </c>
      <c r="I333">
        <v>22</v>
      </c>
      <c r="J333">
        <v>47</v>
      </c>
      <c r="L333">
        <v>22</v>
      </c>
      <c r="M333">
        <v>40</v>
      </c>
      <c r="N333">
        <v>46</v>
      </c>
      <c r="T333" s="3"/>
      <c r="U333" s="3"/>
      <c r="V333" s="9"/>
      <c r="W333" s="9"/>
      <c r="X333" s="9"/>
      <c r="Y333" s="9"/>
      <c r="Z333" s="9"/>
      <c r="AA333" s="9"/>
      <c r="AB333" s="3">
        <v>40</v>
      </c>
      <c r="AC333" s="9"/>
      <c r="AD333" s="9"/>
      <c r="AE333" s="8"/>
      <c r="AF333" s="8"/>
      <c r="AG333" s="8"/>
      <c r="AH333" s="9"/>
      <c r="AI333" s="8"/>
      <c r="AJ333" s="8"/>
      <c r="AK333" s="8"/>
      <c r="AL333" s="8"/>
      <c r="AM333" s="9"/>
      <c r="AN333" s="3"/>
      <c r="AO333" s="8"/>
      <c r="AP333" s="9"/>
    </row>
    <row r="334" spans="1:45" ht="12.75" customHeight="1" x14ac:dyDescent="0.2">
      <c r="A334" s="3" t="s">
        <v>176</v>
      </c>
      <c r="G334">
        <v>22</v>
      </c>
      <c r="H334">
        <v>34</v>
      </c>
      <c r="I334">
        <v>22</v>
      </c>
      <c r="J334">
        <v>47</v>
      </c>
      <c r="L334">
        <v>22</v>
      </c>
      <c r="M334">
        <v>40</v>
      </c>
      <c r="N334">
        <v>45</v>
      </c>
      <c r="O334">
        <v>61</v>
      </c>
      <c r="T334" s="3"/>
      <c r="U334" s="3"/>
      <c r="V334" s="9"/>
      <c r="W334" s="9"/>
      <c r="X334" s="9"/>
      <c r="Y334" s="9"/>
      <c r="Z334" s="9"/>
      <c r="AA334" s="9"/>
      <c r="AB334" s="3">
        <v>40</v>
      </c>
      <c r="AC334" s="9"/>
      <c r="AD334" s="9"/>
      <c r="AE334" s="8"/>
      <c r="AF334" s="8"/>
      <c r="AG334" s="8"/>
      <c r="AH334" s="9"/>
      <c r="AI334" s="8"/>
      <c r="AJ334" s="8"/>
      <c r="AK334" s="8"/>
      <c r="AL334" s="8"/>
      <c r="AM334" s="9"/>
      <c r="AN334" s="3"/>
      <c r="AO334" s="8"/>
      <c r="AP334" s="9"/>
    </row>
    <row r="335" spans="1:45" ht="12.75" customHeight="1" x14ac:dyDescent="0.2">
      <c r="A335" s="3" t="s">
        <v>530</v>
      </c>
      <c r="G335">
        <v>17</v>
      </c>
      <c r="H335">
        <v>26</v>
      </c>
      <c r="I335">
        <v>16</v>
      </c>
      <c r="J335">
        <v>38</v>
      </c>
      <c r="L335">
        <v>16</v>
      </c>
      <c r="M335">
        <v>32</v>
      </c>
      <c r="T335" s="3"/>
      <c r="U335" s="3"/>
      <c r="V335" s="9"/>
      <c r="W335" s="9"/>
      <c r="X335" s="9"/>
      <c r="Y335" s="9"/>
      <c r="Z335" s="9"/>
      <c r="AA335" s="9"/>
      <c r="AB335" s="3">
        <v>40</v>
      </c>
      <c r="AC335" s="9"/>
      <c r="AD335" s="9"/>
      <c r="AE335" s="8"/>
      <c r="AF335" s="8"/>
      <c r="AG335" s="8"/>
      <c r="AH335" s="9"/>
      <c r="AI335" s="8"/>
      <c r="AJ335" s="8"/>
      <c r="AK335" s="8"/>
      <c r="AL335" s="8"/>
      <c r="AM335" s="9"/>
      <c r="AN335" s="9"/>
      <c r="AO335" s="8"/>
      <c r="AP335" s="9"/>
    </row>
    <row r="336" spans="1:45" ht="12.75" customHeight="1" x14ac:dyDescent="0.2">
      <c r="A336" t="s">
        <v>196</v>
      </c>
      <c r="G336">
        <v>23</v>
      </c>
      <c r="H336">
        <v>34</v>
      </c>
      <c r="I336">
        <v>8</v>
      </c>
      <c r="J336">
        <v>54</v>
      </c>
      <c r="L336">
        <v>19</v>
      </c>
      <c r="M336">
        <v>34</v>
      </c>
      <c r="N336">
        <v>45</v>
      </c>
      <c r="O336">
        <v>42</v>
      </c>
      <c r="T336" s="3"/>
      <c r="U336" s="3"/>
      <c r="V336" s="9"/>
      <c r="W336" s="9"/>
      <c r="X336" s="9"/>
      <c r="Y336" s="9"/>
      <c r="Z336" s="9"/>
      <c r="AA336" s="9"/>
      <c r="AB336" s="3">
        <v>20</v>
      </c>
      <c r="AC336" s="9"/>
      <c r="AD336" s="9"/>
      <c r="AE336" s="8"/>
      <c r="AF336" s="8"/>
      <c r="AG336" s="8"/>
      <c r="AH336" s="9"/>
      <c r="AI336" s="8"/>
      <c r="AJ336" s="8"/>
      <c r="AK336" s="8"/>
      <c r="AL336" s="8"/>
      <c r="AM336" s="9"/>
      <c r="AN336" s="9"/>
      <c r="AO336" s="8"/>
      <c r="AP336" s="9"/>
    </row>
    <row r="337" spans="1:45" ht="12.75" customHeight="1" x14ac:dyDescent="0.2">
      <c r="A337" t="s">
        <v>213</v>
      </c>
      <c r="G337">
        <v>16</v>
      </c>
      <c r="H337">
        <v>37</v>
      </c>
      <c r="I337">
        <v>10</v>
      </c>
      <c r="J337">
        <v>46</v>
      </c>
      <c r="L337">
        <v>22</v>
      </c>
      <c r="M337">
        <v>26</v>
      </c>
      <c r="N337">
        <v>42</v>
      </c>
      <c r="T337" s="3"/>
      <c r="U337" s="3"/>
      <c r="V337" s="9"/>
      <c r="W337" s="9"/>
      <c r="X337" s="9"/>
      <c r="Y337" s="9"/>
      <c r="Z337" s="9"/>
      <c r="AA337" s="9"/>
      <c r="AB337" s="3">
        <v>30</v>
      </c>
      <c r="AC337" s="9">
        <v>0.06</v>
      </c>
      <c r="AD337" s="9"/>
      <c r="AE337" s="8"/>
      <c r="AF337" s="8"/>
      <c r="AG337" s="8"/>
      <c r="AH337" s="9"/>
      <c r="AI337" s="8"/>
      <c r="AJ337" s="8"/>
      <c r="AK337" s="8"/>
      <c r="AL337" s="8"/>
      <c r="AM337" s="9"/>
      <c r="AN337" s="9"/>
      <c r="AO337" s="8"/>
      <c r="AP337" s="9"/>
    </row>
    <row r="338" spans="1:45" ht="12.75" customHeight="1" x14ac:dyDescent="0.2">
      <c r="A338" t="s">
        <v>187</v>
      </c>
      <c r="G338">
        <v>14</v>
      </c>
      <c r="H338">
        <v>39</v>
      </c>
      <c r="I338">
        <v>12</v>
      </c>
      <c r="J338">
        <v>53</v>
      </c>
      <c r="L338">
        <v>12</v>
      </c>
      <c r="M338">
        <v>38</v>
      </c>
      <c r="N338">
        <v>48</v>
      </c>
      <c r="T338" s="3"/>
      <c r="U338" s="3"/>
      <c r="V338" s="9"/>
      <c r="W338" s="9"/>
      <c r="X338" s="9"/>
      <c r="Y338" s="9"/>
      <c r="Z338" s="9"/>
      <c r="AA338" s="9"/>
      <c r="AB338" s="3">
        <v>30</v>
      </c>
      <c r="AC338" s="9"/>
      <c r="AD338" s="9"/>
      <c r="AE338" s="8"/>
      <c r="AF338" s="8"/>
      <c r="AG338" s="8"/>
      <c r="AH338" s="9"/>
      <c r="AI338" s="8"/>
      <c r="AJ338" s="8"/>
      <c r="AK338" s="8"/>
      <c r="AL338" s="8"/>
      <c r="AM338" s="9"/>
      <c r="AN338" s="9"/>
      <c r="AO338" s="8">
        <v>76</v>
      </c>
      <c r="AP338" s="9"/>
    </row>
    <row r="339" spans="1:45" ht="12.75" customHeight="1" x14ac:dyDescent="0.2">
      <c r="A339" s="3" t="s">
        <v>531</v>
      </c>
      <c r="G339">
        <v>14</v>
      </c>
      <c r="H339">
        <v>16</v>
      </c>
      <c r="I339">
        <v>15</v>
      </c>
      <c r="J339">
        <v>33</v>
      </c>
      <c r="L339">
        <v>11</v>
      </c>
      <c r="M339">
        <v>28</v>
      </c>
      <c r="V339" s="9">
        <v>0.04</v>
      </c>
      <c r="W339" s="9"/>
      <c r="X339" s="9"/>
      <c r="Y339" s="9"/>
      <c r="Z339" s="9"/>
      <c r="AA339" s="9"/>
      <c r="AB339" s="3">
        <v>40</v>
      </c>
      <c r="AC339" s="9"/>
      <c r="AD339" s="9"/>
      <c r="AE339" s="8">
        <v>8</v>
      </c>
      <c r="AF339" s="8"/>
      <c r="AG339" s="8"/>
      <c r="AH339" s="9"/>
      <c r="AI339" s="8"/>
      <c r="AJ339" s="8"/>
      <c r="AK339" s="8"/>
      <c r="AL339" s="8"/>
      <c r="AM339" s="9"/>
      <c r="AO339" s="8">
        <v>15</v>
      </c>
      <c r="AP339" s="9"/>
      <c r="AQ339" s="9"/>
      <c r="AR339" s="9"/>
      <c r="AS339" s="9"/>
    </row>
    <row r="340" spans="1:45" ht="12.75" customHeight="1" x14ac:dyDescent="0.2">
      <c r="A340" s="3" t="s">
        <v>532</v>
      </c>
      <c r="G340">
        <f>G339+12</f>
        <v>26</v>
      </c>
      <c r="H340">
        <f>H339</f>
        <v>16</v>
      </c>
      <c r="I340">
        <f>I339</f>
        <v>15</v>
      </c>
      <c r="J340">
        <f>J339</f>
        <v>33</v>
      </c>
      <c r="K340">
        <f>K339+12</f>
        <v>12</v>
      </c>
      <c r="L340">
        <f t="shared" ref="L340:AM340" si="106">L339</f>
        <v>11</v>
      </c>
      <c r="M340">
        <f t="shared" si="106"/>
        <v>28</v>
      </c>
      <c r="N340">
        <f t="shared" si="106"/>
        <v>0</v>
      </c>
      <c r="O340">
        <f t="shared" si="106"/>
        <v>0</v>
      </c>
      <c r="P340">
        <f t="shared" si="106"/>
        <v>0</v>
      </c>
      <c r="Q340">
        <f t="shared" si="106"/>
        <v>0</v>
      </c>
      <c r="R340">
        <f t="shared" si="106"/>
        <v>0</v>
      </c>
      <c r="S340">
        <f t="shared" si="106"/>
        <v>0</v>
      </c>
      <c r="T340">
        <f t="shared" si="106"/>
        <v>0</v>
      </c>
      <c r="U340">
        <f t="shared" si="106"/>
        <v>0</v>
      </c>
      <c r="V340" s="9">
        <f t="shared" si="106"/>
        <v>0.04</v>
      </c>
      <c r="W340" s="9">
        <f t="shared" si="106"/>
        <v>0</v>
      </c>
      <c r="X340" s="9">
        <f t="shared" si="106"/>
        <v>0</v>
      </c>
      <c r="Y340" s="9">
        <f t="shared" si="106"/>
        <v>0</v>
      </c>
      <c r="Z340" s="9">
        <f t="shared" si="106"/>
        <v>0</v>
      </c>
      <c r="AA340" s="9">
        <f t="shared" si="106"/>
        <v>0</v>
      </c>
      <c r="AB340" s="3">
        <f t="shared" si="106"/>
        <v>40</v>
      </c>
      <c r="AC340" s="9">
        <f t="shared" si="106"/>
        <v>0</v>
      </c>
      <c r="AD340" s="9">
        <f t="shared" si="106"/>
        <v>0</v>
      </c>
      <c r="AE340" s="8">
        <f t="shared" si="106"/>
        <v>8</v>
      </c>
      <c r="AF340" s="8">
        <f t="shared" si="106"/>
        <v>0</v>
      </c>
      <c r="AG340" s="8">
        <f t="shared" si="106"/>
        <v>0</v>
      </c>
      <c r="AH340" s="9">
        <f t="shared" si="106"/>
        <v>0</v>
      </c>
      <c r="AI340" s="8">
        <f t="shared" si="106"/>
        <v>0</v>
      </c>
      <c r="AJ340" s="8">
        <f t="shared" si="106"/>
        <v>0</v>
      </c>
      <c r="AK340" s="8">
        <f t="shared" si="106"/>
        <v>0</v>
      </c>
      <c r="AL340" s="8">
        <f t="shared" si="106"/>
        <v>0</v>
      </c>
      <c r="AM340" s="9">
        <f t="shared" si="106"/>
        <v>0</v>
      </c>
      <c r="AO340" s="8">
        <f>AO339+80</f>
        <v>95</v>
      </c>
      <c r="AP340" s="9">
        <f>AP339</f>
        <v>0</v>
      </c>
      <c r="AQ340" s="9">
        <f>AQ339</f>
        <v>0</v>
      </c>
      <c r="AR340" s="9">
        <f>AR339</f>
        <v>0</v>
      </c>
      <c r="AS340" s="9">
        <f>AS339</f>
        <v>0</v>
      </c>
    </row>
    <row r="341" spans="1:45" ht="12.75" customHeight="1" x14ac:dyDescent="0.2">
      <c r="A341" s="3" t="s">
        <v>533</v>
      </c>
      <c r="G341">
        <f>G339</f>
        <v>14</v>
      </c>
      <c r="H341">
        <f>H339+12</f>
        <v>28</v>
      </c>
      <c r="I341">
        <f>I339</f>
        <v>15</v>
      </c>
      <c r="J341">
        <f>J339</f>
        <v>33</v>
      </c>
      <c r="K341">
        <f>K339</f>
        <v>0</v>
      </c>
      <c r="L341">
        <f>L339+20</f>
        <v>31</v>
      </c>
      <c r="M341">
        <f>M339</f>
        <v>28</v>
      </c>
      <c r="N341">
        <f>N339+12</f>
        <v>12</v>
      </c>
      <c r="O341">
        <f t="shared" ref="O341:AM341" si="107">O339</f>
        <v>0</v>
      </c>
      <c r="P341">
        <f t="shared" si="107"/>
        <v>0</v>
      </c>
      <c r="Q341">
        <f t="shared" si="107"/>
        <v>0</v>
      </c>
      <c r="R341">
        <f t="shared" si="107"/>
        <v>0</v>
      </c>
      <c r="S341">
        <f t="shared" si="107"/>
        <v>0</v>
      </c>
      <c r="T341">
        <f t="shared" si="107"/>
        <v>0</v>
      </c>
      <c r="U341">
        <f t="shared" si="107"/>
        <v>0</v>
      </c>
      <c r="V341" s="9">
        <f t="shared" si="107"/>
        <v>0.04</v>
      </c>
      <c r="W341" s="9">
        <f t="shared" si="107"/>
        <v>0</v>
      </c>
      <c r="X341" s="9">
        <f t="shared" si="107"/>
        <v>0</v>
      </c>
      <c r="Y341" s="9">
        <f t="shared" si="107"/>
        <v>0</v>
      </c>
      <c r="Z341" s="9">
        <f t="shared" si="107"/>
        <v>0</v>
      </c>
      <c r="AA341" s="9">
        <f t="shared" si="107"/>
        <v>0</v>
      </c>
      <c r="AB341" s="3">
        <f t="shared" si="107"/>
        <v>40</v>
      </c>
      <c r="AC341" s="9">
        <f t="shared" si="107"/>
        <v>0</v>
      </c>
      <c r="AD341" s="9">
        <f t="shared" si="107"/>
        <v>0</v>
      </c>
      <c r="AE341" s="8">
        <f t="shared" si="107"/>
        <v>8</v>
      </c>
      <c r="AF341" s="8">
        <f t="shared" si="107"/>
        <v>0</v>
      </c>
      <c r="AG341" s="8">
        <f t="shared" si="107"/>
        <v>0</v>
      </c>
      <c r="AH341" s="9">
        <f t="shared" si="107"/>
        <v>0</v>
      </c>
      <c r="AI341" s="8">
        <f t="shared" si="107"/>
        <v>0</v>
      </c>
      <c r="AJ341" s="8">
        <f t="shared" si="107"/>
        <v>0</v>
      </c>
      <c r="AK341" s="8">
        <f t="shared" si="107"/>
        <v>0</v>
      </c>
      <c r="AL341" s="8">
        <f t="shared" si="107"/>
        <v>0</v>
      </c>
      <c r="AM341" s="9">
        <f t="shared" si="107"/>
        <v>0</v>
      </c>
      <c r="AO341" s="8">
        <f>AO339</f>
        <v>15</v>
      </c>
      <c r="AP341" s="9">
        <f>AP339</f>
        <v>0</v>
      </c>
      <c r="AQ341" s="9">
        <f>AQ339</f>
        <v>0</v>
      </c>
      <c r="AR341" s="9">
        <f>AR339</f>
        <v>0</v>
      </c>
      <c r="AS341" s="9">
        <f>AS339</f>
        <v>0</v>
      </c>
    </row>
    <row r="342" spans="1:45" ht="12.75" customHeight="1" x14ac:dyDescent="0.2">
      <c r="A342" s="3" t="s">
        <v>534</v>
      </c>
      <c r="G342">
        <f t="shared" ref="G342:M342" si="108">G339</f>
        <v>14</v>
      </c>
      <c r="H342">
        <f t="shared" si="108"/>
        <v>16</v>
      </c>
      <c r="I342">
        <f t="shared" si="108"/>
        <v>15</v>
      </c>
      <c r="J342">
        <f t="shared" si="108"/>
        <v>33</v>
      </c>
      <c r="K342">
        <f t="shared" si="108"/>
        <v>0</v>
      </c>
      <c r="L342">
        <f t="shared" si="108"/>
        <v>11</v>
      </c>
      <c r="M342">
        <f t="shared" si="108"/>
        <v>28</v>
      </c>
      <c r="N342">
        <f>N339+20</f>
        <v>20</v>
      </c>
      <c r="O342">
        <f t="shared" ref="O342:AM342" si="109">O339</f>
        <v>0</v>
      </c>
      <c r="P342">
        <f t="shared" si="109"/>
        <v>0</v>
      </c>
      <c r="Q342">
        <f t="shared" si="109"/>
        <v>0</v>
      </c>
      <c r="R342">
        <f t="shared" si="109"/>
        <v>0</v>
      </c>
      <c r="S342">
        <f t="shared" si="109"/>
        <v>0</v>
      </c>
      <c r="T342">
        <f t="shared" si="109"/>
        <v>0</v>
      </c>
      <c r="U342">
        <f t="shared" si="109"/>
        <v>0</v>
      </c>
      <c r="V342" s="9">
        <f t="shared" si="109"/>
        <v>0.04</v>
      </c>
      <c r="W342" s="9">
        <f t="shared" si="109"/>
        <v>0</v>
      </c>
      <c r="X342" s="9">
        <f t="shared" si="109"/>
        <v>0</v>
      </c>
      <c r="Y342" s="9">
        <f t="shared" si="109"/>
        <v>0</v>
      </c>
      <c r="Z342" s="9">
        <f t="shared" si="109"/>
        <v>0</v>
      </c>
      <c r="AA342" s="9">
        <f t="shared" si="109"/>
        <v>0</v>
      </c>
      <c r="AB342" s="3">
        <f t="shared" si="109"/>
        <v>40</v>
      </c>
      <c r="AC342" s="9">
        <f t="shared" si="109"/>
        <v>0</v>
      </c>
      <c r="AD342" s="9">
        <f t="shared" si="109"/>
        <v>0</v>
      </c>
      <c r="AE342" s="8">
        <f t="shared" si="109"/>
        <v>8</v>
      </c>
      <c r="AF342" s="8">
        <f t="shared" si="109"/>
        <v>0</v>
      </c>
      <c r="AG342" s="8">
        <f t="shared" si="109"/>
        <v>0</v>
      </c>
      <c r="AH342" s="9">
        <f t="shared" si="109"/>
        <v>0</v>
      </c>
      <c r="AI342" s="8">
        <f t="shared" si="109"/>
        <v>0</v>
      </c>
      <c r="AJ342" s="8">
        <f t="shared" si="109"/>
        <v>0</v>
      </c>
      <c r="AK342" s="8">
        <f t="shared" si="109"/>
        <v>0</v>
      </c>
      <c r="AL342" s="8">
        <f t="shared" si="109"/>
        <v>0</v>
      </c>
      <c r="AM342" s="9">
        <f t="shared" si="109"/>
        <v>0</v>
      </c>
      <c r="AO342" s="8">
        <f>AO339+80</f>
        <v>95</v>
      </c>
      <c r="AP342" s="9">
        <f>AP339</f>
        <v>0</v>
      </c>
      <c r="AQ342" s="9">
        <f>AQ339+0.04</f>
        <v>0.04</v>
      </c>
      <c r="AR342" s="9">
        <f>AR339</f>
        <v>0</v>
      </c>
      <c r="AS342" s="9">
        <f>AS339</f>
        <v>0</v>
      </c>
    </row>
    <row r="343" spans="1:45" ht="12.75" customHeight="1" x14ac:dyDescent="0.2">
      <c r="A343" s="3" t="s">
        <v>535</v>
      </c>
      <c r="H343">
        <v>32</v>
      </c>
      <c r="I343">
        <v>33</v>
      </c>
      <c r="V343" s="9"/>
      <c r="W343" s="9"/>
      <c r="X343" s="9"/>
      <c r="Y343" s="9"/>
      <c r="Z343" s="9"/>
      <c r="AA343" s="9"/>
      <c r="AB343" s="3">
        <v>-71</v>
      </c>
      <c r="AC343" s="9"/>
      <c r="AD343" s="9"/>
      <c r="AE343" s="8"/>
      <c r="AF343" s="8"/>
      <c r="AG343" s="8"/>
      <c r="AH343" s="9"/>
      <c r="AI343" s="8"/>
      <c r="AJ343" s="8"/>
      <c r="AK343" s="8"/>
      <c r="AL343" s="8"/>
      <c r="AM343" s="9"/>
      <c r="AO343" s="8">
        <v>12</v>
      </c>
      <c r="AP343" s="9"/>
      <c r="AQ343" s="9"/>
      <c r="AR343" s="9"/>
      <c r="AS343" s="9"/>
    </row>
    <row r="344" spans="1:45" ht="12.75" customHeight="1" x14ac:dyDescent="0.2">
      <c r="A344" s="3" t="s">
        <v>536</v>
      </c>
      <c r="G344">
        <f>G343+8</f>
        <v>8</v>
      </c>
      <c r="H344">
        <f t="shared" ref="H344:N344" si="110">H343</f>
        <v>32</v>
      </c>
      <c r="I344">
        <f t="shared" si="110"/>
        <v>33</v>
      </c>
      <c r="J344">
        <f t="shared" si="110"/>
        <v>0</v>
      </c>
      <c r="K344">
        <f t="shared" si="110"/>
        <v>0</v>
      </c>
      <c r="L344">
        <f t="shared" si="110"/>
        <v>0</v>
      </c>
      <c r="M344">
        <f t="shared" si="110"/>
        <v>0</v>
      </c>
      <c r="N344">
        <f t="shared" si="110"/>
        <v>0</v>
      </c>
      <c r="O344">
        <f>O343+20</f>
        <v>20</v>
      </c>
      <c r="P344">
        <f t="shared" ref="P344:U344" si="111">P343</f>
        <v>0</v>
      </c>
      <c r="Q344">
        <f t="shared" si="111"/>
        <v>0</v>
      </c>
      <c r="R344">
        <f t="shared" si="111"/>
        <v>0</v>
      </c>
      <c r="S344">
        <f t="shared" si="111"/>
        <v>0</v>
      </c>
      <c r="T344">
        <f t="shared" si="111"/>
        <v>0</v>
      </c>
      <c r="U344">
        <f t="shared" si="111"/>
        <v>0</v>
      </c>
      <c r="V344" s="9">
        <f>V343+0.03</f>
        <v>0.03</v>
      </c>
      <c r="W344" s="9">
        <f t="shared" ref="W344:AM344" si="112">W343</f>
        <v>0</v>
      </c>
      <c r="X344" s="9">
        <f t="shared" si="112"/>
        <v>0</v>
      </c>
      <c r="Y344" s="9">
        <f t="shared" si="112"/>
        <v>0</v>
      </c>
      <c r="Z344" s="9">
        <f t="shared" si="112"/>
        <v>0</v>
      </c>
      <c r="AA344" s="9">
        <f t="shared" si="112"/>
        <v>0</v>
      </c>
      <c r="AB344" s="3">
        <f t="shared" si="112"/>
        <v>-71</v>
      </c>
      <c r="AC344" s="9">
        <f t="shared" si="112"/>
        <v>0</v>
      </c>
      <c r="AD344" s="9">
        <f t="shared" si="112"/>
        <v>0</v>
      </c>
      <c r="AE344" s="8">
        <f t="shared" si="112"/>
        <v>0</v>
      </c>
      <c r="AF344" s="8">
        <f t="shared" si="112"/>
        <v>0</v>
      </c>
      <c r="AG344" s="8">
        <f t="shared" si="112"/>
        <v>0</v>
      </c>
      <c r="AH344" s="9">
        <f t="shared" si="112"/>
        <v>0</v>
      </c>
      <c r="AI344" s="8">
        <f t="shared" si="112"/>
        <v>0</v>
      </c>
      <c r="AJ344" s="8">
        <f t="shared" si="112"/>
        <v>0</v>
      </c>
      <c r="AK344" s="8">
        <f t="shared" si="112"/>
        <v>0</v>
      </c>
      <c r="AL344" s="8">
        <f t="shared" si="112"/>
        <v>0</v>
      </c>
      <c r="AM344" s="9">
        <f t="shared" si="112"/>
        <v>0</v>
      </c>
      <c r="AO344" s="8">
        <f>AO343</f>
        <v>12</v>
      </c>
      <c r="AP344" s="9"/>
      <c r="AQ344" s="9"/>
      <c r="AR344" s="9"/>
      <c r="AS344" s="9"/>
    </row>
    <row r="345" spans="1:45" ht="12.75" customHeight="1" x14ac:dyDescent="0.2">
      <c r="A345" s="3" t="s">
        <v>219</v>
      </c>
      <c r="B345" s="3"/>
      <c r="C345" s="3"/>
      <c r="D345" s="3"/>
      <c r="E345" s="3"/>
      <c r="F345" s="3"/>
      <c r="G345" s="3">
        <f>G343</f>
        <v>0</v>
      </c>
      <c r="H345" s="3">
        <f>H343+8</f>
        <v>40</v>
      </c>
      <c r="I345" s="3">
        <f>I343</f>
        <v>33</v>
      </c>
      <c r="J345" s="3">
        <f>J343</f>
        <v>0</v>
      </c>
      <c r="K345" s="3">
        <f>K343</f>
        <v>0</v>
      </c>
      <c r="L345" s="3">
        <f>L343</f>
        <v>0</v>
      </c>
      <c r="M345" s="3">
        <f>M343</f>
        <v>0</v>
      </c>
      <c r="N345" s="3">
        <f>N343+20</f>
        <v>20</v>
      </c>
      <c r="O345" s="3">
        <f t="shared" ref="O345:AB345" si="113">O343</f>
        <v>0</v>
      </c>
      <c r="P345" s="3">
        <f t="shared" si="113"/>
        <v>0</v>
      </c>
      <c r="Q345" s="3">
        <f t="shared" si="113"/>
        <v>0</v>
      </c>
      <c r="R345" s="3">
        <f t="shared" si="113"/>
        <v>0</v>
      </c>
      <c r="S345" s="3">
        <f t="shared" si="113"/>
        <v>0</v>
      </c>
      <c r="T345" s="3">
        <f t="shared" si="113"/>
        <v>0</v>
      </c>
      <c r="U345" s="3">
        <f t="shared" si="113"/>
        <v>0</v>
      </c>
      <c r="V345" s="9">
        <f t="shared" si="113"/>
        <v>0</v>
      </c>
      <c r="W345" s="9">
        <f t="shared" si="113"/>
        <v>0</v>
      </c>
      <c r="X345" s="9">
        <f t="shared" si="113"/>
        <v>0</v>
      </c>
      <c r="Y345" s="9">
        <f t="shared" si="113"/>
        <v>0</v>
      </c>
      <c r="Z345" s="9">
        <f t="shared" si="113"/>
        <v>0</v>
      </c>
      <c r="AA345" s="9">
        <f t="shared" si="113"/>
        <v>0</v>
      </c>
      <c r="AB345" s="3">
        <f t="shared" si="113"/>
        <v>-71</v>
      </c>
      <c r="AC345" s="9">
        <f>AC343+0.03</f>
        <v>0.03</v>
      </c>
      <c r="AD345" s="9">
        <f t="shared" ref="AD345:AM345" si="114">AD343</f>
        <v>0</v>
      </c>
      <c r="AE345" s="8">
        <f t="shared" si="114"/>
        <v>0</v>
      </c>
      <c r="AF345" s="8">
        <f t="shared" si="114"/>
        <v>0</v>
      </c>
      <c r="AG345" s="8">
        <f t="shared" si="114"/>
        <v>0</v>
      </c>
      <c r="AH345" s="9">
        <f t="shared" si="114"/>
        <v>0</v>
      </c>
      <c r="AI345" s="8">
        <f t="shared" si="114"/>
        <v>0</v>
      </c>
      <c r="AJ345" s="8">
        <f t="shared" si="114"/>
        <v>0</v>
      </c>
      <c r="AK345" s="8">
        <f t="shared" si="114"/>
        <v>0</v>
      </c>
      <c r="AL345" s="8">
        <f t="shared" si="114"/>
        <v>0</v>
      </c>
      <c r="AM345" s="9">
        <f t="shared" si="114"/>
        <v>0</v>
      </c>
      <c r="AO345" s="8">
        <f>AO343</f>
        <v>12</v>
      </c>
      <c r="AP345" s="9"/>
      <c r="AQ345" s="9"/>
      <c r="AR345" s="9"/>
      <c r="AS345" s="9"/>
    </row>
    <row r="346" spans="1:45" ht="12.75" customHeight="1" x14ac:dyDescent="0.2">
      <c r="A346" s="3" t="s">
        <v>537</v>
      </c>
      <c r="G346">
        <f t="shared" ref="G346:M346" si="115">G343</f>
        <v>0</v>
      </c>
      <c r="H346">
        <f t="shared" si="115"/>
        <v>32</v>
      </c>
      <c r="I346">
        <f t="shared" si="115"/>
        <v>33</v>
      </c>
      <c r="J346">
        <f t="shared" si="115"/>
        <v>0</v>
      </c>
      <c r="K346">
        <f t="shared" si="115"/>
        <v>0</v>
      </c>
      <c r="L346">
        <f t="shared" si="115"/>
        <v>0</v>
      </c>
      <c r="M346">
        <f t="shared" si="115"/>
        <v>0</v>
      </c>
      <c r="N346">
        <f>N343+10</f>
        <v>10</v>
      </c>
      <c r="O346">
        <f>O343+10</f>
        <v>10</v>
      </c>
      <c r="P346">
        <f t="shared" ref="P346:AD346" si="116">P343</f>
        <v>0</v>
      </c>
      <c r="Q346">
        <f t="shared" si="116"/>
        <v>0</v>
      </c>
      <c r="R346">
        <f t="shared" si="116"/>
        <v>0</v>
      </c>
      <c r="S346">
        <f t="shared" si="116"/>
        <v>0</v>
      </c>
      <c r="T346">
        <f t="shared" si="116"/>
        <v>0</v>
      </c>
      <c r="U346">
        <f t="shared" si="116"/>
        <v>0</v>
      </c>
      <c r="V346" s="9">
        <f t="shared" si="116"/>
        <v>0</v>
      </c>
      <c r="W346" s="9">
        <f t="shared" si="116"/>
        <v>0</v>
      </c>
      <c r="X346" s="9">
        <f t="shared" si="116"/>
        <v>0</v>
      </c>
      <c r="Y346" s="9">
        <f t="shared" si="116"/>
        <v>0</v>
      </c>
      <c r="Z346" s="9">
        <f t="shared" si="116"/>
        <v>0</v>
      </c>
      <c r="AA346" s="9">
        <f t="shared" si="116"/>
        <v>0</v>
      </c>
      <c r="AB346" s="3">
        <f t="shared" si="116"/>
        <v>-71</v>
      </c>
      <c r="AC346" s="9">
        <f t="shared" si="116"/>
        <v>0</v>
      </c>
      <c r="AD346" s="9">
        <f t="shared" si="116"/>
        <v>0</v>
      </c>
      <c r="AE346" s="8">
        <f>AE343+5</f>
        <v>5</v>
      </c>
      <c r="AF346" s="8">
        <f t="shared" ref="AF346:AM346" si="117">AF343</f>
        <v>0</v>
      </c>
      <c r="AG346" s="8">
        <f t="shared" si="117"/>
        <v>0</v>
      </c>
      <c r="AH346" s="9">
        <f t="shared" si="117"/>
        <v>0</v>
      </c>
      <c r="AI346" s="8">
        <f t="shared" si="117"/>
        <v>0</v>
      </c>
      <c r="AJ346" s="8">
        <f t="shared" si="117"/>
        <v>0</v>
      </c>
      <c r="AK346" s="8">
        <f t="shared" si="117"/>
        <v>0</v>
      </c>
      <c r="AL346" s="8">
        <f t="shared" si="117"/>
        <v>0</v>
      </c>
      <c r="AM346" s="9">
        <f t="shared" si="117"/>
        <v>0</v>
      </c>
      <c r="AO346" s="8">
        <f>AO343</f>
        <v>12</v>
      </c>
      <c r="AP346" s="9"/>
      <c r="AQ346" s="9"/>
      <c r="AR346" s="9"/>
      <c r="AS346" s="9"/>
    </row>
    <row r="347" spans="1:45" ht="12.75" customHeight="1" x14ac:dyDescent="0.2">
      <c r="A347" s="3" t="s">
        <v>210</v>
      </c>
      <c r="G347">
        <f>G343+15</f>
        <v>15</v>
      </c>
      <c r="H347">
        <f>H343+15</f>
        <v>47</v>
      </c>
      <c r="I347">
        <f t="shared" ref="I347:AM347" si="118">I343</f>
        <v>33</v>
      </c>
      <c r="J347">
        <f t="shared" si="118"/>
        <v>0</v>
      </c>
      <c r="K347">
        <f t="shared" si="118"/>
        <v>0</v>
      </c>
      <c r="L347">
        <f t="shared" si="118"/>
        <v>0</v>
      </c>
      <c r="M347">
        <f t="shared" si="118"/>
        <v>0</v>
      </c>
      <c r="N347">
        <f t="shared" si="118"/>
        <v>0</v>
      </c>
      <c r="O347">
        <f t="shared" si="118"/>
        <v>0</v>
      </c>
      <c r="P347">
        <f t="shared" si="118"/>
        <v>0</v>
      </c>
      <c r="Q347">
        <f t="shared" si="118"/>
        <v>0</v>
      </c>
      <c r="R347">
        <f t="shared" si="118"/>
        <v>0</v>
      </c>
      <c r="S347">
        <f t="shared" si="118"/>
        <v>0</v>
      </c>
      <c r="T347">
        <f t="shared" si="118"/>
        <v>0</v>
      </c>
      <c r="U347">
        <f t="shared" si="118"/>
        <v>0</v>
      </c>
      <c r="V347" s="9">
        <f t="shared" si="118"/>
        <v>0</v>
      </c>
      <c r="W347" s="9">
        <f t="shared" si="118"/>
        <v>0</v>
      </c>
      <c r="X347" s="9">
        <f t="shared" si="118"/>
        <v>0</v>
      </c>
      <c r="Y347" s="9">
        <f t="shared" si="118"/>
        <v>0</v>
      </c>
      <c r="Z347" s="9">
        <f t="shared" si="118"/>
        <v>0</v>
      </c>
      <c r="AA347" s="9">
        <f t="shared" si="118"/>
        <v>0</v>
      </c>
      <c r="AB347" s="3">
        <f t="shared" si="118"/>
        <v>-71</v>
      </c>
      <c r="AC347" s="9">
        <f t="shared" si="118"/>
        <v>0</v>
      </c>
      <c r="AD347" s="9">
        <f t="shared" si="118"/>
        <v>0</v>
      </c>
      <c r="AE347" s="8">
        <f t="shared" si="118"/>
        <v>0</v>
      </c>
      <c r="AF347" s="8">
        <f t="shared" si="118"/>
        <v>0</v>
      </c>
      <c r="AG347" s="8">
        <f t="shared" si="118"/>
        <v>0</v>
      </c>
      <c r="AH347" s="9">
        <f t="shared" si="118"/>
        <v>0</v>
      </c>
      <c r="AI347" s="8">
        <f t="shared" si="118"/>
        <v>0</v>
      </c>
      <c r="AJ347" s="8">
        <f t="shared" si="118"/>
        <v>0</v>
      </c>
      <c r="AK347" s="8">
        <f t="shared" si="118"/>
        <v>0</v>
      </c>
      <c r="AL347" s="8">
        <f t="shared" si="118"/>
        <v>0</v>
      </c>
      <c r="AM347" s="9">
        <f t="shared" si="118"/>
        <v>0</v>
      </c>
      <c r="AO347" s="8">
        <f>AO343+65</f>
        <v>77</v>
      </c>
      <c r="AP347" s="9"/>
      <c r="AQ347" s="9"/>
      <c r="AR347" s="9"/>
      <c r="AS347" s="9"/>
    </row>
    <row r="348" spans="1:45" ht="12.75" customHeight="1" x14ac:dyDescent="0.2">
      <c r="A348" t="s">
        <v>538</v>
      </c>
      <c r="G348">
        <v>15</v>
      </c>
      <c r="H348">
        <v>23</v>
      </c>
      <c r="I348">
        <v>8</v>
      </c>
      <c r="J348">
        <v>42</v>
      </c>
      <c r="L348">
        <v>11</v>
      </c>
      <c r="M348">
        <v>25</v>
      </c>
      <c r="O348">
        <v>34</v>
      </c>
      <c r="T348" s="3"/>
      <c r="U348" s="3"/>
      <c r="V348" s="9"/>
      <c r="W348" s="9"/>
      <c r="X348" s="9"/>
      <c r="Y348" s="9"/>
      <c r="Z348" s="9"/>
      <c r="AA348" s="9"/>
      <c r="AB348">
        <v>40</v>
      </c>
      <c r="AC348" s="9">
        <v>0.04</v>
      </c>
      <c r="AD348" s="9"/>
      <c r="AE348" s="8"/>
      <c r="AF348" s="8"/>
      <c r="AG348" s="8"/>
      <c r="AH348" s="9"/>
      <c r="AI348" s="8"/>
      <c r="AJ348" s="8"/>
      <c r="AK348" s="8"/>
      <c r="AL348" s="8"/>
      <c r="AM348" s="9"/>
      <c r="AO348" s="8">
        <v>11</v>
      </c>
      <c r="AP348" s="9"/>
    </row>
    <row r="349" spans="1:45" ht="12.75" customHeight="1" x14ac:dyDescent="0.2">
      <c r="A349" t="s">
        <v>539</v>
      </c>
      <c r="G349">
        <f>G348</f>
        <v>15</v>
      </c>
      <c r="H349">
        <f>H348+12</f>
        <v>35</v>
      </c>
      <c r="I349">
        <f>I348</f>
        <v>8</v>
      </c>
      <c r="J349">
        <f>J348+12</f>
        <v>54</v>
      </c>
      <c r="K349">
        <f>K348</f>
        <v>0</v>
      </c>
      <c r="L349">
        <f>L348</f>
        <v>11</v>
      </c>
      <c r="M349">
        <f>M348</f>
        <v>25</v>
      </c>
      <c r="N349">
        <f>N348+20</f>
        <v>20</v>
      </c>
      <c r="O349">
        <f t="shared" ref="O349:AS349" si="119">O348</f>
        <v>34</v>
      </c>
      <c r="P349">
        <f t="shared" si="119"/>
        <v>0</v>
      </c>
      <c r="Q349">
        <f t="shared" si="119"/>
        <v>0</v>
      </c>
      <c r="R349">
        <f t="shared" si="119"/>
        <v>0</v>
      </c>
      <c r="S349">
        <f t="shared" si="119"/>
        <v>0</v>
      </c>
      <c r="T349">
        <f t="shared" si="119"/>
        <v>0</v>
      </c>
      <c r="U349">
        <f t="shared" si="119"/>
        <v>0</v>
      </c>
      <c r="V349" s="9">
        <f t="shared" si="119"/>
        <v>0</v>
      </c>
      <c r="W349" s="9">
        <f t="shared" si="119"/>
        <v>0</v>
      </c>
      <c r="X349" s="9">
        <f t="shared" si="119"/>
        <v>0</v>
      </c>
      <c r="Y349" s="9">
        <f t="shared" si="119"/>
        <v>0</v>
      </c>
      <c r="Z349" s="9">
        <f t="shared" si="119"/>
        <v>0</v>
      </c>
      <c r="AA349" s="9">
        <f t="shared" si="119"/>
        <v>0</v>
      </c>
      <c r="AB349">
        <f t="shared" si="119"/>
        <v>40</v>
      </c>
      <c r="AC349" s="9">
        <f t="shared" si="119"/>
        <v>0.04</v>
      </c>
      <c r="AD349" s="9">
        <f t="shared" si="119"/>
        <v>0</v>
      </c>
      <c r="AE349" s="8">
        <f t="shared" si="119"/>
        <v>0</v>
      </c>
      <c r="AF349" s="8">
        <f t="shared" si="119"/>
        <v>0</v>
      </c>
      <c r="AG349" s="8">
        <f t="shared" si="119"/>
        <v>0</v>
      </c>
      <c r="AH349" s="9">
        <f t="shared" si="119"/>
        <v>0</v>
      </c>
      <c r="AI349" s="8">
        <f t="shared" si="119"/>
        <v>0</v>
      </c>
      <c r="AJ349" s="8">
        <f t="shared" si="119"/>
        <v>0</v>
      </c>
      <c r="AK349" s="8">
        <f t="shared" si="119"/>
        <v>0</v>
      </c>
      <c r="AL349" s="8">
        <f t="shared" si="119"/>
        <v>0</v>
      </c>
      <c r="AM349" s="9">
        <f t="shared" si="119"/>
        <v>0</v>
      </c>
      <c r="AN349">
        <f t="shared" si="119"/>
        <v>0</v>
      </c>
      <c r="AO349" s="8">
        <f t="shared" si="119"/>
        <v>11</v>
      </c>
      <c r="AP349" s="9">
        <f t="shared" si="119"/>
        <v>0</v>
      </c>
      <c r="AQ349">
        <f t="shared" si="119"/>
        <v>0</v>
      </c>
      <c r="AR349">
        <f t="shared" si="119"/>
        <v>0</v>
      </c>
      <c r="AS349">
        <f t="shared" si="119"/>
        <v>0</v>
      </c>
    </row>
    <row r="350" spans="1:45" ht="12.75" customHeight="1" x14ac:dyDescent="0.2">
      <c r="A350" t="s">
        <v>212</v>
      </c>
      <c r="G350">
        <f>G348+12</f>
        <v>27</v>
      </c>
      <c r="H350">
        <f>H348+12</f>
        <v>35</v>
      </c>
      <c r="I350">
        <f t="shared" ref="I350:N350" si="120">I348</f>
        <v>8</v>
      </c>
      <c r="J350">
        <f t="shared" si="120"/>
        <v>42</v>
      </c>
      <c r="K350">
        <f t="shared" si="120"/>
        <v>0</v>
      </c>
      <c r="L350">
        <f t="shared" si="120"/>
        <v>11</v>
      </c>
      <c r="M350">
        <f t="shared" si="120"/>
        <v>25</v>
      </c>
      <c r="N350">
        <f t="shared" si="120"/>
        <v>0</v>
      </c>
      <c r="O350">
        <f>O348+20</f>
        <v>54</v>
      </c>
      <c r="P350">
        <f t="shared" ref="P350:AS350" si="121">P348</f>
        <v>0</v>
      </c>
      <c r="Q350">
        <f t="shared" si="121"/>
        <v>0</v>
      </c>
      <c r="R350">
        <f t="shared" si="121"/>
        <v>0</v>
      </c>
      <c r="S350">
        <f t="shared" si="121"/>
        <v>0</v>
      </c>
      <c r="T350">
        <f t="shared" si="121"/>
        <v>0</v>
      </c>
      <c r="U350">
        <f t="shared" si="121"/>
        <v>0</v>
      </c>
      <c r="V350" s="9">
        <f t="shared" si="121"/>
        <v>0</v>
      </c>
      <c r="W350" s="9">
        <f t="shared" si="121"/>
        <v>0</v>
      </c>
      <c r="X350" s="9">
        <f t="shared" si="121"/>
        <v>0</v>
      </c>
      <c r="Y350" s="9">
        <f t="shared" si="121"/>
        <v>0</v>
      </c>
      <c r="Z350" s="9">
        <f t="shared" si="121"/>
        <v>0</v>
      </c>
      <c r="AA350" s="9">
        <f t="shared" si="121"/>
        <v>0</v>
      </c>
      <c r="AB350">
        <f t="shared" si="121"/>
        <v>40</v>
      </c>
      <c r="AC350" s="9">
        <f t="shared" si="121"/>
        <v>0.04</v>
      </c>
      <c r="AD350" s="9">
        <f t="shared" si="121"/>
        <v>0</v>
      </c>
      <c r="AE350" s="8">
        <f t="shared" si="121"/>
        <v>0</v>
      </c>
      <c r="AF350" s="8">
        <f t="shared" si="121"/>
        <v>0</v>
      </c>
      <c r="AG350" s="8">
        <f t="shared" si="121"/>
        <v>0</v>
      </c>
      <c r="AH350" s="9">
        <f t="shared" si="121"/>
        <v>0</v>
      </c>
      <c r="AI350" s="8">
        <f t="shared" si="121"/>
        <v>0</v>
      </c>
      <c r="AJ350" s="8">
        <f t="shared" si="121"/>
        <v>0</v>
      </c>
      <c r="AK350" s="8">
        <f t="shared" si="121"/>
        <v>0</v>
      </c>
      <c r="AL350" s="8">
        <f t="shared" si="121"/>
        <v>0</v>
      </c>
      <c r="AM350" s="9">
        <f t="shared" si="121"/>
        <v>0</v>
      </c>
      <c r="AN350">
        <f t="shared" si="121"/>
        <v>0</v>
      </c>
      <c r="AO350" s="8">
        <f t="shared" si="121"/>
        <v>11</v>
      </c>
      <c r="AP350" s="9">
        <f t="shared" si="121"/>
        <v>0</v>
      </c>
      <c r="AQ350">
        <f t="shared" si="121"/>
        <v>0</v>
      </c>
      <c r="AR350">
        <f t="shared" si="121"/>
        <v>0</v>
      </c>
      <c r="AS350">
        <f t="shared" si="121"/>
        <v>0</v>
      </c>
    </row>
    <row r="351" spans="1:45" ht="12.75" customHeight="1" x14ac:dyDescent="0.2">
      <c r="A351" t="s">
        <v>540</v>
      </c>
      <c r="G351">
        <v>16</v>
      </c>
      <c r="H351">
        <v>24</v>
      </c>
      <c r="I351">
        <v>10</v>
      </c>
      <c r="J351">
        <v>43</v>
      </c>
      <c r="L351">
        <v>11</v>
      </c>
      <c r="M351">
        <v>26</v>
      </c>
      <c r="N351">
        <v>10</v>
      </c>
      <c r="O351">
        <v>10</v>
      </c>
      <c r="T351" s="3"/>
      <c r="U351" s="3"/>
      <c r="V351" s="9"/>
      <c r="W351" s="9">
        <v>0.02</v>
      </c>
      <c r="X351" s="9"/>
      <c r="Y351" s="9"/>
      <c r="Z351" s="9"/>
      <c r="AA351" s="9"/>
      <c r="AB351">
        <v>40</v>
      </c>
      <c r="AC351" s="9"/>
      <c r="AD351" s="9"/>
      <c r="AE351" s="8"/>
      <c r="AF351" s="8"/>
      <c r="AG351" s="8"/>
      <c r="AH351" s="9"/>
      <c r="AI351" s="8"/>
      <c r="AJ351" s="8"/>
      <c r="AK351" s="8"/>
      <c r="AL351" s="8"/>
      <c r="AM351" s="9"/>
      <c r="AO351" s="8"/>
      <c r="AP351" s="9"/>
    </row>
    <row r="352" spans="1:45" ht="12.75" customHeight="1" x14ac:dyDescent="0.2">
      <c r="A352" t="s">
        <v>198</v>
      </c>
      <c r="G352">
        <f t="shared" ref="G352:M352" si="122">G351</f>
        <v>16</v>
      </c>
      <c r="H352">
        <f>H351+9</f>
        <v>33</v>
      </c>
      <c r="I352">
        <f t="shared" si="122"/>
        <v>10</v>
      </c>
      <c r="J352">
        <f t="shared" si="122"/>
        <v>43</v>
      </c>
      <c r="K352">
        <f t="shared" si="122"/>
        <v>0</v>
      </c>
      <c r="L352">
        <f t="shared" si="122"/>
        <v>11</v>
      </c>
      <c r="M352">
        <f t="shared" si="122"/>
        <v>26</v>
      </c>
      <c r="N352">
        <f>N351+14</f>
        <v>24</v>
      </c>
      <c r="O352">
        <f>O351+10</f>
        <v>20</v>
      </c>
      <c r="P352">
        <f t="shared" ref="P352:V352" si="123">P351</f>
        <v>0</v>
      </c>
      <c r="Q352">
        <f t="shared" si="123"/>
        <v>0</v>
      </c>
      <c r="R352">
        <f t="shared" si="123"/>
        <v>0</v>
      </c>
      <c r="S352">
        <f t="shared" si="123"/>
        <v>0</v>
      </c>
      <c r="T352">
        <f t="shared" si="123"/>
        <v>0</v>
      </c>
      <c r="U352">
        <f t="shared" si="123"/>
        <v>0</v>
      </c>
      <c r="V352" s="9">
        <f t="shared" si="123"/>
        <v>0</v>
      </c>
      <c r="W352" s="9">
        <f>W351+4%</f>
        <v>0.06</v>
      </c>
      <c r="X352" s="9">
        <f t="shared" ref="X352:AS352" si="124">X351</f>
        <v>0</v>
      </c>
      <c r="Y352" s="9">
        <f t="shared" si="124"/>
        <v>0</v>
      </c>
      <c r="Z352" s="9">
        <f t="shared" si="124"/>
        <v>0</v>
      </c>
      <c r="AA352" s="9">
        <f t="shared" si="124"/>
        <v>0</v>
      </c>
      <c r="AB352">
        <f t="shared" si="124"/>
        <v>40</v>
      </c>
      <c r="AC352" s="9">
        <f t="shared" si="124"/>
        <v>0</v>
      </c>
      <c r="AD352" s="9">
        <f t="shared" si="124"/>
        <v>0</v>
      </c>
      <c r="AE352" s="8">
        <f t="shared" si="124"/>
        <v>0</v>
      </c>
      <c r="AF352" s="8">
        <f t="shared" si="124"/>
        <v>0</v>
      </c>
      <c r="AG352" s="8">
        <f t="shared" si="124"/>
        <v>0</v>
      </c>
      <c r="AH352" s="9">
        <f t="shared" si="124"/>
        <v>0</v>
      </c>
      <c r="AI352" s="8">
        <f t="shared" si="124"/>
        <v>0</v>
      </c>
      <c r="AJ352" s="8">
        <f t="shared" si="124"/>
        <v>0</v>
      </c>
      <c r="AK352" s="8">
        <f t="shared" si="124"/>
        <v>0</v>
      </c>
      <c r="AL352" s="8">
        <f t="shared" si="124"/>
        <v>0</v>
      </c>
      <c r="AM352" s="9">
        <f t="shared" si="124"/>
        <v>0</v>
      </c>
      <c r="AN352">
        <f t="shared" si="124"/>
        <v>0</v>
      </c>
      <c r="AO352" s="8">
        <f t="shared" si="124"/>
        <v>0</v>
      </c>
      <c r="AP352" s="9">
        <f t="shared" si="124"/>
        <v>0</v>
      </c>
      <c r="AQ352">
        <f t="shared" si="124"/>
        <v>0</v>
      </c>
      <c r="AR352">
        <f t="shared" si="124"/>
        <v>0</v>
      </c>
      <c r="AS352">
        <f t="shared" si="124"/>
        <v>0</v>
      </c>
    </row>
    <row r="353" spans="1:45" ht="12.75" customHeight="1" x14ac:dyDescent="0.2">
      <c r="A353" t="s">
        <v>541</v>
      </c>
      <c r="G353">
        <f t="shared" ref="G353:M353" si="125">G351</f>
        <v>16</v>
      </c>
      <c r="H353">
        <f t="shared" si="125"/>
        <v>24</v>
      </c>
      <c r="I353">
        <f t="shared" si="125"/>
        <v>10</v>
      </c>
      <c r="J353">
        <f t="shared" si="125"/>
        <v>43</v>
      </c>
      <c r="K353">
        <f t="shared" si="125"/>
        <v>0</v>
      </c>
      <c r="L353">
        <f t="shared" si="125"/>
        <v>11</v>
      </c>
      <c r="M353">
        <f t="shared" si="125"/>
        <v>26</v>
      </c>
      <c r="N353">
        <f>N351+39</f>
        <v>49</v>
      </c>
      <c r="O353">
        <f>O351+25</f>
        <v>35</v>
      </c>
      <c r="P353">
        <f t="shared" ref="P353:AD353" si="126">P351</f>
        <v>0</v>
      </c>
      <c r="Q353">
        <f t="shared" si="126"/>
        <v>0</v>
      </c>
      <c r="R353">
        <f t="shared" si="126"/>
        <v>0</v>
      </c>
      <c r="S353">
        <f t="shared" si="126"/>
        <v>0</v>
      </c>
      <c r="T353">
        <f t="shared" si="126"/>
        <v>0</v>
      </c>
      <c r="U353">
        <f t="shared" si="126"/>
        <v>0</v>
      </c>
      <c r="V353" s="9">
        <f t="shared" si="126"/>
        <v>0</v>
      </c>
      <c r="W353" s="9">
        <f t="shared" si="126"/>
        <v>0.02</v>
      </c>
      <c r="X353" s="9">
        <f t="shared" si="126"/>
        <v>0</v>
      </c>
      <c r="Y353" s="9">
        <f t="shared" si="126"/>
        <v>0</v>
      </c>
      <c r="Z353" s="9">
        <f t="shared" si="126"/>
        <v>0</v>
      </c>
      <c r="AA353" s="9">
        <f t="shared" si="126"/>
        <v>0</v>
      </c>
      <c r="AB353">
        <f t="shared" si="126"/>
        <v>40</v>
      </c>
      <c r="AC353" s="9">
        <v>0.01</v>
      </c>
      <c r="AD353" s="9">
        <f t="shared" si="126"/>
        <v>0</v>
      </c>
      <c r="AE353" s="8">
        <f>AE351+6</f>
        <v>6</v>
      </c>
      <c r="AF353" s="8">
        <f t="shared" ref="AF353:AS353" si="127">AF351</f>
        <v>0</v>
      </c>
      <c r="AG353" s="8">
        <f t="shared" si="127"/>
        <v>0</v>
      </c>
      <c r="AH353" s="9">
        <f t="shared" si="127"/>
        <v>0</v>
      </c>
      <c r="AI353" s="8">
        <f t="shared" si="127"/>
        <v>0</v>
      </c>
      <c r="AJ353" s="8">
        <f t="shared" si="127"/>
        <v>0</v>
      </c>
      <c r="AK353" s="8">
        <f t="shared" si="127"/>
        <v>0</v>
      </c>
      <c r="AL353" s="8">
        <f t="shared" si="127"/>
        <v>0</v>
      </c>
      <c r="AM353" s="9">
        <f t="shared" si="127"/>
        <v>0</v>
      </c>
      <c r="AN353">
        <f t="shared" si="127"/>
        <v>0</v>
      </c>
      <c r="AO353" s="8">
        <f t="shared" si="127"/>
        <v>0</v>
      </c>
      <c r="AP353" s="9">
        <f t="shared" si="127"/>
        <v>0</v>
      </c>
      <c r="AQ353">
        <f t="shared" si="127"/>
        <v>0</v>
      </c>
      <c r="AR353">
        <f t="shared" si="127"/>
        <v>0</v>
      </c>
      <c r="AS353">
        <f t="shared" si="127"/>
        <v>0</v>
      </c>
    </row>
    <row r="354" spans="1:45" ht="12.75" customHeight="1" x14ac:dyDescent="0.2">
      <c r="A354" t="s">
        <v>542</v>
      </c>
      <c r="G354">
        <f t="shared" ref="G354:M354" si="128">G351</f>
        <v>16</v>
      </c>
      <c r="H354">
        <f>H351+9</f>
        <v>33</v>
      </c>
      <c r="I354">
        <f t="shared" si="128"/>
        <v>10</v>
      </c>
      <c r="J354">
        <f t="shared" si="128"/>
        <v>43</v>
      </c>
      <c r="K354">
        <f t="shared" si="128"/>
        <v>0</v>
      </c>
      <c r="L354">
        <f t="shared" si="128"/>
        <v>11</v>
      </c>
      <c r="M354">
        <f t="shared" si="128"/>
        <v>26</v>
      </c>
      <c r="N354">
        <f>N351+6</f>
        <v>16</v>
      </c>
      <c r="O354">
        <f>O351+15</f>
        <v>25</v>
      </c>
      <c r="P354">
        <f t="shared" ref="P354:AG354" si="129">P351</f>
        <v>0</v>
      </c>
      <c r="Q354">
        <f t="shared" si="129"/>
        <v>0</v>
      </c>
      <c r="R354">
        <f t="shared" si="129"/>
        <v>0</v>
      </c>
      <c r="S354">
        <f t="shared" si="129"/>
        <v>0</v>
      </c>
      <c r="T354">
        <f t="shared" si="129"/>
        <v>0</v>
      </c>
      <c r="U354">
        <f t="shared" si="129"/>
        <v>0</v>
      </c>
      <c r="V354" s="9">
        <f t="shared" si="129"/>
        <v>0</v>
      </c>
      <c r="W354" s="9">
        <f t="shared" si="129"/>
        <v>0.02</v>
      </c>
      <c r="X354" s="9">
        <f t="shared" si="129"/>
        <v>0</v>
      </c>
      <c r="Y354" s="9">
        <f t="shared" si="129"/>
        <v>0</v>
      </c>
      <c r="Z354" s="9">
        <f t="shared" si="129"/>
        <v>0</v>
      </c>
      <c r="AA354" s="9">
        <f t="shared" si="129"/>
        <v>0</v>
      </c>
      <c r="AB354">
        <f t="shared" si="129"/>
        <v>40</v>
      </c>
      <c r="AC354" s="9">
        <f t="shared" si="129"/>
        <v>0</v>
      </c>
      <c r="AD354" s="9">
        <f t="shared" si="129"/>
        <v>0</v>
      </c>
      <c r="AE354" s="8">
        <f t="shared" si="129"/>
        <v>0</v>
      </c>
      <c r="AF354" s="8">
        <f t="shared" si="129"/>
        <v>0</v>
      </c>
      <c r="AG354" s="8">
        <f t="shared" si="129"/>
        <v>0</v>
      </c>
      <c r="AH354" s="9">
        <v>0.08</v>
      </c>
      <c r="AI354" s="8">
        <f t="shared" ref="AI354:AS354" si="130">AI351</f>
        <v>0</v>
      </c>
      <c r="AJ354" s="8">
        <f t="shared" si="130"/>
        <v>0</v>
      </c>
      <c r="AK354" s="8">
        <f t="shared" si="130"/>
        <v>0</v>
      </c>
      <c r="AL354" s="8">
        <f t="shared" si="130"/>
        <v>0</v>
      </c>
      <c r="AM354" s="9">
        <f t="shared" si="130"/>
        <v>0</v>
      </c>
      <c r="AN354">
        <f t="shared" si="130"/>
        <v>0</v>
      </c>
      <c r="AO354" s="8">
        <f t="shared" si="130"/>
        <v>0</v>
      </c>
      <c r="AP354" s="9">
        <f t="shared" si="130"/>
        <v>0</v>
      </c>
      <c r="AQ354">
        <f t="shared" si="130"/>
        <v>0</v>
      </c>
      <c r="AR354">
        <f t="shared" si="130"/>
        <v>0</v>
      </c>
      <c r="AS354">
        <f t="shared" si="130"/>
        <v>0</v>
      </c>
    </row>
    <row r="355" spans="1:45" ht="12.75" customHeight="1" x14ac:dyDescent="0.2">
      <c r="T355" s="3"/>
      <c r="U355" s="3"/>
      <c r="V355" s="9"/>
      <c r="W355" s="9"/>
      <c r="X355" s="9"/>
      <c r="Y355" s="9"/>
      <c r="Z355" s="9"/>
      <c r="AA355" s="9"/>
      <c r="AC355" s="9"/>
      <c r="AD355" s="9"/>
      <c r="AE355" s="8"/>
      <c r="AF355" s="8"/>
      <c r="AG355" s="8"/>
      <c r="AH355" s="9"/>
      <c r="AI355" s="8"/>
      <c r="AJ355" s="8"/>
      <c r="AK355" s="8"/>
      <c r="AL355" s="8"/>
      <c r="AM355" s="9"/>
      <c r="AO355" s="8"/>
      <c r="AP355" s="9"/>
    </row>
    <row r="356" spans="1:45" ht="12.75" customHeight="1" x14ac:dyDescent="0.2">
      <c r="T356" s="3"/>
      <c r="U356" s="3"/>
      <c r="V356" s="9"/>
      <c r="W356" s="9"/>
      <c r="X356" s="9"/>
      <c r="Y356" s="9"/>
      <c r="Z356" s="9"/>
      <c r="AA356" s="9"/>
      <c r="AC356" s="9"/>
      <c r="AD356" s="9"/>
      <c r="AE356" s="8"/>
      <c r="AF356" s="8"/>
      <c r="AG356" s="8"/>
      <c r="AH356" s="9"/>
      <c r="AI356" s="8"/>
      <c r="AJ356" s="8"/>
      <c r="AK356" s="8"/>
      <c r="AL356" s="8"/>
      <c r="AM356" s="9"/>
      <c r="AO356" s="8"/>
      <c r="AP356" s="9"/>
    </row>
    <row r="357" spans="1:45" ht="12.75" customHeight="1" x14ac:dyDescent="0.2">
      <c r="T357" s="3"/>
      <c r="U357" s="3"/>
      <c r="V357" s="9"/>
      <c r="W357" s="9"/>
      <c r="X357" s="9"/>
      <c r="Y357" s="9"/>
      <c r="Z357" s="9"/>
      <c r="AA357" s="9"/>
      <c r="AC357" s="9"/>
      <c r="AD357" s="9"/>
      <c r="AE357" s="8"/>
      <c r="AF357" s="8"/>
      <c r="AG357" s="8"/>
      <c r="AH357" s="9"/>
      <c r="AI357" s="8"/>
      <c r="AJ357" s="8"/>
      <c r="AK357" s="8"/>
      <c r="AL357" s="8"/>
      <c r="AM357" s="9"/>
      <c r="AO357" s="8"/>
      <c r="AP357" s="9"/>
    </row>
    <row r="358" spans="1:45" ht="12.75" customHeight="1" x14ac:dyDescent="0.2">
      <c r="T358" s="3"/>
      <c r="U358" s="3"/>
      <c r="V358" s="9"/>
      <c r="W358" s="9"/>
      <c r="X358" s="9"/>
      <c r="Y358" s="9"/>
      <c r="Z358" s="9"/>
      <c r="AA358" s="9"/>
      <c r="AC358" s="9"/>
      <c r="AD358" s="9"/>
      <c r="AE358" s="8"/>
      <c r="AF358" s="8"/>
      <c r="AG358" s="8"/>
      <c r="AH358" s="9"/>
      <c r="AI358" s="8"/>
      <c r="AJ358" s="8"/>
      <c r="AK358" s="8"/>
      <c r="AL358" s="8"/>
      <c r="AM358" s="9"/>
      <c r="AO358" s="8"/>
      <c r="AP358" s="9"/>
    </row>
    <row r="359" spans="1:45" ht="12.75" customHeight="1" x14ac:dyDescent="0.2">
      <c r="T359" s="3"/>
      <c r="U359" s="3"/>
      <c r="V359" s="9"/>
      <c r="W359" s="9"/>
      <c r="X359" s="9"/>
      <c r="Y359" s="9"/>
      <c r="Z359" s="9"/>
      <c r="AA359" s="9"/>
      <c r="AC359" s="9"/>
      <c r="AD359" s="9"/>
      <c r="AE359" s="8"/>
      <c r="AF359" s="8"/>
      <c r="AG359" s="8"/>
      <c r="AH359" s="9"/>
      <c r="AI359" s="8"/>
      <c r="AJ359" s="8"/>
      <c r="AK359" s="8"/>
      <c r="AL359" s="8"/>
      <c r="AM359" s="9"/>
      <c r="AO359" s="8"/>
      <c r="AP359" s="9"/>
    </row>
    <row r="360" spans="1:45" ht="12.75" customHeight="1" x14ac:dyDescent="0.2">
      <c r="T360" s="3"/>
      <c r="U360" s="3"/>
      <c r="V360" s="9"/>
      <c r="W360" s="9"/>
      <c r="X360" s="9"/>
      <c r="Y360" s="9"/>
      <c r="Z360" s="9"/>
      <c r="AA360" s="9"/>
      <c r="AC360" s="9"/>
      <c r="AD360" s="9"/>
      <c r="AE360" s="8"/>
      <c r="AF360" s="8"/>
      <c r="AG360" s="8"/>
      <c r="AH360" s="9"/>
      <c r="AI360" s="8"/>
      <c r="AJ360" s="8"/>
      <c r="AK360" s="8"/>
      <c r="AL360" s="8"/>
      <c r="AM360" s="9"/>
      <c r="AO360" s="8"/>
      <c r="AP360" s="9"/>
    </row>
    <row r="361" spans="1:45" ht="12.75" customHeight="1" x14ac:dyDescent="0.2">
      <c r="T361" s="3"/>
      <c r="U361" s="3"/>
      <c r="V361" s="9"/>
      <c r="W361" s="9"/>
      <c r="X361" s="9"/>
      <c r="Y361" s="9"/>
      <c r="Z361" s="9"/>
      <c r="AA361" s="9"/>
      <c r="AC361" s="9"/>
      <c r="AD361" s="9"/>
      <c r="AE361" s="8"/>
      <c r="AF361" s="8"/>
      <c r="AG361" s="8"/>
      <c r="AH361" s="9"/>
      <c r="AI361" s="8"/>
      <c r="AJ361" s="8"/>
      <c r="AK361" s="8"/>
      <c r="AL361" s="8"/>
      <c r="AM361" s="9"/>
      <c r="AO361" s="8"/>
      <c r="AP361" s="9"/>
    </row>
    <row r="362" spans="1:45" ht="12.75" customHeight="1" x14ac:dyDescent="0.2">
      <c r="T362" s="3"/>
      <c r="U362" s="3"/>
      <c r="V362" s="9"/>
      <c r="W362" s="9"/>
      <c r="X362" s="9"/>
      <c r="Y362" s="9"/>
      <c r="Z362" s="9"/>
      <c r="AA362" s="9"/>
      <c r="AC362" s="9"/>
      <c r="AD362" s="9"/>
      <c r="AE362" s="8"/>
      <c r="AF362" s="8"/>
      <c r="AG362" s="8"/>
      <c r="AH362" s="9"/>
      <c r="AI362" s="8"/>
      <c r="AJ362" s="8"/>
      <c r="AK362" s="8"/>
      <c r="AL362" s="8"/>
      <c r="AM362" s="9"/>
      <c r="AO362" s="8"/>
      <c r="AP362" s="9"/>
    </row>
    <row r="363" spans="1:45" ht="12.75" customHeight="1" x14ac:dyDescent="0.2">
      <c r="T363" s="3"/>
      <c r="U363" s="3"/>
      <c r="V363" s="9"/>
      <c r="W363" s="9"/>
      <c r="X363" s="9"/>
      <c r="Y363" s="9"/>
      <c r="Z363" s="9"/>
      <c r="AA363" s="9"/>
      <c r="AC363" s="9"/>
      <c r="AD363" s="9"/>
      <c r="AE363" s="8"/>
      <c r="AF363" s="8"/>
      <c r="AG363" s="8"/>
      <c r="AH363" s="9"/>
      <c r="AI363" s="8"/>
      <c r="AJ363" s="8"/>
      <c r="AK363" s="8"/>
      <c r="AL363" s="8"/>
      <c r="AM363" s="9"/>
      <c r="AO363" s="8"/>
      <c r="AP363" s="9"/>
    </row>
    <row r="364" spans="1:45" ht="12.75" customHeight="1" x14ac:dyDescent="0.2">
      <c r="T364" s="3"/>
      <c r="U364" s="3"/>
      <c r="V364" s="9"/>
      <c r="W364" s="9"/>
      <c r="X364" s="9"/>
      <c r="Y364" s="9"/>
      <c r="Z364" s="9"/>
      <c r="AA364" s="9"/>
      <c r="AC364" s="9"/>
      <c r="AD364" s="9"/>
      <c r="AE364" s="8"/>
      <c r="AF364" s="8"/>
      <c r="AG364" s="8"/>
      <c r="AH364" s="9"/>
      <c r="AI364" s="8"/>
      <c r="AJ364" s="8"/>
      <c r="AK364" s="8"/>
      <c r="AL364" s="8"/>
      <c r="AM364" s="9"/>
      <c r="AO364" s="8"/>
      <c r="AP364" s="9"/>
    </row>
    <row r="365" spans="1:45" ht="12.75" customHeight="1" x14ac:dyDescent="0.2">
      <c r="T365" s="3"/>
      <c r="U365" s="3"/>
      <c r="V365" s="9"/>
      <c r="W365" s="9"/>
      <c r="X365" s="9"/>
      <c r="Y365" s="9"/>
      <c r="Z365" s="9"/>
      <c r="AA365" s="9"/>
      <c r="AC365" s="9"/>
      <c r="AD365" s="9"/>
      <c r="AE365" s="8"/>
      <c r="AF365" s="8"/>
      <c r="AG365" s="8"/>
      <c r="AH365" s="9"/>
      <c r="AI365" s="8"/>
      <c r="AJ365" s="8"/>
      <c r="AK365" s="8"/>
      <c r="AL365" s="8"/>
      <c r="AM365" s="9"/>
      <c r="AO365" s="8"/>
      <c r="AP365" s="9"/>
    </row>
    <row r="366" spans="1:45" ht="12.75" customHeight="1" x14ac:dyDescent="0.2">
      <c r="T366" s="3"/>
      <c r="U366" s="3"/>
      <c r="V366" s="9"/>
      <c r="W366" s="9"/>
      <c r="X366" s="9"/>
      <c r="Y366" s="9"/>
      <c r="Z366" s="9"/>
      <c r="AA366" s="9"/>
      <c r="AC366" s="9"/>
      <c r="AD366" s="9"/>
      <c r="AE366" s="8"/>
      <c r="AF366" s="8"/>
      <c r="AG366" s="8"/>
      <c r="AH366" s="9"/>
      <c r="AI366" s="8"/>
      <c r="AJ366" s="8"/>
      <c r="AK366" s="8"/>
      <c r="AL366" s="8"/>
      <c r="AM366" s="9"/>
      <c r="AO366" s="8"/>
      <c r="AP366" s="9"/>
    </row>
    <row r="367" spans="1:45" ht="12.75" customHeight="1" x14ac:dyDescent="0.2">
      <c r="T367" s="3"/>
      <c r="U367" s="3"/>
      <c r="V367" s="9"/>
      <c r="W367" s="9"/>
      <c r="X367" s="9"/>
      <c r="Y367" s="9"/>
      <c r="Z367" s="9"/>
      <c r="AA367" s="9"/>
      <c r="AC367" s="9"/>
      <c r="AD367" s="9"/>
      <c r="AE367" s="8"/>
      <c r="AF367" s="8"/>
      <c r="AG367" s="8"/>
      <c r="AH367" s="9"/>
      <c r="AI367" s="8"/>
      <c r="AJ367" s="8"/>
      <c r="AK367" s="8"/>
      <c r="AL367" s="8"/>
      <c r="AM367" s="9"/>
      <c r="AO367" s="8"/>
      <c r="AP367" s="9"/>
    </row>
    <row r="368" spans="1:45" ht="12.75" customHeight="1" x14ac:dyDescent="0.2">
      <c r="T368" s="3"/>
      <c r="U368" s="3"/>
      <c r="V368" s="9"/>
      <c r="W368" s="9"/>
      <c r="X368" s="9"/>
      <c r="Y368" s="9"/>
      <c r="Z368" s="9"/>
      <c r="AA368" s="9"/>
      <c r="AC368" s="9"/>
      <c r="AD368" s="9"/>
      <c r="AE368" s="8"/>
      <c r="AF368" s="8"/>
      <c r="AG368" s="8"/>
      <c r="AH368" s="9"/>
      <c r="AI368" s="8"/>
      <c r="AJ368" s="8"/>
      <c r="AK368" s="8"/>
      <c r="AL368" s="8"/>
      <c r="AM368" s="9"/>
      <c r="AO368" s="8"/>
      <c r="AP368" s="9"/>
    </row>
    <row r="369" spans="20:42" ht="12.75" customHeight="1" x14ac:dyDescent="0.2">
      <c r="T369" s="3"/>
      <c r="U369" s="3"/>
      <c r="V369" s="9"/>
      <c r="W369" s="9"/>
      <c r="X369" s="9"/>
      <c r="Y369" s="9"/>
      <c r="Z369" s="9"/>
      <c r="AA369" s="9"/>
      <c r="AC369" s="9"/>
      <c r="AD369" s="9"/>
      <c r="AE369" s="8"/>
      <c r="AF369" s="8"/>
      <c r="AG369" s="8"/>
      <c r="AH369" s="9"/>
      <c r="AI369" s="8"/>
      <c r="AJ369" s="8"/>
      <c r="AK369" s="8"/>
      <c r="AL369" s="8"/>
      <c r="AM369" s="9"/>
      <c r="AO369" s="8"/>
      <c r="AP369" s="9"/>
    </row>
    <row r="370" spans="20:42" ht="12.75" customHeight="1" x14ac:dyDescent="0.2">
      <c r="T370" s="3"/>
      <c r="U370" s="3"/>
      <c r="V370" s="9"/>
      <c r="W370" s="9"/>
      <c r="X370" s="9"/>
      <c r="Y370" s="9"/>
      <c r="Z370" s="9"/>
      <c r="AA370" s="9"/>
      <c r="AC370" s="9"/>
      <c r="AD370" s="9"/>
      <c r="AE370" s="8"/>
      <c r="AF370" s="8"/>
      <c r="AG370" s="8"/>
      <c r="AH370" s="9"/>
      <c r="AI370" s="8"/>
      <c r="AJ370" s="8"/>
      <c r="AK370" s="8"/>
      <c r="AL370" s="8"/>
      <c r="AM370" s="9"/>
      <c r="AO370" s="8"/>
      <c r="AP370" s="9"/>
    </row>
    <row r="371" spans="20:42" ht="12.75" customHeight="1" x14ac:dyDescent="0.2">
      <c r="T371" s="3"/>
      <c r="U371" s="3"/>
      <c r="V371" s="9"/>
      <c r="W371" s="9"/>
      <c r="X371" s="9"/>
      <c r="Y371" s="9"/>
      <c r="Z371" s="9"/>
      <c r="AA371" s="9"/>
      <c r="AC371" s="9"/>
      <c r="AD371" s="9"/>
      <c r="AE371" s="8"/>
      <c r="AF371" s="8"/>
      <c r="AG371" s="8"/>
      <c r="AH371" s="9"/>
      <c r="AI371" s="8"/>
      <c r="AJ371" s="8"/>
      <c r="AK371" s="8"/>
      <c r="AL371" s="8"/>
      <c r="AM371" s="9"/>
      <c r="AO371" s="8"/>
      <c r="AP371" s="9"/>
    </row>
    <row r="372" spans="20:42" ht="12.75" customHeight="1" x14ac:dyDescent="0.2">
      <c r="T372" s="3"/>
      <c r="U372" s="3"/>
      <c r="V372" s="9"/>
      <c r="W372" s="9"/>
      <c r="X372" s="9"/>
      <c r="Y372" s="9"/>
      <c r="Z372" s="9"/>
      <c r="AA372" s="9"/>
      <c r="AC372" s="9"/>
      <c r="AD372" s="9"/>
      <c r="AE372" s="8"/>
      <c r="AF372" s="8"/>
      <c r="AG372" s="8"/>
      <c r="AH372" s="9"/>
      <c r="AI372" s="8"/>
      <c r="AJ372" s="8"/>
      <c r="AK372" s="8"/>
      <c r="AL372" s="8"/>
      <c r="AM372" s="9"/>
      <c r="AO372" s="8"/>
      <c r="AP372" s="9"/>
    </row>
    <row r="373" spans="20:42" ht="12.75" customHeight="1" x14ac:dyDescent="0.2">
      <c r="T373" s="3"/>
      <c r="U373" s="3"/>
      <c r="V373" s="9"/>
      <c r="W373" s="9"/>
      <c r="X373" s="9"/>
      <c r="Y373" s="9"/>
      <c r="Z373" s="9"/>
      <c r="AA373" s="9"/>
      <c r="AC373" s="9"/>
      <c r="AD373" s="9"/>
      <c r="AE373" s="8"/>
      <c r="AF373" s="8"/>
      <c r="AG373" s="8"/>
      <c r="AH373" s="9"/>
      <c r="AI373" s="8"/>
      <c r="AJ373" s="8"/>
      <c r="AK373" s="8"/>
      <c r="AL373" s="8"/>
      <c r="AM373" s="9"/>
      <c r="AO373" s="8"/>
      <c r="AP373" s="9"/>
    </row>
    <row r="374" spans="20:42" ht="12.75" customHeight="1" x14ac:dyDescent="0.2">
      <c r="T374" s="3"/>
      <c r="U374" s="3"/>
      <c r="V374" s="9"/>
      <c r="W374" s="9"/>
      <c r="X374" s="9"/>
      <c r="Y374" s="9"/>
      <c r="Z374" s="9"/>
      <c r="AA374" s="9"/>
      <c r="AC374" s="9"/>
      <c r="AD374" s="9"/>
      <c r="AE374" s="8"/>
      <c r="AF374" s="8"/>
      <c r="AG374" s="8"/>
      <c r="AH374" s="9"/>
      <c r="AI374" s="8"/>
      <c r="AJ374" s="8"/>
      <c r="AK374" s="8"/>
      <c r="AL374" s="8"/>
      <c r="AM374" s="9"/>
      <c r="AO374" s="8"/>
      <c r="AP374" s="9"/>
    </row>
    <row r="375" spans="20:42" ht="12.75" customHeight="1" x14ac:dyDescent="0.2">
      <c r="T375" s="3"/>
      <c r="U375" s="3"/>
      <c r="V375" s="9"/>
      <c r="W375" s="9"/>
      <c r="X375" s="9"/>
      <c r="Y375" s="9"/>
      <c r="Z375" s="9"/>
      <c r="AA375" s="9"/>
      <c r="AC375" s="9"/>
      <c r="AD375" s="9"/>
      <c r="AE375" s="8"/>
      <c r="AF375" s="8"/>
      <c r="AG375" s="8"/>
      <c r="AH375" s="9"/>
      <c r="AI375" s="8"/>
      <c r="AJ375" s="8"/>
      <c r="AK375" s="8"/>
      <c r="AL375" s="8"/>
      <c r="AM375" s="9"/>
      <c r="AO375" s="8"/>
      <c r="AP375" s="9"/>
    </row>
    <row r="376" spans="20:42" ht="12.75" customHeight="1" x14ac:dyDescent="0.2">
      <c r="T376" s="3"/>
      <c r="U376" s="3"/>
      <c r="V376" s="9"/>
      <c r="W376" s="9"/>
      <c r="X376" s="9"/>
      <c r="Y376" s="9"/>
      <c r="Z376" s="9"/>
      <c r="AA376" s="9"/>
      <c r="AC376" s="9"/>
      <c r="AD376" s="9"/>
      <c r="AE376" s="8"/>
      <c r="AF376" s="8"/>
      <c r="AG376" s="8"/>
      <c r="AH376" s="9"/>
      <c r="AI376" s="8"/>
      <c r="AJ376" s="8"/>
      <c r="AK376" s="8"/>
      <c r="AL376" s="8"/>
      <c r="AM376" s="9"/>
      <c r="AO376" s="8"/>
      <c r="AP376" s="9"/>
    </row>
    <row r="377" spans="20:42" ht="12.75" customHeight="1" x14ac:dyDescent="0.2">
      <c r="T377" s="3"/>
      <c r="U377" s="3"/>
      <c r="V377" s="9"/>
      <c r="W377" s="9"/>
      <c r="X377" s="9"/>
      <c r="Y377" s="9"/>
      <c r="Z377" s="9"/>
      <c r="AA377" s="9"/>
      <c r="AC377" s="9"/>
      <c r="AD377" s="9"/>
      <c r="AE377" s="8"/>
      <c r="AF377" s="8"/>
      <c r="AG377" s="8"/>
      <c r="AH377" s="9"/>
      <c r="AI377" s="8"/>
      <c r="AJ377" s="8"/>
      <c r="AK377" s="8"/>
      <c r="AL377" s="8"/>
      <c r="AM377" s="9"/>
      <c r="AO377" s="8"/>
      <c r="AP377" s="9"/>
    </row>
    <row r="378" spans="20:42" ht="12.75" customHeight="1" x14ac:dyDescent="0.2">
      <c r="T378" s="3"/>
      <c r="U378" s="3"/>
      <c r="V378" s="9"/>
      <c r="W378" s="9"/>
      <c r="X378" s="9"/>
      <c r="Y378" s="9"/>
      <c r="Z378" s="9"/>
      <c r="AA378" s="9"/>
      <c r="AC378" s="9"/>
      <c r="AD378" s="9"/>
      <c r="AE378" s="8"/>
      <c r="AF378" s="8"/>
      <c r="AG378" s="8"/>
      <c r="AH378" s="9"/>
      <c r="AI378" s="8"/>
      <c r="AJ378" s="8"/>
      <c r="AK378" s="8"/>
      <c r="AL378" s="8"/>
      <c r="AM378" s="9"/>
      <c r="AO378" s="8"/>
      <c r="AP378" s="9"/>
    </row>
    <row r="379" spans="20:42" ht="12.75" customHeight="1" x14ac:dyDescent="0.2">
      <c r="T379" s="3"/>
      <c r="U379" s="3"/>
      <c r="V379" s="9"/>
      <c r="W379" s="9"/>
      <c r="X379" s="9"/>
      <c r="Y379" s="9"/>
      <c r="Z379" s="9"/>
      <c r="AA379" s="9"/>
      <c r="AC379" s="9"/>
      <c r="AD379" s="9"/>
      <c r="AE379" s="8"/>
      <c r="AF379" s="8"/>
      <c r="AG379" s="8"/>
      <c r="AH379" s="9"/>
      <c r="AI379" s="8"/>
      <c r="AJ379" s="8"/>
      <c r="AK379" s="8"/>
      <c r="AL379" s="8"/>
      <c r="AM379" s="9"/>
      <c r="AO379" s="8"/>
      <c r="AP379" s="9"/>
    </row>
    <row r="380" spans="20:42" ht="12.75" customHeight="1" x14ac:dyDescent="0.2">
      <c r="T380" s="3"/>
      <c r="U380" s="3"/>
      <c r="V380" s="9"/>
      <c r="W380" s="9"/>
      <c r="X380" s="9"/>
      <c r="Y380" s="9"/>
      <c r="Z380" s="9"/>
      <c r="AA380" s="9"/>
      <c r="AC380" s="9"/>
      <c r="AD380" s="9"/>
      <c r="AE380" s="8"/>
      <c r="AF380" s="8"/>
      <c r="AG380" s="8"/>
      <c r="AH380" s="9"/>
      <c r="AI380" s="8"/>
      <c r="AJ380" s="8"/>
      <c r="AK380" s="8"/>
      <c r="AL380" s="8"/>
      <c r="AM380" s="9"/>
      <c r="AO380" s="8"/>
      <c r="AP380" s="9"/>
    </row>
    <row r="381" spans="20:42" ht="12.75" customHeight="1" x14ac:dyDescent="0.2">
      <c r="T381" s="3"/>
      <c r="U381" s="3"/>
      <c r="V381" s="9"/>
      <c r="W381" s="9"/>
      <c r="X381" s="9"/>
      <c r="Y381" s="9"/>
      <c r="Z381" s="9"/>
      <c r="AA381" s="9"/>
      <c r="AC381" s="9"/>
      <c r="AD381" s="9"/>
      <c r="AE381" s="8"/>
      <c r="AF381" s="8"/>
      <c r="AG381" s="8"/>
      <c r="AH381" s="9"/>
      <c r="AI381" s="8"/>
      <c r="AJ381" s="8"/>
      <c r="AK381" s="8"/>
      <c r="AL381" s="8"/>
      <c r="AM381" s="9"/>
      <c r="AO381" s="8"/>
      <c r="AP381" s="9"/>
    </row>
    <row r="382" spans="20:42" ht="12.75" customHeight="1" x14ac:dyDescent="0.2">
      <c r="T382" s="3"/>
      <c r="U382" s="3"/>
      <c r="V382" s="9"/>
      <c r="W382" s="9"/>
      <c r="X382" s="9"/>
      <c r="Y382" s="9"/>
      <c r="Z382" s="9"/>
      <c r="AA382" s="9"/>
      <c r="AC382" s="9"/>
      <c r="AD382" s="9"/>
      <c r="AE382" s="8"/>
      <c r="AF382" s="8"/>
      <c r="AG382" s="8"/>
      <c r="AH382" s="9"/>
      <c r="AI382" s="8"/>
      <c r="AJ382" s="8"/>
      <c r="AK382" s="8"/>
      <c r="AL382" s="8"/>
      <c r="AM382" s="9"/>
      <c r="AO382" s="8"/>
      <c r="AP382" s="9"/>
    </row>
    <row r="383" spans="20:42" ht="12.75" customHeight="1" x14ac:dyDescent="0.2">
      <c r="T383" s="3"/>
      <c r="U383" s="3"/>
      <c r="V383" s="9"/>
      <c r="W383" s="9"/>
      <c r="X383" s="9"/>
      <c r="Y383" s="9"/>
      <c r="Z383" s="9"/>
      <c r="AA383" s="9"/>
      <c r="AC383" s="9"/>
      <c r="AD383" s="9"/>
      <c r="AE383" s="8"/>
      <c r="AF383" s="8"/>
      <c r="AG383" s="8"/>
      <c r="AH383" s="9"/>
      <c r="AI383" s="8"/>
      <c r="AJ383" s="8"/>
      <c r="AK383" s="8"/>
      <c r="AL383" s="8"/>
      <c r="AM383" s="9"/>
      <c r="AO383" s="8"/>
      <c r="AP383" s="9"/>
    </row>
    <row r="384" spans="20:42" ht="12.75" customHeight="1" x14ac:dyDescent="0.2">
      <c r="T384" s="3"/>
      <c r="U384" s="3"/>
      <c r="V384" s="9"/>
      <c r="W384" s="9"/>
      <c r="X384" s="9"/>
      <c r="Y384" s="9"/>
      <c r="Z384" s="9"/>
      <c r="AA384" s="9"/>
      <c r="AC384" s="9"/>
      <c r="AD384" s="9"/>
      <c r="AE384" s="8"/>
      <c r="AF384" s="8"/>
      <c r="AG384" s="8"/>
      <c r="AH384" s="9"/>
      <c r="AI384" s="8"/>
      <c r="AJ384" s="8"/>
      <c r="AK384" s="8"/>
      <c r="AL384" s="8"/>
      <c r="AM384" s="9"/>
      <c r="AO384" s="8"/>
      <c r="AP384" s="9"/>
    </row>
    <row r="385" spans="20:42" ht="12.75" customHeight="1" x14ac:dyDescent="0.2">
      <c r="T385" s="3"/>
      <c r="U385" s="3"/>
      <c r="V385" s="9"/>
      <c r="W385" s="9"/>
      <c r="X385" s="9"/>
      <c r="Y385" s="9"/>
      <c r="Z385" s="9"/>
      <c r="AA385" s="9"/>
      <c r="AC385" s="9"/>
      <c r="AD385" s="9"/>
      <c r="AE385" s="8"/>
      <c r="AF385" s="8"/>
      <c r="AG385" s="8"/>
      <c r="AH385" s="9"/>
      <c r="AI385" s="8"/>
      <c r="AJ385" s="8"/>
      <c r="AK385" s="8"/>
      <c r="AL385" s="8"/>
      <c r="AM385" s="9"/>
      <c r="AO385" s="8"/>
      <c r="AP385" s="9"/>
    </row>
    <row r="386" spans="20:42" ht="12.75" customHeight="1" x14ac:dyDescent="0.2">
      <c r="T386" s="3"/>
      <c r="U386" s="3"/>
      <c r="V386" s="9"/>
      <c r="W386" s="9"/>
      <c r="X386" s="9"/>
      <c r="Y386" s="9"/>
      <c r="Z386" s="9"/>
      <c r="AA386" s="9"/>
      <c r="AC386" s="9"/>
      <c r="AD386" s="9"/>
      <c r="AE386" s="8"/>
      <c r="AF386" s="8"/>
      <c r="AG386" s="8"/>
      <c r="AH386" s="9"/>
      <c r="AI386" s="8"/>
      <c r="AJ386" s="8"/>
      <c r="AK386" s="8"/>
      <c r="AL386" s="8"/>
      <c r="AM386" s="9"/>
      <c r="AO386" s="8"/>
      <c r="AP386" s="9"/>
    </row>
    <row r="387" spans="20:42" ht="12.75" customHeight="1" x14ac:dyDescent="0.2">
      <c r="T387" s="3"/>
      <c r="U387" s="3"/>
      <c r="V387" s="9"/>
      <c r="W387" s="9"/>
      <c r="X387" s="9"/>
      <c r="Y387" s="9"/>
      <c r="Z387" s="9"/>
      <c r="AA387" s="9"/>
      <c r="AC387" s="9"/>
      <c r="AD387" s="9"/>
      <c r="AE387" s="8"/>
      <c r="AF387" s="8"/>
      <c r="AG387" s="8"/>
      <c r="AH387" s="9"/>
      <c r="AI387" s="8"/>
      <c r="AJ387" s="8"/>
      <c r="AK387" s="8"/>
      <c r="AL387" s="8"/>
      <c r="AM387" s="9"/>
      <c r="AO387" s="8"/>
      <c r="AP387" s="9"/>
    </row>
    <row r="388" spans="20:42" ht="12.75" customHeight="1" x14ac:dyDescent="0.2">
      <c r="T388" s="3"/>
      <c r="U388" s="3"/>
      <c r="V388" s="9"/>
      <c r="W388" s="9"/>
      <c r="X388" s="9"/>
      <c r="Y388" s="9"/>
      <c r="Z388" s="9"/>
      <c r="AA388" s="9"/>
      <c r="AC388" s="9"/>
      <c r="AD388" s="9"/>
      <c r="AE388" s="8"/>
      <c r="AF388" s="8"/>
      <c r="AG388" s="8"/>
      <c r="AH388" s="9"/>
      <c r="AI388" s="8"/>
      <c r="AJ388" s="8"/>
      <c r="AK388" s="8"/>
      <c r="AL388" s="8"/>
      <c r="AM388" s="9"/>
      <c r="AO388" s="8"/>
      <c r="AP388" s="9"/>
    </row>
    <row r="389" spans="20:42" ht="12.75" customHeight="1" x14ac:dyDescent="0.2">
      <c r="T389" s="3"/>
      <c r="U389" s="3"/>
      <c r="V389" s="9"/>
      <c r="W389" s="9"/>
      <c r="X389" s="9"/>
      <c r="Y389" s="9"/>
      <c r="Z389" s="9"/>
      <c r="AA389" s="9"/>
      <c r="AC389" s="9"/>
      <c r="AD389" s="9"/>
      <c r="AE389" s="8"/>
      <c r="AF389" s="8"/>
      <c r="AG389" s="8"/>
      <c r="AH389" s="9"/>
      <c r="AI389" s="8"/>
      <c r="AJ389" s="8"/>
      <c r="AK389" s="8"/>
      <c r="AL389" s="8"/>
      <c r="AM389" s="9"/>
      <c r="AO389" s="8"/>
      <c r="AP389" s="9"/>
    </row>
    <row r="390" spans="20:42" ht="12.75" customHeight="1" x14ac:dyDescent="0.2">
      <c r="T390" s="3"/>
      <c r="U390" s="3"/>
      <c r="V390" s="9"/>
      <c r="W390" s="9"/>
      <c r="X390" s="9"/>
      <c r="Y390" s="9"/>
      <c r="Z390" s="9"/>
      <c r="AA390" s="9"/>
      <c r="AC390" s="9"/>
      <c r="AD390" s="9"/>
      <c r="AE390" s="8"/>
      <c r="AF390" s="8"/>
      <c r="AG390" s="8"/>
      <c r="AH390" s="9"/>
      <c r="AI390" s="8"/>
      <c r="AJ390" s="8"/>
      <c r="AK390" s="8"/>
      <c r="AL390" s="8"/>
      <c r="AM390" s="9"/>
      <c r="AO390" s="8"/>
      <c r="AP390" s="9"/>
    </row>
    <row r="391" spans="20:42" ht="12.75" customHeight="1" x14ac:dyDescent="0.2">
      <c r="T391" s="3"/>
      <c r="U391" s="3"/>
      <c r="V391" s="9"/>
      <c r="W391" s="9"/>
      <c r="X391" s="9"/>
      <c r="Y391" s="9"/>
      <c r="Z391" s="9"/>
      <c r="AA391" s="9"/>
      <c r="AC391" s="9"/>
      <c r="AD391" s="9"/>
      <c r="AE391" s="8"/>
      <c r="AF391" s="8"/>
      <c r="AG391" s="8"/>
      <c r="AH391" s="9"/>
      <c r="AI391" s="8"/>
      <c r="AJ391" s="8"/>
      <c r="AK391" s="8"/>
      <c r="AL391" s="8"/>
      <c r="AM391" s="9"/>
      <c r="AO391" s="8"/>
      <c r="AP391" s="9"/>
    </row>
    <row r="392" spans="20:42" ht="12.75" customHeight="1" x14ac:dyDescent="0.2">
      <c r="T392" s="3"/>
      <c r="U392" s="3"/>
      <c r="V392" s="9"/>
      <c r="W392" s="9"/>
      <c r="X392" s="9"/>
      <c r="Y392" s="9"/>
      <c r="Z392" s="9"/>
      <c r="AA392" s="9"/>
      <c r="AC392" s="9"/>
      <c r="AD392" s="9"/>
      <c r="AE392" s="8"/>
      <c r="AF392" s="8"/>
      <c r="AG392" s="8"/>
      <c r="AH392" s="9"/>
      <c r="AI392" s="8"/>
      <c r="AJ392" s="8"/>
      <c r="AK392" s="8"/>
      <c r="AL392" s="8"/>
      <c r="AM392" s="9"/>
      <c r="AO392" s="8"/>
      <c r="AP392" s="9"/>
    </row>
    <row r="393" spans="20:42" ht="12.75" customHeight="1" x14ac:dyDescent="0.2">
      <c r="T393" s="3"/>
      <c r="U393" s="3"/>
      <c r="V393" s="9"/>
      <c r="W393" s="9"/>
      <c r="X393" s="9"/>
      <c r="Y393" s="9"/>
      <c r="Z393" s="9"/>
      <c r="AA393" s="9"/>
      <c r="AC393" s="9"/>
      <c r="AD393" s="9"/>
      <c r="AE393" s="8"/>
      <c r="AF393" s="8"/>
      <c r="AG393" s="8"/>
      <c r="AH393" s="9"/>
      <c r="AI393" s="8"/>
      <c r="AJ393" s="8"/>
      <c r="AK393" s="8"/>
      <c r="AL393" s="8"/>
      <c r="AM393" s="9"/>
      <c r="AO393" s="8"/>
      <c r="AP393" s="9"/>
    </row>
    <row r="394" spans="20:42" ht="12.75" customHeight="1" x14ac:dyDescent="0.2">
      <c r="T394" s="3"/>
      <c r="U394" s="3"/>
      <c r="V394" s="9"/>
      <c r="W394" s="9"/>
      <c r="X394" s="9"/>
      <c r="Y394" s="9"/>
      <c r="Z394" s="9"/>
      <c r="AA394" s="9"/>
      <c r="AC394" s="9"/>
      <c r="AD394" s="9"/>
      <c r="AE394" s="8"/>
      <c r="AF394" s="8"/>
      <c r="AG394" s="8"/>
      <c r="AH394" s="9"/>
      <c r="AI394" s="8"/>
      <c r="AJ394" s="8"/>
      <c r="AK394" s="8"/>
      <c r="AL394" s="8"/>
      <c r="AM394" s="9"/>
      <c r="AO394" s="8"/>
      <c r="AP394" s="9"/>
    </row>
    <row r="395" spans="20:42" ht="12.75" customHeight="1" x14ac:dyDescent="0.2">
      <c r="T395" s="3"/>
      <c r="U395" s="3"/>
      <c r="V395" s="9"/>
      <c r="W395" s="9"/>
      <c r="X395" s="9"/>
      <c r="Y395" s="9"/>
      <c r="Z395" s="9"/>
      <c r="AA395" s="9"/>
      <c r="AC395" s="9"/>
      <c r="AD395" s="9"/>
      <c r="AE395" s="8"/>
      <c r="AF395" s="8"/>
      <c r="AG395" s="8"/>
      <c r="AH395" s="9"/>
      <c r="AI395" s="8"/>
      <c r="AJ395" s="8"/>
      <c r="AK395" s="8"/>
      <c r="AL395" s="8"/>
      <c r="AM395" s="9"/>
      <c r="AO395" s="8"/>
      <c r="AP395" s="9"/>
    </row>
    <row r="396" spans="20:42" ht="12.75" customHeight="1" x14ac:dyDescent="0.2">
      <c r="T396" s="3"/>
      <c r="U396" s="3"/>
      <c r="V396" s="9"/>
      <c r="W396" s="9"/>
      <c r="X396" s="9"/>
      <c r="Y396" s="9"/>
      <c r="Z396" s="9"/>
      <c r="AA396" s="9"/>
      <c r="AC396" s="9"/>
      <c r="AD396" s="9"/>
      <c r="AE396" s="8"/>
      <c r="AF396" s="8"/>
      <c r="AG396" s="8"/>
      <c r="AH396" s="9"/>
      <c r="AI396" s="8"/>
      <c r="AJ396" s="8"/>
      <c r="AK396" s="8"/>
      <c r="AL396" s="8"/>
      <c r="AM396" s="9"/>
      <c r="AO396" s="8"/>
      <c r="AP396" s="9"/>
    </row>
    <row r="397" spans="20:42" ht="12.75" customHeight="1" x14ac:dyDescent="0.2">
      <c r="T397" s="3"/>
      <c r="U397" s="3"/>
      <c r="V397" s="9"/>
      <c r="W397" s="9"/>
      <c r="X397" s="9"/>
      <c r="Y397" s="9"/>
      <c r="Z397" s="9"/>
      <c r="AA397" s="9"/>
      <c r="AC397" s="9"/>
      <c r="AD397" s="9"/>
      <c r="AE397" s="8"/>
      <c r="AF397" s="8"/>
      <c r="AG397" s="8"/>
      <c r="AH397" s="9"/>
      <c r="AI397" s="8"/>
      <c r="AJ397" s="8"/>
      <c r="AK397" s="8"/>
      <c r="AL397" s="8"/>
      <c r="AM397" s="9"/>
      <c r="AO397" s="8"/>
      <c r="AP397" s="9"/>
    </row>
    <row r="398" spans="20:42" ht="12.75" customHeight="1" x14ac:dyDescent="0.2">
      <c r="T398" s="3"/>
      <c r="U398" s="3"/>
      <c r="V398" s="9"/>
      <c r="W398" s="9"/>
      <c r="X398" s="9"/>
      <c r="Y398" s="9"/>
      <c r="Z398" s="9"/>
      <c r="AA398" s="9"/>
      <c r="AC398" s="9"/>
      <c r="AD398" s="9"/>
      <c r="AE398" s="8"/>
      <c r="AF398" s="8"/>
      <c r="AG398" s="8"/>
      <c r="AH398" s="9"/>
      <c r="AI398" s="8"/>
      <c r="AJ398" s="8"/>
      <c r="AK398" s="8"/>
      <c r="AL398" s="8"/>
      <c r="AM398" s="9"/>
      <c r="AO398" s="8"/>
      <c r="AP398" s="9"/>
    </row>
    <row r="399" spans="20:42" ht="12.75" customHeight="1" x14ac:dyDescent="0.2">
      <c r="T399" s="3"/>
      <c r="U399" s="3"/>
      <c r="V399" s="9"/>
      <c r="W399" s="9"/>
      <c r="X399" s="9"/>
      <c r="Y399" s="9"/>
      <c r="Z399" s="9"/>
      <c r="AA399" s="9"/>
      <c r="AC399" s="9"/>
      <c r="AD399" s="9"/>
      <c r="AE399" s="8"/>
      <c r="AF399" s="8"/>
      <c r="AG399" s="8"/>
      <c r="AH399" s="9"/>
      <c r="AI399" s="8"/>
      <c r="AJ399" s="8"/>
      <c r="AK399" s="8"/>
      <c r="AL399" s="8"/>
      <c r="AM399" s="9"/>
      <c r="AO399" s="8"/>
      <c r="AP399" s="9"/>
    </row>
    <row r="400" spans="20:42" ht="12.75" customHeight="1" x14ac:dyDescent="0.2">
      <c r="T400" s="3"/>
      <c r="U400" s="3"/>
      <c r="V400" s="9"/>
      <c r="W400" s="9"/>
      <c r="X400" s="9"/>
      <c r="Y400" s="9"/>
      <c r="Z400" s="9"/>
      <c r="AA400" s="9"/>
      <c r="AC400" s="9"/>
      <c r="AD400" s="9"/>
      <c r="AE400" s="8"/>
      <c r="AF400" s="8"/>
      <c r="AG400" s="8"/>
      <c r="AH400" s="9"/>
      <c r="AI400" s="8"/>
      <c r="AJ400" s="8"/>
      <c r="AK400" s="8"/>
      <c r="AL400" s="8"/>
      <c r="AM400" s="9"/>
      <c r="AO400" s="8"/>
      <c r="AP400" s="9"/>
    </row>
    <row r="401" spans="20:42" ht="12.75" customHeight="1" x14ac:dyDescent="0.2">
      <c r="T401" s="3"/>
      <c r="U401" s="3"/>
      <c r="V401" s="9"/>
      <c r="W401" s="9"/>
      <c r="X401" s="9"/>
      <c r="Y401" s="9"/>
      <c r="Z401" s="9"/>
      <c r="AA401" s="9"/>
      <c r="AC401" s="9"/>
      <c r="AD401" s="9"/>
      <c r="AE401" s="8"/>
      <c r="AF401" s="8"/>
      <c r="AG401" s="8"/>
      <c r="AH401" s="9"/>
      <c r="AI401" s="8"/>
      <c r="AJ401" s="8"/>
      <c r="AK401" s="8"/>
      <c r="AL401" s="8"/>
      <c r="AM401" s="9"/>
      <c r="AO401" s="8"/>
      <c r="AP401" s="9"/>
    </row>
    <row r="402" spans="20:42" ht="12.75" customHeight="1" x14ac:dyDescent="0.2">
      <c r="T402" s="3"/>
      <c r="U402" s="3"/>
      <c r="V402" s="9"/>
      <c r="W402" s="9"/>
      <c r="X402" s="9"/>
      <c r="Y402" s="9"/>
      <c r="Z402" s="9"/>
      <c r="AA402" s="9"/>
      <c r="AC402" s="9"/>
      <c r="AD402" s="9"/>
      <c r="AE402" s="8"/>
      <c r="AF402" s="8"/>
      <c r="AG402" s="8"/>
      <c r="AH402" s="9"/>
      <c r="AI402" s="8"/>
      <c r="AJ402" s="8"/>
      <c r="AK402" s="8"/>
      <c r="AL402" s="8"/>
      <c r="AM402" s="9"/>
      <c r="AO402" s="8"/>
      <c r="AP402" s="9"/>
    </row>
    <row r="403" spans="20:42" ht="12.75" customHeight="1" x14ac:dyDescent="0.2">
      <c r="T403" s="3"/>
      <c r="U403" s="3"/>
      <c r="V403" s="9"/>
      <c r="W403" s="9"/>
      <c r="X403" s="9"/>
      <c r="Y403" s="9"/>
      <c r="Z403" s="9"/>
      <c r="AA403" s="9"/>
      <c r="AC403" s="9"/>
      <c r="AD403" s="9"/>
      <c r="AE403" s="8"/>
      <c r="AF403" s="8"/>
      <c r="AG403" s="8"/>
      <c r="AH403" s="9"/>
      <c r="AI403" s="8"/>
      <c r="AJ403" s="8"/>
      <c r="AK403" s="8"/>
      <c r="AL403" s="8"/>
      <c r="AM403" s="9"/>
      <c r="AO403" s="8"/>
      <c r="AP403" s="9"/>
    </row>
    <row r="404" spans="20:42" ht="12.75" customHeight="1" x14ac:dyDescent="0.2">
      <c r="T404" s="3"/>
      <c r="U404" s="3"/>
      <c r="V404" s="9"/>
      <c r="W404" s="9"/>
      <c r="X404" s="9"/>
      <c r="Y404" s="9"/>
      <c r="Z404" s="9"/>
      <c r="AA404" s="9"/>
      <c r="AC404" s="9"/>
      <c r="AD404" s="9"/>
      <c r="AE404" s="8"/>
      <c r="AF404" s="8"/>
      <c r="AG404" s="8"/>
      <c r="AH404" s="9"/>
      <c r="AI404" s="8"/>
      <c r="AJ404" s="8"/>
      <c r="AK404" s="8"/>
      <c r="AL404" s="8"/>
      <c r="AM404" s="9"/>
      <c r="AO404" s="8"/>
      <c r="AP404" s="9"/>
    </row>
    <row r="405" spans="20:42" ht="12.75" customHeight="1" x14ac:dyDescent="0.2">
      <c r="T405" s="3"/>
      <c r="U405" s="3"/>
      <c r="V405" s="9"/>
      <c r="W405" s="9"/>
      <c r="X405" s="9"/>
      <c r="Y405" s="9"/>
      <c r="Z405" s="9"/>
      <c r="AA405" s="9"/>
      <c r="AC405" s="9"/>
      <c r="AD405" s="9"/>
      <c r="AE405" s="8"/>
      <c r="AF405" s="8"/>
      <c r="AG405" s="8"/>
      <c r="AH405" s="9"/>
      <c r="AI405" s="8"/>
      <c r="AJ405" s="8"/>
      <c r="AK405" s="8"/>
      <c r="AL405" s="8"/>
      <c r="AM405" s="9"/>
      <c r="AO405" s="8"/>
      <c r="AP405" s="9"/>
    </row>
    <row r="406" spans="20:42" ht="12.75" customHeight="1" x14ac:dyDescent="0.2">
      <c r="T406" s="3"/>
      <c r="U406" s="3"/>
      <c r="V406" s="9"/>
      <c r="W406" s="9"/>
      <c r="X406" s="9"/>
      <c r="Y406" s="9"/>
      <c r="Z406" s="9"/>
      <c r="AA406" s="9"/>
      <c r="AC406" s="9"/>
      <c r="AD406" s="9"/>
      <c r="AE406" s="8"/>
      <c r="AF406" s="8"/>
      <c r="AG406" s="8"/>
      <c r="AH406" s="9"/>
      <c r="AI406" s="8"/>
      <c r="AJ406" s="8"/>
      <c r="AK406" s="8"/>
      <c r="AL406" s="8"/>
      <c r="AM406" s="9"/>
      <c r="AO406" s="8"/>
      <c r="AP406" s="9"/>
    </row>
    <row r="407" spans="20:42" ht="12.75" customHeight="1" x14ac:dyDescent="0.2">
      <c r="T407" s="3"/>
      <c r="U407" s="3"/>
      <c r="V407" s="9"/>
      <c r="W407" s="9"/>
      <c r="X407" s="9"/>
      <c r="Y407" s="9"/>
      <c r="Z407" s="9"/>
      <c r="AA407" s="9"/>
      <c r="AC407" s="9"/>
      <c r="AD407" s="9"/>
      <c r="AE407" s="8"/>
      <c r="AF407" s="8"/>
      <c r="AG407" s="8"/>
      <c r="AH407" s="9"/>
      <c r="AI407" s="8"/>
      <c r="AJ407" s="8"/>
      <c r="AK407" s="8"/>
      <c r="AL407" s="8"/>
      <c r="AM407" s="9"/>
      <c r="AO407" s="8"/>
      <c r="AP407" s="9"/>
    </row>
    <row r="408" spans="20:42" ht="12.75" customHeight="1" x14ac:dyDescent="0.2">
      <c r="T408" s="3"/>
      <c r="U408" s="3"/>
      <c r="V408" s="9"/>
      <c r="W408" s="9"/>
      <c r="X408" s="9"/>
      <c r="Y408" s="9"/>
      <c r="Z408" s="9"/>
      <c r="AA408" s="9"/>
      <c r="AC408" s="9"/>
      <c r="AD408" s="9"/>
      <c r="AE408" s="8"/>
      <c r="AF408" s="8"/>
      <c r="AG408" s="8"/>
      <c r="AH408" s="9"/>
      <c r="AI408" s="8"/>
      <c r="AJ408" s="8"/>
      <c r="AK408" s="8"/>
      <c r="AL408" s="8"/>
      <c r="AM408" s="9"/>
      <c r="AO408" s="8"/>
      <c r="AP408" s="9"/>
    </row>
    <row r="409" spans="20:42" ht="12.75" customHeight="1" x14ac:dyDescent="0.2">
      <c r="T409" s="3"/>
      <c r="U409" s="3"/>
      <c r="V409" s="9"/>
      <c r="W409" s="9"/>
      <c r="X409" s="9"/>
      <c r="Y409" s="9"/>
      <c r="Z409" s="9"/>
      <c r="AA409" s="9"/>
      <c r="AC409" s="9"/>
      <c r="AD409" s="9"/>
      <c r="AE409" s="8"/>
      <c r="AF409" s="8"/>
      <c r="AG409" s="8"/>
      <c r="AH409" s="9"/>
      <c r="AI409" s="8"/>
      <c r="AJ409" s="8"/>
      <c r="AK409" s="8"/>
      <c r="AL409" s="8"/>
      <c r="AM409" s="9"/>
      <c r="AO409" s="8"/>
      <c r="AP409" s="9"/>
    </row>
    <row r="410" spans="20:42" ht="12.75" customHeight="1" x14ac:dyDescent="0.2">
      <c r="T410" s="3"/>
      <c r="U410" s="3"/>
      <c r="V410" s="9"/>
      <c r="W410" s="9"/>
      <c r="X410" s="9"/>
      <c r="Y410" s="9"/>
      <c r="Z410" s="9"/>
      <c r="AA410" s="9"/>
      <c r="AC410" s="9"/>
      <c r="AD410" s="9"/>
      <c r="AE410" s="8"/>
      <c r="AF410" s="8"/>
      <c r="AG410" s="8"/>
      <c r="AH410" s="9"/>
      <c r="AI410" s="8"/>
      <c r="AJ410" s="8"/>
      <c r="AK410" s="8"/>
      <c r="AL410" s="8"/>
      <c r="AM410" s="9"/>
      <c r="AO410" s="8"/>
      <c r="AP410" s="9"/>
    </row>
    <row r="411" spans="20:42" ht="12.75" customHeight="1" x14ac:dyDescent="0.2">
      <c r="T411" s="3"/>
      <c r="U411" s="3"/>
      <c r="V411" s="9"/>
      <c r="W411" s="9"/>
      <c r="X411" s="9"/>
      <c r="Y411" s="9"/>
      <c r="Z411" s="9"/>
      <c r="AA411" s="9"/>
      <c r="AC411" s="9"/>
      <c r="AD411" s="9"/>
      <c r="AE411" s="8"/>
      <c r="AF411" s="8"/>
      <c r="AG411" s="8"/>
      <c r="AH411" s="9"/>
      <c r="AI411" s="8"/>
      <c r="AJ411" s="8"/>
      <c r="AK411" s="8"/>
      <c r="AL411" s="8"/>
      <c r="AM411" s="9"/>
      <c r="AO411" s="8"/>
      <c r="AP411" s="9"/>
    </row>
    <row r="412" spans="20:42" ht="12.75" customHeight="1" x14ac:dyDescent="0.2">
      <c r="T412" s="3"/>
      <c r="U412" s="3"/>
      <c r="V412" s="9"/>
      <c r="W412" s="9"/>
      <c r="X412" s="9"/>
      <c r="Y412" s="9"/>
      <c r="Z412" s="9"/>
      <c r="AA412" s="9"/>
      <c r="AC412" s="9"/>
      <c r="AD412" s="9"/>
      <c r="AE412" s="8"/>
      <c r="AF412" s="8"/>
      <c r="AG412" s="8"/>
      <c r="AH412" s="9"/>
      <c r="AI412" s="8"/>
      <c r="AJ412" s="8"/>
      <c r="AK412" s="8"/>
      <c r="AL412" s="8"/>
      <c r="AM412" s="9"/>
      <c r="AO412" s="8"/>
      <c r="AP412" s="9"/>
    </row>
    <row r="413" spans="20:42" ht="12.75" customHeight="1" x14ac:dyDescent="0.2">
      <c r="T413" s="3"/>
      <c r="U413" s="3"/>
      <c r="V413" s="9"/>
      <c r="W413" s="9"/>
      <c r="X413" s="9"/>
      <c r="Y413" s="9"/>
      <c r="Z413" s="9"/>
      <c r="AA413" s="9"/>
      <c r="AC413" s="9"/>
      <c r="AD413" s="9"/>
      <c r="AE413" s="8"/>
      <c r="AF413" s="8"/>
      <c r="AG413" s="8"/>
      <c r="AH413" s="9"/>
      <c r="AI413" s="8"/>
      <c r="AJ413" s="8"/>
      <c r="AK413" s="8"/>
      <c r="AL413" s="8"/>
      <c r="AM413" s="9"/>
      <c r="AO413" s="8"/>
      <c r="AP413" s="9"/>
    </row>
    <row r="414" spans="20:42" ht="12.75" customHeight="1" x14ac:dyDescent="0.2">
      <c r="T414" s="3"/>
      <c r="U414" s="3"/>
      <c r="V414" s="9"/>
      <c r="W414" s="9"/>
      <c r="X414" s="9"/>
      <c r="Y414" s="9"/>
      <c r="Z414" s="9"/>
      <c r="AA414" s="9"/>
      <c r="AC414" s="9"/>
      <c r="AD414" s="9"/>
      <c r="AE414" s="8"/>
      <c r="AF414" s="8"/>
      <c r="AG414" s="8"/>
      <c r="AH414" s="9"/>
      <c r="AI414" s="8"/>
      <c r="AJ414" s="8"/>
      <c r="AK414" s="8"/>
      <c r="AL414" s="8"/>
      <c r="AM414" s="9"/>
      <c r="AO414" s="8"/>
      <c r="AP414" s="9"/>
    </row>
    <row r="415" spans="20:42" ht="12.75" customHeight="1" x14ac:dyDescent="0.2">
      <c r="T415" s="3"/>
      <c r="U415" s="3"/>
      <c r="V415" s="9"/>
      <c r="W415" s="9"/>
      <c r="X415" s="9"/>
      <c r="Y415" s="9"/>
      <c r="Z415" s="9"/>
      <c r="AA415" s="9"/>
      <c r="AC415" s="9"/>
      <c r="AD415" s="9"/>
      <c r="AE415" s="8"/>
      <c r="AF415" s="8"/>
      <c r="AG415" s="8"/>
      <c r="AH415" s="9"/>
      <c r="AI415" s="8"/>
      <c r="AJ415" s="8"/>
      <c r="AK415" s="8"/>
      <c r="AL415" s="8"/>
      <c r="AM415" s="9"/>
      <c r="AO415" s="8"/>
      <c r="AP415" s="9"/>
    </row>
    <row r="416" spans="20:42" ht="12.75" customHeight="1" x14ac:dyDescent="0.2">
      <c r="T416" s="3"/>
      <c r="U416" s="3"/>
      <c r="V416" s="9"/>
      <c r="W416" s="9"/>
      <c r="X416" s="9"/>
      <c r="Y416" s="9"/>
      <c r="Z416" s="9"/>
      <c r="AA416" s="9"/>
      <c r="AC416" s="9"/>
      <c r="AD416" s="9"/>
      <c r="AE416" s="8"/>
      <c r="AF416" s="8"/>
      <c r="AG416" s="8"/>
      <c r="AH416" s="9"/>
      <c r="AI416" s="8"/>
      <c r="AJ416" s="8"/>
      <c r="AK416" s="8"/>
      <c r="AL416" s="8"/>
      <c r="AM416" s="9"/>
      <c r="AO416" s="8"/>
      <c r="AP416" s="9"/>
    </row>
    <row r="417" spans="20:42" ht="12.75" customHeight="1" x14ac:dyDescent="0.2">
      <c r="T417" s="3"/>
      <c r="U417" s="3"/>
      <c r="V417" s="9"/>
      <c r="W417" s="9"/>
      <c r="X417" s="9"/>
      <c r="Y417" s="9"/>
      <c r="Z417" s="9"/>
      <c r="AA417" s="9"/>
      <c r="AC417" s="9"/>
      <c r="AD417" s="9"/>
      <c r="AE417" s="8"/>
      <c r="AF417" s="8"/>
      <c r="AG417" s="8"/>
      <c r="AH417" s="9"/>
      <c r="AI417" s="8"/>
      <c r="AJ417" s="8"/>
      <c r="AK417" s="8"/>
      <c r="AL417" s="8"/>
      <c r="AM417" s="9"/>
      <c r="AO417" s="8"/>
      <c r="AP417" s="9"/>
    </row>
    <row r="418" spans="20:42" ht="12.75" customHeight="1" x14ac:dyDescent="0.2">
      <c r="T418" s="3"/>
      <c r="U418" s="3"/>
      <c r="V418" s="9"/>
      <c r="W418" s="9"/>
      <c r="X418" s="9"/>
      <c r="Y418" s="9"/>
      <c r="Z418" s="9"/>
      <c r="AA418" s="9"/>
      <c r="AC418" s="9"/>
      <c r="AD418" s="9"/>
      <c r="AE418" s="8"/>
      <c r="AF418" s="8"/>
      <c r="AG418" s="8"/>
      <c r="AH418" s="9"/>
      <c r="AI418" s="8"/>
      <c r="AJ418" s="8"/>
      <c r="AK418" s="8"/>
      <c r="AL418" s="8"/>
      <c r="AM418" s="9"/>
      <c r="AO418" s="8"/>
      <c r="AP418" s="9"/>
    </row>
    <row r="419" spans="20:42" ht="12.75" customHeight="1" x14ac:dyDescent="0.2">
      <c r="T419" s="3"/>
      <c r="U419" s="3"/>
      <c r="V419" s="9"/>
      <c r="W419" s="9"/>
      <c r="X419" s="9"/>
      <c r="Y419" s="9"/>
      <c r="Z419" s="9"/>
      <c r="AA419" s="9"/>
      <c r="AC419" s="9"/>
      <c r="AD419" s="9"/>
      <c r="AE419" s="8"/>
      <c r="AF419" s="8"/>
      <c r="AG419" s="8"/>
      <c r="AH419" s="9"/>
      <c r="AI419" s="8"/>
      <c r="AJ419" s="8"/>
      <c r="AK419" s="8"/>
      <c r="AL419" s="8"/>
      <c r="AM419" s="9"/>
      <c r="AO419" s="8"/>
      <c r="AP419" s="9"/>
    </row>
    <row r="420" spans="20:42" ht="12.75" customHeight="1" x14ac:dyDescent="0.2">
      <c r="T420" s="3"/>
      <c r="U420" s="3"/>
      <c r="V420" s="9"/>
      <c r="W420" s="9"/>
      <c r="X420" s="9"/>
      <c r="Y420" s="9"/>
      <c r="Z420" s="9"/>
      <c r="AA420" s="9"/>
      <c r="AC420" s="9"/>
      <c r="AD420" s="9"/>
      <c r="AE420" s="8"/>
      <c r="AF420" s="8"/>
      <c r="AG420" s="8"/>
      <c r="AH420" s="9"/>
      <c r="AI420" s="8"/>
      <c r="AJ420" s="8"/>
      <c r="AK420" s="8"/>
      <c r="AL420" s="8"/>
      <c r="AM420" s="9"/>
      <c r="AO420" s="8"/>
      <c r="AP420" s="9"/>
    </row>
    <row r="421" spans="20:42" ht="12.75" customHeight="1" x14ac:dyDescent="0.2">
      <c r="T421" s="3"/>
      <c r="U421" s="3"/>
      <c r="V421" s="9"/>
      <c r="W421" s="9"/>
      <c r="X421" s="9"/>
      <c r="Y421" s="9"/>
      <c r="Z421" s="9"/>
      <c r="AA421" s="9"/>
      <c r="AC421" s="9"/>
      <c r="AD421" s="9"/>
      <c r="AE421" s="8"/>
      <c r="AF421" s="8"/>
      <c r="AG421" s="8"/>
      <c r="AH421" s="9"/>
      <c r="AI421" s="8"/>
      <c r="AJ421" s="8"/>
      <c r="AK421" s="8"/>
      <c r="AL421" s="8"/>
      <c r="AM421" s="9"/>
      <c r="AO421" s="8"/>
      <c r="AP421" s="9"/>
    </row>
    <row r="422" spans="20:42" ht="12.75" customHeight="1" x14ac:dyDescent="0.2">
      <c r="T422" s="3"/>
      <c r="U422" s="3"/>
      <c r="V422" s="9"/>
      <c r="W422" s="9"/>
      <c r="X422" s="9"/>
      <c r="Y422" s="9"/>
      <c r="Z422" s="9"/>
      <c r="AA422" s="9"/>
      <c r="AC422" s="9"/>
      <c r="AD422" s="9"/>
      <c r="AE422" s="8"/>
      <c r="AF422" s="8"/>
      <c r="AG422" s="8"/>
      <c r="AH422" s="9"/>
      <c r="AI422" s="8"/>
      <c r="AJ422" s="8"/>
      <c r="AK422" s="8"/>
      <c r="AL422" s="8"/>
      <c r="AM422" s="9"/>
      <c r="AO422" s="8"/>
      <c r="AP422" s="9"/>
    </row>
    <row r="423" spans="20:42" ht="12.75" customHeight="1" x14ac:dyDescent="0.2">
      <c r="T423" s="3"/>
      <c r="U423" s="3"/>
      <c r="V423" s="9"/>
      <c r="W423" s="9"/>
      <c r="X423" s="9"/>
      <c r="Y423" s="9"/>
      <c r="Z423" s="9"/>
      <c r="AA423" s="9"/>
      <c r="AC423" s="9"/>
      <c r="AD423" s="9"/>
      <c r="AE423" s="8"/>
      <c r="AF423" s="8"/>
      <c r="AG423" s="8"/>
      <c r="AH423" s="9"/>
      <c r="AI423" s="8"/>
      <c r="AJ423" s="8"/>
      <c r="AK423" s="8"/>
      <c r="AL423" s="8"/>
      <c r="AM423" s="9"/>
      <c r="AO423" s="8"/>
      <c r="AP423" s="9"/>
    </row>
    <row r="424" spans="20:42" ht="12.75" customHeight="1" x14ac:dyDescent="0.2">
      <c r="T424" s="3"/>
      <c r="U424" s="3"/>
      <c r="V424" s="9"/>
      <c r="W424" s="9"/>
      <c r="X424" s="9"/>
      <c r="Y424" s="9"/>
      <c r="Z424" s="9"/>
      <c r="AA424" s="9"/>
      <c r="AC424" s="9"/>
      <c r="AD424" s="9"/>
      <c r="AE424" s="8"/>
      <c r="AF424" s="8"/>
      <c r="AG424" s="8"/>
      <c r="AH424" s="9"/>
      <c r="AI424" s="8"/>
      <c r="AJ424" s="8"/>
      <c r="AK424" s="8"/>
      <c r="AL424" s="8"/>
      <c r="AM424" s="9"/>
      <c r="AO424" s="8"/>
      <c r="AP424" s="9"/>
    </row>
    <row r="425" spans="20:42" ht="12.75" customHeight="1" x14ac:dyDescent="0.2">
      <c r="T425" s="3"/>
      <c r="U425" s="3"/>
      <c r="V425" s="9"/>
      <c r="W425" s="9"/>
      <c r="X425" s="9"/>
      <c r="Y425" s="9"/>
      <c r="Z425" s="9"/>
      <c r="AA425" s="9"/>
      <c r="AC425" s="9"/>
      <c r="AD425" s="9"/>
      <c r="AE425" s="8"/>
      <c r="AF425" s="8"/>
      <c r="AG425" s="8"/>
      <c r="AH425" s="9"/>
      <c r="AI425" s="8"/>
      <c r="AJ425" s="8"/>
      <c r="AK425" s="8"/>
      <c r="AL425" s="8"/>
      <c r="AM425" s="9"/>
      <c r="AO425" s="8"/>
      <c r="AP425" s="9"/>
    </row>
    <row r="426" spans="20:42" ht="12.75" customHeight="1" x14ac:dyDescent="0.2">
      <c r="T426" s="3"/>
      <c r="U426" s="3"/>
      <c r="V426" s="9"/>
      <c r="W426" s="9"/>
      <c r="X426" s="9"/>
      <c r="Y426" s="9"/>
      <c r="Z426" s="9"/>
      <c r="AA426" s="9"/>
      <c r="AC426" s="9"/>
      <c r="AD426" s="9"/>
      <c r="AE426" s="8"/>
      <c r="AF426" s="8"/>
      <c r="AG426" s="8"/>
      <c r="AH426" s="9"/>
      <c r="AI426" s="8"/>
      <c r="AJ426" s="8"/>
      <c r="AK426" s="8"/>
      <c r="AL426" s="8"/>
      <c r="AM426" s="9"/>
      <c r="AO426" s="8"/>
      <c r="AP426" s="9"/>
    </row>
    <row r="427" spans="20:42" ht="12.75" customHeight="1" x14ac:dyDescent="0.2">
      <c r="T427" s="3"/>
      <c r="U427" s="3"/>
      <c r="V427" s="9"/>
      <c r="W427" s="9"/>
      <c r="X427" s="9"/>
      <c r="Y427" s="9"/>
      <c r="Z427" s="9"/>
      <c r="AA427" s="9"/>
      <c r="AC427" s="9"/>
      <c r="AD427" s="9"/>
      <c r="AE427" s="8"/>
      <c r="AF427" s="8"/>
      <c r="AG427" s="8"/>
      <c r="AH427" s="9"/>
      <c r="AI427" s="8"/>
      <c r="AJ427" s="8"/>
      <c r="AK427" s="8"/>
      <c r="AL427" s="8"/>
      <c r="AM427" s="9"/>
      <c r="AO427" s="8"/>
      <c r="AP427" s="9"/>
    </row>
    <row r="428" spans="20:42" ht="12.75" customHeight="1" x14ac:dyDescent="0.2">
      <c r="T428" s="3"/>
      <c r="U428" s="3"/>
      <c r="V428" s="9"/>
      <c r="W428" s="9"/>
      <c r="X428" s="9"/>
      <c r="Y428" s="9"/>
      <c r="Z428" s="9"/>
      <c r="AA428" s="9"/>
      <c r="AC428" s="9"/>
      <c r="AD428" s="9"/>
      <c r="AE428" s="8"/>
      <c r="AF428" s="8"/>
      <c r="AG428" s="8"/>
      <c r="AH428" s="9"/>
      <c r="AI428" s="8"/>
      <c r="AJ428" s="8"/>
      <c r="AK428" s="8"/>
      <c r="AL428" s="8"/>
      <c r="AM428" s="9"/>
      <c r="AO428" s="8"/>
      <c r="AP428" s="9"/>
    </row>
    <row r="429" spans="20:42" ht="12.75" customHeight="1" x14ac:dyDescent="0.2">
      <c r="T429" s="3"/>
      <c r="U429" s="3"/>
      <c r="V429" s="9"/>
      <c r="W429" s="9"/>
      <c r="X429" s="9"/>
      <c r="Y429" s="9"/>
      <c r="Z429" s="9"/>
      <c r="AA429" s="9"/>
      <c r="AC429" s="9"/>
      <c r="AD429" s="9"/>
      <c r="AE429" s="8"/>
      <c r="AF429" s="8"/>
      <c r="AG429" s="8"/>
      <c r="AH429" s="9"/>
      <c r="AI429" s="8"/>
      <c r="AJ429" s="8"/>
      <c r="AK429" s="8"/>
      <c r="AL429" s="8"/>
      <c r="AM429" s="9"/>
      <c r="AO429" s="8"/>
      <c r="AP429" s="9"/>
    </row>
    <row r="430" spans="20:42" ht="12.75" customHeight="1" x14ac:dyDescent="0.2">
      <c r="T430" s="3"/>
      <c r="U430" s="3"/>
      <c r="V430" s="9"/>
      <c r="W430" s="9"/>
      <c r="X430" s="9"/>
      <c r="Y430" s="9"/>
      <c r="Z430" s="9"/>
      <c r="AA430" s="9"/>
      <c r="AC430" s="9"/>
      <c r="AD430" s="9"/>
      <c r="AE430" s="8"/>
      <c r="AF430" s="8"/>
      <c r="AG430" s="8"/>
      <c r="AH430" s="9"/>
      <c r="AI430" s="8"/>
      <c r="AJ430" s="8"/>
      <c r="AK430" s="8"/>
      <c r="AL430" s="8"/>
      <c r="AM430" s="9"/>
      <c r="AO430" s="8"/>
      <c r="AP430" s="9"/>
    </row>
    <row r="431" spans="20:42" ht="12.75" customHeight="1" x14ac:dyDescent="0.2">
      <c r="T431" s="3"/>
      <c r="U431" s="3"/>
      <c r="V431" s="9"/>
      <c r="W431" s="9"/>
      <c r="X431" s="9"/>
      <c r="Y431" s="9"/>
      <c r="Z431" s="9"/>
      <c r="AA431" s="9"/>
      <c r="AC431" s="9"/>
      <c r="AD431" s="9"/>
      <c r="AE431" s="8"/>
      <c r="AF431" s="8"/>
      <c r="AG431" s="8"/>
      <c r="AH431" s="9"/>
      <c r="AI431" s="8"/>
      <c r="AJ431" s="8"/>
      <c r="AK431" s="8"/>
      <c r="AL431" s="8"/>
      <c r="AM431" s="9"/>
      <c r="AO431" s="8"/>
      <c r="AP431" s="9"/>
    </row>
    <row r="432" spans="20:42" ht="12.75" customHeight="1" x14ac:dyDescent="0.2">
      <c r="T432" s="3"/>
      <c r="U432" s="3"/>
      <c r="V432" s="9"/>
      <c r="W432" s="9"/>
      <c r="X432" s="9"/>
      <c r="Y432" s="9"/>
      <c r="Z432" s="9"/>
      <c r="AA432" s="9"/>
      <c r="AC432" s="9"/>
      <c r="AD432" s="9"/>
      <c r="AE432" s="8"/>
      <c r="AF432" s="8"/>
      <c r="AG432" s="8"/>
      <c r="AH432" s="9"/>
      <c r="AI432" s="8"/>
      <c r="AJ432" s="8"/>
      <c r="AK432" s="8"/>
      <c r="AL432" s="8"/>
      <c r="AM432" s="9"/>
      <c r="AO432" s="8"/>
      <c r="AP432" s="9"/>
    </row>
    <row r="433" spans="20:42" ht="12.75" customHeight="1" x14ac:dyDescent="0.2">
      <c r="T433" s="3"/>
      <c r="U433" s="3"/>
      <c r="V433" s="9"/>
      <c r="W433" s="9"/>
      <c r="X433" s="9"/>
      <c r="Y433" s="9"/>
      <c r="Z433" s="9"/>
      <c r="AA433" s="9"/>
      <c r="AC433" s="9"/>
      <c r="AD433" s="9"/>
      <c r="AE433" s="8"/>
      <c r="AF433" s="8"/>
      <c r="AG433" s="8"/>
      <c r="AH433" s="9"/>
      <c r="AI433" s="8"/>
      <c r="AJ433" s="8"/>
      <c r="AK433" s="8"/>
      <c r="AL433" s="8"/>
      <c r="AM433" s="9"/>
      <c r="AO433" s="8"/>
      <c r="AP433" s="9"/>
    </row>
    <row r="434" spans="20:42" ht="12.75" customHeight="1" x14ac:dyDescent="0.2">
      <c r="T434" s="3"/>
      <c r="U434" s="3"/>
      <c r="V434" s="9"/>
      <c r="W434" s="9"/>
      <c r="X434" s="9"/>
      <c r="Y434" s="9"/>
      <c r="Z434" s="9"/>
      <c r="AA434" s="9"/>
      <c r="AC434" s="9"/>
      <c r="AD434" s="9"/>
      <c r="AE434" s="8"/>
      <c r="AF434" s="8"/>
      <c r="AG434" s="8"/>
      <c r="AH434" s="9"/>
      <c r="AI434" s="8"/>
      <c r="AJ434" s="8"/>
      <c r="AK434" s="8"/>
      <c r="AL434" s="8"/>
      <c r="AM434" s="9"/>
      <c r="AO434" s="8"/>
      <c r="AP434" s="9"/>
    </row>
    <row r="435" spans="20:42" ht="12.75" customHeight="1" x14ac:dyDescent="0.2">
      <c r="T435" s="3"/>
      <c r="U435" s="3"/>
      <c r="V435" s="9"/>
      <c r="W435" s="9"/>
      <c r="X435" s="9"/>
      <c r="Y435" s="9"/>
      <c r="Z435" s="9"/>
      <c r="AA435" s="9"/>
      <c r="AC435" s="9"/>
      <c r="AD435" s="9"/>
      <c r="AE435" s="8"/>
      <c r="AF435" s="8"/>
      <c r="AG435" s="8"/>
      <c r="AH435" s="9"/>
      <c r="AI435" s="8"/>
      <c r="AJ435" s="8"/>
      <c r="AK435" s="8"/>
      <c r="AL435" s="8"/>
      <c r="AM435" s="9"/>
      <c r="AO435" s="8"/>
      <c r="AP435" s="9"/>
    </row>
    <row r="436" spans="20:42" ht="12.75" customHeight="1" x14ac:dyDescent="0.2">
      <c r="T436" s="3"/>
      <c r="U436" s="3"/>
      <c r="V436" s="9"/>
      <c r="W436" s="9"/>
      <c r="X436" s="9"/>
      <c r="Y436" s="9"/>
      <c r="Z436" s="9"/>
      <c r="AA436" s="9"/>
      <c r="AC436" s="9"/>
      <c r="AD436" s="9"/>
      <c r="AE436" s="8"/>
      <c r="AF436" s="8"/>
      <c r="AG436" s="8"/>
      <c r="AH436" s="9"/>
      <c r="AI436" s="8"/>
      <c r="AJ436" s="8"/>
      <c r="AK436" s="8"/>
      <c r="AL436" s="8"/>
      <c r="AM436" s="9"/>
      <c r="AO436" s="8"/>
      <c r="AP436" s="9"/>
    </row>
    <row r="437" spans="20:42" ht="12.75" customHeight="1" x14ac:dyDescent="0.2">
      <c r="T437" s="3"/>
      <c r="U437" s="3"/>
      <c r="V437" s="9"/>
      <c r="W437" s="9"/>
      <c r="X437" s="9"/>
      <c r="Y437" s="9"/>
      <c r="Z437" s="9"/>
      <c r="AA437" s="9"/>
      <c r="AC437" s="9"/>
      <c r="AD437" s="9"/>
      <c r="AE437" s="8"/>
      <c r="AF437" s="8"/>
      <c r="AG437" s="8"/>
      <c r="AH437" s="9"/>
      <c r="AI437" s="8"/>
      <c r="AJ437" s="8"/>
      <c r="AK437" s="8"/>
      <c r="AL437" s="8"/>
      <c r="AM437" s="9"/>
      <c r="AO437" s="8"/>
      <c r="AP437" s="9"/>
    </row>
    <row r="438" spans="20:42" ht="12.75" customHeight="1" x14ac:dyDescent="0.2">
      <c r="T438" s="3"/>
      <c r="U438" s="3"/>
      <c r="V438" s="9"/>
      <c r="W438" s="9"/>
      <c r="X438" s="9"/>
      <c r="Y438" s="9"/>
      <c r="Z438" s="9"/>
      <c r="AA438" s="9"/>
      <c r="AC438" s="9"/>
      <c r="AD438" s="9"/>
      <c r="AE438" s="8"/>
      <c r="AF438" s="8"/>
      <c r="AG438" s="8"/>
      <c r="AH438" s="9"/>
      <c r="AI438" s="8"/>
      <c r="AJ438" s="8"/>
      <c r="AK438" s="8"/>
      <c r="AL438" s="8"/>
      <c r="AM438" s="9"/>
      <c r="AO438" s="8"/>
      <c r="AP438" s="9"/>
    </row>
    <row r="439" spans="20:42" ht="12.75" customHeight="1" x14ac:dyDescent="0.2">
      <c r="T439" s="3"/>
      <c r="U439" s="3"/>
      <c r="V439" s="9"/>
      <c r="W439" s="9"/>
      <c r="X439" s="9"/>
      <c r="Y439" s="9"/>
      <c r="Z439" s="9"/>
      <c r="AA439" s="9"/>
      <c r="AC439" s="9"/>
      <c r="AD439" s="9"/>
      <c r="AE439" s="8"/>
      <c r="AF439" s="8"/>
      <c r="AG439" s="8"/>
      <c r="AH439" s="9"/>
      <c r="AI439" s="8"/>
      <c r="AJ439" s="8"/>
      <c r="AK439" s="8"/>
      <c r="AL439" s="8"/>
      <c r="AM439" s="9"/>
      <c r="AO439" s="8"/>
      <c r="AP439" s="9"/>
    </row>
    <row r="440" spans="20:42" ht="12.75" customHeight="1" x14ac:dyDescent="0.2">
      <c r="T440" s="3"/>
      <c r="U440" s="3"/>
      <c r="V440" s="9"/>
      <c r="W440" s="9"/>
      <c r="X440" s="9"/>
      <c r="Y440" s="9"/>
      <c r="Z440" s="9"/>
      <c r="AA440" s="9"/>
      <c r="AC440" s="9"/>
      <c r="AD440" s="9"/>
      <c r="AE440" s="8"/>
      <c r="AF440" s="8"/>
      <c r="AG440" s="8"/>
      <c r="AH440" s="9"/>
      <c r="AI440" s="8"/>
      <c r="AJ440" s="8"/>
      <c r="AK440" s="8"/>
      <c r="AL440" s="8"/>
      <c r="AM440" s="9"/>
      <c r="AO440" s="8"/>
      <c r="AP440" s="9"/>
    </row>
    <row r="441" spans="20:42" ht="12.75" customHeight="1" x14ac:dyDescent="0.2">
      <c r="T441" s="3"/>
      <c r="U441" s="3"/>
      <c r="V441" s="9"/>
      <c r="W441" s="9"/>
      <c r="X441" s="9"/>
      <c r="Y441" s="9"/>
      <c r="Z441" s="9"/>
      <c r="AA441" s="9"/>
      <c r="AC441" s="9"/>
      <c r="AD441" s="9"/>
      <c r="AE441" s="8"/>
      <c r="AF441" s="8"/>
      <c r="AG441" s="8"/>
      <c r="AH441" s="9"/>
      <c r="AI441" s="8"/>
      <c r="AJ441" s="8"/>
      <c r="AK441" s="8"/>
      <c r="AL441" s="8"/>
      <c r="AM441" s="9"/>
      <c r="AO441" s="8"/>
      <c r="AP441" s="9"/>
    </row>
    <row r="442" spans="20:42" ht="12.75" customHeight="1" x14ac:dyDescent="0.2">
      <c r="T442" s="3"/>
      <c r="U442" s="3"/>
      <c r="V442" s="9"/>
      <c r="W442" s="9"/>
      <c r="X442" s="9"/>
      <c r="Y442" s="9"/>
      <c r="Z442" s="9"/>
      <c r="AA442" s="9"/>
      <c r="AC442" s="9"/>
      <c r="AD442" s="9"/>
      <c r="AE442" s="8"/>
      <c r="AF442" s="8"/>
      <c r="AG442" s="8"/>
      <c r="AH442" s="9"/>
      <c r="AI442" s="8"/>
      <c r="AJ442" s="8"/>
      <c r="AK442" s="8"/>
      <c r="AL442" s="8"/>
      <c r="AM442" s="9"/>
      <c r="AO442" s="8"/>
      <c r="AP442" s="9"/>
    </row>
    <row r="443" spans="20:42" ht="12.75" customHeight="1" x14ac:dyDescent="0.2">
      <c r="T443" s="3"/>
      <c r="U443" s="3"/>
      <c r="V443" s="9"/>
      <c r="W443" s="9"/>
      <c r="X443" s="9"/>
      <c r="Y443" s="9"/>
      <c r="Z443" s="9"/>
      <c r="AA443" s="9"/>
      <c r="AC443" s="9"/>
      <c r="AD443" s="9"/>
      <c r="AE443" s="8"/>
      <c r="AF443" s="8"/>
      <c r="AG443" s="8"/>
      <c r="AH443" s="9"/>
      <c r="AI443" s="8"/>
      <c r="AJ443" s="8"/>
      <c r="AK443" s="8"/>
      <c r="AL443" s="8"/>
      <c r="AM443" s="9"/>
      <c r="AO443" s="8"/>
      <c r="AP443" s="9"/>
    </row>
    <row r="444" spans="20:42" ht="12.75" customHeight="1" x14ac:dyDescent="0.2">
      <c r="T444" s="3"/>
      <c r="U444" s="3"/>
      <c r="V444" s="9"/>
      <c r="W444" s="9"/>
      <c r="X444" s="9"/>
      <c r="Y444" s="9"/>
      <c r="Z444" s="9"/>
      <c r="AA444" s="9"/>
      <c r="AC444" s="9"/>
      <c r="AD444" s="9"/>
      <c r="AE444" s="8"/>
      <c r="AF444" s="8"/>
      <c r="AG444" s="8"/>
      <c r="AH444" s="9"/>
      <c r="AI444" s="8"/>
      <c r="AJ444" s="8"/>
      <c r="AK444" s="8"/>
      <c r="AL444" s="8"/>
      <c r="AM444" s="9"/>
      <c r="AO444" s="8"/>
      <c r="AP444" s="9"/>
    </row>
    <row r="445" spans="20:42" ht="12.75" customHeight="1" x14ac:dyDescent="0.2">
      <c r="T445" s="3"/>
      <c r="U445" s="3"/>
      <c r="V445" s="9"/>
      <c r="W445" s="9"/>
      <c r="X445" s="9"/>
      <c r="Y445" s="9"/>
      <c r="Z445" s="9"/>
      <c r="AA445" s="9"/>
      <c r="AC445" s="9"/>
      <c r="AD445" s="9"/>
      <c r="AE445" s="8"/>
      <c r="AF445" s="8"/>
      <c r="AG445" s="8"/>
      <c r="AH445" s="9"/>
      <c r="AI445" s="8"/>
      <c r="AJ445" s="8"/>
      <c r="AK445" s="8"/>
      <c r="AL445" s="8"/>
      <c r="AM445" s="9"/>
      <c r="AO445" s="8"/>
      <c r="AP445" s="9"/>
    </row>
    <row r="446" spans="20:42" ht="12.75" customHeight="1" x14ac:dyDescent="0.2">
      <c r="T446" s="3"/>
      <c r="U446" s="3"/>
      <c r="V446" s="9"/>
      <c r="W446" s="9"/>
      <c r="X446" s="9"/>
      <c r="Y446" s="9"/>
      <c r="Z446" s="9"/>
      <c r="AA446" s="9"/>
      <c r="AC446" s="9"/>
      <c r="AD446" s="9"/>
      <c r="AE446" s="8"/>
      <c r="AF446" s="8"/>
      <c r="AG446" s="8"/>
      <c r="AH446" s="9"/>
      <c r="AI446" s="8"/>
      <c r="AJ446" s="8"/>
      <c r="AK446" s="8"/>
      <c r="AL446" s="8"/>
      <c r="AM446" s="9"/>
      <c r="AO446" s="8"/>
      <c r="AP446" s="9"/>
    </row>
    <row r="447" spans="20:42" ht="12.75" customHeight="1" x14ac:dyDescent="0.2">
      <c r="T447" s="3"/>
      <c r="U447" s="3"/>
      <c r="V447" s="9"/>
      <c r="W447" s="9"/>
      <c r="X447" s="9"/>
      <c r="Y447" s="9"/>
      <c r="Z447" s="9"/>
      <c r="AA447" s="9"/>
      <c r="AC447" s="9"/>
      <c r="AD447" s="9"/>
      <c r="AE447" s="8"/>
      <c r="AF447" s="8"/>
      <c r="AG447" s="8"/>
      <c r="AH447" s="9"/>
      <c r="AI447" s="8"/>
      <c r="AJ447" s="8"/>
      <c r="AK447" s="8"/>
      <c r="AL447" s="8"/>
      <c r="AM447" s="9"/>
      <c r="AO447" s="8"/>
      <c r="AP447" s="9"/>
    </row>
    <row r="448" spans="20:42" ht="12.75" customHeight="1" x14ac:dyDescent="0.2">
      <c r="T448" s="3"/>
      <c r="U448" s="3"/>
      <c r="V448" s="9"/>
      <c r="W448" s="9"/>
      <c r="X448" s="9"/>
      <c r="Y448" s="9"/>
      <c r="Z448" s="9"/>
      <c r="AA448" s="9"/>
      <c r="AC448" s="9"/>
      <c r="AD448" s="9"/>
      <c r="AE448" s="8"/>
      <c r="AF448" s="8"/>
      <c r="AG448" s="8"/>
      <c r="AH448" s="9"/>
      <c r="AI448" s="8"/>
      <c r="AJ448" s="8"/>
      <c r="AK448" s="8"/>
      <c r="AL448" s="8"/>
      <c r="AM448" s="9"/>
      <c r="AO448" s="8"/>
      <c r="AP448" s="9"/>
    </row>
    <row r="449" spans="20:42" ht="12.75" customHeight="1" x14ac:dyDescent="0.2">
      <c r="T449" s="3"/>
      <c r="U449" s="3"/>
      <c r="V449" s="9"/>
      <c r="W449" s="9"/>
      <c r="X449" s="9"/>
      <c r="Y449" s="9"/>
      <c r="Z449" s="9"/>
      <c r="AA449" s="9"/>
      <c r="AC449" s="9"/>
      <c r="AD449" s="9"/>
      <c r="AE449" s="8"/>
      <c r="AF449" s="8"/>
      <c r="AG449" s="8"/>
      <c r="AH449" s="9"/>
      <c r="AI449" s="8"/>
      <c r="AJ449" s="8"/>
      <c r="AK449" s="8"/>
      <c r="AL449" s="8"/>
      <c r="AM449" s="9"/>
      <c r="AO449" s="8"/>
      <c r="AP449" s="9"/>
    </row>
    <row r="450" spans="20:42" ht="12.75" customHeight="1" x14ac:dyDescent="0.2">
      <c r="T450" s="3"/>
      <c r="U450" s="3"/>
      <c r="V450" s="9"/>
      <c r="W450" s="9"/>
      <c r="X450" s="9"/>
      <c r="Y450" s="9"/>
      <c r="Z450" s="9"/>
      <c r="AA450" s="9"/>
      <c r="AC450" s="9"/>
      <c r="AD450" s="9"/>
      <c r="AE450" s="8"/>
      <c r="AF450" s="8"/>
      <c r="AG450" s="8"/>
      <c r="AH450" s="9"/>
      <c r="AI450" s="8"/>
      <c r="AJ450" s="8"/>
      <c r="AK450" s="8"/>
      <c r="AL450" s="8"/>
      <c r="AM450" s="9"/>
      <c r="AO450" s="8"/>
      <c r="AP450" s="9"/>
    </row>
    <row r="451" spans="20:42" ht="12.75" customHeight="1" x14ac:dyDescent="0.2">
      <c r="T451" s="3"/>
      <c r="U451" s="3"/>
      <c r="V451" s="9"/>
      <c r="W451" s="9"/>
      <c r="X451" s="9"/>
      <c r="Y451" s="9"/>
      <c r="Z451" s="9"/>
      <c r="AA451" s="9"/>
      <c r="AC451" s="9"/>
      <c r="AD451" s="9"/>
      <c r="AE451" s="8"/>
      <c r="AF451" s="8"/>
      <c r="AG451" s="8"/>
      <c r="AH451" s="9"/>
      <c r="AI451" s="8"/>
      <c r="AJ451" s="8"/>
      <c r="AK451" s="8"/>
      <c r="AL451" s="8"/>
      <c r="AM451" s="9"/>
      <c r="AO451" s="8"/>
      <c r="AP451" s="9"/>
    </row>
    <row r="452" spans="20:42" ht="12.75" customHeight="1" x14ac:dyDescent="0.2">
      <c r="T452" s="3"/>
      <c r="U452" s="3"/>
      <c r="V452" s="9"/>
      <c r="W452" s="9"/>
      <c r="X452" s="9"/>
      <c r="Y452" s="9"/>
      <c r="Z452" s="9"/>
      <c r="AA452" s="9"/>
      <c r="AC452" s="9"/>
      <c r="AD452" s="9"/>
      <c r="AE452" s="8"/>
      <c r="AF452" s="8"/>
      <c r="AG452" s="8"/>
      <c r="AH452" s="9"/>
      <c r="AI452" s="8"/>
      <c r="AJ452" s="8"/>
      <c r="AK452" s="8"/>
      <c r="AL452" s="8"/>
      <c r="AM452" s="9"/>
      <c r="AO452" s="8"/>
      <c r="AP452" s="9"/>
    </row>
    <row r="453" spans="20:42" ht="12.75" customHeight="1" x14ac:dyDescent="0.2">
      <c r="T453" s="3"/>
      <c r="U453" s="3"/>
      <c r="V453" s="9"/>
      <c r="W453" s="9"/>
      <c r="X453" s="9"/>
      <c r="Y453" s="9"/>
      <c r="Z453" s="9"/>
      <c r="AA453" s="9"/>
      <c r="AC453" s="9"/>
      <c r="AD453" s="9"/>
      <c r="AE453" s="8"/>
      <c r="AF453" s="8"/>
      <c r="AG453" s="8"/>
      <c r="AH453" s="9"/>
      <c r="AI453" s="8"/>
      <c r="AJ453" s="8"/>
      <c r="AK453" s="8"/>
      <c r="AL453" s="8"/>
      <c r="AM453" s="9"/>
      <c r="AO453" s="8"/>
      <c r="AP453" s="9"/>
    </row>
    <row r="454" spans="20:42" ht="12.75" customHeight="1" x14ac:dyDescent="0.2">
      <c r="T454" s="3"/>
      <c r="U454" s="3"/>
      <c r="V454" s="9"/>
      <c r="W454" s="9"/>
      <c r="X454" s="9"/>
      <c r="Y454" s="9"/>
      <c r="Z454" s="9"/>
      <c r="AA454" s="9"/>
      <c r="AC454" s="9"/>
      <c r="AD454" s="9"/>
      <c r="AE454" s="8"/>
      <c r="AF454" s="8"/>
      <c r="AG454" s="8"/>
      <c r="AH454" s="9"/>
      <c r="AI454" s="8"/>
      <c r="AJ454" s="8"/>
      <c r="AK454" s="8"/>
      <c r="AL454" s="8"/>
      <c r="AM454" s="9"/>
      <c r="AO454" s="8"/>
      <c r="AP454" s="9"/>
    </row>
    <row r="455" spans="20:42" ht="12.75" customHeight="1" x14ac:dyDescent="0.2">
      <c r="T455" s="3"/>
      <c r="U455" s="3"/>
      <c r="V455" s="9"/>
      <c r="W455" s="9"/>
      <c r="X455" s="9"/>
      <c r="Y455" s="9"/>
      <c r="Z455" s="9"/>
      <c r="AA455" s="9"/>
      <c r="AC455" s="9"/>
      <c r="AD455" s="9"/>
      <c r="AE455" s="8"/>
      <c r="AF455" s="8"/>
      <c r="AG455" s="8"/>
      <c r="AH455" s="9"/>
      <c r="AI455" s="8"/>
      <c r="AJ455" s="8"/>
      <c r="AK455" s="8"/>
      <c r="AL455" s="8"/>
      <c r="AM455" s="9"/>
      <c r="AO455" s="8"/>
      <c r="AP455" s="9"/>
    </row>
    <row r="456" spans="20:42" ht="12.75" customHeight="1" x14ac:dyDescent="0.2">
      <c r="T456" s="3"/>
      <c r="U456" s="3"/>
      <c r="V456" s="9"/>
      <c r="W456" s="9"/>
      <c r="X456" s="9"/>
      <c r="Y456" s="9"/>
      <c r="Z456" s="9"/>
      <c r="AA456" s="9"/>
      <c r="AC456" s="9"/>
      <c r="AD456" s="9"/>
      <c r="AE456" s="8"/>
      <c r="AF456" s="8"/>
      <c r="AG456" s="8"/>
      <c r="AH456" s="9"/>
      <c r="AI456" s="8"/>
      <c r="AJ456" s="8"/>
      <c r="AK456" s="8"/>
      <c r="AL456" s="8"/>
      <c r="AM456" s="9"/>
      <c r="AO456" s="8"/>
      <c r="AP456" s="9"/>
    </row>
    <row r="457" spans="20:42" ht="12.75" customHeight="1" x14ac:dyDescent="0.2">
      <c r="T457" s="3"/>
      <c r="U457" s="3"/>
      <c r="V457" s="9"/>
      <c r="W457" s="9"/>
      <c r="X457" s="9"/>
      <c r="Y457" s="9"/>
      <c r="Z457" s="9"/>
      <c r="AA457" s="9"/>
      <c r="AC457" s="9"/>
      <c r="AD457" s="9"/>
      <c r="AE457" s="8"/>
      <c r="AF457" s="8"/>
      <c r="AG457" s="8"/>
      <c r="AH457" s="9"/>
      <c r="AI457" s="8"/>
      <c r="AJ457" s="8"/>
      <c r="AK457" s="8"/>
      <c r="AL457" s="8"/>
      <c r="AM457" s="9"/>
      <c r="AO457" s="8"/>
      <c r="AP457" s="9"/>
    </row>
    <row r="458" spans="20:42" ht="12.75" customHeight="1" x14ac:dyDescent="0.2">
      <c r="T458" s="3"/>
      <c r="U458" s="3"/>
      <c r="V458" s="9"/>
      <c r="W458" s="9"/>
      <c r="X458" s="9"/>
      <c r="Y458" s="9"/>
      <c r="Z458" s="9"/>
      <c r="AA458" s="9"/>
      <c r="AC458" s="9"/>
      <c r="AD458" s="9"/>
      <c r="AE458" s="8"/>
      <c r="AF458" s="8"/>
      <c r="AG458" s="8"/>
      <c r="AH458" s="9"/>
      <c r="AI458" s="8"/>
      <c r="AJ458" s="8"/>
      <c r="AK458" s="8"/>
      <c r="AL458" s="8"/>
      <c r="AM458" s="9"/>
      <c r="AO458" s="8"/>
      <c r="AP458" s="9"/>
    </row>
    <row r="459" spans="20:42" ht="12.75" customHeight="1" x14ac:dyDescent="0.2">
      <c r="T459" s="3"/>
      <c r="U459" s="3"/>
      <c r="V459" s="9"/>
      <c r="W459" s="9"/>
      <c r="X459" s="9"/>
      <c r="Y459" s="9"/>
      <c r="Z459" s="9"/>
      <c r="AA459" s="9"/>
      <c r="AC459" s="9"/>
      <c r="AD459" s="9"/>
      <c r="AE459" s="8"/>
      <c r="AF459" s="8"/>
      <c r="AG459" s="8"/>
      <c r="AH459" s="9"/>
      <c r="AI459" s="8"/>
      <c r="AJ459" s="8"/>
      <c r="AK459" s="8"/>
      <c r="AL459" s="8"/>
      <c r="AM459" s="9"/>
      <c r="AO459" s="8"/>
      <c r="AP459" s="9"/>
    </row>
    <row r="460" spans="20:42" ht="12.75" customHeight="1" x14ac:dyDescent="0.2">
      <c r="T460" s="3"/>
      <c r="U460" s="3"/>
      <c r="V460" s="9"/>
      <c r="W460" s="9"/>
      <c r="X460" s="9"/>
      <c r="Y460" s="9"/>
      <c r="Z460" s="9"/>
      <c r="AA460" s="9"/>
      <c r="AC460" s="9"/>
      <c r="AD460" s="9"/>
      <c r="AE460" s="8"/>
      <c r="AF460" s="8"/>
      <c r="AG460" s="8"/>
      <c r="AH460" s="9"/>
      <c r="AI460" s="8"/>
      <c r="AJ460" s="8"/>
      <c r="AK460" s="8"/>
      <c r="AL460" s="8"/>
      <c r="AM460" s="9"/>
      <c r="AO460" s="8"/>
      <c r="AP460" s="9"/>
    </row>
    <row r="461" spans="20:42" ht="12.75" customHeight="1" x14ac:dyDescent="0.2">
      <c r="T461" s="3"/>
      <c r="U461" s="3"/>
      <c r="V461" s="9"/>
      <c r="W461" s="9"/>
      <c r="X461" s="9"/>
      <c r="Y461" s="9"/>
      <c r="Z461" s="9"/>
      <c r="AA461" s="9"/>
      <c r="AC461" s="9"/>
      <c r="AD461" s="9"/>
      <c r="AE461" s="8"/>
      <c r="AF461" s="8"/>
      <c r="AG461" s="8"/>
      <c r="AH461" s="9"/>
      <c r="AI461" s="8"/>
      <c r="AJ461" s="8"/>
      <c r="AK461" s="8"/>
      <c r="AL461" s="8"/>
      <c r="AM461" s="9"/>
      <c r="AO461" s="8"/>
      <c r="AP461" s="9"/>
    </row>
    <row r="462" spans="20:42" ht="12.75" customHeight="1" x14ac:dyDescent="0.2">
      <c r="T462" s="3"/>
      <c r="U462" s="3"/>
      <c r="V462" s="9"/>
      <c r="W462" s="9"/>
      <c r="X462" s="9"/>
      <c r="Y462" s="9"/>
      <c r="Z462" s="9"/>
      <c r="AA462" s="9"/>
      <c r="AC462" s="9"/>
      <c r="AD462" s="9"/>
      <c r="AE462" s="8"/>
      <c r="AF462" s="8"/>
      <c r="AG462" s="8"/>
      <c r="AH462" s="9"/>
      <c r="AI462" s="8"/>
      <c r="AJ462" s="8"/>
      <c r="AK462" s="8"/>
      <c r="AL462" s="8"/>
      <c r="AM462" s="9"/>
      <c r="AO462" s="8"/>
      <c r="AP462" s="9"/>
    </row>
    <row r="463" spans="20:42" ht="12.75" customHeight="1" x14ac:dyDescent="0.2">
      <c r="T463" s="3"/>
      <c r="U463" s="3"/>
      <c r="V463" s="9"/>
      <c r="W463" s="9"/>
      <c r="X463" s="9"/>
      <c r="Y463" s="9"/>
      <c r="Z463" s="9"/>
      <c r="AA463" s="9"/>
      <c r="AC463" s="9"/>
      <c r="AD463" s="9"/>
      <c r="AE463" s="8"/>
      <c r="AF463" s="8"/>
      <c r="AG463" s="8"/>
      <c r="AH463" s="9"/>
      <c r="AI463" s="8"/>
      <c r="AJ463" s="8"/>
      <c r="AK463" s="8"/>
      <c r="AL463" s="8"/>
      <c r="AM463" s="9"/>
      <c r="AO463" s="8"/>
      <c r="AP463" s="9"/>
    </row>
    <row r="464" spans="20:42" ht="12.75" customHeight="1" x14ac:dyDescent="0.2">
      <c r="T464" s="3"/>
      <c r="U464" s="3"/>
      <c r="V464" s="9"/>
      <c r="W464" s="9"/>
      <c r="X464" s="9"/>
      <c r="Y464" s="9"/>
      <c r="Z464" s="9"/>
      <c r="AA464" s="9"/>
      <c r="AC464" s="9"/>
      <c r="AD464" s="9"/>
      <c r="AE464" s="8"/>
      <c r="AF464" s="8"/>
      <c r="AG464" s="8"/>
      <c r="AH464" s="9"/>
      <c r="AI464" s="8"/>
      <c r="AJ464" s="8"/>
      <c r="AK464" s="8"/>
      <c r="AL464" s="8"/>
      <c r="AM464" s="9"/>
      <c r="AO464" s="8"/>
      <c r="AP464" s="9"/>
    </row>
    <row r="465" spans="20:42" ht="12.75" customHeight="1" x14ac:dyDescent="0.2">
      <c r="T465" s="3"/>
      <c r="U465" s="3"/>
      <c r="V465" s="9"/>
      <c r="W465" s="9"/>
      <c r="X465" s="9"/>
      <c r="Y465" s="9"/>
      <c r="Z465" s="9"/>
      <c r="AA465" s="9"/>
      <c r="AC465" s="9"/>
      <c r="AD465" s="9"/>
      <c r="AE465" s="8"/>
      <c r="AF465" s="8"/>
      <c r="AG465" s="8"/>
      <c r="AH465" s="9"/>
      <c r="AI465" s="8"/>
      <c r="AJ465" s="8"/>
      <c r="AK465" s="8"/>
      <c r="AL465" s="8"/>
      <c r="AM465" s="9"/>
      <c r="AO465" s="8"/>
      <c r="AP465" s="9"/>
    </row>
    <row r="466" spans="20:42" ht="12.75" customHeight="1" x14ac:dyDescent="0.2">
      <c r="T466" s="3"/>
      <c r="U466" s="3"/>
      <c r="V466" s="9"/>
      <c r="W466" s="9"/>
      <c r="X466" s="9"/>
      <c r="Y466" s="9"/>
      <c r="Z466" s="9"/>
      <c r="AA466" s="9"/>
      <c r="AC466" s="9"/>
      <c r="AD466" s="9"/>
      <c r="AE466" s="8"/>
      <c r="AF466" s="8"/>
      <c r="AG466" s="8"/>
      <c r="AH466" s="9"/>
      <c r="AI466" s="8"/>
      <c r="AJ466" s="8"/>
      <c r="AK466" s="8"/>
      <c r="AL466" s="8"/>
      <c r="AM466" s="9"/>
      <c r="AO466" s="8"/>
      <c r="AP466" s="9"/>
    </row>
    <row r="467" spans="20:42" ht="12.75" customHeight="1" x14ac:dyDescent="0.2">
      <c r="T467" s="3"/>
      <c r="U467" s="3"/>
      <c r="V467" s="9"/>
      <c r="W467" s="9"/>
      <c r="X467" s="9"/>
      <c r="Y467" s="9"/>
      <c r="Z467" s="9"/>
      <c r="AA467" s="9"/>
      <c r="AC467" s="9"/>
      <c r="AD467" s="9"/>
      <c r="AE467" s="8"/>
      <c r="AF467" s="8"/>
      <c r="AG467" s="8"/>
      <c r="AH467" s="9"/>
      <c r="AI467" s="8"/>
      <c r="AJ467" s="8"/>
      <c r="AK467" s="8"/>
      <c r="AL467" s="8"/>
      <c r="AM467" s="9"/>
      <c r="AO467" s="8"/>
      <c r="AP467" s="9"/>
    </row>
    <row r="468" spans="20:42" ht="12.75" customHeight="1" x14ac:dyDescent="0.2">
      <c r="T468" s="3"/>
      <c r="U468" s="3"/>
      <c r="V468" s="9"/>
      <c r="W468" s="9"/>
      <c r="X468" s="9"/>
      <c r="Y468" s="9"/>
      <c r="Z468" s="9"/>
      <c r="AA468" s="9"/>
      <c r="AC468" s="9"/>
      <c r="AD468" s="9"/>
      <c r="AE468" s="8"/>
      <c r="AF468" s="8"/>
      <c r="AG468" s="8"/>
      <c r="AH468" s="9"/>
      <c r="AI468" s="8"/>
      <c r="AJ468" s="8"/>
      <c r="AK468" s="8"/>
      <c r="AL468" s="8"/>
      <c r="AM468" s="9"/>
      <c r="AO468" s="8"/>
      <c r="AP468" s="9"/>
    </row>
    <row r="469" spans="20:42" ht="12.75" customHeight="1" x14ac:dyDescent="0.2">
      <c r="T469" s="3"/>
      <c r="U469" s="3"/>
      <c r="V469" s="9"/>
      <c r="W469" s="9"/>
      <c r="X469" s="9"/>
      <c r="Y469" s="9"/>
      <c r="Z469" s="9"/>
      <c r="AA469" s="9"/>
      <c r="AC469" s="9"/>
      <c r="AD469" s="9"/>
      <c r="AE469" s="8"/>
      <c r="AF469" s="8"/>
      <c r="AG469" s="8"/>
      <c r="AH469" s="9"/>
      <c r="AI469" s="8"/>
      <c r="AJ469" s="8"/>
      <c r="AK469" s="8"/>
      <c r="AL469" s="8"/>
      <c r="AM469" s="9"/>
      <c r="AO469" s="8"/>
      <c r="AP469" s="9"/>
    </row>
    <row r="470" spans="20:42" ht="12.75" customHeight="1" x14ac:dyDescent="0.2">
      <c r="T470" s="3"/>
      <c r="U470" s="3"/>
      <c r="V470" s="9"/>
      <c r="W470" s="9"/>
      <c r="X470" s="9"/>
      <c r="Y470" s="9"/>
      <c r="Z470" s="9"/>
      <c r="AA470" s="9"/>
      <c r="AC470" s="9"/>
      <c r="AD470" s="9"/>
      <c r="AE470" s="8"/>
      <c r="AF470" s="8"/>
      <c r="AG470" s="8"/>
      <c r="AH470" s="9"/>
      <c r="AI470" s="8"/>
      <c r="AJ470" s="8"/>
      <c r="AK470" s="8"/>
      <c r="AL470" s="8"/>
      <c r="AM470" s="9"/>
      <c r="AO470" s="8"/>
      <c r="AP470" s="9"/>
    </row>
    <row r="471" spans="20:42" ht="12.75" customHeight="1" x14ac:dyDescent="0.2">
      <c r="T471" s="3"/>
      <c r="U471" s="3"/>
      <c r="V471" s="9"/>
      <c r="W471" s="9"/>
      <c r="X471" s="9"/>
      <c r="Y471" s="9"/>
      <c r="Z471" s="9"/>
      <c r="AA471" s="9"/>
      <c r="AC471" s="9"/>
      <c r="AD471" s="9"/>
      <c r="AE471" s="8"/>
      <c r="AF471" s="8"/>
      <c r="AG471" s="8"/>
      <c r="AH471" s="9"/>
      <c r="AI471" s="8"/>
      <c r="AJ471" s="8"/>
      <c r="AK471" s="8"/>
      <c r="AL471" s="8"/>
      <c r="AM471" s="9"/>
      <c r="AO471" s="8"/>
      <c r="AP471" s="9"/>
    </row>
    <row r="472" spans="20:42" ht="12.75" customHeight="1" x14ac:dyDescent="0.2">
      <c r="T472" s="3"/>
      <c r="U472" s="3"/>
      <c r="V472" s="9"/>
      <c r="W472" s="9"/>
      <c r="X472" s="9"/>
      <c r="Y472" s="9"/>
      <c r="Z472" s="9"/>
      <c r="AA472" s="9"/>
      <c r="AC472" s="9"/>
      <c r="AD472" s="9"/>
      <c r="AE472" s="8"/>
      <c r="AF472" s="8"/>
      <c r="AG472" s="8"/>
      <c r="AH472" s="9"/>
      <c r="AI472" s="8"/>
      <c r="AJ472" s="8"/>
      <c r="AK472" s="8"/>
      <c r="AL472" s="8"/>
      <c r="AM472" s="9"/>
      <c r="AO472" s="8"/>
      <c r="AP472" s="9"/>
    </row>
    <row r="473" spans="20:42" ht="12.75" customHeight="1" x14ac:dyDescent="0.2">
      <c r="T473" s="3"/>
      <c r="U473" s="3"/>
      <c r="V473" s="9"/>
      <c r="W473" s="9"/>
      <c r="X473" s="9"/>
      <c r="Y473" s="9"/>
      <c r="Z473" s="9"/>
      <c r="AA473" s="9"/>
      <c r="AC473" s="9"/>
      <c r="AD473" s="9"/>
      <c r="AE473" s="8"/>
      <c r="AF473" s="8"/>
      <c r="AG473" s="8"/>
      <c r="AH473" s="9"/>
      <c r="AI473" s="8"/>
      <c r="AJ473" s="8"/>
      <c r="AK473" s="8"/>
      <c r="AL473" s="8"/>
      <c r="AM473" s="9"/>
      <c r="AO473" s="8"/>
      <c r="AP473" s="9"/>
    </row>
    <row r="474" spans="20:42" ht="12.75" customHeight="1" x14ac:dyDescent="0.2">
      <c r="T474" s="3"/>
      <c r="U474" s="3"/>
      <c r="V474" s="9"/>
      <c r="W474" s="9"/>
      <c r="X474" s="9"/>
      <c r="Y474" s="9"/>
      <c r="Z474" s="9"/>
      <c r="AA474" s="9"/>
      <c r="AC474" s="9"/>
      <c r="AD474" s="9"/>
      <c r="AE474" s="8"/>
      <c r="AF474" s="8"/>
      <c r="AG474" s="8"/>
      <c r="AH474" s="9"/>
      <c r="AI474" s="8"/>
      <c r="AJ474" s="8"/>
      <c r="AK474" s="8"/>
      <c r="AL474" s="8"/>
      <c r="AM474" s="9"/>
      <c r="AO474" s="8"/>
      <c r="AP474" s="9"/>
    </row>
    <row r="475" spans="20:42" ht="12.75" customHeight="1" x14ac:dyDescent="0.2">
      <c r="T475" s="3"/>
      <c r="U475" s="3"/>
      <c r="V475" s="9"/>
      <c r="W475" s="9"/>
      <c r="X475" s="9"/>
      <c r="Y475" s="9"/>
      <c r="Z475" s="9"/>
      <c r="AA475" s="9"/>
      <c r="AC475" s="9"/>
      <c r="AD475" s="9"/>
      <c r="AE475" s="8"/>
      <c r="AF475" s="8"/>
      <c r="AG475" s="8"/>
      <c r="AH475" s="9"/>
      <c r="AI475" s="8"/>
      <c r="AJ475" s="8"/>
      <c r="AK475" s="8"/>
      <c r="AL475" s="8"/>
      <c r="AM475" s="9"/>
      <c r="AO475" s="8"/>
      <c r="AP475" s="9"/>
    </row>
    <row r="476" spans="20:42" ht="12.75" customHeight="1" x14ac:dyDescent="0.2">
      <c r="T476" s="3"/>
      <c r="U476" s="3"/>
      <c r="V476" s="9"/>
      <c r="W476" s="9"/>
      <c r="X476" s="9"/>
      <c r="Y476" s="9"/>
      <c r="Z476" s="9"/>
      <c r="AA476" s="9"/>
      <c r="AC476" s="9"/>
      <c r="AD476" s="9"/>
      <c r="AE476" s="8"/>
      <c r="AF476" s="8"/>
      <c r="AG476" s="8"/>
      <c r="AH476" s="9"/>
      <c r="AI476" s="8"/>
      <c r="AJ476" s="8"/>
      <c r="AK476" s="8"/>
      <c r="AL476" s="8"/>
      <c r="AM476" s="9"/>
      <c r="AO476" s="8"/>
      <c r="AP476" s="9"/>
    </row>
    <row r="477" spans="20:42" ht="12.75" customHeight="1" x14ac:dyDescent="0.2">
      <c r="T477" s="3"/>
      <c r="U477" s="3"/>
      <c r="V477" s="9"/>
      <c r="W477" s="9"/>
      <c r="X477" s="9"/>
      <c r="Y477" s="9"/>
      <c r="Z477" s="9"/>
      <c r="AA477" s="9"/>
      <c r="AC477" s="9"/>
      <c r="AD477" s="9"/>
      <c r="AE477" s="8"/>
      <c r="AF477" s="8"/>
      <c r="AG477" s="8"/>
      <c r="AH477" s="9"/>
      <c r="AI477" s="8"/>
      <c r="AJ477" s="8"/>
      <c r="AK477" s="8"/>
      <c r="AL477" s="8"/>
      <c r="AM477" s="9"/>
      <c r="AO477" s="8"/>
      <c r="AP477" s="9"/>
    </row>
    <row r="478" spans="20:42" ht="12.75" customHeight="1" x14ac:dyDescent="0.2">
      <c r="T478" s="3"/>
      <c r="U478" s="3"/>
      <c r="V478" s="9"/>
      <c r="W478" s="9"/>
      <c r="X478" s="9"/>
      <c r="Y478" s="9"/>
      <c r="Z478" s="9"/>
      <c r="AA478" s="9"/>
      <c r="AC478" s="9"/>
      <c r="AD478" s="9"/>
      <c r="AE478" s="8"/>
      <c r="AF478" s="8"/>
      <c r="AG478" s="8"/>
      <c r="AH478" s="9"/>
      <c r="AI478" s="8"/>
      <c r="AJ478" s="8"/>
      <c r="AK478" s="8"/>
      <c r="AL478" s="8"/>
      <c r="AM478" s="9"/>
      <c r="AO478" s="8"/>
      <c r="AP478" s="9"/>
    </row>
    <row r="479" spans="20:42" ht="12.75" customHeight="1" x14ac:dyDescent="0.2">
      <c r="T479" s="3"/>
      <c r="U479" s="3"/>
      <c r="V479" s="9"/>
      <c r="W479" s="9"/>
      <c r="X479" s="9"/>
      <c r="Y479" s="9"/>
      <c r="Z479" s="9"/>
      <c r="AA479" s="9"/>
      <c r="AC479" s="9"/>
      <c r="AD479" s="9"/>
      <c r="AE479" s="8"/>
      <c r="AF479" s="8"/>
      <c r="AG479" s="8"/>
      <c r="AH479" s="9"/>
      <c r="AI479" s="8"/>
      <c r="AJ479" s="8"/>
      <c r="AK479" s="8"/>
      <c r="AL479" s="8"/>
      <c r="AM479" s="9"/>
      <c r="AO479" s="8"/>
      <c r="AP479" s="9"/>
    </row>
    <row r="480" spans="20:42" ht="12.75" customHeight="1" x14ac:dyDescent="0.2">
      <c r="T480" s="3"/>
      <c r="U480" s="3"/>
      <c r="V480" s="9"/>
      <c r="W480" s="9"/>
      <c r="X480" s="9"/>
      <c r="Y480" s="9"/>
      <c r="Z480" s="9"/>
      <c r="AA480" s="9"/>
      <c r="AC480" s="9"/>
      <c r="AD480" s="9"/>
      <c r="AE480" s="8"/>
      <c r="AF480" s="8"/>
      <c r="AG480" s="8"/>
      <c r="AH480" s="9"/>
      <c r="AI480" s="8"/>
      <c r="AJ480" s="8"/>
      <c r="AK480" s="8"/>
      <c r="AL480" s="8"/>
      <c r="AM480" s="9"/>
      <c r="AO480" s="8"/>
      <c r="AP480" s="9"/>
    </row>
    <row r="481" spans="20:42" ht="12.75" customHeight="1" x14ac:dyDescent="0.2">
      <c r="T481" s="3"/>
      <c r="U481" s="3"/>
      <c r="V481" s="9"/>
      <c r="W481" s="9"/>
      <c r="X481" s="9"/>
      <c r="Y481" s="9"/>
      <c r="Z481" s="9"/>
      <c r="AA481" s="9"/>
      <c r="AC481" s="9"/>
      <c r="AD481" s="9"/>
      <c r="AE481" s="8"/>
      <c r="AF481" s="8"/>
      <c r="AG481" s="8"/>
      <c r="AH481" s="9"/>
      <c r="AI481" s="8"/>
      <c r="AJ481" s="8"/>
      <c r="AK481" s="8"/>
      <c r="AL481" s="8"/>
      <c r="AM481" s="9"/>
      <c r="AO481" s="8"/>
      <c r="AP481" s="9"/>
    </row>
    <row r="482" spans="20:42" ht="12.75" customHeight="1" x14ac:dyDescent="0.2">
      <c r="T482" s="3"/>
      <c r="U482" s="3"/>
      <c r="V482" s="9"/>
      <c r="W482" s="9"/>
      <c r="X482" s="9"/>
      <c r="Y482" s="9"/>
      <c r="Z482" s="9"/>
      <c r="AA482" s="9"/>
      <c r="AC482" s="9"/>
      <c r="AD482" s="9"/>
      <c r="AE482" s="8"/>
      <c r="AF482" s="8"/>
      <c r="AG482" s="8"/>
      <c r="AH482" s="9"/>
      <c r="AI482" s="8"/>
      <c r="AJ482" s="8"/>
      <c r="AK482" s="8"/>
      <c r="AL482" s="8"/>
      <c r="AM482" s="9"/>
      <c r="AO482" s="8"/>
      <c r="AP482" s="9"/>
    </row>
    <row r="483" spans="20:42" ht="12.75" customHeight="1" x14ac:dyDescent="0.2">
      <c r="T483" s="3"/>
      <c r="U483" s="3"/>
      <c r="V483" s="9"/>
      <c r="W483" s="9"/>
      <c r="X483" s="9"/>
      <c r="Y483" s="9"/>
      <c r="Z483" s="9"/>
      <c r="AA483" s="9"/>
      <c r="AC483" s="9"/>
      <c r="AD483" s="9"/>
      <c r="AE483" s="8"/>
      <c r="AF483" s="8"/>
      <c r="AG483" s="8"/>
      <c r="AH483" s="9"/>
      <c r="AI483" s="8"/>
      <c r="AJ483" s="8"/>
      <c r="AK483" s="8"/>
      <c r="AL483" s="8"/>
      <c r="AM483" s="9"/>
      <c r="AO483" s="8"/>
      <c r="AP483" s="9"/>
    </row>
    <row r="484" spans="20:42" ht="12.75" customHeight="1" x14ac:dyDescent="0.2">
      <c r="T484" s="3"/>
      <c r="U484" s="3"/>
      <c r="V484" s="9"/>
      <c r="W484" s="9"/>
      <c r="X484" s="9"/>
      <c r="Y484" s="9"/>
      <c r="Z484" s="9"/>
      <c r="AA484" s="9"/>
      <c r="AC484" s="9"/>
      <c r="AD484" s="9"/>
      <c r="AE484" s="8"/>
      <c r="AF484" s="8"/>
      <c r="AG484" s="8"/>
      <c r="AH484" s="9"/>
      <c r="AI484" s="8"/>
      <c r="AJ484" s="8"/>
      <c r="AK484" s="8"/>
      <c r="AL484" s="8"/>
      <c r="AM484" s="9"/>
      <c r="AO484" s="8"/>
      <c r="AP484" s="9"/>
    </row>
    <row r="485" spans="20:42" ht="12.75" customHeight="1" x14ac:dyDescent="0.2">
      <c r="T485" s="3"/>
      <c r="U485" s="3"/>
      <c r="V485" s="9"/>
      <c r="W485" s="9"/>
      <c r="X485" s="9"/>
      <c r="Y485" s="9"/>
      <c r="Z485" s="9"/>
      <c r="AA485" s="9"/>
      <c r="AC485" s="9"/>
      <c r="AD485" s="9"/>
      <c r="AE485" s="8"/>
      <c r="AF485" s="8"/>
      <c r="AG485" s="8"/>
      <c r="AH485" s="9"/>
      <c r="AI485" s="8"/>
      <c r="AJ485" s="8"/>
      <c r="AK485" s="8"/>
      <c r="AL485" s="8"/>
      <c r="AM485" s="9"/>
      <c r="AO485" s="8"/>
      <c r="AP485" s="9"/>
    </row>
    <row r="486" spans="20:42" ht="12.75" customHeight="1" x14ac:dyDescent="0.2">
      <c r="T486" s="3"/>
      <c r="U486" s="3"/>
      <c r="V486" s="9"/>
      <c r="W486" s="9"/>
      <c r="X486" s="9"/>
      <c r="Y486" s="9"/>
      <c r="Z486" s="9"/>
      <c r="AA486" s="9"/>
      <c r="AC486" s="9"/>
      <c r="AD486" s="9"/>
      <c r="AE486" s="8"/>
      <c r="AF486" s="8"/>
      <c r="AG486" s="8"/>
      <c r="AH486" s="9"/>
      <c r="AI486" s="8"/>
      <c r="AJ486" s="8"/>
      <c r="AK486" s="8"/>
      <c r="AL486" s="8"/>
      <c r="AM486" s="9"/>
      <c r="AO486" s="8"/>
      <c r="AP486" s="9"/>
    </row>
    <row r="487" spans="20:42" ht="12.75" customHeight="1" x14ac:dyDescent="0.2">
      <c r="T487" s="3"/>
      <c r="U487" s="3"/>
      <c r="V487" s="9"/>
      <c r="W487" s="9"/>
      <c r="X487" s="9"/>
      <c r="Y487" s="9"/>
      <c r="Z487" s="9"/>
      <c r="AA487" s="9"/>
      <c r="AC487" s="9"/>
      <c r="AD487" s="9"/>
      <c r="AE487" s="8"/>
      <c r="AF487" s="8"/>
      <c r="AG487" s="8"/>
      <c r="AH487" s="9"/>
      <c r="AI487" s="8"/>
      <c r="AJ487" s="8"/>
      <c r="AK487" s="8"/>
      <c r="AL487" s="8"/>
      <c r="AM487" s="9"/>
      <c r="AO487" s="8"/>
      <c r="AP487" s="9"/>
    </row>
    <row r="488" spans="20:42" ht="12.75" customHeight="1" x14ac:dyDescent="0.2">
      <c r="T488" s="3"/>
      <c r="U488" s="3"/>
      <c r="V488" s="9"/>
      <c r="W488" s="9"/>
      <c r="X488" s="9"/>
      <c r="Y488" s="9"/>
      <c r="Z488" s="9"/>
      <c r="AA488" s="9"/>
      <c r="AC488" s="9"/>
      <c r="AD488" s="9"/>
      <c r="AE488" s="8"/>
      <c r="AF488" s="8"/>
      <c r="AG488" s="8"/>
      <c r="AH488" s="9"/>
      <c r="AI488" s="8"/>
      <c r="AJ488" s="8"/>
      <c r="AK488" s="8"/>
      <c r="AL488" s="8"/>
      <c r="AM488" s="9"/>
      <c r="AO488" s="8"/>
      <c r="AP488" s="9"/>
    </row>
    <row r="489" spans="20:42" ht="12.75" customHeight="1" x14ac:dyDescent="0.2">
      <c r="T489" s="3"/>
      <c r="U489" s="3"/>
      <c r="V489" s="9"/>
      <c r="W489" s="9"/>
      <c r="X489" s="9"/>
      <c r="Y489" s="9"/>
      <c r="Z489" s="9"/>
      <c r="AA489" s="9"/>
      <c r="AC489" s="9"/>
      <c r="AD489" s="9"/>
      <c r="AE489" s="8"/>
      <c r="AF489" s="8"/>
      <c r="AG489" s="8"/>
      <c r="AH489" s="9"/>
      <c r="AI489" s="8"/>
      <c r="AJ489" s="8"/>
      <c r="AK489" s="8"/>
      <c r="AL489" s="8"/>
      <c r="AM489" s="9"/>
      <c r="AO489" s="8"/>
      <c r="AP489" s="9"/>
    </row>
    <row r="490" spans="20:42" ht="12.75" customHeight="1" x14ac:dyDescent="0.2">
      <c r="T490" s="3"/>
      <c r="U490" s="3"/>
      <c r="V490" s="9"/>
      <c r="W490" s="9"/>
      <c r="X490" s="9"/>
      <c r="Y490" s="9"/>
      <c r="Z490" s="9"/>
      <c r="AA490" s="9"/>
      <c r="AC490" s="9"/>
      <c r="AD490" s="9"/>
      <c r="AE490" s="8"/>
      <c r="AF490" s="8"/>
      <c r="AG490" s="8"/>
      <c r="AH490" s="9"/>
      <c r="AI490" s="8"/>
      <c r="AJ490" s="8"/>
      <c r="AK490" s="8"/>
      <c r="AL490" s="8"/>
      <c r="AM490" s="9"/>
      <c r="AO490" s="8"/>
      <c r="AP490" s="9"/>
    </row>
    <row r="491" spans="20:42" ht="12.75" customHeight="1" x14ac:dyDescent="0.2">
      <c r="T491" s="3"/>
      <c r="U491" s="3"/>
      <c r="V491" s="9"/>
      <c r="W491" s="9"/>
      <c r="X491" s="9"/>
      <c r="Y491" s="9"/>
      <c r="Z491" s="9"/>
      <c r="AA491" s="9"/>
      <c r="AC491" s="9"/>
      <c r="AD491" s="9"/>
      <c r="AE491" s="8"/>
      <c r="AF491" s="8"/>
      <c r="AG491" s="8"/>
      <c r="AH491" s="9"/>
      <c r="AI491" s="8"/>
      <c r="AJ491" s="8"/>
      <c r="AK491" s="8"/>
      <c r="AL491" s="8"/>
      <c r="AM491" s="9"/>
      <c r="AO491" s="8"/>
      <c r="AP491" s="9"/>
    </row>
    <row r="492" spans="20:42" ht="12.75" customHeight="1" x14ac:dyDescent="0.2">
      <c r="T492" s="3"/>
      <c r="U492" s="3"/>
      <c r="V492" s="9"/>
      <c r="W492" s="9"/>
      <c r="X492" s="9"/>
      <c r="Y492" s="9"/>
      <c r="Z492" s="9"/>
      <c r="AA492" s="9"/>
      <c r="AC492" s="9"/>
      <c r="AD492" s="9"/>
      <c r="AE492" s="8"/>
      <c r="AF492" s="8"/>
      <c r="AG492" s="8"/>
      <c r="AH492" s="9"/>
      <c r="AI492" s="8"/>
      <c r="AJ492" s="8"/>
      <c r="AK492" s="8"/>
      <c r="AL492" s="8"/>
      <c r="AM492" s="9"/>
      <c r="AO492" s="8"/>
      <c r="AP492" s="9"/>
    </row>
    <row r="493" spans="20:42" ht="12.75" customHeight="1" x14ac:dyDescent="0.2">
      <c r="T493" s="3"/>
      <c r="U493" s="3"/>
      <c r="V493" s="9"/>
      <c r="W493" s="9"/>
      <c r="X493" s="9"/>
      <c r="Y493" s="9"/>
      <c r="Z493" s="9"/>
      <c r="AA493" s="9"/>
      <c r="AC493" s="9"/>
      <c r="AD493" s="9"/>
      <c r="AE493" s="8"/>
      <c r="AF493" s="8"/>
      <c r="AG493" s="8"/>
      <c r="AH493" s="9"/>
      <c r="AI493" s="8"/>
      <c r="AJ493" s="8"/>
      <c r="AK493" s="8"/>
      <c r="AL493" s="8"/>
      <c r="AM493" s="9"/>
      <c r="AO493" s="8"/>
      <c r="AP493" s="9"/>
    </row>
    <row r="494" spans="20:42" ht="12.75" customHeight="1" x14ac:dyDescent="0.2">
      <c r="T494" s="3"/>
      <c r="U494" s="3"/>
      <c r="V494" s="9"/>
      <c r="W494" s="9"/>
      <c r="X494" s="9"/>
      <c r="Y494" s="9"/>
      <c r="Z494" s="9"/>
      <c r="AA494" s="9"/>
      <c r="AC494" s="9"/>
      <c r="AD494" s="9"/>
      <c r="AE494" s="8"/>
      <c r="AF494" s="8"/>
      <c r="AG494" s="8"/>
      <c r="AH494" s="9"/>
      <c r="AI494" s="8"/>
      <c r="AJ494" s="8"/>
      <c r="AK494" s="8"/>
      <c r="AL494" s="8"/>
      <c r="AM494" s="9"/>
      <c r="AO494" s="8"/>
      <c r="AP494" s="9"/>
    </row>
    <row r="495" spans="20:42" ht="12.75" customHeight="1" x14ac:dyDescent="0.2">
      <c r="T495" s="3"/>
      <c r="U495" s="3"/>
      <c r="V495" s="9"/>
      <c r="W495" s="9"/>
      <c r="X495" s="9"/>
      <c r="Y495" s="9"/>
      <c r="Z495" s="9"/>
      <c r="AA495" s="9"/>
      <c r="AC495" s="9"/>
      <c r="AD495" s="9"/>
      <c r="AE495" s="8"/>
      <c r="AF495" s="8"/>
      <c r="AG495" s="8"/>
      <c r="AH495" s="9"/>
      <c r="AI495" s="8"/>
      <c r="AJ495" s="8"/>
      <c r="AK495" s="8"/>
      <c r="AL495" s="8"/>
      <c r="AM495" s="9"/>
      <c r="AO495" s="8"/>
      <c r="AP495" s="9"/>
    </row>
    <row r="496" spans="20:42" ht="12.75" customHeight="1" x14ac:dyDescent="0.2">
      <c r="T496" s="3"/>
      <c r="U496" s="3"/>
      <c r="V496" s="9"/>
      <c r="W496" s="9"/>
      <c r="X496" s="9"/>
      <c r="Y496" s="9"/>
      <c r="Z496" s="9"/>
      <c r="AA496" s="9"/>
      <c r="AC496" s="9"/>
      <c r="AD496" s="9"/>
      <c r="AE496" s="8"/>
      <c r="AF496" s="8"/>
      <c r="AG496" s="8"/>
      <c r="AH496" s="9"/>
      <c r="AI496" s="8"/>
      <c r="AJ496" s="8"/>
      <c r="AK496" s="8"/>
      <c r="AL496" s="8"/>
      <c r="AM496" s="9"/>
      <c r="AO496" s="8"/>
      <c r="AP496" s="9"/>
    </row>
    <row r="497" spans="20:42" ht="12.75" customHeight="1" x14ac:dyDescent="0.2">
      <c r="T497" s="3"/>
      <c r="U497" s="3"/>
      <c r="V497" s="9"/>
      <c r="W497" s="9"/>
      <c r="X497" s="9"/>
      <c r="Y497" s="9"/>
      <c r="Z497" s="9"/>
      <c r="AA497" s="9"/>
      <c r="AC497" s="9"/>
      <c r="AD497" s="9"/>
      <c r="AE497" s="8"/>
      <c r="AF497" s="8"/>
      <c r="AG497" s="8"/>
      <c r="AH497" s="9"/>
      <c r="AI497" s="8"/>
      <c r="AJ497" s="8"/>
      <c r="AK497" s="8"/>
      <c r="AL497" s="8"/>
      <c r="AM497" s="9"/>
      <c r="AO497" s="8"/>
      <c r="AP497" s="9"/>
    </row>
    <row r="498" spans="20:42" ht="12.75" customHeight="1" x14ac:dyDescent="0.2">
      <c r="T498" s="3"/>
      <c r="U498" s="3"/>
      <c r="V498" s="9"/>
      <c r="W498" s="9"/>
      <c r="X498" s="9"/>
      <c r="Y498" s="9"/>
      <c r="Z498" s="9"/>
      <c r="AA498" s="9"/>
      <c r="AC498" s="9"/>
      <c r="AD498" s="9"/>
      <c r="AE498" s="8"/>
      <c r="AF498" s="8"/>
      <c r="AG498" s="8"/>
      <c r="AH498" s="9"/>
      <c r="AI498" s="8"/>
      <c r="AJ498" s="8"/>
      <c r="AK498" s="8"/>
      <c r="AL498" s="8"/>
      <c r="AM498" s="9"/>
      <c r="AO498" s="8"/>
      <c r="AP498" s="9"/>
    </row>
    <row r="499" spans="20:42" ht="12.75" customHeight="1" x14ac:dyDescent="0.2">
      <c r="T499" s="3"/>
      <c r="U499" s="3"/>
      <c r="V499" s="9"/>
      <c r="W499" s="9"/>
      <c r="X499" s="9"/>
      <c r="Y499" s="9"/>
      <c r="Z499" s="9"/>
      <c r="AA499" s="9"/>
      <c r="AC499" s="9"/>
      <c r="AD499" s="9"/>
      <c r="AE499" s="8"/>
      <c r="AF499" s="8"/>
      <c r="AG499" s="8"/>
      <c r="AH499" s="9"/>
      <c r="AI499" s="8"/>
      <c r="AJ499" s="8"/>
      <c r="AK499" s="8"/>
      <c r="AL499" s="8"/>
      <c r="AM499" s="9"/>
      <c r="AO499" s="8"/>
      <c r="AP499" s="9"/>
    </row>
    <row r="500" spans="20:42" ht="12.75" customHeight="1" x14ac:dyDescent="0.2">
      <c r="T500" s="3"/>
      <c r="U500" s="3"/>
      <c r="V500" s="9"/>
      <c r="W500" s="9"/>
      <c r="X500" s="9"/>
      <c r="Y500" s="9"/>
      <c r="Z500" s="9"/>
      <c r="AA500" s="9"/>
      <c r="AC500" s="9"/>
      <c r="AD500" s="9"/>
      <c r="AE500" s="8"/>
      <c r="AF500" s="8"/>
      <c r="AG500" s="8"/>
      <c r="AH500" s="9"/>
      <c r="AI500" s="8"/>
      <c r="AJ500" s="8"/>
      <c r="AK500" s="8"/>
      <c r="AL500" s="8"/>
      <c r="AM500" s="9"/>
      <c r="AO500" s="8"/>
      <c r="AP500" s="9"/>
    </row>
    <row r="501" spans="20:42" ht="12.75" customHeight="1" x14ac:dyDescent="0.2">
      <c r="T501" s="3"/>
      <c r="U501" s="3"/>
      <c r="V501" s="9"/>
      <c r="W501" s="9"/>
      <c r="X501" s="9"/>
      <c r="Y501" s="9"/>
      <c r="Z501" s="9"/>
      <c r="AA501" s="9"/>
      <c r="AC501" s="9"/>
      <c r="AD501" s="9"/>
      <c r="AE501" s="8"/>
      <c r="AF501" s="8"/>
      <c r="AG501" s="8"/>
      <c r="AH501" s="9"/>
      <c r="AI501" s="8"/>
      <c r="AJ501" s="8"/>
      <c r="AK501" s="8"/>
      <c r="AL501" s="8"/>
      <c r="AM501" s="9"/>
      <c r="AO501" s="8"/>
      <c r="AP501" s="9"/>
    </row>
    <row r="502" spans="20:42" ht="12.75" customHeight="1" x14ac:dyDescent="0.2">
      <c r="T502" s="3"/>
      <c r="U502" s="3"/>
      <c r="V502" s="9"/>
      <c r="W502" s="9"/>
      <c r="X502" s="9"/>
      <c r="Y502" s="9"/>
      <c r="Z502" s="9"/>
      <c r="AA502" s="9"/>
      <c r="AC502" s="9"/>
      <c r="AD502" s="9"/>
      <c r="AE502" s="8"/>
      <c r="AF502" s="8"/>
      <c r="AG502" s="8"/>
      <c r="AH502" s="9"/>
      <c r="AI502" s="8"/>
      <c r="AJ502" s="8"/>
      <c r="AK502" s="8"/>
      <c r="AL502" s="8"/>
      <c r="AM502" s="9"/>
      <c r="AO502" s="8"/>
      <c r="AP502" s="9"/>
    </row>
    <row r="503" spans="20:42" ht="12.75" customHeight="1" x14ac:dyDescent="0.2">
      <c r="T503" s="3"/>
      <c r="U503" s="3"/>
      <c r="V503" s="9"/>
      <c r="W503" s="9"/>
      <c r="X503" s="9"/>
      <c r="Y503" s="9"/>
      <c r="Z503" s="9"/>
      <c r="AA503" s="9"/>
      <c r="AC503" s="9"/>
      <c r="AD503" s="9"/>
      <c r="AE503" s="8"/>
      <c r="AF503" s="8"/>
      <c r="AG503" s="8"/>
      <c r="AH503" s="9"/>
      <c r="AI503" s="8"/>
      <c r="AJ503" s="8"/>
      <c r="AK503" s="8"/>
      <c r="AL503" s="8"/>
      <c r="AM503" s="9"/>
      <c r="AO503" s="8"/>
      <c r="AP503" s="9"/>
    </row>
    <row r="504" spans="20:42" ht="12.75" customHeight="1" x14ac:dyDescent="0.2">
      <c r="T504" s="3"/>
      <c r="U504" s="3"/>
      <c r="V504" s="9"/>
      <c r="W504" s="9"/>
      <c r="X504" s="9"/>
      <c r="Y504" s="9"/>
      <c r="Z504" s="9"/>
      <c r="AA504" s="9"/>
      <c r="AC504" s="9"/>
      <c r="AD504" s="9"/>
      <c r="AE504" s="8"/>
      <c r="AF504" s="8"/>
      <c r="AG504" s="8"/>
      <c r="AH504" s="9"/>
      <c r="AI504" s="8"/>
      <c r="AJ504" s="8"/>
      <c r="AK504" s="8"/>
      <c r="AL504" s="8"/>
      <c r="AM504" s="9"/>
      <c r="AO504" s="8"/>
      <c r="AP504" s="9"/>
    </row>
    <row r="505" spans="20:42" ht="12.75" customHeight="1" x14ac:dyDescent="0.2">
      <c r="T505" s="3"/>
      <c r="U505" s="3"/>
      <c r="V505" s="9"/>
      <c r="W505" s="9"/>
      <c r="X505" s="9"/>
      <c r="Y505" s="9"/>
      <c r="Z505" s="9"/>
      <c r="AA505" s="9"/>
      <c r="AC505" s="9"/>
      <c r="AD505" s="9"/>
      <c r="AE505" s="8"/>
      <c r="AF505" s="8"/>
      <c r="AG505" s="8"/>
      <c r="AH505" s="9"/>
      <c r="AI505" s="8"/>
      <c r="AJ505" s="8"/>
      <c r="AK505" s="8"/>
      <c r="AL505" s="8"/>
      <c r="AM505" s="9"/>
      <c r="AO505" s="8"/>
      <c r="AP505" s="9"/>
    </row>
    <row r="506" spans="20:42" ht="12.75" customHeight="1" x14ac:dyDescent="0.2">
      <c r="T506" s="3"/>
      <c r="U506" s="3"/>
      <c r="V506" s="9"/>
      <c r="W506" s="9"/>
      <c r="X506" s="9"/>
      <c r="Y506" s="9"/>
      <c r="Z506" s="9"/>
      <c r="AA506" s="9"/>
      <c r="AC506" s="9"/>
      <c r="AD506" s="9"/>
      <c r="AE506" s="8"/>
      <c r="AF506" s="8"/>
      <c r="AG506" s="8"/>
      <c r="AH506" s="9"/>
      <c r="AI506" s="8"/>
      <c r="AJ506" s="8"/>
      <c r="AK506" s="8"/>
      <c r="AL506" s="8"/>
      <c r="AM506" s="9"/>
      <c r="AO506" s="8"/>
      <c r="AP506" s="9"/>
    </row>
    <row r="507" spans="20:42" ht="12.75" customHeight="1" x14ac:dyDescent="0.2">
      <c r="T507" s="3"/>
      <c r="U507" s="3"/>
      <c r="V507" s="9"/>
      <c r="W507" s="9"/>
      <c r="X507" s="9"/>
      <c r="Y507" s="9"/>
      <c r="Z507" s="9"/>
      <c r="AA507" s="9"/>
      <c r="AC507" s="9"/>
      <c r="AD507" s="9"/>
      <c r="AE507" s="8"/>
      <c r="AF507" s="8"/>
      <c r="AG507" s="8"/>
      <c r="AH507" s="9"/>
      <c r="AI507" s="8"/>
      <c r="AJ507" s="8"/>
      <c r="AK507" s="8"/>
      <c r="AL507" s="8"/>
      <c r="AM507" s="9"/>
      <c r="AO507" s="8"/>
      <c r="AP507" s="9"/>
    </row>
    <row r="508" spans="20:42" ht="12.75" customHeight="1" x14ac:dyDescent="0.2">
      <c r="T508" s="3"/>
      <c r="U508" s="3"/>
      <c r="V508" s="9"/>
      <c r="W508" s="9"/>
      <c r="X508" s="9"/>
      <c r="Y508" s="9"/>
      <c r="Z508" s="9"/>
      <c r="AA508" s="9"/>
      <c r="AC508" s="9"/>
      <c r="AD508" s="9"/>
      <c r="AE508" s="8"/>
      <c r="AF508" s="8"/>
      <c r="AG508" s="8"/>
      <c r="AH508" s="9"/>
      <c r="AI508" s="8"/>
      <c r="AJ508" s="8"/>
      <c r="AK508" s="8"/>
      <c r="AL508" s="8"/>
      <c r="AM508" s="9"/>
      <c r="AO508" s="8"/>
      <c r="AP508" s="9"/>
    </row>
    <row r="509" spans="20:42" ht="12.75" customHeight="1" x14ac:dyDescent="0.2">
      <c r="T509" s="3"/>
      <c r="U509" s="3"/>
      <c r="V509" s="9"/>
      <c r="W509" s="9"/>
      <c r="X509" s="9"/>
      <c r="Y509" s="9"/>
      <c r="Z509" s="9"/>
      <c r="AA509" s="9"/>
      <c r="AC509" s="9"/>
      <c r="AD509" s="9"/>
      <c r="AE509" s="8"/>
      <c r="AF509" s="8"/>
      <c r="AG509" s="8"/>
      <c r="AH509" s="9"/>
      <c r="AI509" s="8"/>
      <c r="AJ509" s="8"/>
      <c r="AK509" s="8"/>
      <c r="AL509" s="8"/>
      <c r="AM509" s="9"/>
      <c r="AO509" s="8"/>
      <c r="AP509" s="9"/>
    </row>
    <row r="510" spans="20:42" ht="12.75" customHeight="1" x14ac:dyDescent="0.2">
      <c r="T510" s="3"/>
      <c r="U510" s="3"/>
      <c r="V510" s="9"/>
      <c r="W510" s="9"/>
      <c r="X510" s="9"/>
      <c r="Y510" s="9"/>
      <c r="Z510" s="9"/>
      <c r="AA510" s="9"/>
      <c r="AC510" s="9"/>
      <c r="AD510" s="9"/>
      <c r="AE510" s="8"/>
      <c r="AF510" s="8"/>
      <c r="AG510" s="8"/>
      <c r="AH510" s="9"/>
      <c r="AI510" s="8"/>
      <c r="AJ510" s="8"/>
      <c r="AK510" s="8"/>
      <c r="AL510" s="8"/>
      <c r="AM510" s="9"/>
      <c r="AO510" s="8"/>
      <c r="AP510" s="9"/>
    </row>
    <row r="511" spans="20:42" ht="12.75" customHeight="1" x14ac:dyDescent="0.2">
      <c r="T511" s="3"/>
      <c r="U511" s="3"/>
      <c r="V511" s="9"/>
      <c r="W511" s="9"/>
      <c r="X511" s="9"/>
      <c r="Y511" s="9"/>
      <c r="Z511" s="9"/>
      <c r="AA511" s="9"/>
      <c r="AC511" s="9"/>
      <c r="AD511" s="9"/>
      <c r="AE511" s="8"/>
      <c r="AF511" s="8"/>
      <c r="AG511" s="8"/>
      <c r="AH511" s="9"/>
      <c r="AI511" s="8"/>
      <c r="AJ511" s="8"/>
      <c r="AK511" s="8"/>
      <c r="AL511" s="8"/>
      <c r="AM511" s="9"/>
      <c r="AO511" s="8"/>
      <c r="AP511" s="9"/>
    </row>
    <row r="512" spans="20:42" ht="12.75" customHeight="1" x14ac:dyDescent="0.2">
      <c r="T512" s="3"/>
      <c r="U512" s="3"/>
      <c r="V512" s="9"/>
      <c r="W512" s="9"/>
      <c r="X512" s="9"/>
      <c r="Y512" s="9"/>
      <c r="Z512" s="9"/>
      <c r="AA512" s="9"/>
      <c r="AC512" s="9"/>
      <c r="AD512" s="9"/>
      <c r="AE512" s="8"/>
      <c r="AF512" s="8"/>
      <c r="AG512" s="8"/>
      <c r="AH512" s="9"/>
      <c r="AI512" s="8"/>
      <c r="AJ512" s="8"/>
      <c r="AK512" s="8"/>
      <c r="AL512" s="8"/>
      <c r="AM512" s="9"/>
      <c r="AO512" s="8"/>
      <c r="AP512" s="9"/>
    </row>
    <row r="513" spans="20:42" ht="12.75" customHeight="1" x14ac:dyDescent="0.2">
      <c r="T513" s="3"/>
      <c r="U513" s="3"/>
      <c r="V513" s="9"/>
      <c r="W513" s="9"/>
      <c r="X513" s="9"/>
      <c r="Y513" s="9"/>
      <c r="Z513" s="9"/>
      <c r="AA513" s="9"/>
      <c r="AC513" s="9"/>
      <c r="AD513" s="9"/>
      <c r="AE513" s="8"/>
      <c r="AF513" s="8"/>
      <c r="AG513" s="8"/>
      <c r="AH513" s="9"/>
      <c r="AI513" s="8"/>
      <c r="AJ513" s="8"/>
      <c r="AK513" s="8"/>
      <c r="AL513" s="8"/>
      <c r="AM513" s="9"/>
      <c r="AO513" s="8"/>
      <c r="AP513" s="9"/>
    </row>
    <row r="514" spans="20:42" ht="12.75" customHeight="1" x14ac:dyDescent="0.2">
      <c r="T514" s="3"/>
      <c r="U514" s="3"/>
      <c r="V514" s="9"/>
      <c r="W514" s="9"/>
      <c r="X514" s="9"/>
      <c r="Y514" s="9"/>
      <c r="Z514" s="9"/>
      <c r="AA514" s="9"/>
      <c r="AC514" s="9"/>
      <c r="AD514" s="9"/>
      <c r="AE514" s="8"/>
      <c r="AF514" s="8"/>
      <c r="AG514" s="8"/>
      <c r="AH514" s="9"/>
      <c r="AI514" s="8"/>
      <c r="AJ514" s="8"/>
      <c r="AK514" s="8"/>
      <c r="AL514" s="8"/>
      <c r="AM514" s="9"/>
      <c r="AO514" s="8"/>
      <c r="AP514" s="9"/>
    </row>
    <row r="515" spans="20:42" ht="12.75" customHeight="1" x14ac:dyDescent="0.2">
      <c r="T515" s="3"/>
      <c r="U515" s="3"/>
      <c r="V515" s="9"/>
      <c r="W515" s="9"/>
      <c r="X515" s="9"/>
      <c r="Y515" s="9"/>
      <c r="Z515" s="9"/>
      <c r="AA515" s="9"/>
      <c r="AC515" s="9"/>
      <c r="AD515" s="9"/>
      <c r="AE515" s="8"/>
      <c r="AF515" s="8"/>
      <c r="AG515" s="8"/>
      <c r="AH515" s="9"/>
      <c r="AI515" s="8"/>
      <c r="AJ515" s="8"/>
      <c r="AK515" s="8"/>
      <c r="AL515" s="8"/>
      <c r="AM515" s="9"/>
      <c r="AO515" s="8"/>
      <c r="AP515" s="9"/>
    </row>
    <row r="516" spans="20:42" ht="12.75" customHeight="1" x14ac:dyDescent="0.2">
      <c r="T516" s="3"/>
      <c r="U516" s="3"/>
      <c r="V516" s="9"/>
      <c r="W516" s="9"/>
      <c r="X516" s="9"/>
      <c r="Y516" s="9"/>
      <c r="Z516" s="9"/>
      <c r="AA516" s="9"/>
      <c r="AC516" s="9"/>
      <c r="AD516" s="9"/>
      <c r="AE516" s="8"/>
      <c r="AF516" s="8"/>
      <c r="AG516" s="8"/>
      <c r="AH516" s="9"/>
      <c r="AI516" s="8"/>
      <c r="AJ516" s="8"/>
      <c r="AK516" s="8"/>
      <c r="AL516" s="8"/>
      <c r="AM516" s="9"/>
      <c r="AO516" s="8"/>
      <c r="AP516" s="9"/>
    </row>
    <row r="517" spans="20:42" ht="12.75" customHeight="1" x14ac:dyDescent="0.2">
      <c r="T517" s="3"/>
      <c r="U517" s="3"/>
      <c r="V517" s="9"/>
      <c r="W517" s="9"/>
      <c r="X517" s="9"/>
      <c r="Y517" s="9"/>
      <c r="Z517" s="9"/>
      <c r="AA517" s="9"/>
      <c r="AC517" s="9"/>
      <c r="AD517" s="9"/>
      <c r="AE517" s="8"/>
      <c r="AF517" s="8"/>
      <c r="AG517" s="8"/>
      <c r="AH517" s="9"/>
      <c r="AI517" s="8"/>
      <c r="AJ517" s="8"/>
      <c r="AK517" s="8"/>
      <c r="AL517" s="8"/>
      <c r="AM517" s="9"/>
      <c r="AO517" s="8"/>
      <c r="AP517" s="9"/>
    </row>
    <row r="518" spans="20:42" ht="12.75" customHeight="1" x14ac:dyDescent="0.2">
      <c r="T518" s="3"/>
      <c r="U518" s="3"/>
      <c r="V518" s="9"/>
      <c r="W518" s="9"/>
      <c r="X518" s="9"/>
      <c r="Y518" s="9"/>
      <c r="Z518" s="9"/>
      <c r="AA518" s="9"/>
      <c r="AC518" s="9"/>
      <c r="AD518" s="9"/>
      <c r="AE518" s="8"/>
      <c r="AF518" s="8"/>
      <c r="AG518" s="8"/>
      <c r="AH518" s="9"/>
      <c r="AI518" s="8"/>
      <c r="AJ518" s="8"/>
      <c r="AK518" s="8"/>
      <c r="AL518" s="8"/>
      <c r="AM518" s="9"/>
      <c r="AO518" s="8"/>
      <c r="AP518" s="9"/>
    </row>
    <row r="519" spans="20:42" ht="12.75" customHeight="1" x14ac:dyDescent="0.2">
      <c r="T519" s="3"/>
      <c r="U519" s="3"/>
      <c r="V519" s="9"/>
      <c r="W519" s="9"/>
      <c r="X519" s="9"/>
      <c r="Y519" s="9"/>
      <c r="Z519" s="9"/>
      <c r="AA519" s="9"/>
      <c r="AC519" s="9"/>
      <c r="AD519" s="9"/>
      <c r="AE519" s="8"/>
      <c r="AF519" s="8"/>
      <c r="AG519" s="8"/>
      <c r="AH519" s="9"/>
      <c r="AI519" s="8"/>
      <c r="AJ519" s="8"/>
      <c r="AK519" s="8"/>
      <c r="AL519" s="8"/>
      <c r="AM519" s="9"/>
      <c r="AO519" s="8"/>
      <c r="AP519" s="9"/>
    </row>
    <row r="520" spans="20:42" ht="12.75" customHeight="1" x14ac:dyDescent="0.2">
      <c r="T520" s="3"/>
      <c r="U520" s="3"/>
      <c r="V520" s="9"/>
      <c r="W520" s="9"/>
      <c r="X520" s="9"/>
      <c r="Y520" s="9"/>
      <c r="Z520" s="9"/>
      <c r="AA520" s="9"/>
      <c r="AC520" s="9"/>
      <c r="AD520" s="9"/>
      <c r="AE520" s="8"/>
      <c r="AF520" s="8"/>
      <c r="AG520" s="8"/>
      <c r="AH520" s="9"/>
      <c r="AI520" s="8"/>
      <c r="AJ520" s="8"/>
      <c r="AK520" s="8"/>
      <c r="AL520" s="8"/>
      <c r="AM520" s="9"/>
      <c r="AO520" s="8"/>
      <c r="AP520" s="9"/>
    </row>
    <row r="521" spans="20:42" ht="12.75" customHeight="1" x14ac:dyDescent="0.2">
      <c r="T521" s="3"/>
      <c r="U521" s="3"/>
      <c r="V521" s="9"/>
      <c r="W521" s="9"/>
      <c r="X521" s="9"/>
      <c r="Y521" s="9"/>
      <c r="Z521" s="9"/>
      <c r="AA521" s="9"/>
      <c r="AC521" s="9"/>
      <c r="AD521" s="9"/>
      <c r="AE521" s="8"/>
      <c r="AF521" s="8"/>
      <c r="AG521" s="8"/>
      <c r="AH521" s="9"/>
      <c r="AI521" s="8"/>
      <c r="AJ521" s="8"/>
      <c r="AK521" s="8"/>
      <c r="AL521" s="8"/>
      <c r="AM521" s="9"/>
      <c r="AO521" s="8"/>
      <c r="AP521" s="9"/>
    </row>
    <row r="522" spans="20:42" ht="12.75" customHeight="1" x14ac:dyDescent="0.2">
      <c r="T522" s="3"/>
      <c r="U522" s="3"/>
      <c r="V522" s="9"/>
      <c r="W522" s="9"/>
      <c r="X522" s="9"/>
      <c r="Y522" s="9"/>
      <c r="Z522" s="9"/>
      <c r="AA522" s="9"/>
      <c r="AC522" s="9"/>
      <c r="AD522" s="9"/>
      <c r="AE522" s="8"/>
      <c r="AF522" s="8"/>
      <c r="AG522" s="8"/>
      <c r="AH522" s="9"/>
      <c r="AI522" s="8"/>
      <c r="AJ522" s="8"/>
      <c r="AK522" s="8"/>
      <c r="AL522" s="8"/>
      <c r="AM522" s="9"/>
      <c r="AO522" s="8"/>
      <c r="AP522" s="9"/>
    </row>
    <row r="523" spans="20:42" ht="12.75" customHeight="1" x14ac:dyDescent="0.2">
      <c r="T523" s="3"/>
      <c r="U523" s="3"/>
      <c r="V523" s="9"/>
      <c r="W523" s="9"/>
      <c r="X523" s="9"/>
      <c r="Y523" s="9"/>
      <c r="Z523" s="9"/>
      <c r="AA523" s="9"/>
      <c r="AC523" s="9"/>
      <c r="AD523" s="9"/>
      <c r="AE523" s="8"/>
      <c r="AF523" s="8"/>
      <c r="AG523" s="8"/>
      <c r="AH523" s="9"/>
      <c r="AI523" s="8"/>
      <c r="AJ523" s="8"/>
      <c r="AK523" s="8"/>
      <c r="AL523" s="8"/>
      <c r="AM523" s="9"/>
      <c r="AO523" s="8"/>
      <c r="AP523" s="9"/>
    </row>
    <row r="524" spans="20:42" ht="12.75" customHeight="1" x14ac:dyDescent="0.2">
      <c r="T524" s="3"/>
      <c r="U524" s="3"/>
      <c r="V524" s="9"/>
      <c r="W524" s="9"/>
      <c r="X524" s="9"/>
      <c r="Y524" s="9"/>
      <c r="Z524" s="9"/>
      <c r="AA524" s="9"/>
      <c r="AC524" s="9"/>
      <c r="AD524" s="9"/>
      <c r="AE524" s="8"/>
      <c r="AF524" s="8"/>
      <c r="AG524" s="8"/>
      <c r="AH524" s="9"/>
      <c r="AI524" s="8"/>
      <c r="AJ524" s="8"/>
      <c r="AK524" s="8"/>
      <c r="AL524" s="8"/>
      <c r="AM524" s="9"/>
      <c r="AO524" s="8"/>
      <c r="AP524" s="9"/>
    </row>
    <row r="525" spans="20:42" ht="12.75" customHeight="1" x14ac:dyDescent="0.2">
      <c r="T525" s="3"/>
      <c r="U525" s="3"/>
      <c r="V525" s="9"/>
      <c r="W525" s="9"/>
      <c r="X525" s="9"/>
      <c r="Y525" s="9"/>
      <c r="Z525" s="9"/>
      <c r="AA525" s="9"/>
      <c r="AC525" s="9"/>
      <c r="AD525" s="9"/>
      <c r="AE525" s="8"/>
      <c r="AF525" s="8"/>
      <c r="AG525" s="8"/>
      <c r="AH525" s="9"/>
      <c r="AI525" s="8"/>
      <c r="AJ525" s="8"/>
      <c r="AK525" s="8"/>
      <c r="AL525" s="8"/>
      <c r="AM525" s="9"/>
      <c r="AO525" s="8"/>
      <c r="AP525" s="9"/>
    </row>
    <row r="526" spans="20:42" ht="12.75" customHeight="1" x14ac:dyDescent="0.2">
      <c r="T526" s="3"/>
      <c r="U526" s="3"/>
      <c r="V526" s="9"/>
      <c r="W526" s="9"/>
      <c r="X526" s="9"/>
      <c r="Y526" s="9"/>
      <c r="Z526" s="9"/>
      <c r="AA526" s="9"/>
      <c r="AC526" s="9"/>
      <c r="AD526" s="9"/>
      <c r="AE526" s="8"/>
      <c r="AF526" s="8"/>
      <c r="AG526" s="8"/>
      <c r="AH526" s="9"/>
      <c r="AI526" s="8"/>
      <c r="AJ526" s="8"/>
      <c r="AK526" s="8"/>
      <c r="AL526" s="8"/>
      <c r="AM526" s="9"/>
      <c r="AO526" s="8"/>
      <c r="AP526" s="9"/>
    </row>
    <row r="527" spans="20:42" ht="12.75" customHeight="1" x14ac:dyDescent="0.2">
      <c r="T527" s="3"/>
      <c r="U527" s="3"/>
      <c r="V527" s="9"/>
      <c r="W527" s="9"/>
      <c r="X527" s="9"/>
      <c r="Y527" s="9"/>
      <c r="Z527" s="9"/>
      <c r="AA527" s="9"/>
      <c r="AC527" s="9"/>
      <c r="AD527" s="9"/>
      <c r="AE527" s="8"/>
      <c r="AF527" s="8"/>
      <c r="AG527" s="8"/>
      <c r="AH527" s="9"/>
      <c r="AI527" s="8"/>
      <c r="AJ527" s="8"/>
      <c r="AK527" s="8"/>
      <c r="AL527" s="8"/>
      <c r="AM527" s="9"/>
      <c r="AO527" s="8"/>
      <c r="AP527" s="9"/>
    </row>
    <row r="528" spans="20:42" ht="12.75" customHeight="1" x14ac:dyDescent="0.2">
      <c r="T528" s="3"/>
      <c r="U528" s="3"/>
      <c r="V528" s="9"/>
      <c r="W528" s="9"/>
      <c r="X528" s="9"/>
      <c r="Y528" s="9"/>
      <c r="Z528" s="9"/>
      <c r="AA528" s="9"/>
      <c r="AC528" s="9"/>
      <c r="AD528" s="9"/>
      <c r="AE528" s="8"/>
      <c r="AF528" s="8"/>
      <c r="AG528" s="8"/>
      <c r="AH528" s="9"/>
      <c r="AI528" s="8"/>
      <c r="AJ528" s="8"/>
      <c r="AK528" s="8"/>
      <c r="AL528" s="8"/>
      <c r="AM528" s="9"/>
      <c r="AO528" s="8"/>
      <c r="AP528" s="9"/>
    </row>
    <row r="529" spans="20:42" ht="12.75" customHeight="1" x14ac:dyDescent="0.2">
      <c r="T529" s="3"/>
      <c r="U529" s="3"/>
      <c r="V529" s="9"/>
      <c r="W529" s="9"/>
      <c r="X529" s="9"/>
      <c r="Y529" s="9"/>
      <c r="Z529" s="9"/>
      <c r="AA529" s="9"/>
      <c r="AC529" s="9"/>
      <c r="AD529" s="9"/>
      <c r="AE529" s="8"/>
      <c r="AF529" s="8"/>
      <c r="AG529" s="8"/>
      <c r="AH529" s="9"/>
      <c r="AI529" s="8"/>
      <c r="AJ529" s="8"/>
      <c r="AK529" s="8"/>
      <c r="AL529" s="8"/>
      <c r="AM529" s="9"/>
      <c r="AO529" s="8"/>
      <c r="AP529" s="9"/>
    </row>
    <row r="530" spans="20:42" ht="12.75" customHeight="1" x14ac:dyDescent="0.2">
      <c r="T530" s="3"/>
      <c r="U530" s="3"/>
      <c r="V530" s="9"/>
      <c r="W530" s="9"/>
      <c r="X530" s="9"/>
      <c r="Y530" s="9"/>
      <c r="Z530" s="9"/>
      <c r="AA530" s="9"/>
      <c r="AC530" s="9"/>
      <c r="AD530" s="9"/>
      <c r="AE530" s="8"/>
      <c r="AF530" s="8"/>
      <c r="AG530" s="8"/>
      <c r="AH530" s="9"/>
      <c r="AI530" s="8"/>
      <c r="AJ530" s="8"/>
      <c r="AK530" s="8"/>
      <c r="AL530" s="8"/>
      <c r="AM530" s="9"/>
      <c r="AO530" s="8"/>
      <c r="AP530" s="9"/>
    </row>
    <row r="531" spans="20:42" ht="12.75" customHeight="1" x14ac:dyDescent="0.2">
      <c r="T531" s="3"/>
      <c r="U531" s="3"/>
      <c r="V531" s="9"/>
      <c r="W531" s="9"/>
      <c r="X531" s="9"/>
      <c r="Y531" s="9"/>
      <c r="Z531" s="9"/>
      <c r="AA531" s="9"/>
      <c r="AC531" s="9"/>
      <c r="AD531" s="9"/>
      <c r="AE531" s="8"/>
      <c r="AF531" s="8"/>
      <c r="AG531" s="8"/>
      <c r="AH531" s="9"/>
      <c r="AI531" s="8"/>
      <c r="AJ531" s="8"/>
      <c r="AK531" s="8"/>
      <c r="AL531" s="8"/>
      <c r="AM531" s="9"/>
      <c r="AO531" s="8"/>
      <c r="AP531" s="9"/>
    </row>
    <row r="532" spans="20:42" ht="12.75" customHeight="1" x14ac:dyDescent="0.2">
      <c r="T532" s="3"/>
      <c r="U532" s="3"/>
      <c r="V532" s="9"/>
      <c r="W532" s="9"/>
      <c r="X532" s="9"/>
      <c r="Y532" s="9"/>
      <c r="Z532" s="9"/>
      <c r="AA532" s="9"/>
      <c r="AC532" s="9"/>
      <c r="AD532" s="9"/>
      <c r="AE532" s="8"/>
      <c r="AF532" s="8"/>
      <c r="AG532" s="8"/>
      <c r="AH532" s="9"/>
      <c r="AI532" s="8"/>
      <c r="AJ532" s="8"/>
      <c r="AK532" s="8"/>
      <c r="AL532" s="8"/>
      <c r="AM532" s="9"/>
      <c r="AO532" s="8"/>
      <c r="AP532" s="9"/>
    </row>
    <row r="533" spans="20:42" ht="12.75" customHeight="1" x14ac:dyDescent="0.2">
      <c r="T533" s="3"/>
      <c r="U533" s="3"/>
      <c r="V533" s="9"/>
      <c r="W533" s="9"/>
      <c r="X533" s="9"/>
      <c r="Y533" s="9"/>
      <c r="Z533" s="9"/>
      <c r="AA533" s="9"/>
      <c r="AC533" s="9"/>
      <c r="AD533" s="9"/>
      <c r="AE533" s="8"/>
      <c r="AF533" s="8"/>
      <c r="AG533" s="8"/>
      <c r="AH533" s="9"/>
      <c r="AI533" s="8"/>
      <c r="AJ533" s="8"/>
      <c r="AK533" s="8"/>
      <c r="AL533" s="8"/>
      <c r="AM533" s="9"/>
      <c r="AO533" s="8"/>
      <c r="AP533" s="9"/>
    </row>
    <row r="534" spans="20:42" ht="12.75" customHeight="1" x14ac:dyDescent="0.2">
      <c r="T534" s="3"/>
      <c r="U534" s="3"/>
      <c r="V534" s="9"/>
      <c r="W534" s="9"/>
      <c r="X534" s="9"/>
      <c r="Y534" s="9"/>
      <c r="Z534" s="9"/>
      <c r="AA534" s="9"/>
      <c r="AC534" s="9"/>
      <c r="AD534" s="9"/>
      <c r="AE534" s="8"/>
      <c r="AF534" s="8"/>
      <c r="AG534" s="8"/>
      <c r="AH534" s="9"/>
      <c r="AI534" s="8"/>
      <c r="AJ534" s="8"/>
      <c r="AK534" s="8"/>
      <c r="AL534" s="8"/>
      <c r="AM534" s="9"/>
      <c r="AO534" s="8"/>
      <c r="AP534" s="9"/>
    </row>
    <row r="535" spans="20:42" ht="12.75" customHeight="1" x14ac:dyDescent="0.2">
      <c r="T535" s="3"/>
      <c r="U535" s="3"/>
      <c r="V535" s="9"/>
      <c r="W535" s="9"/>
      <c r="X535" s="9"/>
      <c r="Y535" s="9"/>
      <c r="Z535" s="9"/>
      <c r="AA535" s="9"/>
      <c r="AC535" s="9"/>
      <c r="AD535" s="9"/>
      <c r="AE535" s="8"/>
      <c r="AF535" s="8"/>
      <c r="AG535" s="8"/>
      <c r="AH535" s="9"/>
      <c r="AI535" s="8"/>
      <c r="AJ535" s="8"/>
      <c r="AK535" s="8"/>
      <c r="AL535" s="8"/>
      <c r="AM535" s="9"/>
      <c r="AO535" s="8"/>
      <c r="AP535" s="9"/>
    </row>
    <row r="536" spans="20:42" ht="12.75" customHeight="1" x14ac:dyDescent="0.2">
      <c r="T536" s="3"/>
      <c r="U536" s="3"/>
      <c r="V536" s="9"/>
      <c r="W536" s="9"/>
      <c r="X536" s="9"/>
      <c r="Y536" s="9"/>
      <c r="Z536" s="9"/>
      <c r="AA536" s="9"/>
      <c r="AC536" s="9"/>
      <c r="AD536" s="9"/>
      <c r="AE536" s="8"/>
      <c r="AF536" s="8"/>
      <c r="AG536" s="8"/>
      <c r="AH536" s="9"/>
      <c r="AI536" s="8"/>
      <c r="AJ536" s="8"/>
      <c r="AK536" s="8"/>
      <c r="AL536" s="8"/>
      <c r="AM536" s="9"/>
      <c r="AO536" s="8"/>
      <c r="AP536" s="9"/>
    </row>
    <row r="537" spans="20:42" ht="12.75" customHeight="1" x14ac:dyDescent="0.2">
      <c r="T537" s="3"/>
      <c r="U537" s="3"/>
      <c r="V537" s="9"/>
      <c r="W537" s="9"/>
      <c r="X537" s="9"/>
      <c r="Y537" s="9"/>
      <c r="Z537" s="9"/>
      <c r="AA537" s="9"/>
      <c r="AC537" s="9"/>
      <c r="AD537" s="9"/>
      <c r="AE537" s="8"/>
      <c r="AF537" s="8"/>
      <c r="AG537" s="8"/>
      <c r="AH537" s="9"/>
      <c r="AI537" s="8"/>
      <c r="AJ537" s="8"/>
      <c r="AK537" s="8"/>
      <c r="AL537" s="8"/>
      <c r="AM537" s="9"/>
      <c r="AO537" s="8"/>
      <c r="AP537" s="9"/>
    </row>
    <row r="538" spans="20:42" ht="12.75" customHeight="1" x14ac:dyDescent="0.2">
      <c r="T538" s="3"/>
      <c r="U538" s="3"/>
      <c r="V538" s="9"/>
      <c r="W538" s="9"/>
      <c r="X538" s="9"/>
      <c r="Y538" s="9"/>
      <c r="Z538" s="9"/>
      <c r="AA538" s="9"/>
      <c r="AC538" s="9"/>
      <c r="AD538" s="9"/>
      <c r="AE538" s="8"/>
      <c r="AF538" s="8"/>
      <c r="AG538" s="8"/>
      <c r="AH538" s="9"/>
      <c r="AI538" s="8"/>
      <c r="AJ538" s="8"/>
      <c r="AK538" s="8"/>
      <c r="AL538" s="8"/>
      <c r="AM538" s="9"/>
      <c r="AO538" s="8"/>
      <c r="AP538" s="9"/>
    </row>
    <row r="539" spans="20:42" ht="12.75" customHeight="1" x14ac:dyDescent="0.2">
      <c r="T539" s="3"/>
      <c r="U539" s="3"/>
      <c r="V539" s="9"/>
      <c r="W539" s="9"/>
      <c r="X539" s="9"/>
      <c r="Y539" s="9"/>
      <c r="Z539" s="9"/>
      <c r="AA539" s="9"/>
      <c r="AC539" s="9"/>
      <c r="AD539" s="9"/>
      <c r="AE539" s="8"/>
      <c r="AF539" s="8"/>
      <c r="AG539" s="8"/>
      <c r="AH539" s="9"/>
      <c r="AI539" s="8"/>
      <c r="AJ539" s="8"/>
      <c r="AK539" s="8"/>
      <c r="AL539" s="8"/>
      <c r="AM539" s="9"/>
      <c r="AO539" s="8"/>
      <c r="AP539" s="9"/>
    </row>
    <row r="540" spans="20:42" ht="12.75" customHeight="1" x14ac:dyDescent="0.2">
      <c r="T540" s="3"/>
      <c r="U540" s="3"/>
      <c r="V540" s="9"/>
      <c r="W540" s="9"/>
      <c r="X540" s="9"/>
      <c r="Y540" s="9"/>
      <c r="Z540" s="9"/>
      <c r="AA540" s="9"/>
      <c r="AC540" s="9"/>
      <c r="AD540" s="9"/>
      <c r="AE540" s="8"/>
      <c r="AF540" s="8"/>
      <c r="AG540" s="8"/>
      <c r="AH540" s="9"/>
      <c r="AI540" s="8"/>
      <c r="AJ540" s="8"/>
      <c r="AK540" s="8"/>
      <c r="AL540" s="8"/>
      <c r="AM540" s="9"/>
      <c r="AO540" s="8"/>
      <c r="AP540" s="9"/>
    </row>
    <row r="541" spans="20:42" ht="12.75" customHeight="1" x14ac:dyDescent="0.2">
      <c r="T541" s="3"/>
      <c r="U541" s="3"/>
      <c r="V541" s="9"/>
      <c r="W541" s="9"/>
      <c r="X541" s="9"/>
      <c r="Y541" s="9"/>
      <c r="Z541" s="9"/>
      <c r="AA541" s="9"/>
      <c r="AC541" s="9"/>
      <c r="AD541" s="9"/>
      <c r="AE541" s="8"/>
      <c r="AF541" s="8"/>
      <c r="AG541" s="8"/>
      <c r="AH541" s="9"/>
      <c r="AI541" s="8"/>
      <c r="AJ541" s="8"/>
      <c r="AK541" s="8"/>
      <c r="AL541" s="8"/>
      <c r="AM541" s="9"/>
      <c r="AO541" s="8"/>
      <c r="AP541" s="9"/>
    </row>
    <row r="542" spans="20:42" ht="12.75" customHeight="1" x14ac:dyDescent="0.2">
      <c r="T542" s="3"/>
      <c r="U542" s="3"/>
      <c r="V542" s="9"/>
      <c r="W542" s="9"/>
      <c r="X542" s="9"/>
      <c r="Y542" s="9"/>
      <c r="Z542" s="9"/>
      <c r="AA542" s="9"/>
      <c r="AC542" s="9"/>
      <c r="AD542" s="9"/>
      <c r="AE542" s="8"/>
      <c r="AF542" s="8"/>
      <c r="AG542" s="8"/>
      <c r="AH542" s="9"/>
      <c r="AI542" s="8"/>
      <c r="AJ542" s="8"/>
      <c r="AK542" s="8"/>
      <c r="AL542" s="8"/>
      <c r="AM542" s="9"/>
      <c r="AO542" s="8"/>
      <c r="AP542" s="9"/>
    </row>
    <row r="543" spans="20:42" ht="12.75" customHeight="1" x14ac:dyDescent="0.2">
      <c r="T543" s="3"/>
      <c r="U543" s="3"/>
      <c r="V543" s="9"/>
      <c r="W543" s="9"/>
      <c r="X543" s="9"/>
      <c r="Y543" s="9"/>
      <c r="Z543" s="9"/>
      <c r="AA543" s="9"/>
      <c r="AC543" s="9"/>
      <c r="AD543" s="9"/>
      <c r="AE543" s="8"/>
      <c r="AF543" s="8"/>
      <c r="AG543" s="8"/>
      <c r="AH543" s="9"/>
      <c r="AI543" s="8"/>
      <c r="AJ543" s="8"/>
      <c r="AK543" s="8"/>
      <c r="AL543" s="8"/>
      <c r="AM543" s="9"/>
      <c r="AO543" s="8"/>
      <c r="AP543" s="9"/>
    </row>
    <row r="544" spans="20:42" ht="12.75" customHeight="1" x14ac:dyDescent="0.2">
      <c r="T544" s="3"/>
      <c r="U544" s="3"/>
      <c r="V544" s="9"/>
      <c r="W544" s="9"/>
      <c r="X544" s="9"/>
      <c r="Y544" s="9"/>
      <c r="Z544" s="9"/>
      <c r="AA544" s="9"/>
      <c r="AC544" s="9"/>
      <c r="AD544" s="9"/>
      <c r="AE544" s="8"/>
      <c r="AF544" s="8"/>
      <c r="AG544" s="8"/>
      <c r="AH544" s="9"/>
      <c r="AI544" s="8"/>
      <c r="AJ544" s="8"/>
      <c r="AK544" s="8"/>
      <c r="AL544" s="8"/>
      <c r="AM544" s="9"/>
      <c r="AO544" s="8"/>
      <c r="AP544" s="9"/>
    </row>
    <row r="545" spans="20:42" ht="12.75" customHeight="1" x14ac:dyDescent="0.2">
      <c r="T545" s="3"/>
      <c r="U545" s="3"/>
      <c r="V545" s="9"/>
      <c r="W545" s="9"/>
      <c r="X545" s="9"/>
      <c r="Y545" s="9"/>
      <c r="Z545" s="9"/>
      <c r="AA545" s="9"/>
      <c r="AC545" s="9"/>
      <c r="AD545" s="9"/>
      <c r="AE545" s="8"/>
      <c r="AF545" s="8"/>
      <c r="AG545" s="8"/>
      <c r="AH545" s="9"/>
      <c r="AI545" s="8"/>
      <c r="AJ545" s="8"/>
      <c r="AK545" s="8"/>
      <c r="AL545" s="8"/>
      <c r="AM545" s="9"/>
      <c r="AO545" s="8"/>
      <c r="AP545" s="9"/>
    </row>
    <row r="546" spans="20:42" ht="12.75" customHeight="1" x14ac:dyDescent="0.2">
      <c r="T546" s="3"/>
      <c r="U546" s="3"/>
      <c r="V546" s="9"/>
      <c r="W546" s="9"/>
      <c r="X546" s="9"/>
      <c r="Y546" s="9"/>
      <c r="Z546" s="9"/>
      <c r="AA546" s="9"/>
      <c r="AC546" s="9"/>
      <c r="AD546" s="9"/>
      <c r="AE546" s="8"/>
      <c r="AF546" s="8"/>
      <c r="AG546" s="8"/>
      <c r="AH546" s="9"/>
      <c r="AI546" s="8"/>
      <c r="AJ546" s="8"/>
      <c r="AK546" s="8"/>
      <c r="AL546" s="8"/>
      <c r="AM546" s="9"/>
      <c r="AO546" s="8"/>
      <c r="AP546" s="9"/>
    </row>
    <row r="547" spans="20:42" ht="12.75" customHeight="1" x14ac:dyDescent="0.2">
      <c r="T547" s="3"/>
      <c r="U547" s="3"/>
      <c r="V547" s="9"/>
      <c r="W547" s="9"/>
      <c r="X547" s="9"/>
      <c r="Y547" s="9"/>
      <c r="Z547" s="9"/>
      <c r="AA547" s="9"/>
      <c r="AC547" s="9"/>
      <c r="AD547" s="9"/>
      <c r="AE547" s="8"/>
      <c r="AF547" s="8"/>
      <c r="AG547" s="8"/>
      <c r="AH547" s="9"/>
      <c r="AI547" s="8"/>
      <c r="AJ547" s="8"/>
      <c r="AK547" s="8"/>
      <c r="AL547" s="8"/>
      <c r="AM547" s="9"/>
      <c r="AO547" s="8"/>
      <c r="AP547" s="9"/>
    </row>
    <row r="548" spans="20:42" ht="12.75" customHeight="1" x14ac:dyDescent="0.2">
      <c r="T548" s="3"/>
      <c r="U548" s="3"/>
      <c r="V548" s="9"/>
      <c r="W548" s="9"/>
      <c r="X548" s="9"/>
      <c r="Y548" s="9"/>
      <c r="Z548" s="9"/>
      <c r="AA548" s="9"/>
      <c r="AC548" s="9"/>
      <c r="AD548" s="9"/>
      <c r="AE548" s="8"/>
      <c r="AF548" s="8"/>
      <c r="AG548" s="8"/>
      <c r="AH548" s="9"/>
      <c r="AI548" s="8"/>
      <c r="AJ548" s="8"/>
      <c r="AK548" s="8"/>
      <c r="AL548" s="8"/>
      <c r="AM548" s="9"/>
      <c r="AO548" s="8"/>
      <c r="AP548" s="9"/>
    </row>
    <row r="549" spans="20:42" ht="12.75" customHeight="1" x14ac:dyDescent="0.2">
      <c r="T549" s="3"/>
      <c r="U549" s="3"/>
      <c r="V549" s="9"/>
      <c r="W549" s="9"/>
      <c r="X549" s="9"/>
      <c r="Y549" s="9"/>
      <c r="Z549" s="9"/>
      <c r="AA549" s="9"/>
      <c r="AC549" s="9"/>
      <c r="AD549" s="9"/>
      <c r="AE549" s="8"/>
      <c r="AF549" s="8"/>
      <c r="AG549" s="8"/>
      <c r="AH549" s="9"/>
      <c r="AI549" s="8"/>
      <c r="AJ549" s="8"/>
      <c r="AK549" s="8"/>
      <c r="AL549" s="8"/>
      <c r="AM549" s="9"/>
      <c r="AO549" s="8"/>
      <c r="AP549" s="9"/>
    </row>
    <row r="550" spans="20:42" ht="12.75" customHeight="1" x14ac:dyDescent="0.2">
      <c r="T550" s="3"/>
      <c r="U550" s="3"/>
      <c r="V550" s="9"/>
      <c r="W550" s="9"/>
      <c r="X550" s="9"/>
      <c r="Y550" s="9"/>
      <c r="Z550" s="9"/>
      <c r="AA550" s="9"/>
      <c r="AC550" s="9"/>
      <c r="AD550" s="9"/>
      <c r="AE550" s="8"/>
      <c r="AF550" s="8"/>
      <c r="AG550" s="8"/>
      <c r="AH550" s="9"/>
      <c r="AI550" s="8"/>
      <c r="AJ550" s="8"/>
      <c r="AK550" s="8"/>
      <c r="AL550" s="8"/>
      <c r="AM550" s="9"/>
      <c r="AO550" s="8"/>
      <c r="AP550" s="9"/>
    </row>
    <row r="551" spans="20:42" ht="12.75" customHeight="1" x14ac:dyDescent="0.2">
      <c r="T551" s="3"/>
      <c r="U551" s="3"/>
      <c r="V551" s="9"/>
      <c r="W551" s="9"/>
      <c r="X551" s="9"/>
      <c r="Y551" s="9"/>
      <c r="Z551" s="9"/>
      <c r="AA551" s="9"/>
      <c r="AC551" s="9"/>
      <c r="AD551" s="9"/>
      <c r="AE551" s="8"/>
      <c r="AF551" s="8"/>
      <c r="AG551" s="8"/>
      <c r="AH551" s="9"/>
      <c r="AI551" s="8"/>
      <c r="AJ551" s="8"/>
      <c r="AK551" s="8"/>
      <c r="AL551" s="8"/>
      <c r="AM551" s="9"/>
      <c r="AO551" s="8"/>
      <c r="AP551" s="9"/>
    </row>
    <row r="552" spans="20:42" ht="12.75" customHeight="1" x14ac:dyDescent="0.2">
      <c r="T552" s="3"/>
      <c r="U552" s="3"/>
      <c r="V552" s="9"/>
      <c r="W552" s="9"/>
      <c r="X552" s="9"/>
      <c r="Y552" s="9"/>
      <c r="Z552" s="9"/>
      <c r="AA552" s="9"/>
      <c r="AC552" s="9"/>
      <c r="AD552" s="9"/>
      <c r="AE552" s="8"/>
      <c r="AF552" s="8"/>
      <c r="AG552" s="8"/>
      <c r="AH552" s="9"/>
      <c r="AI552" s="8"/>
      <c r="AJ552" s="8"/>
      <c r="AK552" s="8"/>
      <c r="AL552" s="8"/>
      <c r="AM552" s="9"/>
      <c r="AO552" s="8"/>
      <c r="AP552" s="9"/>
    </row>
    <row r="553" spans="20:42" ht="12.75" customHeight="1" x14ac:dyDescent="0.2">
      <c r="T553" s="3"/>
      <c r="U553" s="3"/>
      <c r="V553" s="9"/>
      <c r="W553" s="9"/>
      <c r="X553" s="9"/>
      <c r="Y553" s="9"/>
      <c r="Z553" s="9"/>
      <c r="AA553" s="9"/>
      <c r="AC553" s="9"/>
      <c r="AD553" s="9"/>
      <c r="AE553" s="8"/>
      <c r="AF553" s="8"/>
      <c r="AG553" s="8"/>
      <c r="AH553" s="9"/>
      <c r="AI553" s="8"/>
      <c r="AJ553" s="8"/>
      <c r="AK553" s="8"/>
      <c r="AL553" s="8"/>
      <c r="AM553" s="9"/>
      <c r="AO553" s="8"/>
      <c r="AP553" s="9"/>
    </row>
    <row r="554" spans="20:42" ht="12.75" customHeight="1" x14ac:dyDescent="0.2">
      <c r="T554" s="3"/>
      <c r="U554" s="3"/>
      <c r="V554" s="9"/>
      <c r="W554" s="9"/>
      <c r="X554" s="9"/>
      <c r="Y554" s="9"/>
      <c r="Z554" s="9"/>
      <c r="AA554" s="9"/>
      <c r="AC554" s="9"/>
      <c r="AD554" s="9"/>
      <c r="AE554" s="8"/>
      <c r="AF554" s="8"/>
      <c r="AG554" s="8"/>
      <c r="AH554" s="9"/>
      <c r="AI554" s="8"/>
      <c r="AJ554" s="8"/>
      <c r="AK554" s="8"/>
      <c r="AL554" s="8"/>
      <c r="AM554" s="9"/>
      <c r="AO554" s="8"/>
      <c r="AP554" s="9"/>
    </row>
    <row r="555" spans="20:42" ht="12.75" customHeight="1" x14ac:dyDescent="0.2">
      <c r="T555" s="3"/>
      <c r="U555" s="3"/>
      <c r="V555" s="9"/>
      <c r="W555" s="9"/>
      <c r="X555" s="9"/>
      <c r="Y555" s="9"/>
      <c r="Z555" s="9"/>
      <c r="AA555" s="9"/>
      <c r="AC555" s="9"/>
      <c r="AD555" s="9"/>
      <c r="AE555" s="8"/>
      <c r="AF555" s="8"/>
      <c r="AG555" s="8"/>
      <c r="AH555" s="9"/>
      <c r="AI555" s="8"/>
      <c r="AJ555" s="8"/>
      <c r="AK555" s="8"/>
      <c r="AL555" s="8"/>
      <c r="AM555" s="9"/>
      <c r="AO555" s="8"/>
      <c r="AP555" s="9"/>
    </row>
    <row r="556" spans="20:42" ht="12.75" customHeight="1" x14ac:dyDescent="0.2">
      <c r="T556" s="3"/>
      <c r="U556" s="3"/>
      <c r="V556" s="9"/>
      <c r="W556" s="9"/>
      <c r="X556" s="9"/>
      <c r="Y556" s="9"/>
      <c r="Z556" s="9"/>
      <c r="AA556" s="9"/>
      <c r="AC556" s="9"/>
      <c r="AD556" s="9"/>
      <c r="AE556" s="8"/>
      <c r="AF556" s="8"/>
      <c r="AG556" s="8"/>
      <c r="AH556" s="9"/>
      <c r="AI556" s="8"/>
      <c r="AJ556" s="8"/>
      <c r="AK556" s="8"/>
      <c r="AL556" s="8"/>
      <c r="AM556" s="9"/>
      <c r="AO556" s="8"/>
      <c r="AP556" s="9"/>
    </row>
    <row r="557" spans="20:42" ht="12.75" customHeight="1" x14ac:dyDescent="0.2">
      <c r="T557" s="3"/>
      <c r="U557" s="3"/>
      <c r="V557" s="9"/>
      <c r="W557" s="9"/>
      <c r="X557" s="9"/>
      <c r="Y557" s="9"/>
      <c r="Z557" s="9"/>
      <c r="AA557" s="9"/>
      <c r="AC557" s="9"/>
      <c r="AD557" s="9"/>
      <c r="AE557" s="8"/>
      <c r="AF557" s="8"/>
      <c r="AG557" s="8"/>
      <c r="AH557" s="9"/>
      <c r="AI557" s="8"/>
      <c r="AJ557" s="8"/>
      <c r="AK557" s="8"/>
      <c r="AL557" s="8"/>
      <c r="AM557" s="9"/>
      <c r="AO557" s="8"/>
      <c r="AP557" s="9"/>
    </row>
    <row r="558" spans="20:42" ht="12.75" customHeight="1" x14ac:dyDescent="0.2">
      <c r="T558" s="3"/>
      <c r="U558" s="3"/>
      <c r="V558" s="9"/>
      <c r="W558" s="9"/>
      <c r="X558" s="9"/>
      <c r="Y558" s="9"/>
      <c r="Z558" s="9"/>
      <c r="AA558" s="9"/>
      <c r="AC558" s="9"/>
      <c r="AD558" s="9"/>
      <c r="AE558" s="8"/>
      <c r="AF558" s="8"/>
      <c r="AG558" s="8"/>
      <c r="AH558" s="9"/>
      <c r="AI558" s="8"/>
      <c r="AJ558" s="8"/>
      <c r="AK558" s="8"/>
      <c r="AL558" s="8"/>
      <c r="AM558" s="9"/>
      <c r="AO558" s="8"/>
      <c r="AP558" s="9"/>
    </row>
    <row r="559" spans="20:42" ht="12.75" customHeight="1" x14ac:dyDescent="0.2">
      <c r="T559" s="3"/>
      <c r="U559" s="3"/>
      <c r="V559" s="9"/>
      <c r="W559" s="9"/>
      <c r="X559" s="9"/>
      <c r="Y559" s="9"/>
      <c r="Z559" s="9"/>
      <c r="AA559" s="9"/>
      <c r="AC559" s="9"/>
      <c r="AD559" s="9"/>
      <c r="AE559" s="8"/>
      <c r="AF559" s="8"/>
      <c r="AG559" s="8"/>
      <c r="AH559" s="9"/>
      <c r="AI559" s="8"/>
      <c r="AJ559" s="8"/>
      <c r="AK559" s="8"/>
      <c r="AL559" s="8"/>
      <c r="AM559" s="9"/>
      <c r="AO559" s="8"/>
      <c r="AP559" s="9"/>
    </row>
    <row r="560" spans="20:42" ht="12.75" customHeight="1" x14ac:dyDescent="0.2">
      <c r="T560" s="3"/>
      <c r="U560" s="3"/>
      <c r="V560" s="9"/>
      <c r="W560" s="9"/>
      <c r="X560" s="9"/>
      <c r="Y560" s="9"/>
      <c r="Z560" s="9"/>
      <c r="AA560" s="9"/>
      <c r="AC560" s="9"/>
      <c r="AD560" s="9"/>
      <c r="AE560" s="8"/>
      <c r="AF560" s="8"/>
      <c r="AG560" s="8"/>
      <c r="AH560" s="9"/>
      <c r="AI560" s="8"/>
      <c r="AJ560" s="8"/>
      <c r="AK560" s="8"/>
      <c r="AL560" s="8"/>
      <c r="AM560" s="9"/>
      <c r="AO560" s="8"/>
      <c r="AP560" s="9"/>
    </row>
    <row r="561" spans="20:42" ht="12.75" customHeight="1" x14ac:dyDescent="0.2">
      <c r="T561" s="3"/>
      <c r="U561" s="3"/>
      <c r="V561" s="9"/>
      <c r="W561" s="9"/>
      <c r="X561" s="9"/>
      <c r="Y561" s="9"/>
      <c r="Z561" s="9"/>
      <c r="AA561" s="9"/>
      <c r="AC561" s="9"/>
      <c r="AD561" s="9"/>
      <c r="AE561" s="8"/>
      <c r="AF561" s="8"/>
      <c r="AG561" s="8"/>
      <c r="AH561" s="9"/>
      <c r="AI561" s="8"/>
      <c r="AJ561" s="8"/>
      <c r="AK561" s="8"/>
      <c r="AL561" s="8"/>
      <c r="AM561" s="9"/>
      <c r="AO561" s="8"/>
      <c r="AP561" s="9"/>
    </row>
    <row r="562" spans="20:42" ht="12.75" customHeight="1" x14ac:dyDescent="0.2">
      <c r="T562" s="3"/>
      <c r="U562" s="3"/>
      <c r="V562" s="9"/>
      <c r="W562" s="9"/>
      <c r="X562" s="9"/>
      <c r="Y562" s="9"/>
      <c r="Z562" s="9"/>
      <c r="AA562" s="9"/>
      <c r="AC562" s="9"/>
      <c r="AD562" s="9"/>
      <c r="AE562" s="8"/>
      <c r="AF562" s="8"/>
      <c r="AG562" s="8"/>
      <c r="AH562" s="9"/>
      <c r="AI562" s="8"/>
      <c r="AJ562" s="8"/>
      <c r="AK562" s="8"/>
      <c r="AL562" s="8"/>
      <c r="AM562" s="9"/>
      <c r="AO562" s="8"/>
      <c r="AP562" s="9"/>
    </row>
    <row r="563" spans="20:42" ht="12.75" customHeight="1" x14ac:dyDescent="0.2">
      <c r="T563" s="3"/>
      <c r="U563" s="3"/>
      <c r="V563" s="9"/>
      <c r="W563" s="9"/>
      <c r="X563" s="9"/>
      <c r="Y563" s="9"/>
      <c r="Z563" s="9"/>
      <c r="AA563" s="9"/>
      <c r="AC563" s="9"/>
      <c r="AD563" s="9"/>
      <c r="AE563" s="8"/>
      <c r="AF563" s="8"/>
      <c r="AG563" s="8"/>
      <c r="AH563" s="9"/>
      <c r="AI563" s="8"/>
      <c r="AJ563" s="8"/>
      <c r="AK563" s="8"/>
      <c r="AL563" s="8"/>
      <c r="AM563" s="9"/>
      <c r="AO563" s="8"/>
      <c r="AP563" s="9"/>
    </row>
    <row r="564" spans="20:42" ht="12.75" customHeight="1" x14ac:dyDescent="0.2">
      <c r="T564" s="3"/>
      <c r="U564" s="3"/>
      <c r="V564" s="9"/>
      <c r="W564" s="9"/>
      <c r="X564" s="9"/>
      <c r="Y564" s="9"/>
      <c r="Z564" s="9"/>
      <c r="AA564" s="9"/>
      <c r="AC564" s="9"/>
      <c r="AD564" s="9"/>
      <c r="AE564" s="8"/>
      <c r="AF564" s="8"/>
      <c r="AG564" s="8"/>
      <c r="AH564" s="9"/>
      <c r="AI564" s="8"/>
      <c r="AJ564" s="8"/>
      <c r="AK564" s="8"/>
      <c r="AL564" s="8"/>
      <c r="AM564" s="9"/>
      <c r="AO564" s="8"/>
      <c r="AP564" s="9"/>
    </row>
    <row r="565" spans="20:42" ht="12.75" customHeight="1" x14ac:dyDescent="0.2">
      <c r="T565" s="3"/>
      <c r="U565" s="3"/>
      <c r="V565" s="9"/>
      <c r="W565" s="9"/>
      <c r="X565" s="9"/>
      <c r="Y565" s="9"/>
      <c r="Z565" s="9"/>
      <c r="AA565" s="9"/>
      <c r="AC565" s="9"/>
      <c r="AD565" s="9"/>
      <c r="AE565" s="8"/>
      <c r="AF565" s="8"/>
      <c r="AG565" s="8"/>
      <c r="AH565" s="9"/>
      <c r="AI565" s="8"/>
      <c r="AJ565" s="8"/>
      <c r="AK565" s="8"/>
      <c r="AL565" s="8"/>
      <c r="AM565" s="9"/>
      <c r="AO565" s="8"/>
      <c r="AP565" s="9"/>
    </row>
    <row r="566" spans="20:42" ht="12.75" customHeight="1" x14ac:dyDescent="0.2">
      <c r="T566" s="3"/>
      <c r="U566" s="3"/>
      <c r="V566" s="9"/>
      <c r="W566" s="9"/>
      <c r="X566" s="9"/>
      <c r="Y566" s="9"/>
      <c r="Z566" s="9"/>
      <c r="AA566" s="9"/>
      <c r="AC566" s="9"/>
      <c r="AD566" s="9"/>
      <c r="AE566" s="8"/>
      <c r="AF566" s="8"/>
      <c r="AG566" s="8"/>
      <c r="AH566" s="9"/>
      <c r="AI566" s="8"/>
      <c r="AJ566" s="8"/>
      <c r="AK566" s="8"/>
      <c r="AL566" s="8"/>
      <c r="AM566" s="9"/>
      <c r="AO566" s="8"/>
      <c r="AP566" s="9"/>
    </row>
    <row r="567" spans="20:42" ht="12.75" customHeight="1" x14ac:dyDescent="0.2">
      <c r="T567" s="3"/>
      <c r="U567" s="3"/>
      <c r="V567" s="9"/>
      <c r="W567" s="9"/>
      <c r="X567" s="9"/>
      <c r="Y567" s="9"/>
      <c r="Z567" s="9"/>
      <c r="AA567" s="9"/>
      <c r="AC567" s="9"/>
      <c r="AD567" s="9"/>
      <c r="AE567" s="8"/>
      <c r="AF567" s="8"/>
      <c r="AG567" s="8"/>
      <c r="AH567" s="9"/>
      <c r="AI567" s="8"/>
      <c r="AJ567" s="8"/>
      <c r="AK567" s="8"/>
      <c r="AL567" s="8"/>
      <c r="AM567" s="9"/>
      <c r="AO567" s="8"/>
      <c r="AP567" s="9"/>
    </row>
    <row r="568" spans="20:42" ht="12.75" customHeight="1" x14ac:dyDescent="0.2">
      <c r="T568" s="3"/>
      <c r="U568" s="3"/>
      <c r="V568" s="9"/>
      <c r="W568" s="9"/>
      <c r="X568" s="9"/>
      <c r="Y568" s="9"/>
      <c r="Z568" s="9"/>
      <c r="AA568" s="9"/>
      <c r="AC568" s="9"/>
      <c r="AD568" s="9"/>
      <c r="AE568" s="8"/>
      <c r="AF568" s="8"/>
      <c r="AG568" s="8"/>
      <c r="AH568" s="9"/>
      <c r="AI568" s="8"/>
      <c r="AJ568" s="8"/>
      <c r="AK568" s="8"/>
      <c r="AL568" s="8"/>
      <c r="AM568" s="9"/>
      <c r="AO568" s="8"/>
      <c r="AP568" s="9"/>
    </row>
    <row r="569" spans="20:42" ht="12.75" customHeight="1" x14ac:dyDescent="0.2">
      <c r="T569" s="3"/>
      <c r="U569" s="3"/>
      <c r="V569" s="9"/>
      <c r="W569" s="9"/>
      <c r="X569" s="9"/>
      <c r="Y569" s="9"/>
      <c r="Z569" s="9"/>
      <c r="AA569" s="9"/>
      <c r="AC569" s="9"/>
      <c r="AD569" s="9"/>
      <c r="AE569" s="8"/>
      <c r="AF569" s="8"/>
      <c r="AG569" s="8"/>
      <c r="AH569" s="9"/>
      <c r="AI569" s="8"/>
      <c r="AJ569" s="8"/>
      <c r="AK569" s="8"/>
      <c r="AL569" s="8"/>
      <c r="AM569" s="9"/>
      <c r="AO569" s="8"/>
      <c r="AP569" s="9"/>
    </row>
    <row r="570" spans="20:42" ht="12.75" customHeight="1" x14ac:dyDescent="0.2">
      <c r="T570" s="3"/>
      <c r="U570" s="3"/>
      <c r="V570" s="9"/>
      <c r="W570" s="9"/>
      <c r="X570" s="9"/>
      <c r="Y570" s="9"/>
      <c r="Z570" s="9"/>
      <c r="AA570" s="9"/>
      <c r="AC570" s="9"/>
      <c r="AD570" s="9"/>
      <c r="AE570" s="8"/>
      <c r="AF570" s="8"/>
      <c r="AG570" s="8"/>
      <c r="AH570" s="9"/>
      <c r="AI570" s="8"/>
      <c r="AJ570" s="8"/>
      <c r="AK570" s="8"/>
      <c r="AL570" s="8"/>
      <c r="AM570" s="9"/>
      <c r="AO570" s="8"/>
      <c r="AP570" s="9"/>
    </row>
    <row r="571" spans="20:42" ht="12.75" customHeight="1" x14ac:dyDescent="0.2">
      <c r="T571" s="3"/>
      <c r="U571" s="3"/>
      <c r="V571" s="9"/>
      <c r="W571" s="9"/>
      <c r="X571" s="9"/>
      <c r="Y571" s="9"/>
      <c r="Z571" s="9"/>
      <c r="AA571" s="9"/>
      <c r="AC571" s="9"/>
      <c r="AD571" s="9"/>
      <c r="AE571" s="8"/>
      <c r="AF571" s="8"/>
      <c r="AG571" s="8"/>
      <c r="AH571" s="9"/>
      <c r="AI571" s="8"/>
      <c r="AJ571" s="8"/>
      <c r="AK571" s="8"/>
      <c r="AL571" s="8"/>
      <c r="AM571" s="9"/>
      <c r="AO571" s="8"/>
      <c r="AP571" s="9"/>
    </row>
    <row r="572" spans="20:42" ht="12.75" customHeight="1" x14ac:dyDescent="0.2">
      <c r="T572" s="3"/>
      <c r="U572" s="3"/>
      <c r="V572" s="9"/>
      <c r="W572" s="9"/>
      <c r="X572" s="9"/>
      <c r="Y572" s="9"/>
      <c r="Z572" s="9"/>
      <c r="AA572" s="9"/>
      <c r="AC572" s="9"/>
      <c r="AD572" s="9"/>
      <c r="AE572" s="8"/>
      <c r="AF572" s="8"/>
      <c r="AG572" s="8"/>
      <c r="AH572" s="9"/>
      <c r="AI572" s="8"/>
      <c r="AJ572" s="8"/>
      <c r="AK572" s="8"/>
      <c r="AL572" s="8"/>
      <c r="AM572" s="9"/>
      <c r="AO572" s="8"/>
      <c r="AP572" s="9"/>
    </row>
    <row r="573" spans="20:42" ht="12.75" customHeight="1" x14ac:dyDescent="0.2">
      <c r="T573" s="3"/>
      <c r="U573" s="3"/>
      <c r="V573" s="9"/>
      <c r="W573" s="9"/>
      <c r="X573" s="9"/>
      <c r="Y573" s="9"/>
      <c r="Z573" s="9"/>
      <c r="AA573" s="9"/>
      <c r="AC573" s="9"/>
      <c r="AD573" s="9"/>
      <c r="AE573" s="8"/>
      <c r="AF573" s="8"/>
      <c r="AG573" s="8"/>
      <c r="AH573" s="9"/>
      <c r="AI573" s="8"/>
      <c r="AJ573" s="8"/>
      <c r="AK573" s="8"/>
      <c r="AL573" s="8"/>
      <c r="AM573" s="9"/>
      <c r="AO573" s="8"/>
      <c r="AP573" s="9"/>
    </row>
    <row r="574" spans="20:42" ht="12.75" customHeight="1" x14ac:dyDescent="0.2">
      <c r="T574" s="3"/>
      <c r="U574" s="3"/>
      <c r="V574" s="9"/>
      <c r="W574" s="9"/>
      <c r="X574" s="9"/>
      <c r="Y574" s="9"/>
      <c r="Z574" s="9"/>
      <c r="AA574" s="9"/>
      <c r="AC574" s="9"/>
      <c r="AD574" s="9"/>
      <c r="AE574" s="8"/>
      <c r="AF574" s="8"/>
      <c r="AG574" s="8"/>
      <c r="AH574" s="9"/>
      <c r="AI574" s="8"/>
      <c r="AJ574" s="8"/>
      <c r="AK574" s="8"/>
      <c r="AL574" s="8"/>
      <c r="AM574" s="9"/>
      <c r="AO574" s="8"/>
      <c r="AP574" s="9"/>
    </row>
    <row r="575" spans="20:42" ht="12.75" customHeight="1" x14ac:dyDescent="0.2">
      <c r="T575" s="3"/>
      <c r="U575" s="3"/>
      <c r="V575" s="9"/>
      <c r="W575" s="9"/>
      <c r="X575" s="9"/>
      <c r="Y575" s="9"/>
      <c r="Z575" s="9"/>
      <c r="AA575" s="9"/>
      <c r="AC575" s="9"/>
      <c r="AD575" s="9"/>
      <c r="AE575" s="8"/>
      <c r="AF575" s="8"/>
      <c r="AG575" s="8"/>
      <c r="AH575" s="9"/>
      <c r="AI575" s="8"/>
      <c r="AJ575" s="8"/>
      <c r="AK575" s="8"/>
      <c r="AL575" s="8"/>
      <c r="AM575" s="9"/>
      <c r="AO575" s="8"/>
      <c r="AP575" s="9"/>
    </row>
    <row r="576" spans="20:42" ht="12.75" customHeight="1" x14ac:dyDescent="0.2">
      <c r="T576" s="3"/>
      <c r="U576" s="3"/>
      <c r="V576" s="9"/>
      <c r="W576" s="9"/>
      <c r="X576" s="9"/>
      <c r="Y576" s="9"/>
      <c r="Z576" s="9"/>
      <c r="AA576" s="9"/>
      <c r="AC576" s="9"/>
      <c r="AD576" s="9"/>
      <c r="AE576" s="8"/>
      <c r="AF576" s="8"/>
      <c r="AG576" s="8"/>
      <c r="AH576" s="9"/>
      <c r="AI576" s="8"/>
      <c r="AJ576" s="8"/>
      <c r="AK576" s="8"/>
      <c r="AL576" s="8"/>
      <c r="AM576" s="9"/>
      <c r="AO576" s="8"/>
      <c r="AP576" s="9"/>
    </row>
    <row r="577" spans="20:42" ht="12.75" customHeight="1" x14ac:dyDescent="0.2">
      <c r="T577" s="3"/>
      <c r="U577" s="3"/>
      <c r="V577" s="9"/>
      <c r="W577" s="9"/>
      <c r="X577" s="9"/>
      <c r="Y577" s="9"/>
      <c r="Z577" s="9"/>
      <c r="AA577" s="9"/>
      <c r="AC577" s="9"/>
      <c r="AD577" s="9"/>
      <c r="AE577" s="8"/>
      <c r="AF577" s="8"/>
      <c r="AG577" s="8"/>
      <c r="AH577" s="9"/>
      <c r="AI577" s="8"/>
      <c r="AJ577" s="8"/>
      <c r="AK577" s="8"/>
      <c r="AL577" s="8"/>
      <c r="AM577" s="9"/>
      <c r="AO577" s="8"/>
      <c r="AP577" s="9"/>
    </row>
    <row r="578" spans="20:42" ht="12.75" customHeight="1" x14ac:dyDescent="0.2">
      <c r="T578" s="3"/>
      <c r="U578" s="3"/>
      <c r="V578" s="9"/>
      <c r="W578" s="9"/>
      <c r="X578" s="9"/>
      <c r="Y578" s="9"/>
      <c r="Z578" s="9"/>
      <c r="AA578" s="9"/>
      <c r="AC578" s="9"/>
      <c r="AD578" s="9"/>
      <c r="AE578" s="8"/>
      <c r="AF578" s="8"/>
      <c r="AG578" s="8"/>
      <c r="AH578" s="9"/>
      <c r="AI578" s="8"/>
      <c r="AJ578" s="8"/>
      <c r="AK578" s="8"/>
      <c r="AL578" s="8"/>
      <c r="AM578" s="9"/>
      <c r="AO578" s="8"/>
      <c r="AP578" s="9"/>
    </row>
    <row r="579" spans="20:42" ht="12.75" customHeight="1" x14ac:dyDescent="0.2">
      <c r="T579" s="3"/>
      <c r="U579" s="3"/>
      <c r="V579" s="9"/>
      <c r="W579" s="9"/>
      <c r="X579" s="9"/>
      <c r="Y579" s="9"/>
      <c r="Z579" s="9"/>
      <c r="AA579" s="9"/>
      <c r="AC579" s="9"/>
      <c r="AD579" s="9"/>
      <c r="AE579" s="8"/>
      <c r="AF579" s="8"/>
      <c r="AG579" s="8"/>
      <c r="AH579" s="9"/>
      <c r="AI579" s="8"/>
      <c r="AJ579" s="8"/>
      <c r="AK579" s="8"/>
      <c r="AL579" s="8"/>
      <c r="AM579" s="9"/>
      <c r="AO579" s="8"/>
      <c r="AP579" s="9"/>
    </row>
    <row r="580" spans="20:42" ht="12.75" customHeight="1" x14ac:dyDescent="0.2">
      <c r="T580" s="3"/>
      <c r="U580" s="3"/>
      <c r="V580" s="9"/>
      <c r="W580" s="9"/>
      <c r="X580" s="9"/>
      <c r="Y580" s="9"/>
      <c r="Z580" s="9"/>
      <c r="AA580" s="9"/>
      <c r="AC580" s="9"/>
      <c r="AD580" s="9"/>
      <c r="AE580" s="8"/>
      <c r="AF580" s="8"/>
      <c r="AG580" s="8"/>
      <c r="AH580" s="9"/>
      <c r="AI580" s="8"/>
      <c r="AJ580" s="8"/>
      <c r="AK580" s="8"/>
      <c r="AL580" s="8"/>
      <c r="AM580" s="9"/>
      <c r="AO580" s="8"/>
      <c r="AP580" s="9"/>
    </row>
    <row r="581" spans="20:42" ht="12.75" customHeight="1" x14ac:dyDescent="0.2">
      <c r="T581" s="3"/>
      <c r="U581" s="3"/>
      <c r="V581" s="9"/>
      <c r="W581" s="9"/>
      <c r="X581" s="9"/>
      <c r="Y581" s="9"/>
      <c r="Z581" s="9"/>
      <c r="AA581" s="9"/>
      <c r="AC581" s="9"/>
      <c r="AD581" s="9"/>
      <c r="AE581" s="8"/>
      <c r="AF581" s="8"/>
      <c r="AG581" s="8"/>
      <c r="AH581" s="9"/>
      <c r="AI581" s="8"/>
      <c r="AJ581" s="8"/>
      <c r="AK581" s="8"/>
      <c r="AL581" s="8"/>
      <c r="AM581" s="9"/>
      <c r="AO581" s="8"/>
      <c r="AP581" s="9"/>
    </row>
    <row r="582" spans="20:42" ht="12.75" customHeight="1" x14ac:dyDescent="0.2">
      <c r="T582" s="3"/>
      <c r="U582" s="3"/>
      <c r="V582" s="9"/>
      <c r="W582" s="9"/>
      <c r="X582" s="9"/>
      <c r="Y582" s="9"/>
      <c r="Z582" s="9"/>
      <c r="AA582" s="9"/>
      <c r="AC582" s="9"/>
      <c r="AD582" s="9"/>
      <c r="AE582" s="8"/>
      <c r="AF582" s="8"/>
      <c r="AG582" s="8"/>
      <c r="AH582" s="9"/>
      <c r="AI582" s="8"/>
      <c r="AJ582" s="8"/>
      <c r="AK582" s="8"/>
      <c r="AL582" s="8"/>
      <c r="AM582" s="9"/>
      <c r="AO582" s="8"/>
      <c r="AP582" s="9"/>
    </row>
    <row r="583" spans="20:42" ht="12.75" customHeight="1" x14ac:dyDescent="0.2">
      <c r="T583" s="3"/>
      <c r="U583" s="3"/>
      <c r="V583" s="9"/>
      <c r="W583" s="9"/>
      <c r="X583" s="9"/>
      <c r="Y583" s="9"/>
      <c r="Z583" s="9"/>
      <c r="AA583" s="9"/>
      <c r="AC583" s="9"/>
      <c r="AD583" s="9"/>
      <c r="AE583" s="8"/>
      <c r="AF583" s="8"/>
      <c r="AG583" s="8"/>
      <c r="AH583" s="9"/>
      <c r="AI583" s="8"/>
      <c r="AJ583" s="8"/>
      <c r="AK583" s="8"/>
      <c r="AL583" s="8"/>
      <c r="AM583" s="9"/>
      <c r="AO583" s="8"/>
      <c r="AP583" s="9"/>
    </row>
    <row r="584" spans="20:42" ht="12.75" customHeight="1" x14ac:dyDescent="0.2">
      <c r="T584" s="3"/>
      <c r="U584" s="3"/>
      <c r="V584" s="9"/>
      <c r="W584" s="9"/>
      <c r="X584" s="9"/>
      <c r="Y584" s="9"/>
      <c r="Z584" s="9"/>
      <c r="AA584" s="9"/>
      <c r="AC584" s="9"/>
      <c r="AD584" s="9"/>
      <c r="AE584" s="8"/>
      <c r="AF584" s="8"/>
      <c r="AG584" s="8"/>
      <c r="AH584" s="9"/>
      <c r="AI584" s="8"/>
      <c r="AJ584" s="8"/>
      <c r="AK584" s="8"/>
      <c r="AL584" s="8"/>
      <c r="AM584" s="9"/>
      <c r="AO584" s="8"/>
      <c r="AP584" s="9"/>
    </row>
    <row r="585" spans="20:42" ht="12.75" customHeight="1" x14ac:dyDescent="0.2">
      <c r="T585" s="3"/>
      <c r="U585" s="3"/>
      <c r="V585" s="9"/>
      <c r="W585" s="9"/>
      <c r="X585" s="9"/>
      <c r="Y585" s="9"/>
      <c r="Z585" s="9"/>
      <c r="AA585" s="9"/>
      <c r="AC585" s="9"/>
      <c r="AD585" s="9"/>
      <c r="AE585" s="8"/>
      <c r="AF585" s="8"/>
      <c r="AG585" s="8"/>
      <c r="AH585" s="9"/>
      <c r="AI585" s="8"/>
      <c r="AJ585" s="8"/>
      <c r="AK585" s="8"/>
      <c r="AL585" s="8"/>
      <c r="AM585" s="9"/>
      <c r="AO585" s="8"/>
      <c r="AP585" s="9"/>
    </row>
    <row r="586" spans="20:42" ht="12.75" customHeight="1" x14ac:dyDescent="0.2">
      <c r="T586" s="3"/>
      <c r="U586" s="3"/>
      <c r="V586" s="9"/>
      <c r="W586" s="9"/>
      <c r="X586" s="9"/>
      <c r="Y586" s="9"/>
      <c r="Z586" s="9"/>
      <c r="AA586" s="9"/>
      <c r="AC586" s="9"/>
      <c r="AD586" s="9"/>
      <c r="AE586" s="8"/>
      <c r="AF586" s="8"/>
      <c r="AG586" s="8"/>
      <c r="AH586" s="9"/>
      <c r="AI586" s="8"/>
      <c r="AJ586" s="8"/>
      <c r="AK586" s="8"/>
      <c r="AL586" s="8"/>
      <c r="AM586" s="9"/>
      <c r="AO586" s="8"/>
      <c r="AP586" s="9"/>
    </row>
    <row r="587" spans="20:42" ht="12.75" customHeight="1" x14ac:dyDescent="0.2">
      <c r="T587" s="3"/>
      <c r="U587" s="3"/>
      <c r="V587" s="9"/>
      <c r="W587" s="9"/>
      <c r="X587" s="9"/>
      <c r="Y587" s="9"/>
      <c r="Z587" s="9"/>
      <c r="AA587" s="9"/>
      <c r="AC587" s="9"/>
      <c r="AD587" s="9"/>
      <c r="AE587" s="8"/>
      <c r="AF587" s="8"/>
      <c r="AG587" s="8"/>
      <c r="AH587" s="9"/>
      <c r="AI587" s="8"/>
      <c r="AJ587" s="8"/>
      <c r="AK587" s="8"/>
      <c r="AL587" s="8"/>
      <c r="AM587" s="9"/>
      <c r="AO587" s="8"/>
      <c r="AP587" s="9"/>
    </row>
    <row r="588" spans="20:42" ht="12.75" customHeight="1" x14ac:dyDescent="0.2">
      <c r="T588" s="3"/>
      <c r="U588" s="3"/>
      <c r="V588" s="9"/>
      <c r="W588" s="9"/>
      <c r="X588" s="9"/>
      <c r="Y588" s="9"/>
      <c r="Z588" s="9"/>
      <c r="AA588" s="9"/>
      <c r="AC588" s="9"/>
      <c r="AD588" s="9"/>
      <c r="AE588" s="8"/>
      <c r="AF588" s="8"/>
      <c r="AG588" s="8"/>
      <c r="AH588" s="9"/>
      <c r="AI588" s="8"/>
      <c r="AJ588" s="8"/>
      <c r="AK588" s="8"/>
      <c r="AL588" s="8"/>
      <c r="AM588" s="9"/>
      <c r="AO588" s="8"/>
      <c r="AP588" s="9"/>
    </row>
    <row r="589" spans="20:42" ht="12.75" customHeight="1" x14ac:dyDescent="0.2">
      <c r="T589" s="3"/>
      <c r="U589" s="3"/>
      <c r="V589" s="9"/>
      <c r="W589" s="9"/>
      <c r="X589" s="9"/>
      <c r="Y589" s="9"/>
      <c r="Z589" s="9"/>
      <c r="AA589" s="9"/>
      <c r="AC589" s="9"/>
      <c r="AD589" s="9"/>
      <c r="AE589" s="8"/>
      <c r="AF589" s="8"/>
      <c r="AG589" s="8"/>
      <c r="AH589" s="9"/>
      <c r="AI589" s="8"/>
      <c r="AJ589" s="8"/>
      <c r="AK589" s="8"/>
      <c r="AL589" s="8"/>
      <c r="AM589" s="9"/>
      <c r="AO589" s="8"/>
      <c r="AP589" s="9"/>
    </row>
    <row r="590" spans="20:42" ht="12.75" customHeight="1" x14ac:dyDescent="0.2">
      <c r="T590" s="3"/>
      <c r="U590" s="3"/>
      <c r="V590" s="9"/>
      <c r="W590" s="9"/>
      <c r="X590" s="9"/>
      <c r="Y590" s="9"/>
      <c r="Z590" s="9"/>
      <c r="AA590" s="9"/>
      <c r="AC590" s="9"/>
      <c r="AD590" s="9"/>
      <c r="AE590" s="8"/>
      <c r="AF590" s="8"/>
      <c r="AG590" s="8"/>
      <c r="AH590" s="9"/>
      <c r="AI590" s="8"/>
      <c r="AJ590" s="8"/>
      <c r="AK590" s="8"/>
      <c r="AL590" s="8"/>
      <c r="AM590" s="9"/>
      <c r="AO590" s="8"/>
      <c r="AP590" s="9"/>
    </row>
    <row r="591" spans="20:42" ht="12.75" customHeight="1" x14ac:dyDescent="0.2">
      <c r="T591" s="3"/>
      <c r="U591" s="3"/>
      <c r="V591" s="9"/>
      <c r="W591" s="9"/>
      <c r="X591" s="9"/>
      <c r="Y591" s="9"/>
      <c r="Z591" s="9"/>
      <c r="AA591" s="9"/>
      <c r="AC591" s="9"/>
      <c r="AD591" s="9"/>
      <c r="AE591" s="8"/>
      <c r="AF591" s="8"/>
      <c r="AG591" s="8"/>
      <c r="AH591" s="9"/>
      <c r="AI591" s="8"/>
      <c r="AJ591" s="8"/>
      <c r="AK591" s="8"/>
      <c r="AL591" s="8"/>
      <c r="AM591" s="9"/>
      <c r="AO591" s="8"/>
      <c r="AP591" s="9"/>
    </row>
    <row r="592" spans="20:42" ht="12.75" customHeight="1" x14ac:dyDescent="0.2">
      <c r="T592" s="3"/>
      <c r="U592" s="3"/>
      <c r="V592" s="9"/>
      <c r="W592" s="9"/>
      <c r="X592" s="9"/>
      <c r="Y592" s="9"/>
      <c r="Z592" s="9"/>
      <c r="AA592" s="9"/>
      <c r="AC592" s="9"/>
      <c r="AD592" s="9"/>
      <c r="AE592" s="8"/>
      <c r="AF592" s="8"/>
      <c r="AG592" s="8"/>
      <c r="AH592" s="9"/>
      <c r="AI592" s="8"/>
      <c r="AJ592" s="8"/>
      <c r="AK592" s="8"/>
      <c r="AL592" s="8"/>
      <c r="AM592" s="9"/>
      <c r="AO592" s="8"/>
      <c r="AP592" s="9"/>
    </row>
    <row r="593" spans="20:42" ht="12.75" customHeight="1" x14ac:dyDescent="0.2">
      <c r="T593" s="3"/>
      <c r="U593" s="3"/>
      <c r="V593" s="9"/>
      <c r="W593" s="9"/>
      <c r="X593" s="9"/>
      <c r="Y593" s="9"/>
      <c r="Z593" s="9"/>
      <c r="AA593" s="9"/>
      <c r="AC593" s="9"/>
      <c r="AD593" s="9"/>
      <c r="AE593" s="8"/>
      <c r="AF593" s="8"/>
      <c r="AG593" s="8"/>
      <c r="AH593" s="9"/>
      <c r="AI593" s="8"/>
      <c r="AJ593" s="8"/>
      <c r="AK593" s="8"/>
      <c r="AL593" s="8"/>
      <c r="AM593" s="9"/>
      <c r="AO593" s="8"/>
      <c r="AP593" s="9"/>
    </row>
    <row r="594" spans="20:42" ht="12.75" customHeight="1" x14ac:dyDescent="0.2">
      <c r="T594" s="3"/>
      <c r="U594" s="3"/>
      <c r="V594" s="9"/>
      <c r="W594" s="9"/>
      <c r="X594" s="9"/>
      <c r="Y594" s="9"/>
      <c r="Z594" s="9"/>
      <c r="AA594" s="9"/>
      <c r="AC594" s="9"/>
      <c r="AD594" s="9"/>
      <c r="AE594" s="8"/>
      <c r="AF594" s="8"/>
      <c r="AG594" s="8"/>
      <c r="AH594" s="9"/>
      <c r="AI594" s="8"/>
      <c r="AJ594" s="8"/>
      <c r="AK594" s="8"/>
      <c r="AL594" s="8"/>
      <c r="AM594" s="9"/>
      <c r="AO594" s="8"/>
      <c r="AP594" s="9"/>
    </row>
    <row r="595" spans="20:42" ht="12.75" customHeight="1" x14ac:dyDescent="0.2">
      <c r="T595" s="3"/>
      <c r="U595" s="3"/>
      <c r="V595" s="9"/>
      <c r="W595" s="9"/>
      <c r="X595" s="9"/>
      <c r="Y595" s="9"/>
      <c r="Z595" s="9"/>
      <c r="AA595" s="9"/>
      <c r="AC595" s="9"/>
      <c r="AD595" s="9"/>
      <c r="AE595" s="8"/>
      <c r="AF595" s="8"/>
      <c r="AG595" s="8"/>
      <c r="AH595" s="9"/>
      <c r="AI595" s="8"/>
      <c r="AJ595" s="8"/>
      <c r="AK595" s="8"/>
      <c r="AL595" s="8"/>
      <c r="AM595" s="9"/>
      <c r="AO595" s="8"/>
      <c r="AP595" s="9"/>
    </row>
    <row r="596" spans="20:42" ht="12.75" customHeight="1" x14ac:dyDescent="0.2">
      <c r="T596" s="3"/>
      <c r="U596" s="3"/>
      <c r="V596" s="9"/>
      <c r="W596" s="9"/>
      <c r="X596" s="9"/>
      <c r="Y596" s="9"/>
      <c r="Z596" s="9"/>
      <c r="AA596" s="9"/>
      <c r="AC596" s="9"/>
      <c r="AD596" s="9"/>
      <c r="AE596" s="8"/>
      <c r="AF596" s="8"/>
      <c r="AG596" s="8"/>
      <c r="AH596" s="9"/>
      <c r="AI596" s="8"/>
      <c r="AJ596" s="8"/>
      <c r="AK596" s="8"/>
      <c r="AL596" s="8"/>
      <c r="AM596" s="9"/>
      <c r="AO596" s="8"/>
      <c r="AP596" s="9"/>
    </row>
    <row r="597" spans="20:42" ht="12.75" customHeight="1" x14ac:dyDescent="0.2">
      <c r="T597" s="3"/>
      <c r="U597" s="3"/>
      <c r="V597" s="9"/>
      <c r="W597" s="9"/>
      <c r="X597" s="9"/>
      <c r="Y597" s="9"/>
      <c r="Z597" s="9"/>
      <c r="AA597" s="9"/>
      <c r="AC597" s="9"/>
      <c r="AD597" s="9"/>
      <c r="AE597" s="8"/>
      <c r="AF597" s="8"/>
      <c r="AG597" s="8"/>
      <c r="AH597" s="9"/>
      <c r="AI597" s="8"/>
      <c r="AJ597" s="8"/>
      <c r="AK597" s="8"/>
      <c r="AL597" s="8"/>
      <c r="AM597" s="9"/>
      <c r="AO597" s="8"/>
      <c r="AP597" s="9"/>
    </row>
    <row r="598" spans="20:42" ht="12.75" customHeight="1" x14ac:dyDescent="0.2">
      <c r="T598" s="3"/>
      <c r="U598" s="3"/>
      <c r="V598" s="9"/>
      <c r="W598" s="9"/>
      <c r="X598" s="9"/>
      <c r="Y598" s="9"/>
      <c r="Z598" s="9"/>
      <c r="AA598" s="9"/>
      <c r="AC598" s="9"/>
      <c r="AD598" s="9"/>
      <c r="AE598" s="8"/>
      <c r="AF598" s="8"/>
      <c r="AG598" s="8"/>
      <c r="AH598" s="9"/>
      <c r="AI598" s="8"/>
      <c r="AJ598" s="8"/>
      <c r="AK598" s="8"/>
      <c r="AL598" s="8"/>
      <c r="AM598" s="9"/>
      <c r="AO598" s="8"/>
      <c r="AP598" s="9"/>
    </row>
    <row r="599" spans="20:42" ht="12.75" customHeight="1" x14ac:dyDescent="0.2">
      <c r="T599" s="3"/>
      <c r="U599" s="3"/>
      <c r="V599" s="9"/>
      <c r="W599" s="9"/>
      <c r="X599" s="9"/>
      <c r="Y599" s="9"/>
      <c r="Z599" s="9"/>
      <c r="AA599" s="9"/>
      <c r="AC599" s="9"/>
      <c r="AD599" s="9"/>
      <c r="AE599" s="8"/>
      <c r="AF599" s="8"/>
      <c r="AG599" s="8"/>
      <c r="AH599" s="9"/>
      <c r="AI599" s="8"/>
      <c r="AJ599" s="8"/>
      <c r="AK599" s="8"/>
      <c r="AL599" s="8"/>
      <c r="AM599" s="9"/>
      <c r="AO599" s="8"/>
      <c r="AP599" s="9"/>
    </row>
    <row r="600" spans="20:42" ht="12.75" customHeight="1" x14ac:dyDescent="0.2">
      <c r="T600" s="3"/>
      <c r="U600" s="3"/>
      <c r="V600" s="9"/>
      <c r="W600" s="9"/>
      <c r="X600" s="9"/>
      <c r="Y600" s="9"/>
      <c r="Z600" s="9"/>
      <c r="AA600" s="9"/>
      <c r="AC600" s="9"/>
      <c r="AD600" s="9"/>
      <c r="AE600" s="8"/>
      <c r="AF600" s="8"/>
      <c r="AG600" s="8"/>
      <c r="AH600" s="9"/>
      <c r="AI600" s="8"/>
      <c r="AJ600" s="8"/>
      <c r="AK600" s="8"/>
      <c r="AL600" s="8"/>
      <c r="AM600" s="9"/>
      <c r="AO600" s="8"/>
      <c r="AP600" s="9"/>
    </row>
    <row r="601" spans="20:42" ht="12.75" customHeight="1" x14ac:dyDescent="0.2">
      <c r="T601" s="3"/>
      <c r="U601" s="3"/>
      <c r="V601" s="9"/>
      <c r="W601" s="9"/>
      <c r="X601" s="9"/>
      <c r="Y601" s="9"/>
      <c r="Z601" s="9"/>
      <c r="AA601" s="9"/>
      <c r="AC601" s="9"/>
      <c r="AD601" s="9"/>
      <c r="AE601" s="8"/>
      <c r="AF601" s="8"/>
      <c r="AG601" s="8"/>
      <c r="AH601" s="9"/>
      <c r="AI601" s="8"/>
      <c r="AJ601" s="8"/>
      <c r="AK601" s="8"/>
      <c r="AL601" s="8"/>
      <c r="AM601" s="9"/>
      <c r="AO601" s="8"/>
      <c r="AP601" s="9"/>
    </row>
    <row r="602" spans="20:42" ht="12.75" customHeight="1" x14ac:dyDescent="0.2">
      <c r="T602" s="3"/>
      <c r="U602" s="3"/>
      <c r="V602" s="9"/>
      <c r="W602" s="9"/>
      <c r="X602" s="9"/>
      <c r="Y602" s="9"/>
      <c r="Z602" s="9"/>
      <c r="AA602" s="9"/>
      <c r="AC602" s="9"/>
      <c r="AD602" s="9"/>
      <c r="AE602" s="8"/>
      <c r="AF602" s="8"/>
      <c r="AG602" s="8"/>
      <c r="AH602" s="9"/>
      <c r="AI602" s="8"/>
      <c r="AJ602" s="8"/>
      <c r="AK602" s="8"/>
      <c r="AL602" s="8"/>
      <c r="AM602" s="9"/>
      <c r="AO602" s="8"/>
      <c r="AP602" s="9"/>
    </row>
    <row r="603" spans="20:42" ht="12.75" customHeight="1" x14ac:dyDescent="0.2">
      <c r="T603" s="3"/>
      <c r="U603" s="3"/>
      <c r="V603" s="9"/>
      <c r="W603" s="9"/>
      <c r="X603" s="9"/>
      <c r="Y603" s="9"/>
      <c r="Z603" s="9"/>
      <c r="AA603" s="9"/>
      <c r="AC603" s="9"/>
      <c r="AD603" s="9"/>
      <c r="AE603" s="8"/>
      <c r="AF603" s="8"/>
      <c r="AG603" s="8"/>
      <c r="AH603" s="9"/>
      <c r="AI603" s="8"/>
      <c r="AJ603" s="8"/>
      <c r="AK603" s="8"/>
      <c r="AL603" s="8"/>
      <c r="AM603" s="9"/>
      <c r="AO603" s="8"/>
      <c r="AP603" s="9"/>
    </row>
    <row r="604" spans="20:42" ht="12.75" customHeight="1" x14ac:dyDescent="0.2">
      <c r="T604" s="3"/>
      <c r="U604" s="3"/>
      <c r="V604" s="9"/>
      <c r="W604" s="9"/>
      <c r="X604" s="9"/>
      <c r="Y604" s="9"/>
      <c r="Z604" s="9"/>
      <c r="AA604" s="9"/>
      <c r="AC604" s="9"/>
      <c r="AD604" s="9"/>
      <c r="AE604" s="8"/>
      <c r="AF604" s="8"/>
      <c r="AG604" s="8"/>
      <c r="AH604" s="9"/>
      <c r="AI604" s="8"/>
      <c r="AJ604" s="8"/>
      <c r="AK604" s="8"/>
      <c r="AL604" s="8"/>
      <c r="AM604" s="9"/>
      <c r="AO604" s="8"/>
      <c r="AP604" s="9"/>
    </row>
    <row r="605" spans="20:42" ht="12.75" customHeight="1" x14ac:dyDescent="0.2">
      <c r="T605" s="3"/>
      <c r="U605" s="3"/>
      <c r="V605" s="9"/>
      <c r="W605" s="9"/>
      <c r="X605" s="9"/>
      <c r="Y605" s="9"/>
      <c r="Z605" s="9"/>
      <c r="AA605" s="9"/>
      <c r="AC605" s="9"/>
      <c r="AD605" s="9"/>
      <c r="AE605" s="8"/>
      <c r="AF605" s="8"/>
      <c r="AG605" s="8"/>
      <c r="AH605" s="9"/>
      <c r="AI605" s="8"/>
      <c r="AJ605" s="8"/>
      <c r="AK605" s="8"/>
      <c r="AL605" s="8"/>
      <c r="AM605" s="9"/>
      <c r="AO605" s="8"/>
      <c r="AP605" s="9"/>
    </row>
    <row r="606" spans="20:42" ht="12.75" customHeight="1" x14ac:dyDescent="0.2">
      <c r="T606" s="3"/>
      <c r="U606" s="3"/>
      <c r="V606" s="9"/>
      <c r="W606" s="9"/>
      <c r="X606" s="9"/>
      <c r="Y606" s="9"/>
      <c r="Z606" s="9"/>
      <c r="AA606" s="9"/>
      <c r="AC606" s="9"/>
      <c r="AD606" s="9"/>
      <c r="AE606" s="8"/>
      <c r="AF606" s="8"/>
      <c r="AG606" s="8"/>
      <c r="AH606" s="9"/>
      <c r="AI606" s="8"/>
      <c r="AJ606" s="8"/>
      <c r="AK606" s="8"/>
      <c r="AL606" s="8"/>
      <c r="AM606" s="9"/>
      <c r="AO606" s="8"/>
      <c r="AP606" s="9"/>
    </row>
    <row r="607" spans="20:42" ht="12.75" customHeight="1" x14ac:dyDescent="0.2">
      <c r="T607" s="3"/>
      <c r="U607" s="3"/>
      <c r="V607" s="9"/>
      <c r="W607" s="9"/>
      <c r="X607" s="9"/>
      <c r="Y607" s="9"/>
      <c r="Z607" s="9"/>
      <c r="AA607" s="9"/>
      <c r="AC607" s="9"/>
      <c r="AD607" s="9"/>
      <c r="AE607" s="8"/>
      <c r="AF607" s="8"/>
      <c r="AG607" s="8"/>
      <c r="AH607" s="9"/>
      <c r="AI607" s="8"/>
      <c r="AJ607" s="8"/>
      <c r="AK607" s="8"/>
      <c r="AL607" s="8"/>
      <c r="AM607" s="9"/>
      <c r="AO607" s="8"/>
      <c r="AP607" s="9"/>
    </row>
    <row r="608" spans="20:42" ht="12.75" customHeight="1" x14ac:dyDescent="0.2">
      <c r="T608" s="3"/>
      <c r="U608" s="3"/>
      <c r="V608" s="9"/>
      <c r="W608" s="9"/>
      <c r="X608" s="9"/>
      <c r="Y608" s="9"/>
      <c r="Z608" s="9"/>
      <c r="AA608" s="9"/>
      <c r="AC608" s="9"/>
      <c r="AD608" s="9"/>
      <c r="AE608" s="8"/>
      <c r="AF608" s="8"/>
      <c r="AG608" s="8"/>
      <c r="AH608" s="9"/>
      <c r="AI608" s="8"/>
      <c r="AJ608" s="8"/>
      <c r="AK608" s="8"/>
      <c r="AL608" s="8"/>
      <c r="AM608" s="9"/>
      <c r="AO608" s="8"/>
      <c r="AP608" s="9"/>
    </row>
    <row r="609" spans="20:42" ht="12.75" customHeight="1" x14ac:dyDescent="0.2">
      <c r="T609" s="3"/>
      <c r="U609" s="3"/>
      <c r="V609" s="9"/>
      <c r="W609" s="9"/>
      <c r="X609" s="9"/>
      <c r="Y609" s="9"/>
      <c r="Z609" s="9"/>
      <c r="AA609" s="9"/>
      <c r="AC609" s="9"/>
      <c r="AD609" s="9"/>
      <c r="AE609" s="8"/>
      <c r="AF609" s="8"/>
      <c r="AG609" s="8"/>
      <c r="AH609" s="9"/>
      <c r="AI609" s="8"/>
      <c r="AJ609" s="8"/>
      <c r="AK609" s="8"/>
      <c r="AL609" s="8"/>
      <c r="AM609" s="9"/>
      <c r="AO609" s="8"/>
      <c r="AP609" s="9"/>
    </row>
    <row r="610" spans="20:42" ht="12.75" customHeight="1" x14ac:dyDescent="0.2">
      <c r="T610" s="3"/>
      <c r="U610" s="3"/>
      <c r="V610" s="9"/>
      <c r="W610" s="9"/>
      <c r="X610" s="9"/>
      <c r="Y610" s="9"/>
      <c r="Z610" s="9"/>
      <c r="AA610" s="9"/>
      <c r="AC610" s="9"/>
      <c r="AD610" s="9"/>
      <c r="AE610" s="8"/>
      <c r="AF610" s="8"/>
      <c r="AG610" s="8"/>
      <c r="AH610" s="9"/>
      <c r="AI610" s="8"/>
      <c r="AJ610" s="8"/>
      <c r="AK610" s="8"/>
      <c r="AL610" s="8"/>
      <c r="AM610" s="9"/>
      <c r="AO610" s="8"/>
      <c r="AP610" s="9"/>
    </row>
    <row r="611" spans="20:42" ht="12.75" customHeight="1" x14ac:dyDescent="0.2">
      <c r="T611" s="3"/>
      <c r="U611" s="3"/>
      <c r="V611" s="9"/>
      <c r="W611" s="9"/>
      <c r="X611" s="9"/>
      <c r="Y611" s="9"/>
      <c r="Z611" s="9"/>
      <c r="AA611" s="9"/>
      <c r="AC611" s="9"/>
      <c r="AD611" s="9"/>
      <c r="AE611" s="8"/>
      <c r="AF611" s="8"/>
      <c r="AG611" s="8"/>
      <c r="AH611" s="9"/>
      <c r="AI611" s="8"/>
      <c r="AJ611" s="8"/>
      <c r="AK611" s="8"/>
      <c r="AL611" s="8"/>
      <c r="AM611" s="9"/>
      <c r="AO611" s="8"/>
      <c r="AP611" s="9"/>
    </row>
    <row r="612" spans="20:42" ht="12.75" customHeight="1" x14ac:dyDescent="0.2">
      <c r="T612" s="3"/>
      <c r="U612" s="3"/>
      <c r="V612" s="9"/>
      <c r="W612" s="9"/>
      <c r="X612" s="9"/>
      <c r="Y612" s="9"/>
      <c r="Z612" s="9"/>
      <c r="AA612" s="9"/>
      <c r="AC612" s="9"/>
      <c r="AD612" s="9"/>
      <c r="AE612" s="8"/>
      <c r="AF612" s="8"/>
      <c r="AG612" s="8"/>
      <c r="AH612" s="9"/>
      <c r="AI612" s="8"/>
      <c r="AJ612" s="8"/>
      <c r="AK612" s="8"/>
      <c r="AL612" s="8"/>
      <c r="AM612" s="9"/>
      <c r="AO612" s="8"/>
      <c r="AP612" s="9"/>
    </row>
    <row r="613" spans="20:42" ht="12.75" customHeight="1" x14ac:dyDescent="0.2">
      <c r="T613" s="3"/>
      <c r="U613" s="3"/>
      <c r="V613" s="9"/>
      <c r="W613" s="9"/>
      <c r="X613" s="9"/>
      <c r="Y613" s="9"/>
      <c r="Z613" s="9"/>
      <c r="AA613" s="9"/>
      <c r="AC613" s="9"/>
      <c r="AD613" s="9"/>
      <c r="AE613" s="8"/>
      <c r="AF613" s="8"/>
      <c r="AG613" s="8"/>
      <c r="AH613" s="9"/>
      <c r="AI613" s="8"/>
      <c r="AJ613" s="8"/>
      <c r="AK613" s="8"/>
      <c r="AL613" s="8"/>
      <c r="AM613" s="9"/>
      <c r="AO613" s="8"/>
      <c r="AP613" s="9"/>
    </row>
    <row r="614" spans="20:42" ht="12.75" customHeight="1" x14ac:dyDescent="0.2">
      <c r="T614" s="3"/>
      <c r="U614" s="3"/>
      <c r="V614" s="9"/>
      <c r="W614" s="9"/>
      <c r="X614" s="9"/>
      <c r="Y614" s="9"/>
      <c r="Z614" s="9"/>
      <c r="AA614" s="9"/>
      <c r="AC614" s="9"/>
      <c r="AD614" s="9"/>
      <c r="AE614" s="8"/>
      <c r="AF614" s="8"/>
      <c r="AG614" s="8"/>
      <c r="AH614" s="9"/>
      <c r="AI614" s="8"/>
      <c r="AJ614" s="8"/>
      <c r="AK614" s="8"/>
      <c r="AL614" s="8"/>
      <c r="AM614" s="9"/>
      <c r="AO614" s="8"/>
      <c r="AP614" s="9"/>
    </row>
    <row r="615" spans="20:42" ht="12.75" customHeight="1" x14ac:dyDescent="0.2">
      <c r="T615" s="3"/>
      <c r="U615" s="3"/>
      <c r="V615" s="9"/>
      <c r="W615" s="9"/>
      <c r="X615" s="9"/>
      <c r="Y615" s="9"/>
      <c r="Z615" s="9"/>
      <c r="AA615" s="9"/>
      <c r="AC615" s="9"/>
      <c r="AD615" s="9"/>
      <c r="AE615" s="8"/>
      <c r="AF615" s="8"/>
      <c r="AG615" s="8"/>
      <c r="AH615" s="9"/>
      <c r="AI615" s="8"/>
      <c r="AJ615" s="8"/>
      <c r="AK615" s="8"/>
      <c r="AL615" s="8"/>
      <c r="AM615" s="9"/>
      <c r="AO615" s="8"/>
      <c r="AP615" s="9"/>
    </row>
    <row r="616" spans="20:42" ht="12.75" customHeight="1" x14ac:dyDescent="0.2">
      <c r="T616" s="3"/>
      <c r="U616" s="3"/>
      <c r="V616" s="9"/>
      <c r="W616" s="9"/>
      <c r="X616" s="9"/>
      <c r="Y616" s="9"/>
      <c r="Z616" s="9"/>
      <c r="AA616" s="9"/>
      <c r="AC616" s="9"/>
      <c r="AD616" s="9"/>
      <c r="AE616" s="8"/>
      <c r="AF616" s="8"/>
      <c r="AG616" s="8"/>
      <c r="AH616" s="9"/>
      <c r="AI616" s="8"/>
      <c r="AJ616" s="8"/>
      <c r="AK616" s="8"/>
      <c r="AL616" s="8"/>
      <c r="AM616" s="9"/>
      <c r="AO616" s="8"/>
      <c r="AP616" s="9"/>
    </row>
    <row r="617" spans="20:42" ht="12.75" customHeight="1" x14ac:dyDescent="0.2">
      <c r="T617" s="3"/>
      <c r="U617" s="3"/>
      <c r="V617" s="9"/>
      <c r="W617" s="9"/>
      <c r="X617" s="9"/>
      <c r="Y617" s="9"/>
      <c r="Z617" s="9"/>
      <c r="AA617" s="9"/>
      <c r="AC617" s="9"/>
      <c r="AD617" s="9"/>
      <c r="AE617" s="8"/>
      <c r="AF617" s="8"/>
      <c r="AG617" s="8"/>
      <c r="AH617" s="9"/>
      <c r="AI617" s="8"/>
      <c r="AJ617" s="8"/>
      <c r="AK617" s="8"/>
      <c r="AL617" s="8"/>
      <c r="AM617" s="9"/>
      <c r="AO617" s="8"/>
      <c r="AP617" s="9"/>
    </row>
    <row r="618" spans="20:42" ht="12.75" customHeight="1" x14ac:dyDescent="0.2">
      <c r="T618" s="3"/>
      <c r="U618" s="3"/>
      <c r="V618" s="9"/>
      <c r="W618" s="9"/>
      <c r="X618" s="9"/>
      <c r="Y618" s="9"/>
      <c r="Z618" s="9"/>
      <c r="AA618" s="9"/>
      <c r="AC618" s="9"/>
      <c r="AD618" s="9"/>
      <c r="AE618" s="8"/>
      <c r="AF618" s="8"/>
      <c r="AG618" s="8"/>
      <c r="AH618" s="9"/>
      <c r="AI618" s="8"/>
      <c r="AJ618" s="8"/>
      <c r="AK618" s="8"/>
      <c r="AL618" s="8"/>
      <c r="AM618" s="9"/>
      <c r="AO618" s="8"/>
      <c r="AP618" s="9"/>
    </row>
    <row r="619" spans="20:42" ht="12.75" customHeight="1" x14ac:dyDescent="0.2">
      <c r="T619" s="3"/>
      <c r="U619" s="3"/>
      <c r="V619" s="9"/>
      <c r="W619" s="9"/>
      <c r="X619" s="9"/>
      <c r="Y619" s="9"/>
      <c r="Z619" s="9"/>
      <c r="AA619" s="9"/>
      <c r="AC619" s="9"/>
      <c r="AD619" s="9"/>
      <c r="AE619" s="8"/>
      <c r="AF619" s="8"/>
      <c r="AG619" s="8"/>
      <c r="AH619" s="9"/>
      <c r="AI619" s="8"/>
      <c r="AJ619" s="8"/>
      <c r="AK619" s="8"/>
      <c r="AL619" s="8"/>
      <c r="AM619" s="9"/>
      <c r="AO619" s="8"/>
      <c r="AP619" s="9"/>
    </row>
    <row r="620" spans="20:42" ht="12.75" customHeight="1" x14ac:dyDescent="0.2">
      <c r="T620" s="3"/>
      <c r="U620" s="3"/>
      <c r="V620" s="9"/>
      <c r="W620" s="9"/>
      <c r="X620" s="9"/>
      <c r="Y620" s="9"/>
      <c r="Z620" s="9"/>
      <c r="AA620" s="9"/>
      <c r="AC620" s="9"/>
      <c r="AD620" s="9"/>
      <c r="AE620" s="8"/>
      <c r="AF620" s="8"/>
      <c r="AG620" s="8"/>
      <c r="AH620" s="9"/>
      <c r="AI620" s="8"/>
      <c r="AJ620" s="8"/>
      <c r="AK620" s="8"/>
      <c r="AL620" s="8"/>
      <c r="AM620" s="9"/>
      <c r="AO620" s="8"/>
      <c r="AP620" s="9"/>
    </row>
    <row r="621" spans="20:42" ht="12.75" customHeight="1" x14ac:dyDescent="0.2">
      <c r="T621" s="3"/>
      <c r="U621" s="3"/>
      <c r="V621" s="9"/>
      <c r="W621" s="9"/>
      <c r="X621" s="9"/>
      <c r="Y621" s="9"/>
      <c r="Z621" s="9"/>
      <c r="AA621" s="9"/>
      <c r="AC621" s="9"/>
      <c r="AD621" s="9"/>
      <c r="AE621" s="8"/>
      <c r="AF621" s="8"/>
      <c r="AG621" s="8"/>
      <c r="AH621" s="9"/>
      <c r="AI621" s="8"/>
      <c r="AJ621" s="8"/>
      <c r="AK621" s="8"/>
      <c r="AL621" s="8"/>
      <c r="AM621" s="9"/>
      <c r="AO621" s="8"/>
      <c r="AP621" s="9"/>
    </row>
    <row r="622" spans="20:42" ht="12.75" customHeight="1" x14ac:dyDescent="0.2">
      <c r="T622" s="3"/>
      <c r="U622" s="3"/>
      <c r="V622" s="9"/>
      <c r="W622" s="9"/>
      <c r="X622" s="9"/>
      <c r="Y622" s="9"/>
      <c r="Z622" s="9"/>
      <c r="AA622" s="9"/>
      <c r="AC622" s="9"/>
      <c r="AD622" s="9"/>
      <c r="AE622" s="8"/>
      <c r="AF622" s="8"/>
      <c r="AG622" s="8"/>
      <c r="AH622" s="9"/>
      <c r="AI622" s="8"/>
      <c r="AJ622" s="8"/>
      <c r="AK622" s="8"/>
      <c r="AL622" s="8"/>
      <c r="AM622" s="9"/>
      <c r="AO622" s="8"/>
      <c r="AP622" s="9"/>
    </row>
    <row r="623" spans="20:42" ht="12.75" customHeight="1" x14ac:dyDescent="0.2">
      <c r="T623" s="3"/>
      <c r="U623" s="3"/>
      <c r="V623" s="9"/>
      <c r="W623" s="9"/>
      <c r="X623" s="9"/>
      <c r="Y623" s="9"/>
      <c r="Z623" s="9"/>
      <c r="AA623" s="9"/>
      <c r="AC623" s="9"/>
      <c r="AD623" s="9"/>
      <c r="AE623" s="8"/>
      <c r="AF623" s="8"/>
      <c r="AG623" s="8"/>
      <c r="AH623" s="9"/>
      <c r="AI623" s="8"/>
      <c r="AJ623" s="8"/>
      <c r="AK623" s="8"/>
      <c r="AL623" s="8"/>
      <c r="AM623" s="9"/>
      <c r="AO623" s="8"/>
      <c r="AP623" s="9"/>
    </row>
    <row r="624" spans="20:42" ht="12.75" customHeight="1" x14ac:dyDescent="0.2">
      <c r="T624" s="3"/>
      <c r="U624" s="3"/>
      <c r="V624" s="9"/>
      <c r="W624" s="9"/>
      <c r="X624" s="9"/>
      <c r="Y624" s="9"/>
      <c r="Z624" s="9"/>
      <c r="AA624" s="9"/>
      <c r="AC624" s="9"/>
      <c r="AD624" s="9"/>
      <c r="AE624" s="8"/>
      <c r="AF624" s="8"/>
      <c r="AG624" s="8"/>
      <c r="AH624" s="9"/>
      <c r="AI624" s="8"/>
      <c r="AJ624" s="8"/>
      <c r="AK624" s="8"/>
      <c r="AL624" s="8"/>
      <c r="AM624" s="9"/>
      <c r="AO624" s="8"/>
      <c r="AP624" s="9"/>
    </row>
    <row r="625" spans="20:42" ht="12.75" customHeight="1" x14ac:dyDescent="0.2">
      <c r="T625" s="3"/>
      <c r="U625" s="3"/>
      <c r="V625" s="9"/>
      <c r="W625" s="9"/>
      <c r="X625" s="9"/>
      <c r="Y625" s="9"/>
      <c r="Z625" s="9"/>
      <c r="AA625" s="9"/>
      <c r="AC625" s="9"/>
      <c r="AD625" s="9"/>
      <c r="AE625" s="8"/>
      <c r="AF625" s="8"/>
      <c r="AG625" s="8"/>
      <c r="AH625" s="9"/>
      <c r="AI625" s="8"/>
      <c r="AJ625" s="8"/>
      <c r="AK625" s="8"/>
      <c r="AL625" s="8"/>
      <c r="AM625" s="9"/>
      <c r="AO625" s="8"/>
      <c r="AP625" s="9"/>
    </row>
    <row r="626" spans="20:42" ht="12.75" customHeight="1" x14ac:dyDescent="0.2">
      <c r="T626" s="3"/>
      <c r="U626" s="3"/>
      <c r="V626" s="9"/>
      <c r="W626" s="9"/>
      <c r="X626" s="9"/>
      <c r="Y626" s="9"/>
      <c r="Z626" s="9"/>
      <c r="AA626" s="9"/>
      <c r="AC626" s="9"/>
      <c r="AD626" s="9"/>
      <c r="AE626" s="8"/>
      <c r="AF626" s="8"/>
      <c r="AG626" s="8"/>
      <c r="AH626" s="9"/>
      <c r="AI626" s="8"/>
      <c r="AJ626" s="8"/>
      <c r="AK626" s="8"/>
      <c r="AL626" s="8"/>
      <c r="AM626" s="9"/>
      <c r="AO626" s="8"/>
      <c r="AP626" s="9"/>
    </row>
    <row r="627" spans="20:42" ht="12.75" customHeight="1" x14ac:dyDescent="0.2">
      <c r="T627" s="3"/>
      <c r="U627" s="3"/>
      <c r="V627" s="9"/>
      <c r="W627" s="9"/>
      <c r="X627" s="9"/>
      <c r="Y627" s="9"/>
      <c r="Z627" s="9"/>
      <c r="AA627" s="9"/>
      <c r="AC627" s="9"/>
      <c r="AD627" s="9"/>
      <c r="AE627" s="8"/>
      <c r="AF627" s="8"/>
      <c r="AG627" s="8"/>
      <c r="AH627" s="9"/>
      <c r="AI627" s="8"/>
      <c r="AJ627" s="8"/>
      <c r="AK627" s="8"/>
      <c r="AL627" s="8"/>
      <c r="AM627" s="9"/>
      <c r="AO627" s="8"/>
      <c r="AP627" s="9"/>
    </row>
    <row r="628" spans="20:42" ht="12.75" customHeight="1" x14ac:dyDescent="0.2">
      <c r="T628" s="3"/>
      <c r="U628" s="3"/>
      <c r="V628" s="9"/>
      <c r="W628" s="9"/>
      <c r="X628" s="9"/>
      <c r="Y628" s="9"/>
      <c r="Z628" s="9"/>
      <c r="AA628" s="9"/>
      <c r="AC628" s="9"/>
      <c r="AD628" s="9"/>
      <c r="AE628" s="8"/>
      <c r="AF628" s="8"/>
      <c r="AG628" s="8"/>
      <c r="AH628" s="9"/>
      <c r="AI628" s="8"/>
      <c r="AJ628" s="8"/>
      <c r="AK628" s="8"/>
      <c r="AL628" s="8"/>
      <c r="AM628" s="9"/>
      <c r="AO628" s="8"/>
      <c r="AP628" s="9"/>
    </row>
    <row r="629" spans="20:42" ht="12.75" customHeight="1" x14ac:dyDescent="0.2">
      <c r="T629" s="3"/>
      <c r="U629" s="3"/>
      <c r="V629" s="9"/>
      <c r="W629" s="9"/>
      <c r="X629" s="9"/>
      <c r="Y629" s="9"/>
      <c r="Z629" s="9"/>
      <c r="AA629" s="9"/>
      <c r="AC629" s="9"/>
      <c r="AD629" s="9"/>
      <c r="AE629" s="8"/>
      <c r="AF629" s="8"/>
      <c r="AG629" s="8"/>
      <c r="AH629" s="9"/>
      <c r="AI629" s="8"/>
      <c r="AJ629" s="8"/>
      <c r="AK629" s="8"/>
      <c r="AL629" s="8"/>
      <c r="AM629" s="9"/>
      <c r="AO629" s="8"/>
      <c r="AP629" s="9"/>
    </row>
    <row r="630" spans="20:42" ht="12.75" customHeight="1" x14ac:dyDescent="0.2">
      <c r="T630" s="3"/>
      <c r="U630" s="3"/>
      <c r="V630" s="9"/>
      <c r="W630" s="9"/>
      <c r="X630" s="9"/>
      <c r="Y630" s="9"/>
      <c r="Z630" s="9"/>
      <c r="AA630" s="9"/>
      <c r="AC630" s="9"/>
      <c r="AD630" s="9"/>
      <c r="AE630" s="8"/>
      <c r="AF630" s="8"/>
      <c r="AG630" s="8"/>
      <c r="AH630" s="9"/>
      <c r="AI630" s="8"/>
      <c r="AJ630" s="8"/>
      <c r="AK630" s="8"/>
      <c r="AL630" s="8"/>
      <c r="AM630" s="9"/>
      <c r="AO630" s="8"/>
      <c r="AP630" s="9"/>
    </row>
    <row r="631" spans="20:42" ht="12.75" customHeight="1" x14ac:dyDescent="0.2">
      <c r="T631" s="3"/>
      <c r="U631" s="3"/>
      <c r="V631" s="9"/>
      <c r="W631" s="9"/>
      <c r="X631" s="9"/>
      <c r="Y631" s="9"/>
      <c r="Z631" s="9"/>
      <c r="AA631" s="9"/>
      <c r="AC631" s="9"/>
      <c r="AD631" s="9"/>
      <c r="AE631" s="8"/>
      <c r="AF631" s="8"/>
      <c r="AG631" s="8"/>
      <c r="AH631" s="9"/>
      <c r="AI631" s="8"/>
      <c r="AJ631" s="8"/>
      <c r="AK631" s="8"/>
      <c r="AL631" s="8"/>
      <c r="AM631" s="9"/>
      <c r="AO631" s="8"/>
      <c r="AP631" s="9"/>
    </row>
    <row r="632" spans="20:42" ht="12.75" customHeight="1" x14ac:dyDescent="0.2">
      <c r="T632" s="3"/>
      <c r="U632" s="3"/>
      <c r="V632" s="9"/>
      <c r="W632" s="9"/>
      <c r="X632" s="9"/>
      <c r="Y632" s="9"/>
      <c r="Z632" s="9"/>
      <c r="AA632" s="9"/>
      <c r="AC632" s="9"/>
      <c r="AD632" s="9"/>
      <c r="AE632" s="8"/>
      <c r="AF632" s="8"/>
      <c r="AG632" s="8"/>
      <c r="AH632" s="9"/>
      <c r="AI632" s="8"/>
      <c r="AJ632" s="8"/>
      <c r="AK632" s="8"/>
      <c r="AL632" s="8"/>
      <c r="AM632" s="9"/>
      <c r="AO632" s="8"/>
      <c r="AP632" s="9"/>
    </row>
    <row r="633" spans="20:42" ht="12.75" customHeight="1" x14ac:dyDescent="0.2">
      <c r="T633" s="3"/>
      <c r="U633" s="3"/>
      <c r="V633" s="9"/>
      <c r="W633" s="9"/>
      <c r="X633" s="9"/>
      <c r="Y633" s="9"/>
      <c r="Z633" s="9"/>
      <c r="AA633" s="9"/>
      <c r="AC633" s="9"/>
      <c r="AD633" s="9"/>
      <c r="AE633" s="8"/>
      <c r="AF633" s="8"/>
      <c r="AG633" s="8"/>
      <c r="AH633" s="9"/>
      <c r="AI633" s="8"/>
      <c r="AJ633" s="8"/>
      <c r="AK633" s="8"/>
      <c r="AL633" s="8"/>
      <c r="AM633" s="9"/>
      <c r="AO633" s="8"/>
      <c r="AP633" s="9"/>
    </row>
    <row r="634" spans="20:42" ht="12.75" customHeight="1" x14ac:dyDescent="0.2">
      <c r="T634" s="3"/>
      <c r="U634" s="3"/>
      <c r="V634" s="9"/>
      <c r="W634" s="9"/>
      <c r="X634" s="9"/>
      <c r="Y634" s="9"/>
      <c r="Z634" s="9"/>
      <c r="AA634" s="9"/>
      <c r="AC634" s="9"/>
      <c r="AD634" s="9"/>
      <c r="AE634" s="8"/>
      <c r="AF634" s="8"/>
      <c r="AG634" s="8"/>
      <c r="AH634" s="9"/>
      <c r="AI634" s="8"/>
      <c r="AJ634" s="8"/>
      <c r="AK634" s="8"/>
      <c r="AL634" s="8"/>
      <c r="AM634" s="9"/>
      <c r="AO634" s="8"/>
      <c r="AP634" s="9"/>
    </row>
    <row r="635" spans="20:42" ht="12.75" customHeight="1" x14ac:dyDescent="0.2">
      <c r="T635" s="3"/>
      <c r="U635" s="3"/>
      <c r="V635" s="9"/>
      <c r="W635" s="9"/>
      <c r="X635" s="9"/>
      <c r="Y635" s="9"/>
      <c r="Z635" s="9"/>
      <c r="AA635" s="9"/>
      <c r="AC635" s="9"/>
      <c r="AD635" s="9"/>
      <c r="AE635" s="8"/>
      <c r="AF635" s="8"/>
      <c r="AG635" s="8"/>
      <c r="AH635" s="9"/>
      <c r="AI635" s="8"/>
      <c r="AJ635" s="8"/>
      <c r="AK635" s="8"/>
      <c r="AL635" s="8"/>
      <c r="AM635" s="9"/>
      <c r="AO635" s="8"/>
      <c r="AP635" s="9"/>
    </row>
    <row r="636" spans="20:42" ht="12.75" customHeight="1" x14ac:dyDescent="0.2">
      <c r="T636" s="3"/>
      <c r="U636" s="3"/>
      <c r="V636" s="9"/>
      <c r="W636" s="9"/>
      <c r="X636" s="9"/>
      <c r="Y636" s="9"/>
      <c r="Z636" s="9"/>
      <c r="AA636" s="9"/>
      <c r="AC636" s="9"/>
      <c r="AD636" s="9"/>
      <c r="AE636" s="8"/>
      <c r="AF636" s="8"/>
      <c r="AG636" s="8"/>
      <c r="AH636" s="9"/>
      <c r="AI636" s="8"/>
      <c r="AJ636" s="8"/>
      <c r="AK636" s="8"/>
      <c r="AL636" s="8"/>
      <c r="AM636" s="9"/>
      <c r="AO636" s="8"/>
      <c r="AP636" s="9"/>
    </row>
    <row r="637" spans="20:42" ht="12.75" customHeight="1" x14ac:dyDescent="0.2">
      <c r="T637" s="3"/>
      <c r="U637" s="3"/>
      <c r="V637" s="9"/>
      <c r="W637" s="9"/>
      <c r="X637" s="9"/>
      <c r="Y637" s="9"/>
      <c r="Z637" s="9"/>
      <c r="AA637" s="9"/>
      <c r="AC637" s="9"/>
      <c r="AD637" s="9"/>
      <c r="AE637" s="8"/>
      <c r="AF637" s="8"/>
      <c r="AG637" s="8"/>
      <c r="AH637" s="9"/>
      <c r="AI637" s="8"/>
      <c r="AJ637" s="8"/>
      <c r="AK637" s="8"/>
      <c r="AL637" s="8"/>
      <c r="AM637" s="9"/>
      <c r="AO637" s="8"/>
      <c r="AP637" s="9"/>
    </row>
    <row r="638" spans="20:42" ht="12.75" customHeight="1" x14ac:dyDescent="0.2">
      <c r="T638" s="3"/>
      <c r="U638" s="3"/>
      <c r="V638" s="9"/>
      <c r="W638" s="9"/>
      <c r="X638" s="9"/>
      <c r="Y638" s="9"/>
      <c r="Z638" s="9"/>
      <c r="AA638" s="9"/>
      <c r="AC638" s="9"/>
      <c r="AD638" s="9"/>
      <c r="AE638" s="8"/>
      <c r="AF638" s="8"/>
      <c r="AG638" s="8"/>
      <c r="AH638" s="9"/>
      <c r="AI638" s="8"/>
      <c r="AJ638" s="8"/>
      <c r="AK638" s="8"/>
      <c r="AL638" s="8"/>
      <c r="AM638" s="9"/>
      <c r="AO638" s="8"/>
      <c r="AP638" s="9"/>
    </row>
    <row r="639" spans="20:42" ht="12.75" customHeight="1" x14ac:dyDescent="0.2">
      <c r="T639" s="3"/>
      <c r="U639" s="3"/>
      <c r="V639" s="9"/>
      <c r="W639" s="9"/>
      <c r="X639" s="9"/>
      <c r="Y639" s="9"/>
      <c r="Z639" s="9"/>
      <c r="AA639" s="9"/>
      <c r="AC639" s="9"/>
      <c r="AD639" s="9"/>
      <c r="AE639" s="8"/>
      <c r="AF639" s="8"/>
      <c r="AG639" s="8"/>
      <c r="AH639" s="9"/>
      <c r="AI639" s="8"/>
      <c r="AJ639" s="8"/>
      <c r="AK639" s="8"/>
      <c r="AL639" s="8"/>
      <c r="AM639" s="9"/>
      <c r="AO639" s="8"/>
      <c r="AP639" s="9"/>
    </row>
    <row r="640" spans="20:42" ht="12.75" customHeight="1" x14ac:dyDescent="0.2">
      <c r="T640" s="3"/>
      <c r="U640" s="3"/>
      <c r="V640" s="9"/>
      <c r="W640" s="9"/>
      <c r="X640" s="9"/>
      <c r="Y640" s="9"/>
      <c r="Z640" s="9"/>
      <c r="AA640" s="9"/>
      <c r="AC640" s="9"/>
      <c r="AD640" s="9"/>
      <c r="AE640" s="8"/>
      <c r="AF640" s="8"/>
      <c r="AG640" s="8"/>
      <c r="AH640" s="9"/>
      <c r="AI640" s="8"/>
      <c r="AJ640" s="8"/>
      <c r="AK640" s="8"/>
      <c r="AL640" s="8"/>
      <c r="AM640" s="9"/>
      <c r="AO640" s="8"/>
      <c r="AP640" s="9"/>
    </row>
    <row r="641" spans="20:42" ht="12.75" customHeight="1" x14ac:dyDescent="0.2">
      <c r="T641" s="3"/>
      <c r="U641" s="3"/>
      <c r="V641" s="9"/>
      <c r="W641" s="9"/>
      <c r="X641" s="9"/>
      <c r="Y641" s="9"/>
      <c r="Z641" s="9"/>
      <c r="AA641" s="9"/>
      <c r="AC641" s="9"/>
      <c r="AD641" s="9"/>
      <c r="AE641" s="8"/>
      <c r="AF641" s="8"/>
      <c r="AG641" s="8"/>
      <c r="AH641" s="9"/>
      <c r="AI641" s="8"/>
      <c r="AJ641" s="8"/>
      <c r="AK641" s="8"/>
      <c r="AL641" s="8"/>
      <c r="AM641" s="9"/>
      <c r="AO641" s="8"/>
      <c r="AP641" s="9"/>
    </row>
    <row r="642" spans="20:42" ht="12.75" customHeight="1" x14ac:dyDescent="0.2">
      <c r="T642" s="3"/>
      <c r="U642" s="3"/>
      <c r="V642" s="9"/>
      <c r="W642" s="9"/>
      <c r="X642" s="9"/>
      <c r="Y642" s="9"/>
      <c r="Z642" s="9"/>
      <c r="AA642" s="9"/>
      <c r="AC642" s="9"/>
      <c r="AD642" s="9"/>
      <c r="AE642" s="8"/>
      <c r="AF642" s="8"/>
      <c r="AG642" s="8"/>
      <c r="AH642" s="9"/>
      <c r="AI642" s="8"/>
      <c r="AJ642" s="8"/>
      <c r="AK642" s="8"/>
      <c r="AL642" s="8"/>
      <c r="AM642" s="9"/>
      <c r="AO642" s="8"/>
      <c r="AP642" s="9"/>
    </row>
    <row r="643" spans="20:42" ht="12.75" customHeight="1" x14ac:dyDescent="0.2">
      <c r="T643" s="3"/>
      <c r="U643" s="3"/>
      <c r="V643" s="9"/>
      <c r="W643" s="9"/>
      <c r="X643" s="9"/>
      <c r="Y643" s="9"/>
      <c r="Z643" s="9"/>
      <c r="AA643" s="9"/>
      <c r="AC643" s="9"/>
      <c r="AD643" s="9"/>
      <c r="AE643" s="8"/>
      <c r="AF643" s="8"/>
      <c r="AG643" s="8"/>
      <c r="AH643" s="9"/>
      <c r="AI643" s="8"/>
      <c r="AJ643" s="8"/>
      <c r="AK643" s="8"/>
      <c r="AL643" s="8"/>
      <c r="AM643" s="9"/>
      <c r="AO643" s="8"/>
      <c r="AP643" s="9"/>
    </row>
    <row r="644" spans="20:42" ht="12.75" customHeight="1" x14ac:dyDescent="0.2">
      <c r="T644" s="3"/>
      <c r="U644" s="3"/>
      <c r="V644" s="9"/>
      <c r="W644" s="9"/>
      <c r="X644" s="9"/>
      <c r="Y644" s="9"/>
      <c r="Z644" s="9"/>
      <c r="AA644" s="9"/>
      <c r="AC644" s="9"/>
      <c r="AD644" s="9"/>
      <c r="AE644" s="8"/>
      <c r="AF644" s="8"/>
      <c r="AG644" s="8"/>
      <c r="AH644" s="9"/>
      <c r="AI644" s="8"/>
      <c r="AJ644" s="8"/>
      <c r="AK644" s="8"/>
      <c r="AL644" s="8"/>
      <c r="AM644" s="9"/>
      <c r="AO644" s="8"/>
      <c r="AP644" s="9"/>
    </row>
    <row r="645" spans="20:42" ht="12.75" customHeight="1" x14ac:dyDescent="0.2">
      <c r="T645" s="3"/>
      <c r="U645" s="3"/>
      <c r="V645" s="9"/>
      <c r="W645" s="9"/>
      <c r="X645" s="9"/>
      <c r="Y645" s="9"/>
      <c r="Z645" s="9"/>
      <c r="AA645" s="9"/>
      <c r="AC645" s="9"/>
      <c r="AD645" s="9"/>
      <c r="AE645" s="8"/>
      <c r="AF645" s="8"/>
      <c r="AG645" s="8"/>
      <c r="AH645" s="9"/>
      <c r="AI645" s="8"/>
      <c r="AJ645" s="8"/>
      <c r="AK645" s="8"/>
      <c r="AL645" s="8"/>
      <c r="AM645" s="9"/>
      <c r="AO645" s="8"/>
      <c r="AP645" s="9"/>
    </row>
    <row r="646" spans="20:42" ht="12.75" customHeight="1" x14ac:dyDescent="0.2">
      <c r="T646" s="3"/>
      <c r="U646" s="3"/>
      <c r="V646" s="9"/>
      <c r="W646" s="9"/>
      <c r="X646" s="9"/>
      <c r="Y646" s="9"/>
      <c r="Z646" s="9"/>
      <c r="AA646" s="9"/>
      <c r="AC646" s="9"/>
      <c r="AD646" s="9"/>
      <c r="AE646" s="8"/>
      <c r="AF646" s="8"/>
      <c r="AG646" s="8"/>
      <c r="AH646" s="9"/>
      <c r="AI646" s="8"/>
      <c r="AJ646" s="8"/>
      <c r="AK646" s="8"/>
      <c r="AL646" s="8"/>
      <c r="AM646" s="9"/>
      <c r="AO646" s="8"/>
      <c r="AP646" s="9"/>
    </row>
    <row r="647" spans="20:42" ht="12.75" customHeight="1" x14ac:dyDescent="0.2">
      <c r="T647" s="3"/>
      <c r="U647" s="3"/>
      <c r="V647" s="9"/>
      <c r="W647" s="9"/>
      <c r="X647" s="9"/>
      <c r="Y647" s="9"/>
      <c r="Z647" s="9"/>
      <c r="AA647" s="9"/>
      <c r="AC647" s="9"/>
      <c r="AD647" s="9"/>
      <c r="AE647" s="8"/>
      <c r="AF647" s="8"/>
      <c r="AG647" s="8"/>
      <c r="AH647" s="9"/>
      <c r="AI647" s="8"/>
      <c r="AJ647" s="8"/>
      <c r="AK647" s="8"/>
      <c r="AL647" s="8"/>
      <c r="AM647" s="9"/>
      <c r="AO647" s="8"/>
      <c r="AP647" s="9"/>
    </row>
    <row r="648" spans="20:42" ht="12.75" customHeight="1" x14ac:dyDescent="0.2">
      <c r="T648" s="3"/>
      <c r="U648" s="3"/>
      <c r="V648" s="9"/>
      <c r="W648" s="9"/>
      <c r="X648" s="9"/>
      <c r="Y648" s="9"/>
      <c r="Z648" s="9"/>
      <c r="AA648" s="9"/>
      <c r="AC648" s="9"/>
      <c r="AD648" s="9"/>
      <c r="AE648" s="8"/>
      <c r="AF648" s="8"/>
      <c r="AG648" s="8"/>
      <c r="AH648" s="9"/>
      <c r="AI648" s="8"/>
      <c r="AJ648" s="8"/>
      <c r="AK648" s="8"/>
      <c r="AL648" s="8"/>
      <c r="AM648" s="9"/>
      <c r="AO648" s="8"/>
      <c r="AP648" s="9"/>
    </row>
    <row r="649" spans="20:42" ht="12.75" customHeight="1" x14ac:dyDescent="0.2">
      <c r="T649" s="3"/>
      <c r="U649" s="3"/>
      <c r="V649" s="9"/>
      <c r="W649" s="9"/>
      <c r="X649" s="9"/>
      <c r="Y649" s="9"/>
      <c r="Z649" s="9"/>
      <c r="AA649" s="9"/>
      <c r="AC649" s="9"/>
      <c r="AD649" s="9"/>
      <c r="AE649" s="8"/>
      <c r="AF649" s="8"/>
      <c r="AG649" s="8"/>
      <c r="AH649" s="9"/>
      <c r="AI649" s="8"/>
      <c r="AJ649" s="8"/>
      <c r="AK649" s="8"/>
      <c r="AL649" s="8"/>
      <c r="AM649" s="9"/>
      <c r="AO649" s="8"/>
      <c r="AP649" s="9"/>
    </row>
    <row r="650" spans="20:42" ht="12.75" customHeight="1" x14ac:dyDescent="0.2">
      <c r="T650" s="3"/>
      <c r="U650" s="3"/>
      <c r="V650" s="9"/>
      <c r="W650" s="9"/>
      <c r="X650" s="9"/>
      <c r="Y650" s="9"/>
      <c r="Z650" s="9"/>
      <c r="AA650" s="9"/>
      <c r="AC650" s="9"/>
      <c r="AD650" s="9"/>
      <c r="AE650" s="8"/>
      <c r="AF650" s="8"/>
      <c r="AG650" s="8"/>
      <c r="AH650" s="9"/>
      <c r="AI650" s="8"/>
      <c r="AJ650" s="8"/>
      <c r="AK650" s="8"/>
      <c r="AL650" s="8"/>
      <c r="AM650" s="9"/>
      <c r="AO650" s="8"/>
      <c r="AP650" s="9"/>
    </row>
    <row r="651" spans="20:42" ht="12.75" customHeight="1" x14ac:dyDescent="0.2">
      <c r="T651" s="3"/>
      <c r="U651" s="3"/>
      <c r="V651" s="9"/>
      <c r="W651" s="9"/>
      <c r="X651" s="9"/>
      <c r="Y651" s="9"/>
      <c r="Z651" s="9"/>
      <c r="AA651" s="9"/>
      <c r="AC651" s="9"/>
      <c r="AD651" s="9"/>
      <c r="AE651" s="8"/>
      <c r="AF651" s="8"/>
      <c r="AG651" s="8"/>
      <c r="AH651" s="9"/>
      <c r="AI651" s="8"/>
      <c r="AJ651" s="8"/>
      <c r="AK651" s="8"/>
      <c r="AL651" s="8"/>
      <c r="AM651" s="9"/>
      <c r="AO651" s="8"/>
      <c r="AP651" s="9"/>
    </row>
    <row r="652" spans="20:42" ht="12.75" customHeight="1" x14ac:dyDescent="0.2">
      <c r="T652" s="3"/>
      <c r="U652" s="3"/>
      <c r="V652" s="9"/>
      <c r="W652" s="9"/>
      <c r="X652" s="9"/>
      <c r="Y652" s="9"/>
      <c r="Z652" s="9"/>
      <c r="AA652" s="9"/>
      <c r="AC652" s="9"/>
      <c r="AD652" s="9"/>
      <c r="AE652" s="8"/>
      <c r="AF652" s="8"/>
      <c r="AG652" s="8"/>
      <c r="AH652" s="9"/>
      <c r="AI652" s="8"/>
      <c r="AJ652" s="8"/>
      <c r="AK652" s="8"/>
      <c r="AL652" s="8"/>
      <c r="AM652" s="9"/>
      <c r="AO652" s="8"/>
      <c r="AP652" s="9"/>
    </row>
    <row r="653" spans="20:42" ht="12.75" customHeight="1" x14ac:dyDescent="0.2">
      <c r="T653" s="3"/>
      <c r="U653" s="3"/>
      <c r="V653" s="9"/>
      <c r="W653" s="9"/>
      <c r="X653" s="9"/>
      <c r="Y653" s="9"/>
      <c r="Z653" s="9"/>
      <c r="AA653" s="9"/>
      <c r="AC653" s="9"/>
      <c r="AD653" s="9"/>
      <c r="AE653" s="8"/>
      <c r="AF653" s="8"/>
      <c r="AG653" s="8"/>
      <c r="AH653" s="9"/>
      <c r="AI653" s="8"/>
      <c r="AJ653" s="8"/>
      <c r="AK653" s="8"/>
      <c r="AL653" s="8"/>
      <c r="AM653" s="9"/>
      <c r="AO653" s="8"/>
      <c r="AP653" s="9"/>
    </row>
    <row r="654" spans="20:42" ht="12.75" customHeight="1" x14ac:dyDescent="0.2">
      <c r="T654" s="3"/>
      <c r="U654" s="3"/>
      <c r="V654" s="9"/>
      <c r="W654" s="9"/>
      <c r="X654" s="9"/>
      <c r="Y654" s="9"/>
      <c r="Z654" s="9"/>
      <c r="AA654" s="9"/>
      <c r="AC654" s="9"/>
      <c r="AD654" s="9"/>
      <c r="AE654" s="8"/>
      <c r="AF654" s="8"/>
      <c r="AG654" s="8"/>
      <c r="AH654" s="9"/>
      <c r="AI654" s="8"/>
      <c r="AJ654" s="8"/>
      <c r="AK654" s="8"/>
      <c r="AL654" s="8"/>
      <c r="AM654" s="9"/>
      <c r="AO654" s="8"/>
      <c r="AP654" s="9"/>
    </row>
    <row r="655" spans="20:42" ht="12.75" customHeight="1" x14ac:dyDescent="0.2">
      <c r="T655" s="3"/>
      <c r="U655" s="3"/>
      <c r="V655" s="9"/>
      <c r="W655" s="9"/>
      <c r="X655" s="9"/>
      <c r="Y655" s="9"/>
      <c r="Z655" s="9"/>
      <c r="AA655" s="9"/>
      <c r="AC655" s="9"/>
      <c r="AD655" s="9"/>
      <c r="AE655" s="8"/>
      <c r="AF655" s="8"/>
      <c r="AG655" s="8"/>
      <c r="AH655" s="9"/>
      <c r="AI655" s="8"/>
      <c r="AJ655" s="8"/>
      <c r="AK655" s="8"/>
      <c r="AL655" s="8"/>
      <c r="AM655" s="9"/>
      <c r="AO655" s="8"/>
      <c r="AP655" s="9"/>
    </row>
    <row r="656" spans="20:42" ht="12.75" customHeight="1" x14ac:dyDescent="0.2">
      <c r="T656" s="3"/>
      <c r="U656" s="3"/>
      <c r="V656" s="9"/>
      <c r="W656" s="9"/>
      <c r="X656" s="9"/>
      <c r="Y656" s="9"/>
      <c r="Z656" s="9"/>
      <c r="AA656" s="9"/>
      <c r="AC656" s="9"/>
      <c r="AD656" s="9"/>
      <c r="AE656" s="8"/>
      <c r="AF656" s="8"/>
      <c r="AG656" s="8"/>
      <c r="AH656" s="9"/>
      <c r="AI656" s="8"/>
      <c r="AJ656" s="8"/>
      <c r="AK656" s="8"/>
      <c r="AL656" s="8"/>
      <c r="AM656" s="9"/>
      <c r="AO656" s="8"/>
      <c r="AP656" s="9"/>
    </row>
    <row r="657" spans="20:42" ht="12.75" customHeight="1" x14ac:dyDescent="0.2">
      <c r="T657" s="3"/>
      <c r="U657" s="3"/>
      <c r="V657" s="9"/>
      <c r="W657" s="9"/>
      <c r="X657" s="9"/>
      <c r="Y657" s="9"/>
      <c r="Z657" s="9"/>
      <c r="AA657" s="9"/>
      <c r="AC657" s="9"/>
      <c r="AD657" s="9"/>
      <c r="AE657" s="8"/>
      <c r="AF657" s="8"/>
      <c r="AG657" s="8"/>
      <c r="AH657" s="9"/>
      <c r="AI657" s="8"/>
      <c r="AJ657" s="8"/>
      <c r="AK657" s="8"/>
      <c r="AL657" s="8"/>
      <c r="AM657" s="9"/>
      <c r="AO657" s="8"/>
      <c r="AP657" s="9"/>
    </row>
    <row r="658" spans="20:42" ht="12.75" customHeight="1" x14ac:dyDescent="0.2">
      <c r="T658" s="3"/>
      <c r="U658" s="3"/>
      <c r="V658" s="9"/>
      <c r="W658" s="9"/>
      <c r="X658" s="9"/>
      <c r="Y658" s="9"/>
      <c r="Z658" s="9"/>
      <c r="AA658" s="9"/>
      <c r="AC658" s="9"/>
      <c r="AD658" s="9"/>
      <c r="AE658" s="8"/>
      <c r="AF658" s="8"/>
      <c r="AG658" s="8"/>
      <c r="AH658" s="9"/>
      <c r="AI658" s="8"/>
      <c r="AJ658" s="8"/>
      <c r="AK658" s="8"/>
      <c r="AL658" s="8"/>
      <c r="AM658" s="9"/>
      <c r="AO658" s="8"/>
      <c r="AP658" s="9"/>
    </row>
    <row r="659" spans="20:42" ht="12.75" customHeight="1" x14ac:dyDescent="0.2">
      <c r="T659" s="3"/>
      <c r="U659" s="3"/>
      <c r="V659" s="9"/>
      <c r="W659" s="9"/>
      <c r="X659" s="9"/>
      <c r="Y659" s="9"/>
      <c r="Z659" s="9"/>
      <c r="AA659" s="9"/>
      <c r="AC659" s="9"/>
      <c r="AD659" s="9"/>
      <c r="AE659" s="8"/>
      <c r="AF659" s="8"/>
      <c r="AG659" s="8"/>
      <c r="AH659" s="9"/>
      <c r="AI659" s="8"/>
      <c r="AJ659" s="8"/>
      <c r="AK659" s="8"/>
      <c r="AL659" s="8"/>
      <c r="AM659" s="9"/>
      <c r="AO659" s="8"/>
      <c r="AP659" s="9"/>
    </row>
    <row r="660" spans="20:42" ht="12.75" customHeight="1" x14ac:dyDescent="0.2">
      <c r="T660" s="3"/>
      <c r="U660" s="3"/>
      <c r="V660" s="9"/>
      <c r="W660" s="9"/>
      <c r="X660" s="9"/>
      <c r="Y660" s="9"/>
      <c r="Z660" s="9"/>
      <c r="AA660" s="9"/>
      <c r="AC660" s="9"/>
      <c r="AD660" s="9"/>
      <c r="AE660" s="8"/>
      <c r="AF660" s="8"/>
      <c r="AG660" s="8"/>
      <c r="AH660" s="9"/>
      <c r="AI660" s="8"/>
      <c r="AJ660" s="8"/>
      <c r="AK660" s="8"/>
      <c r="AL660" s="8"/>
      <c r="AM660" s="9"/>
      <c r="AO660" s="8"/>
      <c r="AP660" s="9"/>
    </row>
    <row r="661" spans="20:42" ht="12.75" customHeight="1" x14ac:dyDescent="0.2">
      <c r="T661" s="3"/>
      <c r="U661" s="3"/>
      <c r="V661" s="9"/>
      <c r="W661" s="9"/>
      <c r="X661" s="9"/>
      <c r="Y661" s="9"/>
      <c r="Z661" s="9"/>
      <c r="AA661" s="9"/>
      <c r="AC661" s="9"/>
      <c r="AD661" s="9"/>
      <c r="AE661" s="8"/>
      <c r="AF661" s="8"/>
      <c r="AG661" s="8"/>
      <c r="AH661" s="9"/>
      <c r="AI661" s="8"/>
      <c r="AJ661" s="8"/>
      <c r="AK661" s="8"/>
      <c r="AL661" s="8"/>
      <c r="AM661" s="9"/>
      <c r="AO661" s="8"/>
      <c r="AP661" s="9"/>
    </row>
    <row r="662" spans="20:42" ht="12.75" customHeight="1" x14ac:dyDescent="0.2">
      <c r="T662" s="3"/>
      <c r="U662" s="3"/>
      <c r="V662" s="9"/>
      <c r="W662" s="9"/>
      <c r="X662" s="9"/>
      <c r="Y662" s="9"/>
      <c r="Z662" s="9"/>
      <c r="AA662" s="9"/>
      <c r="AC662" s="9"/>
      <c r="AD662" s="9"/>
      <c r="AE662" s="8"/>
      <c r="AF662" s="8"/>
      <c r="AG662" s="8"/>
      <c r="AH662" s="9"/>
      <c r="AI662" s="8"/>
      <c r="AJ662" s="8"/>
      <c r="AK662" s="8"/>
      <c r="AL662" s="8"/>
      <c r="AM662" s="9"/>
      <c r="AO662" s="8"/>
      <c r="AP662" s="9"/>
    </row>
    <row r="663" spans="20:42" ht="12.75" customHeight="1" x14ac:dyDescent="0.2">
      <c r="T663" s="3"/>
      <c r="U663" s="3"/>
      <c r="V663" s="9"/>
      <c r="W663" s="9"/>
      <c r="X663" s="9"/>
      <c r="Y663" s="9"/>
      <c r="Z663" s="9"/>
      <c r="AA663" s="9"/>
      <c r="AC663" s="9"/>
      <c r="AD663" s="9"/>
      <c r="AE663" s="8"/>
      <c r="AF663" s="8"/>
      <c r="AG663" s="8"/>
      <c r="AH663" s="9"/>
      <c r="AI663" s="8"/>
      <c r="AJ663" s="8"/>
      <c r="AK663" s="8"/>
      <c r="AL663" s="8"/>
      <c r="AM663" s="9"/>
      <c r="AO663" s="8"/>
      <c r="AP663" s="9"/>
    </row>
    <row r="664" spans="20:42" ht="12.75" customHeight="1" x14ac:dyDescent="0.2">
      <c r="T664" s="3"/>
      <c r="U664" s="3"/>
      <c r="V664" s="9"/>
      <c r="W664" s="9"/>
      <c r="X664" s="9"/>
      <c r="Y664" s="9"/>
      <c r="Z664" s="9"/>
      <c r="AA664" s="9"/>
      <c r="AC664" s="9"/>
      <c r="AD664" s="9"/>
      <c r="AE664" s="8"/>
      <c r="AF664" s="8"/>
      <c r="AG664" s="8"/>
      <c r="AH664" s="9"/>
      <c r="AI664" s="8"/>
      <c r="AJ664" s="8"/>
      <c r="AK664" s="8"/>
      <c r="AL664" s="8"/>
      <c r="AM664" s="9"/>
      <c r="AO664" s="8"/>
      <c r="AP664" s="9"/>
    </row>
    <row r="665" spans="20:42" ht="12.75" customHeight="1" x14ac:dyDescent="0.2">
      <c r="T665" s="3"/>
      <c r="U665" s="3"/>
      <c r="V665" s="9"/>
      <c r="W665" s="9"/>
      <c r="X665" s="9"/>
      <c r="Y665" s="9"/>
      <c r="Z665" s="9"/>
      <c r="AA665" s="9"/>
      <c r="AC665" s="9"/>
      <c r="AD665" s="9"/>
      <c r="AE665" s="8"/>
      <c r="AF665" s="8"/>
      <c r="AG665" s="8"/>
      <c r="AH665" s="9"/>
      <c r="AI665" s="8"/>
      <c r="AJ665" s="8"/>
      <c r="AK665" s="8"/>
      <c r="AL665" s="8"/>
      <c r="AM665" s="9"/>
      <c r="AO665" s="8"/>
      <c r="AP665" s="9"/>
    </row>
    <row r="666" spans="20:42" ht="12.75" customHeight="1" x14ac:dyDescent="0.2">
      <c r="T666" s="3"/>
      <c r="U666" s="3"/>
      <c r="V666" s="9"/>
      <c r="W666" s="9"/>
      <c r="X666" s="9"/>
      <c r="Y666" s="9"/>
      <c r="Z666" s="9"/>
      <c r="AA666" s="9"/>
      <c r="AC666" s="9"/>
      <c r="AD666" s="9"/>
      <c r="AE666" s="8"/>
      <c r="AF666" s="8"/>
      <c r="AG666" s="8"/>
      <c r="AH666" s="9"/>
      <c r="AI666" s="8"/>
      <c r="AJ666" s="8"/>
      <c r="AK666" s="8"/>
      <c r="AL666" s="8"/>
      <c r="AM666" s="9"/>
      <c r="AO666" s="8"/>
      <c r="AP666" s="9"/>
    </row>
    <row r="667" spans="20:42" ht="12.75" customHeight="1" x14ac:dyDescent="0.2">
      <c r="T667" s="3"/>
      <c r="U667" s="3"/>
      <c r="V667" s="9"/>
      <c r="W667" s="9"/>
      <c r="X667" s="9"/>
      <c r="Y667" s="9"/>
      <c r="Z667" s="9"/>
      <c r="AA667" s="9"/>
      <c r="AC667" s="9"/>
      <c r="AD667" s="9"/>
      <c r="AE667" s="8"/>
      <c r="AF667" s="8"/>
      <c r="AG667" s="8"/>
      <c r="AH667" s="9"/>
      <c r="AI667" s="8"/>
      <c r="AJ667" s="8"/>
      <c r="AK667" s="8"/>
      <c r="AL667" s="8"/>
      <c r="AM667" s="9"/>
      <c r="AO667" s="8"/>
      <c r="AP667" s="9"/>
    </row>
    <row r="668" spans="20:42" ht="12.75" customHeight="1" x14ac:dyDescent="0.2">
      <c r="T668" s="3"/>
      <c r="U668" s="3"/>
      <c r="V668" s="9"/>
      <c r="W668" s="9"/>
      <c r="X668" s="9"/>
      <c r="Y668" s="9"/>
      <c r="Z668" s="9"/>
      <c r="AA668" s="9"/>
      <c r="AC668" s="9"/>
      <c r="AD668" s="9"/>
      <c r="AE668" s="8"/>
      <c r="AF668" s="8"/>
      <c r="AG668" s="8"/>
      <c r="AH668" s="9"/>
      <c r="AI668" s="8"/>
      <c r="AJ668" s="8"/>
      <c r="AK668" s="8"/>
      <c r="AL668" s="8"/>
      <c r="AM668" s="9"/>
      <c r="AO668" s="8"/>
      <c r="AP668" s="9"/>
    </row>
    <row r="669" spans="20:42" ht="12.75" customHeight="1" x14ac:dyDescent="0.2">
      <c r="T669" s="3"/>
      <c r="U669" s="3"/>
      <c r="V669" s="9"/>
      <c r="W669" s="9"/>
      <c r="X669" s="9"/>
      <c r="Y669" s="9"/>
      <c r="Z669" s="9"/>
      <c r="AA669" s="9"/>
      <c r="AC669" s="9"/>
      <c r="AD669" s="9"/>
      <c r="AE669" s="8"/>
      <c r="AF669" s="8"/>
      <c r="AG669" s="8"/>
      <c r="AH669" s="9"/>
      <c r="AI669" s="8"/>
      <c r="AJ669" s="8"/>
      <c r="AK669" s="8"/>
      <c r="AL669" s="8"/>
      <c r="AM669" s="9"/>
      <c r="AO669" s="8"/>
      <c r="AP669" s="9"/>
    </row>
    <row r="670" spans="20:42" ht="12.75" customHeight="1" x14ac:dyDescent="0.2">
      <c r="T670" s="3"/>
      <c r="U670" s="3"/>
      <c r="V670" s="9"/>
      <c r="W670" s="9"/>
      <c r="X670" s="9"/>
      <c r="Y670" s="9"/>
      <c r="Z670" s="9"/>
      <c r="AA670" s="9"/>
      <c r="AC670" s="9"/>
      <c r="AD670" s="9"/>
      <c r="AE670" s="8"/>
      <c r="AF670" s="8"/>
      <c r="AG670" s="8"/>
      <c r="AH670" s="9"/>
      <c r="AI670" s="8"/>
      <c r="AJ670" s="8"/>
      <c r="AK670" s="8"/>
      <c r="AL670" s="8"/>
      <c r="AM670" s="9"/>
      <c r="AO670" s="8"/>
      <c r="AP670" s="9"/>
    </row>
    <row r="671" spans="20:42" ht="12.75" customHeight="1" x14ac:dyDescent="0.2">
      <c r="T671" s="3"/>
      <c r="U671" s="3"/>
      <c r="V671" s="9"/>
      <c r="W671" s="9"/>
      <c r="X671" s="9"/>
      <c r="Y671" s="9"/>
      <c r="Z671" s="9"/>
      <c r="AA671" s="9"/>
      <c r="AC671" s="9"/>
      <c r="AD671" s="9"/>
      <c r="AE671" s="8"/>
      <c r="AF671" s="8"/>
      <c r="AG671" s="8"/>
      <c r="AH671" s="9"/>
      <c r="AI671" s="8"/>
      <c r="AJ671" s="8"/>
      <c r="AK671" s="8"/>
      <c r="AL671" s="8"/>
      <c r="AM671" s="9"/>
      <c r="AO671" s="8"/>
      <c r="AP671" s="9"/>
    </row>
    <row r="672" spans="20:42" ht="12.75" customHeight="1" x14ac:dyDescent="0.2">
      <c r="T672" s="3"/>
      <c r="U672" s="3"/>
      <c r="V672" s="9"/>
      <c r="W672" s="9"/>
      <c r="X672" s="9"/>
      <c r="Y672" s="9"/>
      <c r="Z672" s="9"/>
      <c r="AA672" s="9"/>
      <c r="AC672" s="9"/>
      <c r="AD672" s="9"/>
      <c r="AE672" s="8"/>
      <c r="AF672" s="8"/>
      <c r="AG672" s="8"/>
      <c r="AH672" s="9"/>
      <c r="AI672" s="8"/>
      <c r="AJ672" s="8"/>
      <c r="AK672" s="8"/>
      <c r="AL672" s="8"/>
      <c r="AM672" s="9"/>
      <c r="AO672" s="8"/>
      <c r="AP672" s="9"/>
    </row>
    <row r="673" spans="20:42" ht="12.75" customHeight="1" x14ac:dyDescent="0.2">
      <c r="T673" s="3"/>
      <c r="U673" s="3"/>
      <c r="V673" s="9"/>
      <c r="W673" s="9"/>
      <c r="X673" s="9"/>
      <c r="Y673" s="9"/>
      <c r="Z673" s="9"/>
      <c r="AA673" s="9"/>
      <c r="AC673" s="9"/>
      <c r="AD673" s="9"/>
      <c r="AE673" s="8"/>
      <c r="AF673" s="8"/>
      <c r="AG673" s="8"/>
      <c r="AH673" s="9"/>
      <c r="AI673" s="8"/>
      <c r="AJ673" s="8"/>
      <c r="AK673" s="8"/>
      <c r="AL673" s="8"/>
      <c r="AM673" s="9"/>
      <c r="AO673" s="8"/>
      <c r="AP673" s="9"/>
    </row>
    <row r="674" spans="20:42" ht="12.75" customHeight="1" x14ac:dyDescent="0.2">
      <c r="T674" s="3"/>
      <c r="U674" s="3"/>
      <c r="V674" s="9"/>
      <c r="W674" s="9"/>
      <c r="X674" s="9"/>
      <c r="Y674" s="9"/>
      <c r="Z674" s="9"/>
      <c r="AA674" s="9"/>
      <c r="AC674" s="9"/>
      <c r="AD674" s="9"/>
      <c r="AE674" s="8"/>
      <c r="AF674" s="8"/>
      <c r="AG674" s="8"/>
      <c r="AH674" s="9"/>
      <c r="AI674" s="8"/>
      <c r="AJ674" s="8"/>
      <c r="AK674" s="8"/>
      <c r="AL674" s="8"/>
      <c r="AM674" s="9"/>
      <c r="AO674" s="8"/>
      <c r="AP674" s="9"/>
    </row>
    <row r="675" spans="20:42" ht="12.75" customHeight="1" x14ac:dyDescent="0.2">
      <c r="T675" s="3"/>
      <c r="U675" s="3"/>
      <c r="V675" s="9"/>
      <c r="W675" s="9"/>
      <c r="X675" s="9"/>
      <c r="Y675" s="9"/>
      <c r="Z675" s="9"/>
      <c r="AA675" s="9"/>
      <c r="AC675" s="9"/>
      <c r="AD675" s="9"/>
      <c r="AE675" s="8"/>
      <c r="AF675" s="8"/>
      <c r="AG675" s="8"/>
      <c r="AH675" s="9"/>
      <c r="AI675" s="8"/>
      <c r="AJ675" s="8"/>
      <c r="AK675" s="8"/>
      <c r="AL675" s="8"/>
      <c r="AM675" s="9"/>
      <c r="AO675" s="8"/>
      <c r="AP675" s="9"/>
    </row>
    <row r="676" spans="20:42" ht="12.75" customHeight="1" x14ac:dyDescent="0.2">
      <c r="T676" s="3"/>
      <c r="U676" s="3"/>
      <c r="V676" s="9"/>
      <c r="W676" s="9"/>
      <c r="X676" s="9"/>
      <c r="Y676" s="9"/>
      <c r="Z676" s="9"/>
      <c r="AA676" s="9"/>
      <c r="AC676" s="9"/>
      <c r="AD676" s="9"/>
      <c r="AE676" s="8"/>
      <c r="AF676" s="8"/>
      <c r="AG676" s="8"/>
      <c r="AH676" s="9"/>
      <c r="AI676" s="8"/>
      <c r="AJ676" s="8"/>
      <c r="AK676" s="8"/>
      <c r="AL676" s="8"/>
      <c r="AM676" s="9"/>
      <c r="AO676" s="8"/>
      <c r="AP676" s="9"/>
    </row>
    <row r="677" spans="20:42" ht="12.75" customHeight="1" x14ac:dyDescent="0.2">
      <c r="T677" s="3"/>
      <c r="U677" s="3"/>
      <c r="V677" s="9"/>
      <c r="W677" s="9"/>
      <c r="X677" s="9"/>
      <c r="Y677" s="9"/>
      <c r="Z677" s="9"/>
      <c r="AA677" s="9"/>
      <c r="AC677" s="9"/>
      <c r="AD677" s="9"/>
      <c r="AE677" s="8"/>
      <c r="AF677" s="8"/>
      <c r="AG677" s="8"/>
      <c r="AH677" s="9"/>
      <c r="AI677" s="8"/>
      <c r="AJ677" s="8"/>
      <c r="AK677" s="8"/>
      <c r="AL677" s="8"/>
      <c r="AM677" s="9"/>
      <c r="AO677" s="8"/>
      <c r="AP677" s="9"/>
    </row>
    <row r="678" spans="20:42" ht="12.75" customHeight="1" x14ac:dyDescent="0.2">
      <c r="T678" s="3"/>
      <c r="U678" s="3"/>
      <c r="V678" s="9"/>
      <c r="W678" s="9"/>
      <c r="X678" s="9"/>
      <c r="Y678" s="9"/>
      <c r="Z678" s="9"/>
      <c r="AA678" s="9"/>
      <c r="AC678" s="9"/>
      <c r="AD678" s="9"/>
      <c r="AE678" s="8"/>
      <c r="AF678" s="8"/>
      <c r="AG678" s="8"/>
      <c r="AH678" s="9"/>
      <c r="AI678" s="8"/>
      <c r="AJ678" s="8"/>
      <c r="AK678" s="8"/>
      <c r="AL678" s="8"/>
      <c r="AM678" s="9"/>
      <c r="AO678" s="8"/>
      <c r="AP678" s="9"/>
    </row>
    <row r="679" spans="20:42" ht="12.75" customHeight="1" x14ac:dyDescent="0.2">
      <c r="T679" s="3"/>
      <c r="U679" s="3"/>
      <c r="V679" s="9"/>
      <c r="W679" s="9"/>
      <c r="X679" s="9"/>
      <c r="Y679" s="9"/>
      <c r="Z679" s="9"/>
      <c r="AA679" s="9"/>
      <c r="AC679" s="9"/>
      <c r="AD679" s="9"/>
      <c r="AE679" s="8"/>
      <c r="AF679" s="8"/>
      <c r="AG679" s="8"/>
      <c r="AH679" s="9"/>
      <c r="AI679" s="8"/>
      <c r="AJ679" s="8"/>
      <c r="AK679" s="8"/>
      <c r="AL679" s="8"/>
      <c r="AM679" s="9"/>
      <c r="AO679" s="8"/>
      <c r="AP679" s="9"/>
    </row>
    <row r="680" spans="20:42" ht="12.75" customHeight="1" x14ac:dyDescent="0.2">
      <c r="T680" s="3"/>
      <c r="U680" s="3"/>
      <c r="V680" s="9"/>
      <c r="W680" s="9"/>
      <c r="X680" s="9"/>
      <c r="Y680" s="9"/>
      <c r="Z680" s="9"/>
      <c r="AA680" s="9"/>
      <c r="AC680" s="9"/>
      <c r="AD680" s="9"/>
      <c r="AE680" s="8"/>
      <c r="AF680" s="8"/>
      <c r="AG680" s="8"/>
      <c r="AH680" s="9"/>
      <c r="AI680" s="8"/>
      <c r="AJ680" s="8"/>
      <c r="AK680" s="8"/>
      <c r="AL680" s="8"/>
      <c r="AM680" s="9"/>
      <c r="AO680" s="8"/>
      <c r="AP680" s="9"/>
    </row>
    <row r="681" spans="20:42" ht="12.75" customHeight="1" x14ac:dyDescent="0.2">
      <c r="T681" s="3"/>
      <c r="U681" s="3"/>
      <c r="V681" s="9"/>
      <c r="W681" s="9"/>
      <c r="X681" s="9"/>
      <c r="Y681" s="9"/>
      <c r="Z681" s="9"/>
      <c r="AA681" s="9"/>
      <c r="AC681" s="9"/>
      <c r="AD681" s="9"/>
      <c r="AE681" s="8"/>
      <c r="AF681" s="8"/>
      <c r="AG681" s="8"/>
      <c r="AH681" s="9"/>
      <c r="AI681" s="8"/>
      <c r="AJ681" s="8"/>
      <c r="AK681" s="8"/>
      <c r="AL681" s="8"/>
      <c r="AM681" s="9"/>
      <c r="AO681" s="8"/>
      <c r="AP681" s="9"/>
    </row>
    <row r="682" spans="20:42" ht="12.75" customHeight="1" x14ac:dyDescent="0.2">
      <c r="T682" s="3"/>
      <c r="U682" s="3"/>
      <c r="V682" s="9"/>
      <c r="W682" s="9"/>
      <c r="X682" s="9"/>
      <c r="Y682" s="9"/>
      <c r="Z682" s="9"/>
      <c r="AA682" s="9"/>
      <c r="AC682" s="9"/>
      <c r="AD682" s="9"/>
      <c r="AE682" s="8"/>
      <c r="AF682" s="8"/>
      <c r="AG682" s="8"/>
      <c r="AH682" s="9"/>
      <c r="AI682" s="8"/>
      <c r="AJ682" s="8"/>
      <c r="AK682" s="8"/>
      <c r="AL682" s="8"/>
      <c r="AM682" s="9"/>
      <c r="AO682" s="8"/>
      <c r="AP682" s="9"/>
    </row>
    <row r="683" spans="20:42" ht="12.75" customHeight="1" x14ac:dyDescent="0.2">
      <c r="T683" s="3"/>
      <c r="U683" s="3"/>
      <c r="V683" s="9"/>
      <c r="W683" s="9"/>
      <c r="X683" s="9"/>
      <c r="Y683" s="9"/>
      <c r="Z683" s="9"/>
      <c r="AA683" s="9"/>
      <c r="AC683" s="9"/>
      <c r="AD683" s="9"/>
      <c r="AE683" s="8"/>
      <c r="AF683" s="8"/>
      <c r="AG683" s="8"/>
      <c r="AH683" s="9"/>
      <c r="AI683" s="8"/>
      <c r="AJ683" s="8"/>
      <c r="AK683" s="8"/>
      <c r="AL683" s="8"/>
      <c r="AM683" s="9"/>
      <c r="AO683" s="8"/>
      <c r="AP683" s="9"/>
    </row>
    <row r="684" spans="20:42" ht="12.75" customHeight="1" x14ac:dyDescent="0.2">
      <c r="T684" s="3"/>
      <c r="U684" s="3"/>
      <c r="V684" s="9"/>
      <c r="W684" s="9"/>
      <c r="X684" s="9"/>
      <c r="Y684" s="9"/>
      <c r="Z684" s="9"/>
      <c r="AA684" s="9"/>
      <c r="AC684" s="9"/>
      <c r="AD684" s="9"/>
      <c r="AE684" s="8"/>
      <c r="AF684" s="8"/>
      <c r="AG684" s="8"/>
      <c r="AH684" s="9"/>
      <c r="AI684" s="8"/>
      <c r="AJ684" s="8"/>
      <c r="AK684" s="8"/>
      <c r="AL684" s="8"/>
      <c r="AM684" s="9"/>
      <c r="AO684" s="8"/>
      <c r="AP684" s="9"/>
    </row>
    <row r="685" spans="20:42" ht="12.75" customHeight="1" x14ac:dyDescent="0.2">
      <c r="T685" s="3"/>
      <c r="U685" s="3"/>
      <c r="V685" s="9"/>
      <c r="W685" s="9"/>
      <c r="X685" s="9"/>
      <c r="Y685" s="9"/>
      <c r="Z685" s="9"/>
      <c r="AA685" s="9"/>
      <c r="AC685" s="9"/>
      <c r="AD685" s="9"/>
      <c r="AE685" s="8"/>
      <c r="AF685" s="8"/>
      <c r="AG685" s="8"/>
      <c r="AH685" s="9"/>
      <c r="AI685" s="8"/>
      <c r="AJ685" s="8"/>
      <c r="AK685" s="8"/>
      <c r="AL685" s="8"/>
      <c r="AM685" s="9"/>
      <c r="AO685" s="8"/>
      <c r="AP685" s="9"/>
    </row>
    <row r="686" spans="20:42" ht="12.75" customHeight="1" x14ac:dyDescent="0.2">
      <c r="T686" s="3"/>
      <c r="U686" s="3"/>
      <c r="V686" s="9"/>
      <c r="W686" s="9"/>
      <c r="X686" s="9"/>
      <c r="Y686" s="9"/>
      <c r="Z686" s="9"/>
      <c r="AA686" s="9"/>
      <c r="AC686" s="9"/>
      <c r="AD686" s="9"/>
      <c r="AE686" s="8"/>
      <c r="AF686" s="8"/>
      <c r="AG686" s="8"/>
      <c r="AH686" s="9"/>
      <c r="AI686" s="8"/>
      <c r="AJ686" s="8"/>
      <c r="AK686" s="8"/>
      <c r="AL686" s="8"/>
      <c r="AM686" s="9"/>
      <c r="AO686" s="8"/>
      <c r="AP686" s="9"/>
    </row>
    <row r="687" spans="20:42" ht="12.75" customHeight="1" x14ac:dyDescent="0.2">
      <c r="T687" s="3"/>
      <c r="U687" s="3"/>
      <c r="V687" s="9"/>
      <c r="W687" s="9"/>
      <c r="X687" s="9"/>
      <c r="Y687" s="9"/>
      <c r="Z687" s="9"/>
      <c r="AA687" s="9"/>
      <c r="AC687" s="9"/>
      <c r="AD687" s="9"/>
      <c r="AE687" s="8"/>
      <c r="AF687" s="8"/>
      <c r="AG687" s="8"/>
      <c r="AH687" s="9"/>
      <c r="AI687" s="8"/>
      <c r="AJ687" s="8"/>
      <c r="AK687" s="8"/>
      <c r="AL687" s="8"/>
      <c r="AM687" s="9"/>
      <c r="AO687" s="8"/>
      <c r="AP687" s="9"/>
    </row>
    <row r="688" spans="20:42" ht="12.75" customHeight="1" x14ac:dyDescent="0.2">
      <c r="T688" s="3"/>
      <c r="U688" s="3"/>
      <c r="V688" s="9"/>
      <c r="W688" s="9"/>
      <c r="X688" s="9"/>
      <c r="Y688" s="9"/>
      <c r="Z688" s="9"/>
      <c r="AA688" s="9"/>
      <c r="AC688" s="9"/>
      <c r="AD688" s="9"/>
      <c r="AE688" s="8"/>
      <c r="AF688" s="8"/>
      <c r="AG688" s="8"/>
      <c r="AH688" s="9"/>
      <c r="AI688" s="8"/>
      <c r="AJ688" s="8"/>
      <c r="AK688" s="8"/>
      <c r="AL688" s="8"/>
      <c r="AM688" s="9"/>
      <c r="AO688" s="8"/>
      <c r="AP688" s="9"/>
    </row>
    <row r="689" spans="20:42" ht="12.75" customHeight="1" x14ac:dyDescent="0.2">
      <c r="T689" s="3"/>
      <c r="U689" s="3"/>
      <c r="V689" s="9"/>
      <c r="W689" s="9"/>
      <c r="X689" s="9"/>
      <c r="Y689" s="9"/>
      <c r="Z689" s="9"/>
      <c r="AA689" s="9"/>
      <c r="AC689" s="9"/>
      <c r="AD689" s="9"/>
      <c r="AE689" s="8"/>
      <c r="AF689" s="8"/>
      <c r="AG689" s="8"/>
      <c r="AH689" s="9"/>
      <c r="AI689" s="8"/>
      <c r="AJ689" s="8"/>
      <c r="AK689" s="8"/>
      <c r="AL689" s="8"/>
      <c r="AM689" s="9"/>
      <c r="AO689" s="8"/>
      <c r="AP689" s="9"/>
    </row>
    <row r="690" spans="20:42" ht="12.75" customHeight="1" x14ac:dyDescent="0.2">
      <c r="T690" s="3"/>
      <c r="U690" s="3"/>
      <c r="V690" s="9"/>
      <c r="W690" s="9"/>
      <c r="X690" s="9"/>
      <c r="Y690" s="9"/>
      <c r="Z690" s="9"/>
      <c r="AA690" s="9"/>
      <c r="AC690" s="9"/>
      <c r="AD690" s="9"/>
      <c r="AE690" s="8"/>
      <c r="AF690" s="8"/>
      <c r="AG690" s="8"/>
      <c r="AH690" s="9"/>
      <c r="AI690" s="8"/>
      <c r="AJ690" s="8"/>
      <c r="AK690" s="8"/>
      <c r="AL690" s="8"/>
      <c r="AM690" s="9"/>
      <c r="AO690" s="8"/>
      <c r="AP690" s="9"/>
    </row>
    <row r="691" spans="20:42" ht="12.75" customHeight="1" x14ac:dyDescent="0.2">
      <c r="T691" s="3"/>
      <c r="U691" s="3"/>
      <c r="V691" s="9"/>
      <c r="W691" s="9"/>
      <c r="X691" s="9"/>
      <c r="Y691" s="9"/>
      <c r="Z691" s="9"/>
      <c r="AA691" s="9"/>
      <c r="AC691" s="9"/>
      <c r="AD691" s="9"/>
      <c r="AE691" s="8"/>
      <c r="AF691" s="8"/>
      <c r="AG691" s="8"/>
      <c r="AH691" s="9"/>
      <c r="AI691" s="8"/>
      <c r="AJ691" s="8"/>
      <c r="AK691" s="8"/>
      <c r="AL691" s="8"/>
      <c r="AM691" s="9"/>
      <c r="AO691" s="8"/>
      <c r="AP691" s="9"/>
    </row>
    <row r="692" spans="20:42" ht="12.75" customHeight="1" x14ac:dyDescent="0.2">
      <c r="T692" s="3"/>
      <c r="U692" s="3"/>
      <c r="V692" s="9"/>
      <c r="W692" s="9"/>
      <c r="X692" s="9"/>
      <c r="Y692" s="9"/>
      <c r="Z692" s="9"/>
      <c r="AA692" s="9"/>
      <c r="AC692" s="9"/>
      <c r="AD692" s="9"/>
      <c r="AE692" s="8"/>
      <c r="AF692" s="8"/>
      <c r="AG692" s="8"/>
      <c r="AH692" s="9"/>
      <c r="AI692" s="8"/>
      <c r="AJ692" s="8"/>
      <c r="AK692" s="8"/>
      <c r="AL692" s="8"/>
      <c r="AM692" s="9"/>
      <c r="AO692" s="8"/>
      <c r="AP692" s="9"/>
    </row>
    <row r="693" spans="20:42" ht="12.75" customHeight="1" x14ac:dyDescent="0.2">
      <c r="T693" s="3"/>
      <c r="U693" s="3"/>
      <c r="V693" s="9"/>
      <c r="W693" s="9"/>
      <c r="X693" s="9"/>
      <c r="Y693" s="9"/>
      <c r="Z693" s="9"/>
      <c r="AA693" s="9"/>
      <c r="AC693" s="9"/>
      <c r="AD693" s="9"/>
      <c r="AE693" s="8"/>
      <c r="AF693" s="8"/>
      <c r="AG693" s="8"/>
      <c r="AH693" s="9"/>
      <c r="AI693" s="8"/>
      <c r="AJ693" s="8"/>
      <c r="AK693" s="8"/>
      <c r="AL693" s="8"/>
      <c r="AM693" s="9"/>
      <c r="AO693" s="8"/>
      <c r="AP693" s="9"/>
    </row>
    <row r="694" spans="20:42" ht="12.75" customHeight="1" x14ac:dyDescent="0.2">
      <c r="T694" s="3"/>
      <c r="U694" s="3"/>
      <c r="V694" s="9"/>
      <c r="W694" s="9"/>
      <c r="X694" s="9"/>
      <c r="Y694" s="9"/>
      <c r="Z694" s="9"/>
      <c r="AA694" s="9"/>
      <c r="AC694" s="9"/>
      <c r="AD694" s="9"/>
      <c r="AE694" s="8"/>
      <c r="AF694" s="8"/>
      <c r="AG694" s="8"/>
      <c r="AH694" s="9"/>
      <c r="AI694" s="8"/>
      <c r="AJ694" s="8"/>
      <c r="AK694" s="8"/>
      <c r="AL694" s="8"/>
      <c r="AM694" s="9"/>
      <c r="AO694" s="8"/>
      <c r="AP694" s="9"/>
    </row>
    <row r="695" spans="20:42" ht="12.75" customHeight="1" x14ac:dyDescent="0.2">
      <c r="T695" s="3"/>
      <c r="U695" s="3"/>
      <c r="V695" s="9"/>
      <c r="W695" s="9"/>
      <c r="X695" s="9"/>
      <c r="Y695" s="9"/>
      <c r="Z695" s="9"/>
      <c r="AA695" s="9"/>
      <c r="AC695" s="9"/>
      <c r="AD695" s="9"/>
      <c r="AE695" s="8"/>
      <c r="AF695" s="8"/>
      <c r="AG695" s="8"/>
      <c r="AH695" s="9"/>
      <c r="AI695" s="8"/>
      <c r="AJ695" s="8"/>
      <c r="AK695" s="8"/>
      <c r="AL695" s="8"/>
      <c r="AM695" s="9"/>
      <c r="AO695" s="8"/>
      <c r="AP695" s="9"/>
    </row>
    <row r="696" spans="20:42" ht="12.75" customHeight="1" x14ac:dyDescent="0.2">
      <c r="T696" s="3"/>
      <c r="U696" s="3"/>
      <c r="V696" s="9"/>
      <c r="W696" s="9"/>
      <c r="X696" s="9"/>
      <c r="Y696" s="9"/>
      <c r="Z696" s="9"/>
      <c r="AA696" s="9"/>
      <c r="AC696" s="9"/>
      <c r="AD696" s="9"/>
      <c r="AE696" s="8"/>
      <c r="AF696" s="8"/>
      <c r="AG696" s="8"/>
      <c r="AH696" s="9"/>
      <c r="AI696" s="8"/>
      <c r="AJ696" s="8"/>
      <c r="AK696" s="8"/>
      <c r="AL696" s="8"/>
      <c r="AM696" s="9"/>
      <c r="AO696" s="8"/>
      <c r="AP696" s="9"/>
    </row>
    <row r="697" spans="20:42" ht="12.75" customHeight="1" x14ac:dyDescent="0.2">
      <c r="T697" s="3"/>
      <c r="U697" s="3"/>
      <c r="V697" s="9"/>
      <c r="W697" s="9"/>
      <c r="X697" s="9"/>
      <c r="Y697" s="9"/>
      <c r="Z697" s="9"/>
      <c r="AA697" s="9"/>
      <c r="AC697" s="9"/>
      <c r="AD697" s="9"/>
      <c r="AE697" s="8"/>
      <c r="AF697" s="8"/>
      <c r="AG697" s="8"/>
      <c r="AH697" s="9"/>
      <c r="AI697" s="8"/>
      <c r="AJ697" s="8"/>
      <c r="AK697" s="8"/>
      <c r="AL697" s="8"/>
      <c r="AM697" s="9"/>
      <c r="AO697" s="8"/>
      <c r="AP697" s="9"/>
    </row>
    <row r="698" spans="20:42" ht="12.75" customHeight="1" x14ac:dyDescent="0.2">
      <c r="T698" s="3"/>
      <c r="U698" s="3"/>
      <c r="V698" s="9"/>
      <c r="W698" s="9"/>
      <c r="X698" s="9"/>
      <c r="Y698" s="9"/>
      <c r="Z698" s="9"/>
      <c r="AA698" s="9"/>
      <c r="AC698" s="9"/>
      <c r="AD698" s="9"/>
      <c r="AE698" s="8"/>
      <c r="AF698" s="8"/>
      <c r="AG698" s="8"/>
      <c r="AH698" s="9"/>
      <c r="AI698" s="8"/>
      <c r="AJ698" s="8"/>
      <c r="AK698" s="8"/>
      <c r="AL698" s="8"/>
      <c r="AM698" s="9"/>
      <c r="AO698" s="8"/>
      <c r="AP698" s="9"/>
    </row>
    <row r="699" spans="20:42" ht="12.75" customHeight="1" x14ac:dyDescent="0.2">
      <c r="T699" s="3"/>
      <c r="U699" s="3"/>
      <c r="V699" s="9"/>
      <c r="W699" s="9"/>
      <c r="X699" s="9"/>
      <c r="Y699" s="9"/>
      <c r="Z699" s="9"/>
      <c r="AA699" s="9"/>
      <c r="AC699" s="9"/>
      <c r="AD699" s="9"/>
      <c r="AE699" s="8"/>
      <c r="AF699" s="8"/>
      <c r="AG699" s="8"/>
      <c r="AH699" s="9"/>
      <c r="AI699" s="8"/>
      <c r="AJ699" s="8"/>
      <c r="AK699" s="8"/>
      <c r="AL699" s="8"/>
      <c r="AM699" s="9"/>
      <c r="AO699" s="8"/>
      <c r="AP699" s="9"/>
    </row>
    <row r="700" spans="20:42" ht="12.75" customHeight="1" x14ac:dyDescent="0.2">
      <c r="T700" s="3"/>
      <c r="U700" s="3"/>
      <c r="V700" s="9"/>
      <c r="W700" s="9"/>
      <c r="X700" s="9"/>
      <c r="Y700" s="9"/>
      <c r="Z700" s="9"/>
      <c r="AA700" s="9"/>
      <c r="AC700" s="9"/>
      <c r="AD700" s="9"/>
      <c r="AE700" s="8"/>
      <c r="AF700" s="8"/>
      <c r="AG700" s="8"/>
      <c r="AH700" s="9"/>
      <c r="AI700" s="8"/>
      <c r="AJ700" s="8"/>
      <c r="AK700" s="8"/>
      <c r="AL700" s="8"/>
      <c r="AM700" s="9"/>
      <c r="AO700" s="8"/>
      <c r="AP700" s="9"/>
    </row>
    <row r="701" spans="20:42" ht="12.75" customHeight="1" x14ac:dyDescent="0.2">
      <c r="T701" s="3"/>
      <c r="U701" s="3"/>
      <c r="V701" s="9"/>
      <c r="W701" s="9"/>
      <c r="X701" s="9"/>
      <c r="Y701" s="9"/>
      <c r="Z701" s="9"/>
      <c r="AA701" s="9"/>
      <c r="AC701" s="9"/>
      <c r="AD701" s="9"/>
      <c r="AE701" s="8"/>
      <c r="AF701" s="8"/>
      <c r="AG701" s="8"/>
      <c r="AH701" s="9"/>
      <c r="AI701" s="8"/>
      <c r="AJ701" s="8"/>
      <c r="AK701" s="8"/>
      <c r="AL701" s="8"/>
      <c r="AM701" s="9"/>
      <c r="AO701" s="8"/>
      <c r="AP701" s="9"/>
    </row>
    <row r="702" spans="20:42" ht="12.75" customHeight="1" x14ac:dyDescent="0.2">
      <c r="T702" s="3"/>
      <c r="U702" s="3"/>
      <c r="V702" s="9"/>
      <c r="W702" s="9"/>
      <c r="X702" s="9"/>
      <c r="Y702" s="9"/>
      <c r="Z702" s="9"/>
      <c r="AA702" s="9"/>
      <c r="AC702" s="9"/>
      <c r="AD702" s="9"/>
      <c r="AE702" s="8"/>
      <c r="AF702" s="8"/>
      <c r="AG702" s="8"/>
      <c r="AH702" s="9"/>
      <c r="AI702" s="8"/>
      <c r="AJ702" s="8"/>
      <c r="AK702" s="8"/>
      <c r="AL702" s="8"/>
      <c r="AM702" s="9"/>
      <c r="AO702" s="8"/>
      <c r="AP702" s="9"/>
    </row>
    <row r="703" spans="20:42" ht="12.75" customHeight="1" x14ac:dyDescent="0.2">
      <c r="T703" s="3"/>
      <c r="U703" s="3"/>
      <c r="V703" s="9"/>
      <c r="W703" s="9"/>
      <c r="X703" s="9"/>
      <c r="Y703" s="9"/>
      <c r="Z703" s="9"/>
      <c r="AA703" s="9"/>
      <c r="AC703" s="9"/>
      <c r="AD703" s="9"/>
      <c r="AE703" s="8"/>
      <c r="AF703" s="8"/>
      <c r="AG703" s="8"/>
      <c r="AH703" s="9"/>
      <c r="AI703" s="8"/>
      <c r="AJ703" s="8"/>
      <c r="AK703" s="8"/>
      <c r="AL703" s="8"/>
      <c r="AM703" s="9"/>
      <c r="AO703" s="8"/>
      <c r="AP703" s="9"/>
    </row>
    <row r="704" spans="20:42" ht="12.75" customHeight="1" x14ac:dyDescent="0.2">
      <c r="T704" s="3"/>
      <c r="U704" s="3"/>
      <c r="V704" s="9"/>
      <c r="W704" s="9"/>
      <c r="X704" s="9"/>
      <c r="Y704" s="9"/>
      <c r="Z704" s="9"/>
      <c r="AA704" s="9"/>
      <c r="AC704" s="9"/>
      <c r="AD704" s="9"/>
      <c r="AE704" s="8"/>
      <c r="AF704" s="8"/>
      <c r="AG704" s="8"/>
      <c r="AH704" s="9"/>
      <c r="AI704" s="8"/>
      <c r="AJ704" s="8"/>
      <c r="AK704" s="8"/>
      <c r="AL704" s="8"/>
      <c r="AM704" s="9"/>
      <c r="AO704" s="8"/>
      <c r="AP704" s="9"/>
    </row>
    <row r="705" spans="20:42" ht="12.75" customHeight="1" x14ac:dyDescent="0.2">
      <c r="T705" s="3"/>
      <c r="U705" s="3"/>
      <c r="V705" s="9"/>
      <c r="W705" s="9"/>
      <c r="X705" s="9"/>
      <c r="Y705" s="9"/>
      <c r="Z705" s="9"/>
      <c r="AA705" s="9"/>
      <c r="AC705" s="9"/>
      <c r="AD705" s="9"/>
      <c r="AE705" s="8"/>
      <c r="AF705" s="8"/>
      <c r="AG705" s="8"/>
      <c r="AH705" s="9"/>
      <c r="AI705" s="8"/>
      <c r="AJ705" s="8"/>
      <c r="AK705" s="8"/>
      <c r="AL705" s="8"/>
      <c r="AM705" s="9"/>
      <c r="AO705" s="8"/>
      <c r="AP705" s="9"/>
    </row>
    <row r="706" spans="20:42" ht="12.75" customHeight="1" x14ac:dyDescent="0.2">
      <c r="T706" s="3"/>
      <c r="U706" s="3"/>
      <c r="V706" s="9"/>
      <c r="W706" s="9"/>
      <c r="X706" s="9"/>
      <c r="Y706" s="9"/>
      <c r="Z706" s="9"/>
      <c r="AA706" s="9"/>
      <c r="AC706" s="9"/>
      <c r="AD706" s="9"/>
      <c r="AE706" s="8"/>
      <c r="AF706" s="8"/>
      <c r="AG706" s="8"/>
      <c r="AH706" s="9"/>
      <c r="AI706" s="8"/>
      <c r="AJ706" s="8"/>
      <c r="AK706" s="8"/>
      <c r="AL706" s="8"/>
      <c r="AM706" s="9"/>
      <c r="AO706" s="8"/>
      <c r="AP706" s="9"/>
    </row>
    <row r="707" spans="20:42" ht="12.75" customHeight="1" x14ac:dyDescent="0.2">
      <c r="T707" s="3"/>
      <c r="U707" s="3"/>
      <c r="V707" s="9"/>
      <c r="W707" s="9"/>
      <c r="X707" s="9"/>
      <c r="Y707" s="9"/>
      <c r="Z707" s="9"/>
      <c r="AA707" s="9"/>
      <c r="AC707" s="9"/>
      <c r="AD707" s="9"/>
      <c r="AE707" s="8"/>
      <c r="AF707" s="8"/>
      <c r="AG707" s="8"/>
      <c r="AH707" s="9"/>
      <c r="AI707" s="8"/>
      <c r="AJ707" s="8"/>
      <c r="AK707" s="8"/>
      <c r="AL707" s="8"/>
      <c r="AM707" s="9"/>
      <c r="AO707" s="8"/>
      <c r="AP707" s="9"/>
    </row>
    <row r="708" spans="20:42" ht="12.75" customHeight="1" x14ac:dyDescent="0.2">
      <c r="T708" s="3"/>
      <c r="U708" s="3"/>
      <c r="V708" s="9"/>
      <c r="W708" s="9"/>
      <c r="X708" s="9"/>
      <c r="Y708" s="9"/>
      <c r="Z708" s="9"/>
      <c r="AA708" s="9"/>
      <c r="AC708" s="9"/>
      <c r="AD708" s="9"/>
      <c r="AE708" s="8"/>
      <c r="AF708" s="8"/>
      <c r="AG708" s="8"/>
      <c r="AH708" s="9"/>
      <c r="AI708" s="8"/>
      <c r="AJ708" s="8"/>
      <c r="AK708" s="8"/>
      <c r="AL708" s="8"/>
      <c r="AM708" s="9"/>
      <c r="AO708" s="8"/>
      <c r="AP708" s="9"/>
    </row>
    <row r="709" spans="20:42" ht="12.75" customHeight="1" x14ac:dyDescent="0.2">
      <c r="T709" s="3"/>
      <c r="U709" s="3"/>
      <c r="V709" s="9"/>
      <c r="W709" s="9"/>
      <c r="X709" s="9"/>
      <c r="Y709" s="9"/>
      <c r="Z709" s="9"/>
      <c r="AA709" s="9"/>
      <c r="AC709" s="9"/>
      <c r="AD709" s="9"/>
      <c r="AE709" s="8"/>
      <c r="AF709" s="8"/>
      <c r="AG709" s="8"/>
      <c r="AH709" s="9"/>
      <c r="AI709" s="8"/>
      <c r="AJ709" s="8"/>
      <c r="AK709" s="8"/>
      <c r="AL709" s="8"/>
      <c r="AM709" s="9"/>
      <c r="AO709" s="8"/>
      <c r="AP709" s="9"/>
    </row>
    <row r="710" spans="20:42" ht="12.75" customHeight="1" x14ac:dyDescent="0.2">
      <c r="T710" s="3"/>
      <c r="U710" s="3"/>
      <c r="V710" s="9"/>
      <c r="W710" s="9"/>
      <c r="X710" s="9"/>
      <c r="Y710" s="9"/>
      <c r="Z710" s="9"/>
      <c r="AA710" s="9"/>
      <c r="AC710" s="9"/>
      <c r="AD710" s="9"/>
      <c r="AE710" s="8"/>
      <c r="AF710" s="8"/>
      <c r="AG710" s="8"/>
      <c r="AH710" s="9"/>
      <c r="AI710" s="8"/>
      <c r="AJ710" s="8"/>
      <c r="AK710" s="8"/>
      <c r="AL710" s="8"/>
      <c r="AM710" s="9"/>
      <c r="AO710" s="8"/>
      <c r="AP710" s="9"/>
    </row>
    <row r="711" spans="20:42" ht="12.75" customHeight="1" x14ac:dyDescent="0.2">
      <c r="T711" s="3"/>
      <c r="U711" s="3"/>
      <c r="V711" s="9"/>
      <c r="W711" s="9"/>
      <c r="X711" s="9"/>
      <c r="Y711" s="9"/>
      <c r="Z711" s="9"/>
      <c r="AA711" s="9"/>
      <c r="AC711" s="9"/>
      <c r="AD711" s="9"/>
      <c r="AE711" s="8"/>
      <c r="AF711" s="8"/>
      <c r="AG711" s="8"/>
      <c r="AH711" s="9"/>
      <c r="AI711" s="8"/>
      <c r="AJ711" s="8"/>
      <c r="AK711" s="8"/>
      <c r="AL711" s="8"/>
      <c r="AM711" s="9"/>
      <c r="AO711" s="8"/>
      <c r="AP711" s="9"/>
    </row>
    <row r="712" spans="20:42" ht="12.75" customHeight="1" x14ac:dyDescent="0.2">
      <c r="T712" s="3"/>
      <c r="U712" s="3"/>
      <c r="V712" s="9"/>
      <c r="W712" s="9"/>
      <c r="X712" s="9"/>
      <c r="Y712" s="9"/>
      <c r="Z712" s="9"/>
      <c r="AA712" s="9"/>
      <c r="AC712" s="9"/>
      <c r="AD712" s="9"/>
      <c r="AE712" s="8"/>
      <c r="AF712" s="8"/>
      <c r="AG712" s="8"/>
      <c r="AH712" s="9"/>
      <c r="AI712" s="8"/>
      <c r="AJ712" s="8"/>
      <c r="AK712" s="8"/>
      <c r="AL712" s="8"/>
      <c r="AM712" s="9"/>
      <c r="AO712" s="8"/>
      <c r="AP712" s="9"/>
    </row>
    <row r="713" spans="20:42" ht="12.75" customHeight="1" x14ac:dyDescent="0.2">
      <c r="T713" s="3"/>
      <c r="U713" s="3"/>
      <c r="V713" s="9"/>
      <c r="W713" s="9"/>
      <c r="X713" s="9"/>
      <c r="Y713" s="9"/>
      <c r="Z713" s="9"/>
      <c r="AA713" s="9"/>
      <c r="AC713" s="9"/>
      <c r="AD713" s="9"/>
      <c r="AE713" s="8"/>
      <c r="AF713" s="8"/>
      <c r="AG713" s="8"/>
      <c r="AH713" s="9"/>
      <c r="AI713" s="8"/>
      <c r="AJ713" s="8"/>
      <c r="AK713" s="8"/>
      <c r="AL713" s="8"/>
      <c r="AM713" s="9"/>
      <c r="AO713" s="8"/>
      <c r="AP713" s="9"/>
    </row>
    <row r="714" spans="20:42" ht="12.75" customHeight="1" x14ac:dyDescent="0.2">
      <c r="T714" s="3"/>
      <c r="U714" s="3"/>
      <c r="V714" s="9"/>
      <c r="W714" s="9"/>
      <c r="X714" s="9"/>
      <c r="Y714" s="9"/>
      <c r="Z714" s="9"/>
      <c r="AA714" s="9"/>
      <c r="AC714" s="9"/>
      <c r="AD714" s="9"/>
      <c r="AE714" s="8"/>
      <c r="AF714" s="8"/>
      <c r="AG714" s="8"/>
      <c r="AH714" s="9"/>
      <c r="AI714" s="8"/>
      <c r="AJ714" s="8"/>
      <c r="AK714" s="8"/>
      <c r="AL714" s="8"/>
      <c r="AM714" s="9"/>
      <c r="AO714" s="8"/>
      <c r="AP714" s="9"/>
    </row>
    <row r="715" spans="20:42" ht="12.75" customHeight="1" x14ac:dyDescent="0.2">
      <c r="T715" s="3"/>
      <c r="U715" s="3"/>
      <c r="V715" s="9"/>
      <c r="W715" s="9"/>
      <c r="X715" s="9"/>
      <c r="Y715" s="9"/>
      <c r="Z715" s="9"/>
      <c r="AA715" s="9"/>
      <c r="AC715" s="9"/>
      <c r="AD715" s="9"/>
      <c r="AE715" s="8"/>
      <c r="AF715" s="8"/>
      <c r="AG715" s="8"/>
      <c r="AH715" s="9"/>
      <c r="AI715" s="8"/>
      <c r="AJ715" s="8"/>
      <c r="AK715" s="8"/>
      <c r="AL715" s="8"/>
      <c r="AM715" s="9"/>
      <c r="AO715" s="8"/>
      <c r="AP715" s="9"/>
    </row>
    <row r="716" spans="20:42" ht="12.75" customHeight="1" x14ac:dyDescent="0.2">
      <c r="T716" s="3"/>
      <c r="U716" s="3"/>
      <c r="V716" s="9"/>
      <c r="W716" s="9"/>
      <c r="X716" s="9"/>
      <c r="Y716" s="9"/>
      <c r="Z716" s="9"/>
      <c r="AA716" s="9"/>
      <c r="AC716" s="9"/>
      <c r="AD716" s="9"/>
      <c r="AE716" s="8"/>
      <c r="AF716" s="8"/>
      <c r="AG716" s="8"/>
      <c r="AH716" s="9"/>
      <c r="AI716" s="8"/>
      <c r="AJ716" s="8"/>
      <c r="AK716" s="8"/>
      <c r="AL716" s="8"/>
      <c r="AM716" s="9"/>
      <c r="AO716" s="8"/>
      <c r="AP716" s="9"/>
    </row>
    <row r="717" spans="20:42" ht="12.75" customHeight="1" x14ac:dyDescent="0.2">
      <c r="T717" s="3"/>
      <c r="U717" s="3"/>
      <c r="V717" s="9"/>
      <c r="W717" s="9"/>
      <c r="X717" s="9"/>
      <c r="Y717" s="9"/>
      <c r="Z717" s="9"/>
      <c r="AA717" s="9"/>
      <c r="AC717" s="9"/>
      <c r="AD717" s="9"/>
      <c r="AE717" s="8"/>
      <c r="AF717" s="8"/>
      <c r="AG717" s="8"/>
      <c r="AH717" s="9"/>
      <c r="AI717" s="8"/>
      <c r="AJ717" s="8"/>
      <c r="AK717" s="8"/>
      <c r="AL717" s="8"/>
      <c r="AM717" s="9"/>
      <c r="AO717" s="8"/>
      <c r="AP717" s="9"/>
    </row>
    <row r="718" spans="20:42" ht="12.75" customHeight="1" x14ac:dyDescent="0.2">
      <c r="T718" s="3"/>
      <c r="U718" s="3"/>
      <c r="V718" s="9"/>
      <c r="W718" s="9"/>
      <c r="X718" s="9"/>
      <c r="Y718" s="9"/>
      <c r="Z718" s="9"/>
      <c r="AA718" s="9"/>
      <c r="AC718" s="9"/>
      <c r="AD718" s="9"/>
      <c r="AE718" s="8"/>
      <c r="AF718" s="8"/>
      <c r="AG718" s="8"/>
      <c r="AH718" s="9"/>
      <c r="AI718" s="8"/>
      <c r="AJ718" s="8"/>
      <c r="AK718" s="8"/>
      <c r="AL718" s="8"/>
      <c r="AM718" s="9"/>
      <c r="AO718" s="8"/>
      <c r="AP718" s="9"/>
    </row>
    <row r="719" spans="20:42" ht="12.75" customHeight="1" x14ac:dyDescent="0.2">
      <c r="T719" s="3"/>
      <c r="U719" s="3"/>
      <c r="V719" s="9"/>
      <c r="W719" s="9"/>
      <c r="X719" s="9"/>
      <c r="Y719" s="9"/>
      <c r="Z719" s="9"/>
      <c r="AA719" s="9"/>
      <c r="AC719" s="9"/>
      <c r="AD719" s="9"/>
      <c r="AE719" s="8"/>
      <c r="AF719" s="8"/>
      <c r="AG719" s="8"/>
      <c r="AH719" s="9"/>
      <c r="AI719" s="8"/>
      <c r="AJ719" s="8"/>
      <c r="AK719" s="8"/>
      <c r="AL719" s="8"/>
      <c r="AM719" s="9"/>
      <c r="AO719" s="8"/>
      <c r="AP719" s="9"/>
    </row>
    <row r="720" spans="20:42" ht="12.75" customHeight="1" x14ac:dyDescent="0.2">
      <c r="T720" s="3"/>
      <c r="U720" s="3"/>
      <c r="V720" s="9"/>
      <c r="W720" s="9"/>
      <c r="X720" s="9"/>
      <c r="Y720" s="9"/>
      <c r="Z720" s="9"/>
      <c r="AA720" s="9"/>
      <c r="AC720" s="9"/>
      <c r="AD720" s="9"/>
      <c r="AE720" s="8"/>
      <c r="AF720" s="8"/>
      <c r="AG720" s="8"/>
      <c r="AH720" s="9"/>
      <c r="AI720" s="8"/>
      <c r="AJ720" s="8"/>
      <c r="AK720" s="8"/>
      <c r="AL720" s="8"/>
      <c r="AM720" s="9"/>
      <c r="AO720" s="8"/>
      <c r="AP720" s="9"/>
    </row>
    <row r="721" spans="20:42" ht="12.75" customHeight="1" x14ac:dyDescent="0.2">
      <c r="T721" s="3"/>
      <c r="U721" s="3"/>
      <c r="V721" s="9"/>
      <c r="W721" s="9"/>
      <c r="X721" s="9"/>
      <c r="Y721" s="9"/>
      <c r="Z721" s="9"/>
      <c r="AA721" s="9"/>
      <c r="AC721" s="9"/>
      <c r="AD721" s="9"/>
      <c r="AE721" s="8"/>
      <c r="AF721" s="8"/>
      <c r="AG721" s="8"/>
      <c r="AH721" s="9"/>
      <c r="AI721" s="8"/>
      <c r="AJ721" s="8"/>
      <c r="AK721" s="8"/>
      <c r="AL721" s="8"/>
      <c r="AM721" s="9"/>
      <c r="AO721" s="8"/>
      <c r="AP721" s="9"/>
    </row>
    <row r="722" spans="20:42" ht="12.75" customHeight="1" x14ac:dyDescent="0.2">
      <c r="T722" s="3"/>
      <c r="U722" s="3"/>
      <c r="V722" s="9"/>
      <c r="W722" s="9"/>
      <c r="X722" s="9"/>
      <c r="Y722" s="9"/>
      <c r="Z722" s="9"/>
      <c r="AA722" s="9"/>
      <c r="AC722" s="9"/>
      <c r="AD722" s="9"/>
      <c r="AE722" s="8"/>
      <c r="AF722" s="8"/>
      <c r="AG722" s="8"/>
      <c r="AH722" s="9"/>
      <c r="AI722" s="8"/>
      <c r="AJ722" s="8"/>
      <c r="AK722" s="8"/>
      <c r="AL722" s="8"/>
      <c r="AM722" s="9"/>
      <c r="AO722" s="8"/>
      <c r="AP722" s="9"/>
    </row>
    <row r="723" spans="20:42" ht="12.75" customHeight="1" x14ac:dyDescent="0.2">
      <c r="T723" s="3"/>
      <c r="U723" s="3"/>
      <c r="V723" s="9"/>
      <c r="W723" s="9"/>
      <c r="X723" s="9"/>
      <c r="Y723" s="9"/>
      <c r="Z723" s="9"/>
      <c r="AA723" s="9"/>
      <c r="AC723" s="9"/>
      <c r="AD723" s="9"/>
      <c r="AE723" s="8"/>
      <c r="AF723" s="8"/>
      <c r="AG723" s="8"/>
      <c r="AH723" s="9"/>
      <c r="AI723" s="8"/>
      <c r="AJ723" s="8"/>
      <c r="AK723" s="8"/>
      <c r="AL723" s="8"/>
      <c r="AM723" s="9"/>
      <c r="AO723" s="8"/>
      <c r="AP723" s="9"/>
    </row>
    <row r="724" spans="20:42" ht="12.75" customHeight="1" x14ac:dyDescent="0.2">
      <c r="T724" s="3"/>
      <c r="U724" s="3"/>
      <c r="V724" s="9"/>
      <c r="W724" s="9"/>
      <c r="X724" s="9"/>
      <c r="Y724" s="9"/>
      <c r="Z724" s="9"/>
      <c r="AA724" s="9"/>
      <c r="AC724" s="9"/>
      <c r="AD724" s="9"/>
      <c r="AE724" s="8"/>
      <c r="AF724" s="8"/>
      <c r="AG724" s="8"/>
      <c r="AH724" s="9"/>
      <c r="AI724" s="8"/>
      <c r="AJ724" s="8"/>
      <c r="AK724" s="8"/>
      <c r="AL724" s="8"/>
      <c r="AM724" s="9"/>
      <c r="AO724" s="8"/>
      <c r="AP724" s="9"/>
    </row>
    <row r="725" spans="20:42" ht="12.75" customHeight="1" x14ac:dyDescent="0.2">
      <c r="T725" s="3"/>
      <c r="U725" s="3"/>
      <c r="V725" s="9"/>
      <c r="W725" s="9"/>
      <c r="X725" s="9"/>
      <c r="Y725" s="9"/>
      <c r="Z725" s="9"/>
      <c r="AA725" s="9"/>
      <c r="AC725" s="9"/>
      <c r="AD725" s="9"/>
      <c r="AE725" s="8"/>
      <c r="AF725" s="8"/>
      <c r="AG725" s="8"/>
      <c r="AH725" s="9"/>
      <c r="AI725" s="8"/>
      <c r="AJ725" s="8"/>
      <c r="AK725" s="8"/>
      <c r="AL725" s="8"/>
      <c r="AM725" s="9"/>
      <c r="AO725" s="8"/>
      <c r="AP725" s="9"/>
    </row>
    <row r="726" spans="20:42" ht="12.75" customHeight="1" x14ac:dyDescent="0.2">
      <c r="T726" s="3"/>
      <c r="U726" s="3"/>
      <c r="V726" s="9"/>
      <c r="W726" s="9"/>
      <c r="X726" s="9"/>
      <c r="Y726" s="9"/>
      <c r="Z726" s="9"/>
      <c r="AA726" s="9"/>
      <c r="AC726" s="9"/>
      <c r="AD726" s="9"/>
      <c r="AE726" s="8"/>
      <c r="AF726" s="8"/>
      <c r="AG726" s="8"/>
      <c r="AH726" s="9"/>
      <c r="AI726" s="8"/>
      <c r="AJ726" s="8"/>
      <c r="AK726" s="8"/>
      <c r="AL726" s="8"/>
      <c r="AM726" s="9"/>
      <c r="AO726" s="8"/>
      <c r="AP726" s="9"/>
    </row>
    <row r="727" spans="20:42" ht="12.75" customHeight="1" x14ac:dyDescent="0.2">
      <c r="T727" s="3"/>
      <c r="U727" s="3"/>
      <c r="V727" s="9"/>
      <c r="W727" s="9"/>
      <c r="X727" s="9"/>
      <c r="Y727" s="9"/>
      <c r="Z727" s="9"/>
      <c r="AA727" s="9"/>
      <c r="AC727" s="9"/>
      <c r="AD727" s="9"/>
      <c r="AE727" s="8"/>
      <c r="AF727" s="8"/>
      <c r="AG727" s="8"/>
      <c r="AH727" s="9"/>
      <c r="AI727" s="8"/>
      <c r="AJ727" s="8"/>
      <c r="AK727" s="8"/>
      <c r="AL727" s="8"/>
      <c r="AM727" s="9"/>
      <c r="AO727" s="8"/>
      <c r="AP727" s="9"/>
    </row>
    <row r="728" spans="20:42" ht="12.75" customHeight="1" x14ac:dyDescent="0.2">
      <c r="T728" s="3"/>
      <c r="U728" s="3"/>
      <c r="V728" s="9"/>
      <c r="W728" s="9"/>
      <c r="X728" s="9"/>
      <c r="Y728" s="9"/>
      <c r="Z728" s="9"/>
      <c r="AA728" s="9"/>
      <c r="AC728" s="9"/>
      <c r="AD728" s="9"/>
      <c r="AE728" s="8"/>
      <c r="AF728" s="8"/>
      <c r="AG728" s="8"/>
      <c r="AH728" s="9"/>
      <c r="AI728" s="8"/>
      <c r="AJ728" s="8"/>
      <c r="AK728" s="8"/>
      <c r="AL728" s="8"/>
      <c r="AM728" s="9"/>
      <c r="AO728" s="8"/>
      <c r="AP728" s="9"/>
    </row>
    <row r="729" spans="20:42" ht="12.75" customHeight="1" x14ac:dyDescent="0.2">
      <c r="T729" s="3"/>
      <c r="U729" s="3"/>
      <c r="V729" s="9"/>
      <c r="W729" s="9"/>
      <c r="X729" s="9"/>
      <c r="Y729" s="9"/>
      <c r="Z729" s="9"/>
      <c r="AA729" s="9"/>
      <c r="AC729" s="9"/>
      <c r="AD729" s="9"/>
      <c r="AE729" s="8"/>
      <c r="AF729" s="8"/>
      <c r="AG729" s="8"/>
      <c r="AH729" s="9"/>
      <c r="AI729" s="8"/>
      <c r="AJ729" s="8"/>
      <c r="AK729" s="8"/>
      <c r="AL729" s="8"/>
      <c r="AM729" s="9"/>
      <c r="AO729" s="8"/>
      <c r="AP729" s="9"/>
    </row>
    <row r="730" spans="20:42" ht="12.75" customHeight="1" x14ac:dyDescent="0.2">
      <c r="T730" s="3"/>
      <c r="U730" s="3"/>
      <c r="V730" s="9"/>
      <c r="W730" s="9"/>
      <c r="X730" s="9"/>
      <c r="Y730" s="9"/>
      <c r="Z730" s="9"/>
      <c r="AA730" s="9"/>
      <c r="AC730" s="9"/>
      <c r="AD730" s="9"/>
      <c r="AE730" s="8"/>
      <c r="AF730" s="8"/>
      <c r="AG730" s="8"/>
      <c r="AH730" s="9"/>
      <c r="AI730" s="8"/>
      <c r="AJ730" s="8"/>
      <c r="AK730" s="8"/>
      <c r="AL730" s="8"/>
      <c r="AM730" s="9"/>
      <c r="AO730" s="8"/>
      <c r="AP730" s="9"/>
    </row>
    <row r="731" spans="20:42" ht="12.75" customHeight="1" x14ac:dyDescent="0.2">
      <c r="T731" s="3"/>
      <c r="U731" s="3"/>
      <c r="V731" s="9"/>
      <c r="W731" s="9"/>
      <c r="X731" s="9"/>
      <c r="Y731" s="9"/>
      <c r="Z731" s="9"/>
      <c r="AA731" s="9"/>
      <c r="AC731" s="9"/>
      <c r="AD731" s="9"/>
      <c r="AE731" s="8"/>
      <c r="AF731" s="8"/>
      <c r="AG731" s="8"/>
      <c r="AH731" s="9"/>
      <c r="AI731" s="8"/>
      <c r="AJ731" s="8"/>
      <c r="AK731" s="8"/>
      <c r="AL731" s="8"/>
      <c r="AM731" s="9"/>
      <c r="AO731" s="8"/>
      <c r="AP731" s="9"/>
    </row>
    <row r="732" spans="20:42" ht="12.75" customHeight="1" x14ac:dyDescent="0.2">
      <c r="T732" s="3"/>
      <c r="U732" s="3"/>
      <c r="V732" s="9"/>
      <c r="W732" s="9"/>
      <c r="X732" s="9"/>
      <c r="Y732" s="9"/>
      <c r="Z732" s="9"/>
      <c r="AA732" s="9"/>
      <c r="AC732" s="9"/>
      <c r="AD732" s="9"/>
      <c r="AE732" s="8"/>
      <c r="AF732" s="8"/>
      <c r="AG732" s="8"/>
      <c r="AH732" s="9"/>
      <c r="AI732" s="8"/>
      <c r="AJ732" s="8"/>
      <c r="AK732" s="8"/>
      <c r="AL732" s="8"/>
      <c r="AM732" s="9"/>
      <c r="AO732" s="8"/>
      <c r="AP732" s="9"/>
    </row>
    <row r="733" spans="20:42" ht="12.75" customHeight="1" x14ac:dyDescent="0.2">
      <c r="T733" s="3"/>
      <c r="U733" s="3"/>
      <c r="V733" s="9"/>
      <c r="W733" s="9"/>
      <c r="X733" s="9"/>
      <c r="Y733" s="9"/>
      <c r="Z733" s="9"/>
      <c r="AA733" s="9"/>
      <c r="AC733" s="9"/>
      <c r="AD733" s="9"/>
      <c r="AE733" s="8"/>
      <c r="AF733" s="8"/>
      <c r="AG733" s="8"/>
      <c r="AH733" s="9"/>
      <c r="AI733" s="8"/>
      <c r="AJ733" s="8"/>
      <c r="AK733" s="8"/>
      <c r="AL733" s="8"/>
      <c r="AM733" s="9"/>
      <c r="AO733" s="8"/>
      <c r="AP733" s="9"/>
    </row>
    <row r="734" spans="20:42" ht="12.75" customHeight="1" x14ac:dyDescent="0.2">
      <c r="T734" s="3"/>
      <c r="U734" s="3"/>
      <c r="V734" s="9"/>
      <c r="W734" s="9"/>
      <c r="X734" s="9"/>
      <c r="Y734" s="9"/>
      <c r="Z734" s="9"/>
      <c r="AA734" s="9"/>
      <c r="AC734" s="9"/>
      <c r="AD734" s="9"/>
      <c r="AE734" s="8"/>
      <c r="AF734" s="8"/>
      <c r="AG734" s="8"/>
      <c r="AH734" s="9"/>
      <c r="AI734" s="8"/>
      <c r="AJ734" s="8"/>
      <c r="AK734" s="8"/>
      <c r="AL734" s="8"/>
      <c r="AM734" s="9"/>
      <c r="AO734" s="8"/>
      <c r="AP734" s="9"/>
    </row>
    <row r="735" spans="20:42" ht="12.75" customHeight="1" x14ac:dyDescent="0.2">
      <c r="T735" s="3"/>
      <c r="U735" s="3"/>
      <c r="V735" s="9"/>
      <c r="W735" s="9"/>
      <c r="X735" s="9"/>
      <c r="Y735" s="9"/>
      <c r="Z735" s="9"/>
      <c r="AA735" s="9"/>
      <c r="AC735" s="9"/>
      <c r="AD735" s="9"/>
      <c r="AE735" s="8"/>
      <c r="AF735" s="8"/>
      <c r="AG735" s="8"/>
      <c r="AH735" s="9"/>
      <c r="AI735" s="8"/>
      <c r="AJ735" s="8"/>
      <c r="AK735" s="8"/>
      <c r="AL735" s="8"/>
      <c r="AM735" s="9"/>
      <c r="AO735" s="8"/>
      <c r="AP735" s="9"/>
    </row>
    <row r="736" spans="20:42" ht="12.75" customHeight="1" x14ac:dyDescent="0.2">
      <c r="T736" s="3"/>
      <c r="U736" s="3"/>
      <c r="V736" s="9"/>
      <c r="W736" s="9"/>
      <c r="X736" s="9"/>
      <c r="Y736" s="9"/>
      <c r="Z736" s="9"/>
      <c r="AA736" s="9"/>
      <c r="AC736" s="9"/>
      <c r="AD736" s="9"/>
      <c r="AE736" s="8"/>
      <c r="AF736" s="8"/>
      <c r="AG736" s="8"/>
      <c r="AH736" s="9"/>
      <c r="AI736" s="8"/>
      <c r="AJ736" s="8"/>
      <c r="AK736" s="8"/>
      <c r="AL736" s="8"/>
      <c r="AM736" s="9"/>
      <c r="AO736" s="8"/>
      <c r="AP736" s="9"/>
    </row>
    <row r="737" spans="20:42" ht="12.75" customHeight="1" x14ac:dyDescent="0.2">
      <c r="T737" s="3"/>
      <c r="U737" s="3"/>
      <c r="V737" s="9"/>
      <c r="W737" s="9"/>
      <c r="X737" s="9"/>
      <c r="Y737" s="9"/>
      <c r="Z737" s="9"/>
      <c r="AA737" s="9"/>
      <c r="AC737" s="9"/>
      <c r="AD737" s="9"/>
      <c r="AE737" s="8"/>
      <c r="AF737" s="8"/>
      <c r="AG737" s="8"/>
      <c r="AH737" s="9"/>
      <c r="AI737" s="8"/>
      <c r="AJ737" s="8"/>
      <c r="AK737" s="8"/>
      <c r="AL737" s="8"/>
      <c r="AM737" s="9"/>
      <c r="AO737" s="8"/>
      <c r="AP737" s="9"/>
    </row>
    <row r="738" spans="20:42" ht="12.75" customHeight="1" x14ac:dyDescent="0.2">
      <c r="T738" s="3"/>
      <c r="U738" s="3"/>
      <c r="V738" s="9"/>
      <c r="W738" s="9"/>
      <c r="X738" s="9"/>
      <c r="Y738" s="9"/>
      <c r="Z738" s="9"/>
      <c r="AA738" s="9"/>
      <c r="AC738" s="9"/>
      <c r="AD738" s="9"/>
      <c r="AE738" s="8"/>
      <c r="AF738" s="8"/>
      <c r="AG738" s="8"/>
      <c r="AH738" s="9"/>
      <c r="AI738" s="8"/>
      <c r="AJ738" s="8"/>
      <c r="AK738" s="8"/>
      <c r="AL738" s="8"/>
      <c r="AM738" s="9"/>
      <c r="AO738" s="8"/>
      <c r="AP738" s="9"/>
    </row>
    <row r="739" spans="20:42" ht="12.75" customHeight="1" x14ac:dyDescent="0.2">
      <c r="T739" s="3"/>
      <c r="U739" s="3"/>
      <c r="V739" s="9"/>
      <c r="W739" s="9"/>
      <c r="X739" s="9"/>
      <c r="Y739" s="9"/>
      <c r="Z739" s="9"/>
      <c r="AA739" s="9"/>
      <c r="AC739" s="9"/>
      <c r="AD739" s="9"/>
      <c r="AE739" s="8"/>
      <c r="AF739" s="8"/>
      <c r="AG739" s="8"/>
      <c r="AH739" s="9"/>
      <c r="AI739" s="8"/>
      <c r="AJ739" s="8"/>
      <c r="AK739" s="8"/>
      <c r="AL739" s="8"/>
      <c r="AM739" s="9"/>
      <c r="AO739" s="8"/>
      <c r="AP739" s="9"/>
    </row>
    <row r="740" spans="20:42" ht="12.75" customHeight="1" x14ac:dyDescent="0.2">
      <c r="T740" s="3"/>
      <c r="U740" s="3"/>
      <c r="V740" s="9"/>
      <c r="W740" s="9"/>
      <c r="X740" s="9"/>
      <c r="Y740" s="9"/>
      <c r="Z740" s="9"/>
      <c r="AA740" s="9"/>
      <c r="AC740" s="9"/>
      <c r="AD740" s="9"/>
      <c r="AE740" s="8"/>
      <c r="AF740" s="8"/>
      <c r="AG740" s="8"/>
      <c r="AH740" s="9"/>
      <c r="AI740" s="8"/>
      <c r="AJ740" s="8"/>
      <c r="AK740" s="8"/>
      <c r="AL740" s="8"/>
      <c r="AM740" s="9"/>
      <c r="AO740" s="8"/>
      <c r="AP740" s="9"/>
    </row>
    <row r="741" spans="20:42" ht="12.75" customHeight="1" x14ac:dyDescent="0.2">
      <c r="T741" s="3"/>
      <c r="U741" s="3"/>
      <c r="V741" s="9"/>
      <c r="W741" s="9"/>
      <c r="X741" s="9"/>
      <c r="Y741" s="9"/>
      <c r="Z741" s="9"/>
      <c r="AA741" s="9"/>
      <c r="AC741" s="9"/>
      <c r="AD741" s="9"/>
      <c r="AE741" s="8"/>
      <c r="AF741" s="8"/>
      <c r="AG741" s="8"/>
      <c r="AH741" s="9"/>
      <c r="AI741" s="8"/>
      <c r="AJ741" s="8"/>
      <c r="AK741" s="8"/>
      <c r="AL741" s="8"/>
      <c r="AM741" s="9"/>
      <c r="AO741" s="8"/>
      <c r="AP741" s="9"/>
    </row>
    <row r="742" spans="20:42" ht="12.75" customHeight="1" x14ac:dyDescent="0.2">
      <c r="T742" s="3"/>
      <c r="U742" s="3"/>
      <c r="V742" s="9"/>
      <c r="W742" s="9"/>
      <c r="X742" s="9"/>
      <c r="Y742" s="9"/>
      <c r="Z742" s="9"/>
      <c r="AA742" s="9"/>
      <c r="AC742" s="9"/>
      <c r="AD742" s="9"/>
      <c r="AE742" s="8"/>
      <c r="AF742" s="8"/>
      <c r="AG742" s="8"/>
      <c r="AH742" s="9"/>
      <c r="AI742" s="8"/>
      <c r="AJ742" s="8"/>
      <c r="AK742" s="8"/>
      <c r="AL742" s="8"/>
      <c r="AM742" s="9"/>
      <c r="AO742" s="8"/>
      <c r="AP742" s="9"/>
    </row>
    <row r="743" spans="20:42" ht="12.75" customHeight="1" x14ac:dyDescent="0.2">
      <c r="T743" s="3"/>
      <c r="U743" s="3"/>
      <c r="V743" s="9"/>
      <c r="W743" s="9"/>
      <c r="X743" s="9"/>
      <c r="Y743" s="9"/>
      <c r="Z743" s="9"/>
      <c r="AA743" s="9"/>
      <c r="AC743" s="9"/>
      <c r="AD743" s="9"/>
      <c r="AE743" s="8"/>
      <c r="AF743" s="8"/>
      <c r="AG743" s="8"/>
      <c r="AH743" s="9"/>
      <c r="AI743" s="8"/>
      <c r="AJ743" s="8"/>
      <c r="AK743" s="8"/>
      <c r="AL743" s="8"/>
      <c r="AM743" s="9"/>
      <c r="AO743" s="8"/>
      <c r="AP743" s="9"/>
    </row>
    <row r="744" spans="20:42" ht="12.75" customHeight="1" x14ac:dyDescent="0.2">
      <c r="T744" s="3"/>
      <c r="U744" s="3"/>
      <c r="V744" s="9"/>
      <c r="W744" s="9"/>
      <c r="X744" s="9"/>
      <c r="Y744" s="9"/>
      <c r="Z744" s="9"/>
      <c r="AA744" s="9"/>
      <c r="AC744" s="9"/>
      <c r="AD744" s="9"/>
      <c r="AE744" s="8"/>
      <c r="AF744" s="8"/>
      <c r="AG744" s="8"/>
      <c r="AH744" s="9"/>
      <c r="AI744" s="8"/>
      <c r="AJ744" s="8"/>
      <c r="AK744" s="8"/>
      <c r="AL744" s="8"/>
      <c r="AM744" s="9"/>
      <c r="AO744" s="8"/>
      <c r="AP744" s="9"/>
    </row>
    <row r="745" spans="20:42" ht="12.75" customHeight="1" x14ac:dyDescent="0.2">
      <c r="T745" s="3"/>
      <c r="U745" s="3"/>
      <c r="V745" s="9"/>
      <c r="W745" s="9"/>
      <c r="X745" s="9"/>
      <c r="Y745" s="9"/>
      <c r="Z745" s="9"/>
      <c r="AA745" s="9"/>
      <c r="AC745" s="9"/>
      <c r="AD745" s="9"/>
      <c r="AE745" s="8"/>
      <c r="AF745" s="8"/>
      <c r="AG745" s="8"/>
      <c r="AH745" s="9"/>
      <c r="AI745" s="8"/>
      <c r="AJ745" s="8"/>
      <c r="AK745" s="8"/>
      <c r="AL745" s="8"/>
      <c r="AM745" s="9"/>
      <c r="AO745" s="8"/>
      <c r="AP745" s="9"/>
    </row>
    <row r="746" spans="20:42" ht="12.75" customHeight="1" x14ac:dyDescent="0.2">
      <c r="T746" s="3"/>
      <c r="U746" s="3"/>
      <c r="V746" s="9"/>
      <c r="W746" s="9"/>
      <c r="X746" s="9"/>
      <c r="Y746" s="9"/>
      <c r="Z746" s="9"/>
      <c r="AA746" s="9"/>
      <c r="AC746" s="9"/>
      <c r="AD746" s="9"/>
      <c r="AE746" s="8"/>
      <c r="AF746" s="8"/>
      <c r="AG746" s="8"/>
      <c r="AH746" s="9"/>
      <c r="AI746" s="8"/>
      <c r="AJ746" s="8"/>
      <c r="AK746" s="8"/>
      <c r="AL746" s="8"/>
      <c r="AM746" s="9"/>
      <c r="AO746" s="8"/>
      <c r="AP746" s="9"/>
    </row>
    <row r="747" spans="20:42" ht="12.75" customHeight="1" x14ac:dyDescent="0.2">
      <c r="T747" s="3"/>
      <c r="U747" s="3"/>
      <c r="V747" s="9"/>
      <c r="W747" s="9"/>
      <c r="X747" s="9"/>
      <c r="Y747" s="9"/>
      <c r="Z747" s="9"/>
      <c r="AA747" s="9"/>
      <c r="AC747" s="9"/>
      <c r="AD747" s="9"/>
      <c r="AE747" s="8"/>
      <c r="AF747" s="8"/>
      <c r="AG747" s="8"/>
      <c r="AH747" s="9"/>
      <c r="AI747" s="8"/>
      <c r="AJ747" s="8"/>
      <c r="AK747" s="8"/>
      <c r="AL747" s="8"/>
      <c r="AM747" s="9"/>
      <c r="AO747" s="8"/>
      <c r="AP747" s="9"/>
    </row>
    <row r="748" spans="20:42" ht="12.75" customHeight="1" x14ac:dyDescent="0.2">
      <c r="T748" s="3"/>
      <c r="U748" s="3"/>
      <c r="V748" s="9"/>
      <c r="W748" s="9"/>
      <c r="X748" s="9"/>
      <c r="Y748" s="9"/>
      <c r="Z748" s="9"/>
      <c r="AA748" s="9"/>
      <c r="AC748" s="9"/>
      <c r="AD748" s="9"/>
      <c r="AE748" s="8"/>
      <c r="AF748" s="8"/>
      <c r="AG748" s="8"/>
      <c r="AH748" s="9"/>
      <c r="AI748" s="8"/>
      <c r="AJ748" s="8"/>
      <c r="AK748" s="8"/>
      <c r="AL748" s="8"/>
      <c r="AM748" s="9"/>
      <c r="AO748" s="8"/>
      <c r="AP748" s="9"/>
    </row>
    <row r="749" spans="20:42" ht="12.75" customHeight="1" x14ac:dyDescent="0.2">
      <c r="T749" s="3"/>
      <c r="U749" s="3"/>
      <c r="V749" s="9"/>
      <c r="W749" s="9"/>
      <c r="X749" s="9"/>
      <c r="Y749" s="9"/>
      <c r="Z749" s="9"/>
      <c r="AA749" s="9"/>
      <c r="AC749" s="9"/>
      <c r="AD749" s="9"/>
      <c r="AE749" s="8"/>
      <c r="AF749" s="8"/>
      <c r="AG749" s="8"/>
      <c r="AH749" s="9"/>
      <c r="AI749" s="8"/>
      <c r="AJ749" s="8"/>
      <c r="AK749" s="8"/>
      <c r="AL749" s="8"/>
      <c r="AM749" s="9"/>
      <c r="AO749" s="8"/>
      <c r="AP749" s="9"/>
    </row>
    <row r="750" spans="20:42" ht="12.75" customHeight="1" x14ac:dyDescent="0.2">
      <c r="T750" s="3"/>
      <c r="U750" s="3"/>
      <c r="V750" s="9"/>
      <c r="W750" s="9"/>
      <c r="X750" s="9"/>
      <c r="Y750" s="9"/>
      <c r="Z750" s="9"/>
      <c r="AA750" s="9"/>
      <c r="AC750" s="9"/>
      <c r="AD750" s="9"/>
      <c r="AE750" s="8"/>
      <c r="AF750" s="8"/>
      <c r="AG750" s="8"/>
      <c r="AH750" s="9"/>
      <c r="AI750" s="8"/>
      <c r="AJ750" s="8"/>
      <c r="AK750" s="8"/>
      <c r="AL750" s="8"/>
      <c r="AM750" s="9"/>
      <c r="AO750" s="8"/>
      <c r="AP750" s="9"/>
    </row>
    <row r="751" spans="20:42" ht="12.75" customHeight="1" x14ac:dyDescent="0.2">
      <c r="T751" s="3"/>
      <c r="U751" s="3"/>
      <c r="V751" s="9"/>
      <c r="W751" s="9"/>
      <c r="X751" s="9"/>
      <c r="Y751" s="9"/>
      <c r="Z751" s="9"/>
      <c r="AA751" s="9"/>
      <c r="AC751" s="9"/>
      <c r="AD751" s="9"/>
      <c r="AE751" s="8"/>
      <c r="AF751" s="8"/>
      <c r="AG751" s="8"/>
      <c r="AH751" s="9"/>
      <c r="AI751" s="8"/>
      <c r="AJ751" s="8"/>
      <c r="AK751" s="8"/>
      <c r="AL751" s="8"/>
      <c r="AM751" s="9"/>
      <c r="AO751" s="8"/>
      <c r="AP751" s="9"/>
    </row>
    <row r="752" spans="20:42" ht="12.75" customHeight="1" x14ac:dyDescent="0.2">
      <c r="T752" s="3"/>
      <c r="U752" s="3"/>
      <c r="V752" s="9"/>
      <c r="W752" s="9"/>
      <c r="X752" s="9"/>
      <c r="Y752" s="9"/>
      <c r="Z752" s="9"/>
      <c r="AA752" s="9"/>
      <c r="AC752" s="9"/>
      <c r="AD752" s="9"/>
      <c r="AE752" s="8"/>
      <c r="AF752" s="8"/>
      <c r="AG752" s="8"/>
      <c r="AH752" s="9"/>
      <c r="AI752" s="8"/>
      <c r="AJ752" s="8"/>
      <c r="AK752" s="8"/>
      <c r="AL752" s="8"/>
      <c r="AM752" s="9"/>
      <c r="AO752" s="8"/>
      <c r="AP752" s="9"/>
    </row>
    <row r="753" spans="20:42" ht="12.75" customHeight="1" x14ac:dyDescent="0.2">
      <c r="T753" s="3"/>
      <c r="U753" s="3"/>
      <c r="V753" s="9"/>
      <c r="W753" s="9"/>
      <c r="X753" s="9"/>
      <c r="Y753" s="9"/>
      <c r="Z753" s="9"/>
      <c r="AA753" s="9"/>
      <c r="AC753" s="9"/>
      <c r="AD753" s="9"/>
      <c r="AE753" s="8"/>
      <c r="AF753" s="8"/>
      <c r="AG753" s="8"/>
      <c r="AH753" s="9"/>
      <c r="AI753" s="8"/>
      <c r="AJ753" s="8"/>
      <c r="AK753" s="8"/>
      <c r="AL753" s="8"/>
      <c r="AM753" s="9"/>
      <c r="AO753" s="8"/>
      <c r="AP753" s="9"/>
    </row>
    <row r="754" spans="20:42" ht="12.75" customHeight="1" x14ac:dyDescent="0.2">
      <c r="T754" s="3"/>
      <c r="U754" s="3"/>
      <c r="V754" s="9"/>
      <c r="W754" s="9"/>
      <c r="X754" s="9"/>
      <c r="Y754" s="9"/>
      <c r="Z754" s="9"/>
      <c r="AA754" s="9"/>
      <c r="AC754" s="9"/>
      <c r="AD754" s="9"/>
      <c r="AE754" s="8"/>
      <c r="AF754" s="8"/>
      <c r="AG754" s="8"/>
      <c r="AH754" s="9"/>
      <c r="AI754" s="8"/>
      <c r="AJ754" s="8"/>
      <c r="AK754" s="8"/>
      <c r="AL754" s="8"/>
      <c r="AM754" s="9"/>
      <c r="AO754" s="8"/>
      <c r="AP754" s="9"/>
    </row>
    <row r="755" spans="20:42" ht="12.75" customHeight="1" x14ac:dyDescent="0.2">
      <c r="T755" s="3"/>
      <c r="U755" s="3"/>
      <c r="V755" s="9"/>
      <c r="W755" s="9"/>
      <c r="X755" s="9"/>
      <c r="Y755" s="9"/>
      <c r="Z755" s="9"/>
      <c r="AA755" s="9"/>
      <c r="AC755" s="9"/>
      <c r="AD755" s="9"/>
      <c r="AE755" s="8"/>
      <c r="AF755" s="8"/>
      <c r="AG755" s="8"/>
      <c r="AH755" s="9"/>
      <c r="AI755" s="8"/>
      <c r="AJ755" s="8"/>
      <c r="AK755" s="8"/>
      <c r="AL755" s="8"/>
      <c r="AM755" s="9"/>
      <c r="AO755" s="8"/>
      <c r="AP755" s="9"/>
    </row>
    <row r="756" spans="20:42" ht="12.75" customHeight="1" x14ac:dyDescent="0.2">
      <c r="T756" s="3"/>
      <c r="U756" s="3"/>
      <c r="V756" s="9"/>
      <c r="W756" s="9"/>
      <c r="X756" s="9"/>
      <c r="Y756" s="9"/>
      <c r="Z756" s="9"/>
      <c r="AA756" s="9"/>
      <c r="AC756" s="9"/>
      <c r="AD756" s="9"/>
      <c r="AE756" s="8"/>
      <c r="AF756" s="8"/>
      <c r="AG756" s="8"/>
      <c r="AH756" s="9"/>
      <c r="AI756" s="8"/>
      <c r="AJ756" s="8"/>
      <c r="AK756" s="8"/>
      <c r="AL756" s="8"/>
      <c r="AM756" s="9"/>
      <c r="AO756" s="8"/>
      <c r="AP756" s="9"/>
    </row>
    <row r="757" spans="20:42" ht="12.75" customHeight="1" x14ac:dyDescent="0.2">
      <c r="T757" s="3"/>
      <c r="U757" s="3"/>
      <c r="V757" s="9"/>
      <c r="W757" s="9"/>
      <c r="X757" s="9"/>
      <c r="Y757" s="9"/>
      <c r="Z757" s="9"/>
      <c r="AA757" s="9"/>
      <c r="AC757" s="9"/>
      <c r="AD757" s="9"/>
      <c r="AE757" s="8"/>
      <c r="AF757" s="8"/>
      <c r="AG757" s="8"/>
      <c r="AH757" s="9"/>
      <c r="AI757" s="8"/>
      <c r="AJ757" s="8"/>
      <c r="AK757" s="8"/>
      <c r="AL757" s="8"/>
      <c r="AM757" s="9"/>
      <c r="AO757" s="8"/>
      <c r="AP757" s="9"/>
    </row>
    <row r="758" spans="20:42" ht="12.75" customHeight="1" x14ac:dyDescent="0.2">
      <c r="T758" s="3"/>
      <c r="U758" s="3"/>
      <c r="V758" s="9"/>
      <c r="W758" s="9"/>
      <c r="X758" s="9"/>
      <c r="Y758" s="9"/>
      <c r="Z758" s="9"/>
      <c r="AA758" s="9"/>
      <c r="AC758" s="9"/>
      <c r="AD758" s="9"/>
      <c r="AE758" s="8"/>
      <c r="AF758" s="8"/>
      <c r="AG758" s="8"/>
      <c r="AH758" s="9"/>
      <c r="AI758" s="8"/>
      <c r="AJ758" s="8"/>
      <c r="AK758" s="8"/>
      <c r="AL758" s="8"/>
      <c r="AM758" s="9"/>
      <c r="AO758" s="8"/>
      <c r="AP758" s="9"/>
    </row>
    <row r="759" spans="20:42" ht="12.75" customHeight="1" x14ac:dyDescent="0.2">
      <c r="T759" s="3"/>
      <c r="U759" s="3"/>
      <c r="V759" s="9"/>
      <c r="W759" s="9"/>
      <c r="X759" s="9"/>
      <c r="Y759" s="9"/>
      <c r="Z759" s="9"/>
      <c r="AA759" s="9"/>
      <c r="AC759" s="9"/>
      <c r="AD759" s="9"/>
      <c r="AE759" s="8"/>
      <c r="AF759" s="8"/>
      <c r="AG759" s="8"/>
      <c r="AH759" s="9"/>
      <c r="AI759" s="8"/>
      <c r="AJ759" s="8"/>
      <c r="AK759" s="8"/>
      <c r="AL759" s="8"/>
      <c r="AM759" s="9"/>
      <c r="AO759" s="8"/>
      <c r="AP759" s="9"/>
    </row>
    <row r="760" spans="20:42" ht="12.75" customHeight="1" x14ac:dyDescent="0.2">
      <c r="T760" s="3"/>
      <c r="U760" s="3"/>
      <c r="V760" s="9"/>
      <c r="W760" s="9"/>
      <c r="X760" s="9"/>
      <c r="Y760" s="9"/>
      <c r="Z760" s="9"/>
      <c r="AA760" s="9"/>
      <c r="AC760" s="9"/>
      <c r="AD760" s="9"/>
      <c r="AE760" s="8"/>
      <c r="AF760" s="8"/>
      <c r="AG760" s="8"/>
      <c r="AH760" s="9"/>
      <c r="AI760" s="8"/>
      <c r="AJ760" s="8"/>
      <c r="AK760" s="8"/>
      <c r="AL760" s="8"/>
      <c r="AM760" s="9"/>
      <c r="AO760" s="8"/>
      <c r="AP760" s="9"/>
    </row>
    <row r="761" spans="20:42" ht="12.75" customHeight="1" x14ac:dyDescent="0.2">
      <c r="T761" s="3"/>
      <c r="U761" s="3"/>
      <c r="V761" s="9"/>
      <c r="W761" s="9"/>
      <c r="X761" s="9"/>
      <c r="Y761" s="9"/>
      <c r="Z761" s="9"/>
      <c r="AA761" s="9"/>
      <c r="AC761" s="9"/>
      <c r="AD761" s="9"/>
      <c r="AE761" s="8"/>
      <c r="AF761" s="8"/>
      <c r="AG761" s="8"/>
      <c r="AH761" s="9"/>
      <c r="AI761" s="8"/>
      <c r="AJ761" s="8"/>
      <c r="AK761" s="8"/>
      <c r="AL761" s="8"/>
      <c r="AM761" s="9"/>
      <c r="AO761" s="8"/>
      <c r="AP761" s="9"/>
    </row>
    <row r="762" spans="20:42" ht="12.75" customHeight="1" x14ac:dyDescent="0.2">
      <c r="T762" s="3"/>
      <c r="U762" s="3"/>
      <c r="V762" s="9"/>
      <c r="W762" s="9"/>
      <c r="X762" s="9"/>
      <c r="Y762" s="9"/>
      <c r="Z762" s="9"/>
      <c r="AA762" s="9"/>
      <c r="AC762" s="9"/>
      <c r="AD762" s="9"/>
      <c r="AE762" s="8"/>
      <c r="AF762" s="8"/>
      <c r="AG762" s="8"/>
      <c r="AH762" s="9"/>
      <c r="AI762" s="8"/>
      <c r="AJ762" s="8"/>
      <c r="AK762" s="8"/>
      <c r="AL762" s="8"/>
      <c r="AM762" s="9"/>
      <c r="AO762" s="8"/>
      <c r="AP762" s="9"/>
    </row>
    <row r="763" spans="20:42" ht="12.75" customHeight="1" x14ac:dyDescent="0.2">
      <c r="T763" s="3"/>
      <c r="U763" s="3"/>
      <c r="V763" s="9"/>
      <c r="W763" s="9"/>
      <c r="X763" s="9"/>
      <c r="Y763" s="9"/>
      <c r="Z763" s="9"/>
      <c r="AA763" s="9"/>
      <c r="AC763" s="9"/>
      <c r="AD763" s="9"/>
      <c r="AE763" s="8"/>
      <c r="AF763" s="8"/>
      <c r="AG763" s="8"/>
      <c r="AH763" s="9"/>
      <c r="AI763" s="8"/>
      <c r="AJ763" s="8"/>
      <c r="AK763" s="8"/>
      <c r="AL763" s="8"/>
      <c r="AM763" s="9"/>
      <c r="AO763" s="8"/>
      <c r="AP763" s="9"/>
    </row>
    <row r="764" spans="20:42" ht="12.75" customHeight="1" x14ac:dyDescent="0.2">
      <c r="T764" s="3"/>
      <c r="U764" s="3"/>
      <c r="V764" s="9"/>
      <c r="W764" s="9"/>
      <c r="X764" s="9"/>
      <c r="Y764" s="9"/>
      <c r="Z764" s="9"/>
      <c r="AA764" s="9"/>
      <c r="AC764" s="9"/>
      <c r="AD764" s="9"/>
      <c r="AE764" s="8"/>
      <c r="AF764" s="8"/>
      <c r="AG764" s="8"/>
      <c r="AH764" s="9"/>
      <c r="AI764" s="8"/>
      <c r="AJ764" s="8"/>
      <c r="AK764" s="8"/>
      <c r="AL764" s="8"/>
      <c r="AM764" s="9"/>
      <c r="AO764" s="8"/>
      <c r="AP764" s="9"/>
    </row>
    <row r="765" spans="20:42" ht="12.75" customHeight="1" x14ac:dyDescent="0.2">
      <c r="T765" s="3"/>
      <c r="U765" s="3"/>
      <c r="V765" s="9"/>
      <c r="W765" s="9"/>
      <c r="X765" s="9"/>
      <c r="Y765" s="9"/>
      <c r="Z765" s="9"/>
      <c r="AA765" s="9"/>
      <c r="AC765" s="9"/>
      <c r="AD765" s="9"/>
      <c r="AE765" s="8"/>
      <c r="AF765" s="8"/>
      <c r="AG765" s="8"/>
      <c r="AH765" s="9"/>
      <c r="AI765" s="8"/>
      <c r="AJ765" s="8"/>
      <c r="AK765" s="8"/>
      <c r="AL765" s="8"/>
      <c r="AM765" s="9"/>
      <c r="AO765" s="8"/>
      <c r="AP765" s="9"/>
    </row>
    <row r="766" spans="20:42" ht="12.75" customHeight="1" x14ac:dyDescent="0.2">
      <c r="T766" s="3"/>
      <c r="U766" s="3"/>
      <c r="V766" s="9"/>
      <c r="W766" s="9"/>
      <c r="X766" s="9"/>
      <c r="Y766" s="9"/>
      <c r="Z766" s="9"/>
      <c r="AA766" s="9"/>
      <c r="AC766" s="9"/>
      <c r="AD766" s="9"/>
      <c r="AE766" s="8"/>
      <c r="AF766" s="8"/>
      <c r="AG766" s="8"/>
      <c r="AH766" s="9"/>
      <c r="AI766" s="8"/>
      <c r="AJ766" s="8"/>
      <c r="AK766" s="8"/>
      <c r="AL766" s="8"/>
      <c r="AM766" s="9"/>
      <c r="AO766" s="8"/>
      <c r="AP766" s="9"/>
    </row>
    <row r="767" spans="20:42" ht="12.75" customHeight="1" x14ac:dyDescent="0.2">
      <c r="T767" s="3"/>
      <c r="U767" s="3"/>
      <c r="V767" s="9"/>
      <c r="W767" s="9"/>
      <c r="X767" s="9"/>
      <c r="Y767" s="9"/>
      <c r="Z767" s="9"/>
      <c r="AA767" s="9"/>
      <c r="AC767" s="9"/>
      <c r="AD767" s="9"/>
      <c r="AE767" s="8"/>
      <c r="AF767" s="8"/>
      <c r="AG767" s="8"/>
      <c r="AH767" s="9"/>
      <c r="AI767" s="8"/>
      <c r="AJ767" s="8"/>
      <c r="AK767" s="8"/>
      <c r="AL767" s="8"/>
      <c r="AM767" s="9"/>
      <c r="AO767" s="8"/>
      <c r="AP767" s="9"/>
    </row>
    <row r="768" spans="20:42" ht="12.75" customHeight="1" x14ac:dyDescent="0.2">
      <c r="T768" s="3"/>
      <c r="U768" s="3"/>
      <c r="V768" s="9"/>
      <c r="W768" s="9"/>
      <c r="X768" s="9"/>
      <c r="Y768" s="9"/>
      <c r="Z768" s="9"/>
      <c r="AA768" s="9"/>
      <c r="AC768" s="9"/>
      <c r="AD768" s="9"/>
      <c r="AE768" s="8"/>
      <c r="AF768" s="8"/>
      <c r="AG768" s="8"/>
      <c r="AH768" s="9"/>
      <c r="AI768" s="8"/>
      <c r="AJ768" s="8"/>
      <c r="AK768" s="8"/>
      <c r="AL768" s="8"/>
      <c r="AM768" s="9"/>
      <c r="AO768" s="8"/>
      <c r="AP768" s="9"/>
    </row>
    <row r="769" spans="20:42" ht="12.75" customHeight="1" x14ac:dyDescent="0.2">
      <c r="T769" s="3"/>
      <c r="U769" s="3"/>
      <c r="V769" s="9"/>
      <c r="W769" s="9"/>
      <c r="X769" s="9"/>
      <c r="Y769" s="9"/>
      <c r="Z769" s="9"/>
      <c r="AA769" s="9"/>
      <c r="AC769" s="9"/>
      <c r="AD769" s="9"/>
      <c r="AE769" s="8"/>
      <c r="AF769" s="8"/>
      <c r="AG769" s="8"/>
      <c r="AH769" s="9"/>
      <c r="AI769" s="8"/>
      <c r="AJ769" s="8"/>
      <c r="AK769" s="8"/>
      <c r="AL769" s="8"/>
      <c r="AM769" s="9"/>
      <c r="AO769" s="8"/>
      <c r="AP769" s="9"/>
    </row>
    <row r="770" spans="20:42" ht="12.75" customHeight="1" x14ac:dyDescent="0.2">
      <c r="T770" s="3"/>
      <c r="U770" s="3"/>
      <c r="V770" s="9"/>
      <c r="W770" s="9"/>
      <c r="X770" s="9"/>
      <c r="Y770" s="9"/>
      <c r="Z770" s="9"/>
      <c r="AA770" s="9"/>
      <c r="AC770" s="9"/>
      <c r="AD770" s="9"/>
      <c r="AE770" s="8"/>
      <c r="AF770" s="8"/>
      <c r="AG770" s="8"/>
      <c r="AH770" s="9"/>
      <c r="AI770" s="8"/>
      <c r="AJ770" s="8"/>
      <c r="AK770" s="8"/>
      <c r="AL770" s="8"/>
      <c r="AM770" s="9"/>
      <c r="AO770" s="8"/>
      <c r="AP770" s="9"/>
    </row>
    <row r="771" spans="20:42" ht="12.75" customHeight="1" x14ac:dyDescent="0.2">
      <c r="T771" s="3"/>
      <c r="U771" s="3"/>
      <c r="V771" s="9"/>
      <c r="W771" s="9"/>
      <c r="X771" s="9"/>
      <c r="Y771" s="9"/>
      <c r="Z771" s="9"/>
      <c r="AA771" s="9"/>
      <c r="AC771" s="9"/>
      <c r="AD771" s="9"/>
      <c r="AE771" s="8"/>
      <c r="AF771" s="8"/>
      <c r="AG771" s="8"/>
      <c r="AH771" s="9"/>
      <c r="AI771" s="8"/>
      <c r="AJ771" s="8"/>
      <c r="AK771" s="8"/>
      <c r="AL771" s="8"/>
      <c r="AM771" s="9"/>
      <c r="AO771" s="8"/>
      <c r="AP771" s="9"/>
    </row>
    <row r="772" spans="20:42" ht="12.75" customHeight="1" x14ac:dyDescent="0.2">
      <c r="T772" s="3"/>
      <c r="U772" s="3"/>
      <c r="V772" s="9"/>
      <c r="W772" s="9"/>
      <c r="X772" s="9"/>
      <c r="Y772" s="9"/>
      <c r="Z772" s="9"/>
      <c r="AA772" s="9"/>
      <c r="AC772" s="9"/>
      <c r="AD772" s="9"/>
      <c r="AE772" s="8"/>
      <c r="AF772" s="8"/>
      <c r="AG772" s="8"/>
      <c r="AH772" s="9"/>
      <c r="AI772" s="8"/>
      <c r="AJ772" s="8"/>
      <c r="AK772" s="8"/>
      <c r="AL772" s="8"/>
      <c r="AM772" s="9"/>
      <c r="AO772" s="8"/>
      <c r="AP772" s="9"/>
    </row>
    <row r="773" spans="20:42" ht="12.75" customHeight="1" x14ac:dyDescent="0.2">
      <c r="T773" s="3"/>
      <c r="U773" s="3"/>
      <c r="V773" s="9"/>
      <c r="W773" s="9"/>
      <c r="X773" s="9"/>
      <c r="Y773" s="9"/>
      <c r="Z773" s="9"/>
      <c r="AA773" s="9"/>
      <c r="AC773" s="9"/>
      <c r="AD773" s="9"/>
      <c r="AE773" s="8"/>
      <c r="AF773" s="8"/>
      <c r="AG773" s="8"/>
      <c r="AH773" s="9"/>
      <c r="AI773" s="8"/>
      <c r="AJ773" s="8"/>
      <c r="AK773" s="8"/>
      <c r="AL773" s="8"/>
      <c r="AM773" s="9"/>
      <c r="AO773" s="8"/>
      <c r="AP773" s="9"/>
    </row>
    <row r="774" spans="20:42" ht="12.75" customHeight="1" x14ac:dyDescent="0.2">
      <c r="T774" s="3"/>
      <c r="U774" s="3"/>
      <c r="V774" s="9"/>
      <c r="W774" s="9"/>
      <c r="X774" s="9"/>
      <c r="Y774" s="9"/>
      <c r="Z774" s="9"/>
      <c r="AA774" s="9"/>
      <c r="AC774" s="9"/>
      <c r="AD774" s="9"/>
      <c r="AE774" s="8"/>
      <c r="AF774" s="8"/>
      <c r="AG774" s="8"/>
      <c r="AH774" s="9"/>
      <c r="AI774" s="8"/>
      <c r="AJ774" s="8"/>
      <c r="AK774" s="8"/>
      <c r="AL774" s="8"/>
      <c r="AM774" s="9"/>
      <c r="AO774" s="8"/>
      <c r="AP774" s="9"/>
    </row>
    <row r="775" spans="20:42" ht="12.75" customHeight="1" x14ac:dyDescent="0.2">
      <c r="T775" s="3"/>
      <c r="U775" s="3"/>
      <c r="V775" s="9"/>
      <c r="W775" s="9"/>
      <c r="X775" s="9"/>
      <c r="Y775" s="9"/>
      <c r="Z775" s="9"/>
      <c r="AA775" s="9"/>
      <c r="AC775" s="9"/>
      <c r="AD775" s="9"/>
      <c r="AE775" s="8"/>
      <c r="AF775" s="8"/>
      <c r="AG775" s="8"/>
      <c r="AH775" s="9"/>
      <c r="AI775" s="8"/>
      <c r="AJ775" s="8"/>
      <c r="AK775" s="8"/>
      <c r="AL775" s="8"/>
      <c r="AM775" s="9"/>
      <c r="AO775" s="8"/>
      <c r="AP775" s="9"/>
    </row>
    <row r="776" spans="20:42" ht="12.75" customHeight="1" x14ac:dyDescent="0.2">
      <c r="T776" s="3"/>
      <c r="U776" s="3"/>
      <c r="V776" s="9"/>
      <c r="W776" s="9"/>
      <c r="X776" s="9"/>
      <c r="Y776" s="9"/>
      <c r="Z776" s="9"/>
      <c r="AA776" s="9"/>
      <c r="AC776" s="9"/>
      <c r="AD776" s="9"/>
      <c r="AE776" s="8"/>
      <c r="AF776" s="8"/>
      <c r="AG776" s="8"/>
      <c r="AH776" s="9"/>
      <c r="AI776" s="8"/>
      <c r="AJ776" s="8"/>
      <c r="AK776" s="8"/>
      <c r="AL776" s="8"/>
      <c r="AM776" s="9"/>
      <c r="AO776" s="8"/>
      <c r="AP776" s="9"/>
    </row>
    <row r="777" spans="20:42" ht="12.75" customHeight="1" x14ac:dyDescent="0.2">
      <c r="T777" s="3"/>
      <c r="U777" s="3"/>
      <c r="V777" s="9"/>
      <c r="W777" s="9"/>
      <c r="X777" s="9"/>
      <c r="Y777" s="9"/>
      <c r="Z777" s="9"/>
      <c r="AA777" s="9"/>
      <c r="AC777" s="9"/>
      <c r="AD777" s="9"/>
      <c r="AE777" s="8"/>
      <c r="AF777" s="8"/>
      <c r="AG777" s="8"/>
      <c r="AH777" s="9"/>
      <c r="AI777" s="8"/>
      <c r="AJ777" s="8"/>
      <c r="AK777" s="8"/>
      <c r="AL777" s="8"/>
      <c r="AM777" s="9"/>
      <c r="AO777" s="8"/>
      <c r="AP777" s="9"/>
    </row>
    <row r="778" spans="20:42" ht="12.75" customHeight="1" x14ac:dyDescent="0.2">
      <c r="T778" s="3"/>
      <c r="U778" s="3"/>
      <c r="V778" s="9"/>
      <c r="W778" s="9"/>
      <c r="X778" s="9"/>
      <c r="Y778" s="9"/>
      <c r="Z778" s="9"/>
      <c r="AA778" s="9"/>
      <c r="AC778" s="9"/>
      <c r="AD778" s="9"/>
      <c r="AE778" s="8"/>
      <c r="AF778" s="8"/>
      <c r="AG778" s="8"/>
      <c r="AH778" s="9"/>
      <c r="AI778" s="8"/>
      <c r="AJ778" s="8"/>
      <c r="AK778" s="8"/>
      <c r="AL778" s="8"/>
      <c r="AM778" s="9"/>
      <c r="AO778" s="8"/>
      <c r="AP778" s="9"/>
    </row>
    <row r="779" spans="20:42" ht="12.75" customHeight="1" x14ac:dyDescent="0.2">
      <c r="T779" s="3"/>
      <c r="U779" s="3"/>
      <c r="V779" s="9"/>
      <c r="W779" s="9"/>
      <c r="X779" s="9"/>
      <c r="Y779" s="9"/>
      <c r="Z779" s="9"/>
      <c r="AA779" s="9"/>
      <c r="AC779" s="9"/>
      <c r="AD779" s="9"/>
      <c r="AE779" s="8"/>
      <c r="AF779" s="8"/>
      <c r="AG779" s="8"/>
      <c r="AH779" s="9"/>
      <c r="AI779" s="8"/>
      <c r="AJ779" s="8"/>
      <c r="AK779" s="8"/>
      <c r="AL779" s="8"/>
      <c r="AM779" s="9"/>
      <c r="AO779" s="8"/>
      <c r="AP779" s="9"/>
    </row>
    <row r="780" spans="20:42" ht="12.75" customHeight="1" x14ac:dyDescent="0.2">
      <c r="T780" s="3"/>
      <c r="U780" s="3"/>
      <c r="V780" s="9"/>
      <c r="W780" s="9"/>
      <c r="X780" s="9"/>
      <c r="Y780" s="9"/>
      <c r="Z780" s="9"/>
      <c r="AA780" s="9"/>
      <c r="AC780" s="9"/>
      <c r="AD780" s="9"/>
      <c r="AE780" s="8"/>
      <c r="AF780" s="8"/>
      <c r="AG780" s="8"/>
      <c r="AH780" s="9"/>
      <c r="AI780" s="8"/>
      <c r="AJ780" s="8"/>
      <c r="AK780" s="8"/>
      <c r="AL780" s="8"/>
      <c r="AM780" s="9"/>
      <c r="AO780" s="8"/>
      <c r="AP780" s="9"/>
    </row>
    <row r="781" spans="20:42" ht="12.75" customHeight="1" x14ac:dyDescent="0.2">
      <c r="T781" s="3"/>
      <c r="U781" s="3"/>
      <c r="V781" s="9"/>
      <c r="W781" s="9"/>
      <c r="X781" s="9"/>
      <c r="Y781" s="9"/>
      <c r="Z781" s="9"/>
      <c r="AA781" s="9"/>
      <c r="AC781" s="9"/>
      <c r="AD781" s="9"/>
      <c r="AE781" s="8"/>
      <c r="AF781" s="8"/>
      <c r="AG781" s="8"/>
      <c r="AH781" s="9"/>
      <c r="AI781" s="8"/>
      <c r="AJ781" s="8"/>
      <c r="AK781" s="8"/>
      <c r="AL781" s="8"/>
      <c r="AM781" s="9"/>
      <c r="AO781" s="8"/>
      <c r="AP781" s="9"/>
    </row>
    <row r="782" spans="20:42" ht="12.75" customHeight="1" x14ac:dyDescent="0.2">
      <c r="T782" s="3"/>
      <c r="U782" s="3"/>
      <c r="V782" s="9"/>
      <c r="W782" s="9"/>
      <c r="X782" s="9"/>
      <c r="Y782" s="9"/>
      <c r="Z782" s="9"/>
      <c r="AA782" s="9"/>
      <c r="AC782" s="9"/>
      <c r="AD782" s="9"/>
      <c r="AE782" s="8"/>
      <c r="AF782" s="8"/>
      <c r="AG782" s="8"/>
      <c r="AH782" s="9"/>
      <c r="AI782" s="8"/>
      <c r="AJ782" s="8"/>
      <c r="AK782" s="8"/>
      <c r="AL782" s="8"/>
      <c r="AM782" s="9"/>
      <c r="AO782" s="8"/>
      <c r="AP782" s="9"/>
    </row>
    <row r="783" spans="20:42" ht="12.75" customHeight="1" x14ac:dyDescent="0.2">
      <c r="T783" s="3"/>
      <c r="U783" s="3"/>
      <c r="V783" s="9"/>
      <c r="W783" s="9"/>
      <c r="X783" s="9"/>
      <c r="Y783" s="9"/>
      <c r="Z783" s="9"/>
      <c r="AA783" s="9"/>
      <c r="AC783" s="9"/>
      <c r="AD783" s="9"/>
      <c r="AE783" s="8"/>
      <c r="AF783" s="8"/>
      <c r="AG783" s="8"/>
      <c r="AH783" s="9"/>
      <c r="AI783" s="8"/>
      <c r="AJ783" s="8"/>
      <c r="AK783" s="8"/>
      <c r="AL783" s="8"/>
      <c r="AM783" s="9"/>
      <c r="AO783" s="8"/>
      <c r="AP783" s="9"/>
    </row>
    <row r="784" spans="20:42" ht="12.75" customHeight="1" x14ac:dyDescent="0.2">
      <c r="T784" s="3"/>
      <c r="U784" s="3"/>
      <c r="V784" s="9"/>
      <c r="W784" s="9"/>
      <c r="X784" s="9"/>
      <c r="Y784" s="9"/>
      <c r="Z784" s="9"/>
      <c r="AA784" s="9"/>
      <c r="AC784" s="9"/>
      <c r="AD784" s="9"/>
      <c r="AE784" s="8"/>
      <c r="AF784" s="8"/>
      <c r="AG784" s="8"/>
      <c r="AH784" s="9"/>
      <c r="AI784" s="8"/>
      <c r="AJ784" s="8"/>
      <c r="AK784" s="8"/>
      <c r="AL784" s="8"/>
      <c r="AM784" s="9"/>
      <c r="AO784" s="8"/>
      <c r="AP784" s="9"/>
    </row>
    <row r="785" spans="20:42" ht="12.75" customHeight="1" x14ac:dyDescent="0.2">
      <c r="T785" s="3"/>
      <c r="U785" s="3"/>
      <c r="V785" s="9"/>
      <c r="W785" s="9"/>
      <c r="X785" s="9"/>
      <c r="Y785" s="9"/>
      <c r="Z785" s="9"/>
      <c r="AA785" s="9"/>
      <c r="AC785" s="9"/>
      <c r="AD785" s="9"/>
      <c r="AE785" s="8"/>
      <c r="AF785" s="8"/>
      <c r="AG785" s="8"/>
      <c r="AH785" s="9"/>
      <c r="AI785" s="8"/>
      <c r="AJ785" s="8"/>
      <c r="AK785" s="8"/>
      <c r="AL785" s="8"/>
      <c r="AM785" s="9"/>
      <c r="AO785" s="8"/>
      <c r="AP785" s="9"/>
    </row>
    <row r="786" spans="20:42" ht="12.75" customHeight="1" x14ac:dyDescent="0.2">
      <c r="T786" s="3"/>
      <c r="U786" s="3"/>
      <c r="V786" s="9"/>
      <c r="W786" s="9"/>
      <c r="X786" s="9"/>
      <c r="Y786" s="9"/>
      <c r="Z786" s="9"/>
      <c r="AA786" s="9"/>
      <c r="AC786" s="9"/>
      <c r="AD786" s="9"/>
      <c r="AE786" s="8"/>
      <c r="AF786" s="8"/>
      <c r="AG786" s="8"/>
      <c r="AH786" s="9"/>
      <c r="AI786" s="8"/>
      <c r="AJ786" s="8"/>
      <c r="AK786" s="8"/>
      <c r="AL786" s="8"/>
      <c r="AM786" s="9"/>
      <c r="AO786" s="8"/>
      <c r="AP786" s="9"/>
    </row>
    <row r="787" spans="20:42" ht="12.75" customHeight="1" x14ac:dyDescent="0.2">
      <c r="T787" s="3"/>
      <c r="U787" s="3"/>
      <c r="V787" s="9"/>
      <c r="W787" s="9"/>
      <c r="X787" s="9"/>
      <c r="Y787" s="9"/>
      <c r="Z787" s="9"/>
      <c r="AA787" s="9"/>
      <c r="AC787" s="9"/>
      <c r="AD787" s="9"/>
      <c r="AE787" s="8"/>
      <c r="AF787" s="8"/>
      <c r="AG787" s="8"/>
      <c r="AH787" s="9"/>
      <c r="AI787" s="8"/>
      <c r="AJ787" s="8"/>
      <c r="AK787" s="8"/>
      <c r="AL787" s="8"/>
      <c r="AM787" s="9"/>
      <c r="AO787" s="8"/>
      <c r="AP787" s="9"/>
    </row>
    <row r="788" spans="20:42" ht="12.75" customHeight="1" x14ac:dyDescent="0.2">
      <c r="T788" s="3"/>
      <c r="U788" s="3"/>
      <c r="V788" s="9"/>
      <c r="W788" s="9"/>
      <c r="X788" s="9"/>
      <c r="Y788" s="9"/>
      <c r="Z788" s="9"/>
      <c r="AA788" s="9"/>
      <c r="AC788" s="9"/>
      <c r="AD788" s="9"/>
      <c r="AE788" s="8"/>
      <c r="AF788" s="8"/>
      <c r="AG788" s="8"/>
      <c r="AH788" s="9"/>
      <c r="AI788" s="8"/>
      <c r="AJ788" s="8"/>
      <c r="AK788" s="8"/>
      <c r="AL788" s="8"/>
      <c r="AM788" s="9"/>
      <c r="AO788" s="8"/>
      <c r="AP788" s="9"/>
    </row>
    <row r="789" spans="20:42" ht="12.75" customHeight="1" x14ac:dyDescent="0.2">
      <c r="T789" s="3"/>
      <c r="U789" s="3"/>
      <c r="V789" s="9"/>
      <c r="W789" s="9"/>
      <c r="X789" s="9"/>
      <c r="Y789" s="9"/>
      <c r="Z789" s="9"/>
      <c r="AA789" s="9"/>
      <c r="AC789" s="9"/>
      <c r="AD789" s="9"/>
      <c r="AE789" s="8"/>
      <c r="AF789" s="8"/>
      <c r="AG789" s="8"/>
      <c r="AH789" s="9"/>
      <c r="AI789" s="8"/>
      <c r="AJ789" s="8"/>
      <c r="AK789" s="8"/>
      <c r="AL789" s="8"/>
      <c r="AM789" s="9"/>
      <c r="AO789" s="8"/>
      <c r="AP789" s="9"/>
    </row>
    <row r="790" spans="20:42" ht="12.75" customHeight="1" x14ac:dyDescent="0.2">
      <c r="T790" s="3"/>
      <c r="U790" s="3"/>
      <c r="V790" s="9"/>
      <c r="W790" s="9"/>
      <c r="X790" s="9"/>
      <c r="Y790" s="9"/>
      <c r="Z790" s="9"/>
      <c r="AA790" s="9"/>
      <c r="AC790" s="9"/>
      <c r="AD790" s="9"/>
      <c r="AE790" s="8"/>
      <c r="AF790" s="8"/>
      <c r="AG790" s="8"/>
      <c r="AH790" s="9"/>
      <c r="AI790" s="8"/>
      <c r="AJ790" s="8"/>
      <c r="AK790" s="8"/>
      <c r="AL790" s="8"/>
      <c r="AM790" s="9"/>
      <c r="AO790" s="8"/>
      <c r="AP790" s="9"/>
    </row>
    <row r="791" spans="20:42" ht="12.75" customHeight="1" x14ac:dyDescent="0.2">
      <c r="T791" s="3"/>
      <c r="U791" s="3"/>
      <c r="V791" s="9"/>
      <c r="W791" s="9"/>
      <c r="X791" s="9"/>
      <c r="Y791" s="9"/>
      <c r="Z791" s="9"/>
      <c r="AA791" s="9"/>
      <c r="AC791" s="9"/>
      <c r="AD791" s="9"/>
      <c r="AE791" s="8"/>
      <c r="AF791" s="8"/>
      <c r="AG791" s="8"/>
      <c r="AH791" s="9"/>
      <c r="AI791" s="8"/>
      <c r="AJ791" s="8"/>
      <c r="AK791" s="8"/>
      <c r="AL791" s="8"/>
      <c r="AM791" s="9"/>
      <c r="AO791" s="8"/>
      <c r="AP791" s="9"/>
    </row>
    <row r="792" spans="20:42" ht="12.75" customHeight="1" x14ac:dyDescent="0.2">
      <c r="T792" s="3"/>
      <c r="U792" s="3"/>
      <c r="V792" s="9"/>
      <c r="W792" s="9"/>
      <c r="X792" s="9"/>
      <c r="Y792" s="9"/>
      <c r="Z792" s="9"/>
      <c r="AA792" s="9"/>
      <c r="AC792" s="9"/>
      <c r="AD792" s="9"/>
      <c r="AE792" s="8"/>
      <c r="AF792" s="8"/>
      <c r="AG792" s="8"/>
      <c r="AH792" s="9"/>
      <c r="AI792" s="8"/>
      <c r="AJ792" s="8"/>
      <c r="AK792" s="8"/>
      <c r="AL792" s="8"/>
      <c r="AM792" s="9"/>
      <c r="AO792" s="8"/>
      <c r="AP792" s="9"/>
    </row>
    <row r="793" spans="20:42" ht="12.75" customHeight="1" x14ac:dyDescent="0.2">
      <c r="T793" s="3"/>
      <c r="U793" s="3"/>
      <c r="V793" s="9"/>
      <c r="W793" s="9"/>
      <c r="X793" s="9"/>
      <c r="Y793" s="9"/>
      <c r="Z793" s="9"/>
      <c r="AA793" s="9"/>
      <c r="AC793" s="9"/>
      <c r="AD793" s="9"/>
      <c r="AE793" s="8"/>
      <c r="AF793" s="8"/>
      <c r="AG793" s="8"/>
      <c r="AH793" s="9"/>
      <c r="AI793" s="8"/>
      <c r="AJ793" s="8"/>
      <c r="AK793" s="8"/>
      <c r="AL793" s="8"/>
      <c r="AM793" s="9"/>
      <c r="AO793" s="8"/>
      <c r="AP793" s="9"/>
    </row>
    <row r="794" spans="20:42" ht="12.75" customHeight="1" x14ac:dyDescent="0.2">
      <c r="T794" s="3"/>
      <c r="U794" s="3"/>
      <c r="V794" s="9"/>
      <c r="W794" s="9"/>
      <c r="X794" s="9"/>
      <c r="Y794" s="9"/>
      <c r="Z794" s="9"/>
      <c r="AA794" s="9"/>
      <c r="AC794" s="9"/>
      <c r="AD794" s="9"/>
      <c r="AE794" s="8"/>
      <c r="AF794" s="8"/>
      <c r="AG794" s="8"/>
      <c r="AH794" s="9"/>
      <c r="AI794" s="8"/>
      <c r="AJ794" s="8"/>
      <c r="AK794" s="8"/>
      <c r="AL794" s="8"/>
      <c r="AM794" s="9"/>
      <c r="AO794" s="8"/>
      <c r="AP794" s="9"/>
    </row>
    <row r="795" spans="20:42" ht="12.75" customHeight="1" x14ac:dyDescent="0.2">
      <c r="T795" s="3"/>
      <c r="U795" s="3"/>
      <c r="V795" s="9"/>
      <c r="W795" s="9"/>
      <c r="X795" s="9"/>
      <c r="Y795" s="9"/>
      <c r="Z795" s="9"/>
      <c r="AA795" s="9"/>
      <c r="AC795" s="9"/>
      <c r="AD795" s="9"/>
      <c r="AE795" s="8"/>
      <c r="AF795" s="8"/>
      <c r="AG795" s="8"/>
      <c r="AH795" s="9"/>
      <c r="AI795" s="8"/>
      <c r="AJ795" s="8"/>
      <c r="AK795" s="8"/>
      <c r="AL795" s="8"/>
      <c r="AM795" s="9"/>
      <c r="AO795" s="8"/>
      <c r="AP795" s="9"/>
    </row>
    <row r="796" spans="20:42" ht="12.75" customHeight="1" x14ac:dyDescent="0.2">
      <c r="T796" s="3"/>
      <c r="U796" s="3"/>
      <c r="V796" s="9"/>
      <c r="W796" s="9"/>
      <c r="X796" s="9"/>
      <c r="Y796" s="9"/>
      <c r="Z796" s="9"/>
      <c r="AA796" s="9"/>
      <c r="AC796" s="9"/>
      <c r="AD796" s="9"/>
      <c r="AE796" s="8"/>
      <c r="AF796" s="8"/>
      <c r="AG796" s="8"/>
      <c r="AH796" s="9"/>
      <c r="AI796" s="8"/>
      <c r="AJ796" s="8"/>
      <c r="AK796" s="8"/>
      <c r="AL796" s="8"/>
      <c r="AM796" s="9"/>
      <c r="AO796" s="8"/>
      <c r="AP796" s="9"/>
    </row>
    <row r="797" spans="20:42" ht="12.75" customHeight="1" x14ac:dyDescent="0.2">
      <c r="T797" s="3"/>
      <c r="U797" s="3"/>
      <c r="V797" s="9"/>
      <c r="W797" s="9"/>
      <c r="X797" s="9"/>
      <c r="Y797" s="9"/>
      <c r="Z797" s="9"/>
      <c r="AA797" s="9"/>
      <c r="AC797" s="9"/>
      <c r="AD797" s="9"/>
      <c r="AE797" s="8"/>
      <c r="AF797" s="8"/>
      <c r="AG797" s="8"/>
      <c r="AH797" s="9"/>
      <c r="AI797" s="8"/>
      <c r="AJ797" s="8"/>
      <c r="AK797" s="8"/>
      <c r="AL797" s="8"/>
      <c r="AM797" s="9"/>
      <c r="AO797" s="8"/>
      <c r="AP797" s="9"/>
    </row>
    <row r="798" spans="20:42" ht="12.75" customHeight="1" x14ac:dyDescent="0.2">
      <c r="T798" s="3"/>
      <c r="U798" s="3"/>
      <c r="V798" s="9"/>
      <c r="W798" s="9"/>
      <c r="X798" s="9"/>
      <c r="Y798" s="9"/>
      <c r="Z798" s="9"/>
      <c r="AA798" s="9"/>
      <c r="AC798" s="9"/>
      <c r="AD798" s="9"/>
      <c r="AE798" s="8"/>
      <c r="AF798" s="8"/>
      <c r="AG798" s="8"/>
      <c r="AH798" s="9"/>
      <c r="AI798" s="8"/>
      <c r="AJ798" s="8"/>
      <c r="AK798" s="8"/>
      <c r="AL798" s="8"/>
      <c r="AM798" s="9"/>
      <c r="AO798" s="8"/>
      <c r="AP798" s="9"/>
    </row>
    <row r="799" spans="20:42" ht="12.75" customHeight="1" x14ac:dyDescent="0.2">
      <c r="T799" s="3"/>
      <c r="U799" s="3"/>
      <c r="V799" s="9"/>
      <c r="W799" s="9"/>
      <c r="X799" s="9"/>
      <c r="Y799" s="9"/>
      <c r="Z799" s="9"/>
      <c r="AA799" s="9"/>
      <c r="AC799" s="9"/>
      <c r="AD799" s="9"/>
      <c r="AE799" s="8"/>
      <c r="AF799" s="8"/>
      <c r="AG799" s="8"/>
      <c r="AH799" s="9"/>
      <c r="AI799" s="8"/>
      <c r="AJ799" s="8"/>
      <c r="AK799" s="8"/>
      <c r="AL799" s="8"/>
      <c r="AM799" s="9"/>
      <c r="AO799" s="8"/>
      <c r="AP799" s="9"/>
    </row>
    <row r="800" spans="20:42" ht="12.75" customHeight="1" x14ac:dyDescent="0.2">
      <c r="T800" s="3"/>
      <c r="U800" s="3"/>
      <c r="V800" s="9"/>
      <c r="W800" s="9"/>
      <c r="X800" s="9"/>
      <c r="Y800" s="9"/>
      <c r="Z800" s="9"/>
      <c r="AA800" s="9"/>
      <c r="AC800" s="9"/>
      <c r="AD800" s="9"/>
      <c r="AE800" s="8"/>
      <c r="AF800" s="8"/>
      <c r="AG800" s="8"/>
      <c r="AH800" s="9"/>
      <c r="AI800" s="8"/>
      <c r="AJ800" s="8"/>
      <c r="AK800" s="8"/>
      <c r="AL800" s="8"/>
      <c r="AM800" s="9"/>
      <c r="AO800" s="8"/>
      <c r="AP800" s="9"/>
    </row>
    <row r="801" spans="20:42" ht="12.75" customHeight="1" x14ac:dyDescent="0.2">
      <c r="T801" s="3"/>
      <c r="U801" s="3"/>
      <c r="V801" s="9"/>
      <c r="W801" s="9"/>
      <c r="X801" s="9"/>
      <c r="Y801" s="9"/>
      <c r="Z801" s="9"/>
      <c r="AA801" s="9"/>
      <c r="AC801" s="9"/>
      <c r="AD801" s="9"/>
      <c r="AE801" s="8"/>
      <c r="AF801" s="8"/>
      <c r="AG801" s="8"/>
      <c r="AH801" s="9"/>
      <c r="AI801" s="8"/>
      <c r="AJ801" s="8"/>
      <c r="AK801" s="8"/>
      <c r="AL801" s="8"/>
      <c r="AM801" s="9"/>
      <c r="AO801" s="8"/>
      <c r="AP801" s="9"/>
    </row>
    <row r="802" spans="20:42" ht="12.75" customHeight="1" x14ac:dyDescent="0.2">
      <c r="T802" s="3"/>
      <c r="U802" s="3"/>
      <c r="V802" s="9"/>
      <c r="W802" s="9"/>
      <c r="X802" s="9"/>
      <c r="Y802" s="9"/>
      <c r="Z802" s="9"/>
      <c r="AA802" s="9"/>
      <c r="AC802" s="9"/>
      <c r="AD802" s="9"/>
      <c r="AE802" s="8"/>
      <c r="AF802" s="8"/>
      <c r="AG802" s="8"/>
      <c r="AH802" s="9"/>
      <c r="AI802" s="8"/>
      <c r="AJ802" s="8"/>
      <c r="AK802" s="8"/>
      <c r="AL802" s="8"/>
      <c r="AM802" s="9"/>
      <c r="AO802" s="8"/>
      <c r="AP802" s="9"/>
    </row>
    <row r="803" spans="20:42" ht="12.75" customHeight="1" x14ac:dyDescent="0.2">
      <c r="T803" s="3"/>
      <c r="U803" s="3"/>
      <c r="V803" s="9"/>
      <c r="W803" s="9"/>
      <c r="X803" s="9"/>
      <c r="Y803" s="9"/>
      <c r="Z803" s="9"/>
      <c r="AA803" s="9"/>
      <c r="AC803" s="9"/>
      <c r="AD803" s="9"/>
      <c r="AE803" s="8"/>
      <c r="AF803" s="8"/>
      <c r="AG803" s="8"/>
      <c r="AH803" s="9"/>
      <c r="AI803" s="8"/>
      <c r="AJ803" s="8"/>
      <c r="AK803" s="8"/>
      <c r="AL803" s="8"/>
      <c r="AM803" s="9"/>
      <c r="AO803" s="8"/>
      <c r="AP803" s="9"/>
    </row>
    <row r="804" spans="20:42" ht="12.75" customHeight="1" x14ac:dyDescent="0.2">
      <c r="T804" s="3"/>
      <c r="U804" s="3"/>
      <c r="V804" s="9"/>
      <c r="W804" s="9"/>
      <c r="X804" s="9"/>
      <c r="Y804" s="9"/>
      <c r="Z804" s="9"/>
      <c r="AA804" s="9"/>
      <c r="AC804" s="9"/>
      <c r="AD804" s="9"/>
      <c r="AE804" s="8"/>
      <c r="AF804" s="8"/>
      <c r="AG804" s="8"/>
      <c r="AH804" s="9"/>
      <c r="AI804" s="8"/>
      <c r="AJ804" s="8"/>
      <c r="AK804" s="8"/>
      <c r="AL804" s="8"/>
      <c r="AM804" s="9"/>
      <c r="AO804" s="8"/>
      <c r="AP804" s="9"/>
    </row>
    <row r="805" spans="20:42" ht="12.75" customHeight="1" x14ac:dyDescent="0.2">
      <c r="T805" s="3"/>
      <c r="U805" s="3"/>
      <c r="V805" s="9"/>
      <c r="W805" s="9"/>
      <c r="X805" s="9"/>
      <c r="Y805" s="9"/>
      <c r="Z805" s="9"/>
      <c r="AA805" s="9"/>
      <c r="AC805" s="9"/>
      <c r="AD805" s="9"/>
      <c r="AE805" s="8"/>
      <c r="AF805" s="8"/>
      <c r="AG805" s="8"/>
      <c r="AH805" s="9"/>
      <c r="AI805" s="8"/>
      <c r="AJ805" s="8"/>
      <c r="AK805" s="8"/>
      <c r="AL805" s="8"/>
      <c r="AM805" s="9"/>
      <c r="AO805" s="8"/>
      <c r="AP805" s="9"/>
    </row>
    <row r="806" spans="20:42" ht="12.75" customHeight="1" x14ac:dyDescent="0.2">
      <c r="T806" s="3"/>
      <c r="U806" s="3"/>
      <c r="V806" s="9"/>
      <c r="W806" s="9"/>
      <c r="X806" s="9"/>
      <c r="Y806" s="9"/>
      <c r="Z806" s="9"/>
      <c r="AA806" s="9"/>
      <c r="AC806" s="9"/>
      <c r="AD806" s="9"/>
      <c r="AE806" s="8"/>
      <c r="AF806" s="8"/>
      <c r="AG806" s="8"/>
      <c r="AH806" s="9"/>
      <c r="AI806" s="8"/>
      <c r="AJ806" s="8"/>
      <c r="AK806" s="8"/>
      <c r="AL806" s="8"/>
      <c r="AM806" s="9"/>
      <c r="AO806" s="8"/>
      <c r="AP806" s="9"/>
    </row>
    <row r="807" spans="20:42" ht="12.75" customHeight="1" x14ac:dyDescent="0.2">
      <c r="T807" s="3"/>
      <c r="U807" s="3"/>
      <c r="V807" s="9"/>
      <c r="W807" s="9"/>
      <c r="X807" s="9"/>
      <c r="Y807" s="9"/>
      <c r="Z807" s="9"/>
      <c r="AA807" s="9"/>
      <c r="AC807" s="9"/>
      <c r="AD807" s="9"/>
      <c r="AE807" s="8"/>
      <c r="AF807" s="8"/>
      <c r="AG807" s="8"/>
      <c r="AH807" s="9"/>
      <c r="AI807" s="8"/>
      <c r="AJ807" s="8"/>
      <c r="AK807" s="8"/>
      <c r="AL807" s="8"/>
      <c r="AM807" s="9"/>
      <c r="AO807" s="8"/>
      <c r="AP807" s="9"/>
    </row>
    <row r="808" spans="20:42" ht="12.75" customHeight="1" x14ac:dyDescent="0.2">
      <c r="T808" s="3"/>
      <c r="U808" s="3"/>
      <c r="V808" s="9"/>
      <c r="W808" s="9"/>
      <c r="X808" s="9"/>
      <c r="Y808" s="9"/>
      <c r="Z808" s="9"/>
      <c r="AA808" s="9"/>
      <c r="AC808" s="9"/>
      <c r="AD808" s="9"/>
      <c r="AE808" s="8"/>
      <c r="AF808" s="8"/>
      <c r="AG808" s="8"/>
      <c r="AH808" s="9"/>
      <c r="AI808" s="8"/>
      <c r="AJ808" s="8"/>
      <c r="AK808" s="8"/>
      <c r="AL808" s="8"/>
      <c r="AM808" s="9"/>
      <c r="AO808" s="8"/>
      <c r="AP808" s="9"/>
    </row>
    <row r="809" spans="20:42" ht="12.75" customHeight="1" x14ac:dyDescent="0.2">
      <c r="T809" s="3"/>
      <c r="U809" s="3"/>
      <c r="V809" s="9"/>
      <c r="W809" s="9"/>
      <c r="X809" s="9"/>
      <c r="Y809" s="9"/>
      <c r="Z809" s="9"/>
      <c r="AA809" s="9"/>
      <c r="AC809" s="9"/>
      <c r="AD809" s="9"/>
      <c r="AE809" s="8"/>
      <c r="AF809" s="8"/>
      <c r="AG809" s="8"/>
      <c r="AH809" s="9"/>
      <c r="AI809" s="8"/>
      <c r="AJ809" s="8"/>
      <c r="AK809" s="8"/>
      <c r="AL809" s="8"/>
      <c r="AM809" s="9"/>
      <c r="AO809" s="8"/>
      <c r="AP809" s="9"/>
    </row>
    <row r="810" spans="20:42" ht="12.75" customHeight="1" x14ac:dyDescent="0.2">
      <c r="T810" s="3"/>
      <c r="U810" s="3"/>
      <c r="V810" s="9"/>
      <c r="W810" s="9"/>
      <c r="X810" s="9"/>
      <c r="Y810" s="9"/>
      <c r="Z810" s="9"/>
      <c r="AA810" s="9"/>
      <c r="AC810" s="9"/>
      <c r="AD810" s="9"/>
      <c r="AE810" s="8"/>
      <c r="AF810" s="8"/>
      <c r="AG810" s="8"/>
      <c r="AH810" s="9"/>
      <c r="AI810" s="8"/>
      <c r="AJ810" s="8"/>
      <c r="AK810" s="8"/>
      <c r="AL810" s="8"/>
      <c r="AM810" s="9"/>
      <c r="AO810" s="8"/>
      <c r="AP810" s="9"/>
    </row>
    <row r="811" spans="20:42" ht="12.75" customHeight="1" x14ac:dyDescent="0.2">
      <c r="T811" s="3"/>
      <c r="U811" s="3"/>
      <c r="V811" s="9"/>
      <c r="W811" s="9"/>
      <c r="X811" s="9"/>
      <c r="Y811" s="9"/>
      <c r="Z811" s="9"/>
      <c r="AA811" s="9"/>
      <c r="AC811" s="9"/>
      <c r="AD811" s="9"/>
      <c r="AE811" s="8"/>
      <c r="AF811" s="8"/>
      <c r="AG811" s="8"/>
      <c r="AH811" s="9"/>
      <c r="AI811" s="8"/>
      <c r="AJ811" s="8"/>
      <c r="AK811" s="8"/>
      <c r="AL811" s="8"/>
      <c r="AM811" s="9"/>
      <c r="AO811" s="8"/>
      <c r="AP811" s="9"/>
    </row>
    <row r="812" spans="20:42" ht="12.75" customHeight="1" x14ac:dyDescent="0.2">
      <c r="T812" s="3"/>
      <c r="U812" s="3"/>
      <c r="V812" s="9"/>
      <c r="W812" s="9"/>
      <c r="X812" s="9"/>
      <c r="Y812" s="9"/>
      <c r="Z812" s="9"/>
      <c r="AA812" s="9"/>
      <c r="AC812" s="9"/>
      <c r="AD812" s="9"/>
      <c r="AE812" s="8"/>
      <c r="AF812" s="8"/>
      <c r="AG812" s="8"/>
      <c r="AH812" s="9"/>
      <c r="AI812" s="8"/>
      <c r="AJ812" s="8"/>
      <c r="AK812" s="8"/>
      <c r="AL812" s="8"/>
      <c r="AM812" s="9"/>
      <c r="AO812" s="8"/>
      <c r="AP812" s="9"/>
    </row>
    <row r="813" spans="20:42" ht="12.75" customHeight="1" x14ac:dyDescent="0.2">
      <c r="T813" s="3"/>
      <c r="U813" s="3"/>
      <c r="V813" s="9"/>
      <c r="W813" s="9"/>
      <c r="X813" s="9"/>
      <c r="Y813" s="9"/>
      <c r="Z813" s="9"/>
      <c r="AA813" s="9"/>
      <c r="AC813" s="9"/>
      <c r="AD813" s="9"/>
      <c r="AE813" s="8"/>
      <c r="AF813" s="8"/>
      <c r="AG813" s="8"/>
      <c r="AH813" s="9"/>
      <c r="AI813" s="8"/>
      <c r="AJ813" s="8"/>
      <c r="AK813" s="8"/>
      <c r="AL813" s="8"/>
      <c r="AM813" s="9"/>
      <c r="AO813" s="8"/>
      <c r="AP813" s="9"/>
    </row>
    <row r="814" spans="20:42" ht="12.75" customHeight="1" x14ac:dyDescent="0.2">
      <c r="T814" s="3"/>
      <c r="U814" s="3"/>
      <c r="V814" s="9"/>
      <c r="W814" s="9"/>
      <c r="X814" s="9"/>
      <c r="Y814" s="9"/>
      <c r="Z814" s="9"/>
      <c r="AA814" s="9"/>
      <c r="AC814" s="9"/>
      <c r="AD814" s="9"/>
      <c r="AE814" s="8"/>
      <c r="AF814" s="8"/>
      <c r="AG814" s="8"/>
      <c r="AH814" s="9"/>
      <c r="AI814" s="8"/>
      <c r="AJ814" s="8"/>
      <c r="AK814" s="8"/>
      <c r="AL814" s="8"/>
      <c r="AM814" s="9"/>
      <c r="AO814" s="8"/>
      <c r="AP814" s="9"/>
    </row>
    <row r="815" spans="20:42" ht="12.75" customHeight="1" x14ac:dyDescent="0.2">
      <c r="T815" s="3"/>
      <c r="U815" s="3"/>
      <c r="V815" s="9"/>
      <c r="W815" s="9"/>
      <c r="X815" s="9"/>
      <c r="Y815" s="9"/>
      <c r="Z815" s="9"/>
      <c r="AA815" s="9"/>
      <c r="AC815" s="9"/>
      <c r="AD815" s="9"/>
      <c r="AE815" s="8"/>
      <c r="AF815" s="8"/>
      <c r="AG815" s="8"/>
      <c r="AH815" s="9"/>
      <c r="AI815" s="8"/>
      <c r="AJ815" s="8"/>
      <c r="AK815" s="8"/>
      <c r="AL815" s="8"/>
      <c r="AM815" s="9"/>
      <c r="AO815" s="8"/>
      <c r="AP815" s="9"/>
    </row>
    <row r="816" spans="20:42" ht="12.75" customHeight="1" x14ac:dyDescent="0.2">
      <c r="T816" s="3"/>
      <c r="U816" s="3"/>
      <c r="V816" s="9"/>
      <c r="W816" s="9"/>
      <c r="X816" s="9"/>
      <c r="Y816" s="9"/>
      <c r="Z816" s="9"/>
      <c r="AA816" s="9"/>
      <c r="AC816" s="9"/>
      <c r="AD816" s="9"/>
      <c r="AE816" s="8"/>
      <c r="AF816" s="8"/>
      <c r="AG816" s="8"/>
      <c r="AH816" s="9"/>
      <c r="AI816" s="8"/>
      <c r="AJ816" s="8"/>
      <c r="AK816" s="8"/>
      <c r="AL816" s="8"/>
      <c r="AM816" s="9"/>
      <c r="AO816" s="8"/>
      <c r="AP816" s="9"/>
    </row>
    <row r="817" spans="20:42" ht="12.75" customHeight="1" x14ac:dyDescent="0.2">
      <c r="T817" s="3"/>
      <c r="U817" s="3"/>
      <c r="V817" s="9"/>
      <c r="W817" s="9"/>
      <c r="X817" s="9"/>
      <c r="Y817" s="9"/>
      <c r="Z817" s="9"/>
      <c r="AA817" s="9"/>
      <c r="AC817" s="9"/>
      <c r="AD817" s="9"/>
      <c r="AE817" s="8"/>
      <c r="AF817" s="8"/>
      <c r="AG817" s="8"/>
      <c r="AH817" s="9"/>
      <c r="AI817" s="8"/>
      <c r="AJ817" s="8"/>
      <c r="AK817" s="8"/>
      <c r="AL817" s="8"/>
      <c r="AM817" s="9"/>
      <c r="AO817" s="8"/>
      <c r="AP817" s="9"/>
    </row>
    <row r="818" spans="20:42" ht="12.75" customHeight="1" x14ac:dyDescent="0.2">
      <c r="T818" s="3"/>
      <c r="U818" s="3"/>
      <c r="V818" s="9"/>
      <c r="W818" s="9"/>
      <c r="X818" s="9"/>
      <c r="Y818" s="9"/>
      <c r="Z818" s="9"/>
      <c r="AA818" s="9"/>
      <c r="AC818" s="9"/>
      <c r="AD818" s="9"/>
      <c r="AE818" s="8"/>
      <c r="AF818" s="8"/>
      <c r="AG818" s="8"/>
      <c r="AH818" s="9"/>
      <c r="AI818" s="8"/>
      <c r="AJ818" s="8"/>
      <c r="AK818" s="8"/>
      <c r="AL818" s="8"/>
      <c r="AM818" s="9"/>
      <c r="AO818" s="8"/>
      <c r="AP818" s="9"/>
    </row>
    <row r="819" spans="20:42" ht="12.75" customHeight="1" x14ac:dyDescent="0.2">
      <c r="T819" s="3"/>
      <c r="U819" s="3"/>
      <c r="V819" s="9"/>
      <c r="W819" s="9"/>
      <c r="X819" s="9"/>
      <c r="Y819" s="9"/>
      <c r="Z819" s="9"/>
      <c r="AA819" s="9"/>
      <c r="AC819" s="9"/>
      <c r="AD819" s="9"/>
      <c r="AE819" s="8"/>
      <c r="AF819" s="8"/>
      <c r="AG819" s="8"/>
      <c r="AH819" s="9"/>
      <c r="AI819" s="8"/>
      <c r="AJ819" s="8"/>
      <c r="AK819" s="8"/>
      <c r="AL819" s="8"/>
      <c r="AM819" s="9"/>
      <c r="AO819" s="8"/>
      <c r="AP819" s="9"/>
    </row>
    <row r="820" spans="20:42" ht="12.75" customHeight="1" x14ac:dyDescent="0.2">
      <c r="T820" s="3"/>
      <c r="U820" s="3"/>
      <c r="V820" s="9"/>
      <c r="W820" s="9"/>
      <c r="X820" s="9"/>
      <c r="Y820" s="9"/>
      <c r="Z820" s="9"/>
      <c r="AA820" s="9"/>
      <c r="AC820" s="9"/>
      <c r="AD820" s="9"/>
      <c r="AE820" s="8"/>
      <c r="AF820" s="8"/>
      <c r="AG820" s="8"/>
      <c r="AH820" s="9"/>
      <c r="AI820" s="8"/>
      <c r="AJ820" s="8"/>
      <c r="AK820" s="8"/>
      <c r="AL820" s="8"/>
      <c r="AM820" s="9"/>
      <c r="AO820" s="8"/>
      <c r="AP820" s="9"/>
    </row>
    <row r="821" spans="20:42" ht="12.75" customHeight="1" x14ac:dyDescent="0.2">
      <c r="T821" s="3"/>
      <c r="U821" s="3"/>
      <c r="V821" s="9"/>
      <c r="W821" s="9"/>
      <c r="X821" s="9"/>
      <c r="Y821" s="9"/>
      <c r="Z821" s="9"/>
      <c r="AA821" s="9"/>
      <c r="AC821" s="9"/>
      <c r="AD821" s="9"/>
      <c r="AE821" s="8"/>
      <c r="AF821" s="8"/>
      <c r="AG821" s="8"/>
      <c r="AH821" s="9"/>
      <c r="AI821" s="8"/>
      <c r="AJ821" s="8"/>
      <c r="AK821" s="8"/>
      <c r="AL821" s="8"/>
      <c r="AM821" s="9"/>
      <c r="AO821" s="8"/>
      <c r="AP821" s="9"/>
    </row>
    <row r="822" spans="20:42" ht="12.75" customHeight="1" x14ac:dyDescent="0.2">
      <c r="T822" s="3"/>
      <c r="U822" s="3"/>
      <c r="V822" s="9"/>
      <c r="W822" s="9"/>
      <c r="X822" s="9"/>
      <c r="Y822" s="9"/>
      <c r="Z822" s="9"/>
      <c r="AA822" s="9"/>
      <c r="AC822" s="9"/>
      <c r="AD822" s="9"/>
      <c r="AE822" s="8"/>
      <c r="AF822" s="8"/>
      <c r="AG822" s="8"/>
      <c r="AH822" s="9"/>
      <c r="AI822" s="8"/>
      <c r="AJ822" s="8"/>
      <c r="AK822" s="8"/>
      <c r="AL822" s="8"/>
      <c r="AM822" s="9"/>
      <c r="AO822" s="8"/>
      <c r="AP822" s="9"/>
    </row>
    <row r="823" spans="20:42" ht="12.75" customHeight="1" x14ac:dyDescent="0.2">
      <c r="T823" s="3"/>
      <c r="U823" s="3"/>
      <c r="V823" s="9"/>
      <c r="W823" s="9"/>
      <c r="X823" s="9"/>
      <c r="Y823" s="9"/>
      <c r="Z823" s="9"/>
      <c r="AA823" s="9"/>
      <c r="AC823" s="9"/>
      <c r="AD823" s="9"/>
      <c r="AE823" s="8"/>
      <c r="AF823" s="8"/>
      <c r="AG823" s="8"/>
      <c r="AH823" s="9"/>
      <c r="AI823" s="8"/>
      <c r="AJ823" s="8"/>
      <c r="AK823" s="8"/>
      <c r="AL823" s="8"/>
      <c r="AM823" s="9"/>
      <c r="AO823" s="8"/>
      <c r="AP823" s="9"/>
    </row>
    <row r="824" spans="20:42" ht="12.75" customHeight="1" x14ac:dyDescent="0.2">
      <c r="T824" s="3"/>
      <c r="U824" s="3"/>
      <c r="V824" s="9"/>
      <c r="W824" s="9"/>
      <c r="X824" s="9"/>
      <c r="Y824" s="9"/>
      <c r="Z824" s="9"/>
      <c r="AA824" s="9"/>
      <c r="AC824" s="9"/>
      <c r="AD824" s="9"/>
      <c r="AE824" s="8"/>
      <c r="AF824" s="8"/>
      <c r="AG824" s="8"/>
      <c r="AH824" s="9"/>
      <c r="AI824" s="8"/>
      <c r="AJ824" s="8"/>
      <c r="AK824" s="8"/>
      <c r="AL824" s="8"/>
      <c r="AM824" s="9"/>
      <c r="AO824" s="8"/>
      <c r="AP824" s="9"/>
    </row>
    <row r="825" spans="20:42" ht="12.75" customHeight="1" x14ac:dyDescent="0.2">
      <c r="T825" s="3"/>
      <c r="U825" s="3"/>
      <c r="V825" s="9"/>
      <c r="W825" s="9"/>
      <c r="X825" s="9"/>
      <c r="Y825" s="9"/>
      <c r="Z825" s="9"/>
      <c r="AA825" s="9"/>
      <c r="AC825" s="9"/>
      <c r="AD825" s="9"/>
      <c r="AE825" s="8"/>
      <c r="AF825" s="8"/>
      <c r="AG825" s="8"/>
      <c r="AH825" s="9"/>
      <c r="AI825" s="8"/>
      <c r="AJ825" s="8"/>
      <c r="AK825" s="8"/>
      <c r="AL825" s="8"/>
      <c r="AM825" s="9"/>
      <c r="AO825" s="8"/>
      <c r="AP825" s="9"/>
    </row>
    <row r="826" spans="20:42" ht="12.75" customHeight="1" x14ac:dyDescent="0.2">
      <c r="T826" s="3"/>
      <c r="U826" s="3"/>
      <c r="V826" s="9"/>
      <c r="W826" s="9"/>
      <c r="X826" s="9"/>
      <c r="Y826" s="9"/>
      <c r="Z826" s="9"/>
      <c r="AA826" s="9"/>
      <c r="AC826" s="9"/>
      <c r="AD826" s="9"/>
      <c r="AE826" s="8"/>
      <c r="AF826" s="8"/>
      <c r="AG826" s="8"/>
      <c r="AH826" s="9"/>
      <c r="AI826" s="8"/>
      <c r="AJ826" s="8"/>
      <c r="AK826" s="8"/>
      <c r="AL826" s="8"/>
      <c r="AM826" s="9"/>
      <c r="AO826" s="8"/>
      <c r="AP826" s="9"/>
    </row>
    <row r="827" spans="20:42" ht="12.75" customHeight="1" x14ac:dyDescent="0.2">
      <c r="T827" s="3"/>
      <c r="U827" s="3"/>
      <c r="V827" s="9"/>
      <c r="W827" s="9"/>
      <c r="X827" s="9"/>
      <c r="Y827" s="9"/>
      <c r="Z827" s="9"/>
      <c r="AA827" s="9"/>
      <c r="AC827" s="9"/>
      <c r="AD827" s="9"/>
      <c r="AE827" s="8"/>
      <c r="AF827" s="8"/>
      <c r="AG827" s="8"/>
      <c r="AH827" s="9"/>
      <c r="AI827" s="8"/>
      <c r="AJ827" s="8"/>
      <c r="AK827" s="8"/>
      <c r="AL827" s="8"/>
      <c r="AM827" s="9"/>
      <c r="AO827" s="8"/>
      <c r="AP827" s="9"/>
    </row>
    <row r="828" spans="20:42" ht="12.75" customHeight="1" x14ac:dyDescent="0.2">
      <c r="T828" s="3"/>
      <c r="U828" s="3"/>
      <c r="V828" s="9"/>
      <c r="W828" s="9"/>
      <c r="X828" s="9"/>
      <c r="Y828" s="9"/>
      <c r="Z828" s="9"/>
      <c r="AA828" s="9"/>
      <c r="AC828" s="9"/>
      <c r="AD828" s="9"/>
      <c r="AE828" s="8"/>
      <c r="AF828" s="8"/>
      <c r="AG828" s="8"/>
      <c r="AH828" s="9"/>
      <c r="AI828" s="8"/>
      <c r="AJ828" s="8"/>
      <c r="AK828" s="8"/>
      <c r="AL828" s="8"/>
      <c r="AM828" s="9"/>
      <c r="AO828" s="8"/>
      <c r="AP828" s="9"/>
    </row>
    <row r="829" spans="20:42" ht="12.75" customHeight="1" x14ac:dyDescent="0.2">
      <c r="T829" s="3"/>
      <c r="U829" s="3"/>
      <c r="V829" s="9"/>
      <c r="W829" s="9"/>
      <c r="X829" s="9"/>
      <c r="Y829" s="9"/>
      <c r="Z829" s="9"/>
      <c r="AA829" s="9"/>
      <c r="AC829" s="9"/>
      <c r="AD829" s="9"/>
      <c r="AE829" s="8"/>
      <c r="AF829" s="8"/>
      <c r="AG829" s="8"/>
      <c r="AH829" s="9"/>
      <c r="AI829" s="8"/>
      <c r="AJ829" s="8"/>
      <c r="AK829" s="8"/>
      <c r="AL829" s="8"/>
      <c r="AM829" s="9"/>
      <c r="AO829" s="8"/>
      <c r="AP829" s="9"/>
    </row>
    <row r="830" spans="20:42" ht="12.75" customHeight="1" x14ac:dyDescent="0.2">
      <c r="T830" s="3"/>
      <c r="U830" s="3"/>
      <c r="V830" s="9"/>
      <c r="W830" s="9"/>
      <c r="X830" s="9"/>
      <c r="Y830" s="9"/>
      <c r="Z830" s="9"/>
      <c r="AA830" s="9"/>
      <c r="AC830" s="9"/>
      <c r="AD830" s="9"/>
      <c r="AE830" s="8"/>
      <c r="AF830" s="8"/>
      <c r="AG830" s="8"/>
      <c r="AH830" s="9"/>
      <c r="AI830" s="8"/>
      <c r="AJ830" s="8"/>
      <c r="AK830" s="8"/>
      <c r="AL830" s="8"/>
      <c r="AM830" s="9"/>
      <c r="AO830" s="8"/>
      <c r="AP830" s="9"/>
    </row>
    <row r="831" spans="20:42" ht="12.75" customHeight="1" x14ac:dyDescent="0.2">
      <c r="T831" s="3"/>
      <c r="U831" s="3"/>
      <c r="V831" s="9"/>
      <c r="W831" s="9"/>
      <c r="X831" s="9"/>
      <c r="Y831" s="9"/>
      <c r="Z831" s="9"/>
      <c r="AA831" s="9"/>
      <c r="AC831" s="9"/>
      <c r="AD831" s="9"/>
      <c r="AE831" s="8"/>
      <c r="AF831" s="8"/>
      <c r="AG831" s="8"/>
      <c r="AH831" s="9"/>
      <c r="AI831" s="8"/>
      <c r="AJ831" s="8"/>
      <c r="AK831" s="8"/>
      <c r="AL831" s="8"/>
      <c r="AM831" s="9"/>
      <c r="AO831" s="8"/>
      <c r="AP831" s="9"/>
    </row>
    <row r="832" spans="20:42" ht="12.75" customHeight="1" x14ac:dyDescent="0.2">
      <c r="T832" s="3"/>
      <c r="U832" s="3"/>
      <c r="V832" s="9"/>
      <c r="W832" s="9"/>
      <c r="X832" s="9"/>
      <c r="Y832" s="9"/>
      <c r="Z832" s="9"/>
      <c r="AA832" s="9"/>
      <c r="AC832" s="9"/>
      <c r="AD832" s="9"/>
      <c r="AE832" s="8"/>
      <c r="AF832" s="8"/>
      <c r="AG832" s="8"/>
      <c r="AH832" s="9"/>
      <c r="AI832" s="8"/>
      <c r="AJ832" s="8"/>
      <c r="AK832" s="8"/>
      <c r="AL832" s="8"/>
      <c r="AM832" s="9"/>
      <c r="AO832" s="8"/>
      <c r="AP832" s="9"/>
    </row>
    <row r="833" spans="20:42" ht="12.75" customHeight="1" x14ac:dyDescent="0.2">
      <c r="T833" s="3"/>
      <c r="U833" s="3"/>
      <c r="V833" s="9"/>
      <c r="W833" s="9"/>
      <c r="X833" s="9"/>
      <c r="Y833" s="9"/>
      <c r="Z833" s="9"/>
      <c r="AA833" s="9"/>
      <c r="AC833" s="9"/>
      <c r="AD833" s="9"/>
      <c r="AE833" s="8"/>
      <c r="AF833" s="8"/>
      <c r="AG833" s="8"/>
      <c r="AH833" s="9"/>
      <c r="AI833" s="8"/>
      <c r="AJ833" s="8"/>
      <c r="AK833" s="8"/>
      <c r="AL833" s="8"/>
      <c r="AM833" s="9"/>
      <c r="AO833" s="8"/>
      <c r="AP833" s="9"/>
    </row>
    <row r="834" spans="20:42" ht="12.75" customHeight="1" x14ac:dyDescent="0.2">
      <c r="T834" s="3"/>
      <c r="U834" s="3"/>
      <c r="V834" s="9"/>
      <c r="W834" s="9"/>
      <c r="X834" s="9"/>
      <c r="Y834" s="9"/>
      <c r="Z834" s="9"/>
      <c r="AA834" s="9"/>
      <c r="AC834" s="9"/>
      <c r="AD834" s="9"/>
      <c r="AE834" s="8"/>
      <c r="AF834" s="8"/>
      <c r="AG834" s="8"/>
      <c r="AH834" s="9"/>
      <c r="AI834" s="8"/>
      <c r="AJ834" s="8"/>
      <c r="AK834" s="8"/>
      <c r="AL834" s="8"/>
      <c r="AM834" s="9"/>
      <c r="AO834" s="8"/>
      <c r="AP834" s="9"/>
    </row>
    <row r="835" spans="20:42" ht="12.75" customHeight="1" x14ac:dyDescent="0.2">
      <c r="T835" s="3"/>
      <c r="U835" s="3"/>
      <c r="V835" s="9"/>
      <c r="W835" s="9"/>
      <c r="X835" s="9"/>
      <c r="Y835" s="9"/>
      <c r="Z835" s="9"/>
      <c r="AA835" s="9"/>
      <c r="AC835" s="9"/>
      <c r="AD835" s="9"/>
      <c r="AE835" s="8"/>
      <c r="AF835" s="8"/>
      <c r="AG835" s="8"/>
      <c r="AH835" s="9"/>
      <c r="AI835" s="8"/>
      <c r="AJ835" s="8"/>
      <c r="AK835" s="8"/>
      <c r="AL835" s="8"/>
      <c r="AM835" s="9"/>
      <c r="AO835" s="8"/>
      <c r="AP835" s="9"/>
    </row>
    <row r="836" spans="20:42" ht="12.75" customHeight="1" x14ac:dyDescent="0.2">
      <c r="T836" s="3"/>
      <c r="U836" s="3"/>
      <c r="V836" s="9"/>
      <c r="W836" s="9"/>
      <c r="X836" s="9"/>
      <c r="Y836" s="9"/>
      <c r="Z836" s="9"/>
      <c r="AA836" s="9"/>
      <c r="AC836" s="9"/>
      <c r="AD836" s="9"/>
      <c r="AE836" s="8"/>
      <c r="AF836" s="8"/>
      <c r="AG836" s="8"/>
      <c r="AH836" s="9"/>
      <c r="AI836" s="8"/>
      <c r="AJ836" s="8"/>
      <c r="AK836" s="8"/>
      <c r="AL836" s="8"/>
      <c r="AM836" s="9"/>
      <c r="AO836" s="8"/>
      <c r="AP836" s="9"/>
    </row>
    <row r="837" spans="20:42" ht="12.75" customHeight="1" x14ac:dyDescent="0.2">
      <c r="T837" s="3"/>
      <c r="U837" s="3"/>
      <c r="V837" s="9"/>
      <c r="W837" s="9"/>
      <c r="X837" s="9"/>
      <c r="Y837" s="9"/>
      <c r="Z837" s="9"/>
      <c r="AA837" s="9"/>
      <c r="AC837" s="9"/>
      <c r="AD837" s="9"/>
      <c r="AE837" s="8"/>
      <c r="AF837" s="8"/>
      <c r="AG837" s="8"/>
      <c r="AH837" s="9"/>
      <c r="AI837" s="8"/>
      <c r="AJ837" s="8"/>
      <c r="AK837" s="8"/>
      <c r="AL837" s="8"/>
      <c r="AM837" s="9"/>
      <c r="AO837" s="8"/>
      <c r="AP837" s="9"/>
    </row>
    <row r="838" spans="20:42" ht="12.75" customHeight="1" x14ac:dyDescent="0.2">
      <c r="T838" s="3"/>
      <c r="U838" s="3"/>
      <c r="V838" s="9"/>
      <c r="W838" s="9"/>
      <c r="X838" s="9"/>
      <c r="Y838" s="9"/>
      <c r="Z838" s="9"/>
      <c r="AA838" s="9"/>
      <c r="AC838" s="9"/>
      <c r="AD838" s="9"/>
      <c r="AE838" s="8"/>
      <c r="AF838" s="8"/>
      <c r="AG838" s="8"/>
      <c r="AH838" s="9"/>
      <c r="AI838" s="8"/>
      <c r="AJ838" s="8"/>
      <c r="AK838" s="8"/>
      <c r="AL838" s="8"/>
      <c r="AM838" s="9"/>
      <c r="AO838" s="8"/>
      <c r="AP838" s="9"/>
    </row>
    <row r="839" spans="20:42" ht="12.75" customHeight="1" x14ac:dyDescent="0.2">
      <c r="T839" s="3"/>
      <c r="U839" s="3"/>
      <c r="V839" s="9"/>
      <c r="W839" s="9"/>
      <c r="X839" s="9"/>
      <c r="Y839" s="9"/>
      <c r="Z839" s="9"/>
      <c r="AA839" s="9"/>
      <c r="AC839" s="9"/>
      <c r="AD839" s="9"/>
      <c r="AE839" s="8"/>
      <c r="AF839" s="8"/>
      <c r="AG839" s="8"/>
      <c r="AH839" s="9"/>
      <c r="AI839" s="8"/>
      <c r="AJ839" s="8"/>
      <c r="AK839" s="8"/>
      <c r="AL839" s="8"/>
      <c r="AM839" s="9"/>
      <c r="AO839" s="8"/>
      <c r="AP839" s="9"/>
    </row>
    <row r="840" spans="20:42" ht="12.75" customHeight="1" x14ac:dyDescent="0.2">
      <c r="T840" s="3"/>
      <c r="U840" s="3"/>
      <c r="V840" s="9"/>
      <c r="W840" s="9"/>
      <c r="X840" s="9"/>
      <c r="Y840" s="9"/>
      <c r="Z840" s="9"/>
      <c r="AA840" s="9"/>
      <c r="AC840" s="9"/>
      <c r="AD840" s="9"/>
      <c r="AE840" s="8"/>
      <c r="AF840" s="8"/>
      <c r="AG840" s="8"/>
      <c r="AH840" s="9"/>
      <c r="AI840" s="8"/>
      <c r="AJ840" s="8"/>
      <c r="AK840" s="8"/>
      <c r="AL840" s="8"/>
      <c r="AM840" s="9"/>
      <c r="AO840" s="8"/>
      <c r="AP840" s="9"/>
    </row>
    <row r="841" spans="20:42" ht="12.75" customHeight="1" x14ac:dyDescent="0.2">
      <c r="T841" s="3"/>
      <c r="U841" s="3"/>
      <c r="V841" s="9"/>
      <c r="W841" s="9"/>
      <c r="X841" s="9"/>
      <c r="Y841" s="9"/>
      <c r="Z841" s="9"/>
      <c r="AA841" s="9"/>
      <c r="AC841" s="9"/>
      <c r="AD841" s="9"/>
      <c r="AE841" s="8"/>
      <c r="AF841" s="8"/>
      <c r="AG841" s="8"/>
      <c r="AH841" s="9"/>
      <c r="AI841" s="8"/>
      <c r="AJ841" s="8"/>
      <c r="AK841" s="8"/>
      <c r="AL841" s="8"/>
      <c r="AM841" s="9"/>
      <c r="AO841" s="8"/>
      <c r="AP841" s="9"/>
    </row>
    <row r="842" spans="20:42" ht="12.75" customHeight="1" x14ac:dyDescent="0.2">
      <c r="T842" s="3"/>
      <c r="U842" s="3"/>
      <c r="V842" s="9"/>
      <c r="W842" s="9"/>
      <c r="X842" s="9"/>
      <c r="Y842" s="9"/>
      <c r="Z842" s="9"/>
      <c r="AA842" s="9"/>
      <c r="AC842" s="9"/>
      <c r="AD842" s="9"/>
      <c r="AE842" s="8"/>
      <c r="AF842" s="8"/>
      <c r="AG842" s="8"/>
      <c r="AH842" s="9"/>
      <c r="AI842" s="8"/>
      <c r="AJ842" s="8"/>
      <c r="AK842" s="8"/>
      <c r="AL842" s="8"/>
      <c r="AM842" s="9"/>
      <c r="AO842" s="8"/>
      <c r="AP842" s="9"/>
    </row>
    <row r="843" spans="20:42" ht="12.75" customHeight="1" x14ac:dyDescent="0.2">
      <c r="T843" s="3"/>
      <c r="U843" s="3"/>
      <c r="V843" s="9"/>
      <c r="W843" s="9"/>
      <c r="X843" s="9"/>
      <c r="Y843" s="9"/>
      <c r="Z843" s="9"/>
      <c r="AA843" s="9"/>
      <c r="AC843" s="9"/>
      <c r="AD843" s="9"/>
      <c r="AE843" s="8"/>
      <c r="AF843" s="8"/>
      <c r="AG843" s="8"/>
      <c r="AH843" s="9"/>
      <c r="AI843" s="8"/>
      <c r="AJ843" s="8"/>
      <c r="AK843" s="8"/>
      <c r="AL843" s="8"/>
      <c r="AM843" s="9"/>
      <c r="AO843" s="8"/>
      <c r="AP843" s="9"/>
    </row>
    <row r="844" spans="20:42" ht="12.75" customHeight="1" x14ac:dyDescent="0.2">
      <c r="T844" s="3"/>
      <c r="U844" s="3"/>
      <c r="V844" s="9"/>
      <c r="W844" s="9"/>
      <c r="X844" s="9"/>
      <c r="Y844" s="9"/>
      <c r="Z844" s="9"/>
      <c r="AA844" s="9"/>
      <c r="AC844" s="9"/>
      <c r="AD844" s="9"/>
      <c r="AE844" s="8"/>
      <c r="AF844" s="8"/>
      <c r="AG844" s="8"/>
      <c r="AH844" s="9"/>
      <c r="AI844" s="8"/>
      <c r="AJ844" s="8"/>
      <c r="AK844" s="8"/>
      <c r="AL844" s="8"/>
      <c r="AM844" s="9"/>
      <c r="AO844" s="8"/>
      <c r="AP844" s="9"/>
    </row>
    <row r="845" spans="20:42" ht="12.75" customHeight="1" x14ac:dyDescent="0.2">
      <c r="T845" s="3"/>
      <c r="U845" s="3"/>
      <c r="V845" s="9"/>
      <c r="W845" s="9"/>
      <c r="X845" s="9"/>
      <c r="Y845" s="9"/>
      <c r="Z845" s="9"/>
      <c r="AA845" s="9"/>
      <c r="AC845" s="9"/>
      <c r="AD845" s="9"/>
      <c r="AE845" s="8"/>
      <c r="AF845" s="8"/>
      <c r="AG845" s="8"/>
      <c r="AH845" s="9"/>
      <c r="AI845" s="8"/>
      <c r="AJ845" s="8"/>
      <c r="AK845" s="8"/>
      <c r="AL845" s="8"/>
      <c r="AM845" s="9"/>
      <c r="AO845" s="8"/>
      <c r="AP845" s="9"/>
    </row>
    <row r="846" spans="20:42" ht="12.75" customHeight="1" x14ac:dyDescent="0.2">
      <c r="T846" s="3"/>
      <c r="U846" s="3"/>
      <c r="V846" s="9"/>
      <c r="W846" s="9"/>
      <c r="X846" s="9"/>
      <c r="Y846" s="9"/>
      <c r="Z846" s="9"/>
      <c r="AA846" s="9"/>
      <c r="AC846" s="9"/>
      <c r="AD846" s="9"/>
      <c r="AE846" s="8"/>
      <c r="AF846" s="8"/>
      <c r="AG846" s="8"/>
      <c r="AH846" s="9"/>
      <c r="AI846" s="8"/>
      <c r="AJ846" s="8"/>
      <c r="AK846" s="8"/>
      <c r="AL846" s="8"/>
      <c r="AM846" s="9"/>
      <c r="AO846" s="8"/>
      <c r="AP846" s="9"/>
    </row>
    <row r="847" spans="20:42" ht="12.75" customHeight="1" x14ac:dyDescent="0.2">
      <c r="T847" s="3"/>
      <c r="U847" s="3"/>
      <c r="V847" s="9"/>
      <c r="W847" s="9"/>
      <c r="X847" s="9"/>
      <c r="Y847" s="9"/>
      <c r="Z847" s="9"/>
      <c r="AA847" s="9"/>
      <c r="AC847" s="9"/>
      <c r="AD847" s="9"/>
      <c r="AE847" s="8"/>
      <c r="AF847" s="8"/>
      <c r="AG847" s="8"/>
      <c r="AH847" s="9"/>
      <c r="AI847" s="8"/>
      <c r="AJ847" s="8"/>
      <c r="AK847" s="8"/>
      <c r="AL847" s="8"/>
      <c r="AM847" s="9"/>
      <c r="AO847" s="8"/>
      <c r="AP847" s="9"/>
    </row>
    <row r="848" spans="20:42" ht="12.75" customHeight="1" x14ac:dyDescent="0.2">
      <c r="T848" s="3"/>
      <c r="U848" s="3"/>
      <c r="V848" s="9"/>
      <c r="W848" s="9"/>
      <c r="X848" s="9"/>
      <c r="Y848" s="9"/>
      <c r="Z848" s="9"/>
      <c r="AA848" s="9"/>
      <c r="AC848" s="9"/>
      <c r="AD848" s="9"/>
      <c r="AE848" s="8"/>
      <c r="AF848" s="8"/>
      <c r="AG848" s="8"/>
      <c r="AH848" s="9"/>
      <c r="AI848" s="8"/>
      <c r="AJ848" s="8"/>
      <c r="AK848" s="8"/>
      <c r="AL848" s="8"/>
      <c r="AM848" s="9"/>
      <c r="AO848" s="8"/>
      <c r="AP848" s="9"/>
    </row>
    <row r="849" spans="20:42" ht="12.75" customHeight="1" x14ac:dyDescent="0.2">
      <c r="T849" s="3"/>
      <c r="U849" s="3"/>
      <c r="V849" s="9"/>
      <c r="W849" s="9"/>
      <c r="X849" s="9"/>
      <c r="Y849" s="9"/>
      <c r="Z849" s="9"/>
      <c r="AA849" s="9"/>
      <c r="AC849" s="9"/>
      <c r="AD849" s="9"/>
      <c r="AE849" s="8"/>
      <c r="AF849" s="8"/>
      <c r="AG849" s="8"/>
      <c r="AH849" s="9"/>
      <c r="AI849" s="8"/>
      <c r="AJ849" s="8"/>
      <c r="AK849" s="8"/>
      <c r="AL849" s="8"/>
      <c r="AM849" s="9"/>
      <c r="AO849" s="8"/>
      <c r="AP849" s="9"/>
    </row>
    <row r="850" spans="20:42" ht="12.75" customHeight="1" x14ac:dyDescent="0.2">
      <c r="T850" s="3"/>
      <c r="U850" s="3"/>
      <c r="V850" s="9"/>
      <c r="W850" s="9"/>
      <c r="X850" s="9"/>
      <c r="Y850" s="9"/>
      <c r="Z850" s="9"/>
      <c r="AA850" s="9"/>
      <c r="AC850" s="9"/>
      <c r="AD850" s="9"/>
      <c r="AE850" s="8"/>
      <c r="AF850" s="8"/>
      <c r="AG850" s="8"/>
      <c r="AH850" s="9"/>
      <c r="AI850" s="8"/>
      <c r="AJ850" s="8"/>
      <c r="AK850" s="8"/>
      <c r="AL850" s="8"/>
      <c r="AM850" s="9"/>
      <c r="AO850" s="8"/>
      <c r="AP850" s="9"/>
    </row>
    <row r="851" spans="20:42" ht="12.75" customHeight="1" x14ac:dyDescent="0.2">
      <c r="T851" s="3"/>
      <c r="U851" s="3"/>
      <c r="V851" s="9"/>
      <c r="W851" s="9"/>
      <c r="X851" s="9"/>
      <c r="Y851" s="9"/>
      <c r="Z851" s="9"/>
      <c r="AA851" s="9"/>
      <c r="AC851" s="9"/>
      <c r="AD851" s="9"/>
      <c r="AE851" s="8"/>
      <c r="AF851" s="8"/>
      <c r="AG851" s="8"/>
      <c r="AH851" s="9"/>
      <c r="AI851" s="8"/>
      <c r="AJ851" s="8"/>
      <c r="AK851" s="8"/>
      <c r="AL851" s="8"/>
      <c r="AM851" s="9"/>
      <c r="AO851" s="8"/>
      <c r="AP851" s="9"/>
    </row>
    <row r="852" spans="20:42" ht="12.75" customHeight="1" x14ac:dyDescent="0.2">
      <c r="T852" s="3"/>
      <c r="U852" s="3"/>
      <c r="V852" s="9"/>
      <c r="W852" s="9"/>
      <c r="X852" s="9"/>
      <c r="Y852" s="9"/>
      <c r="Z852" s="9"/>
      <c r="AA852" s="9"/>
      <c r="AC852" s="9"/>
      <c r="AD852" s="9"/>
      <c r="AE852" s="8"/>
      <c r="AF852" s="8"/>
      <c r="AG852" s="8"/>
      <c r="AH852" s="9"/>
      <c r="AI852" s="8"/>
      <c r="AJ852" s="8"/>
      <c r="AK852" s="8"/>
      <c r="AL852" s="8"/>
      <c r="AM852" s="9"/>
      <c r="AO852" s="8"/>
      <c r="AP852" s="9"/>
    </row>
    <row r="853" spans="20:42" ht="12.75" customHeight="1" x14ac:dyDescent="0.2">
      <c r="T853" s="3"/>
      <c r="U853" s="3"/>
      <c r="V853" s="9"/>
      <c r="W853" s="9"/>
      <c r="X853" s="9"/>
      <c r="Y853" s="9"/>
      <c r="Z853" s="9"/>
      <c r="AA853" s="9"/>
      <c r="AC853" s="9"/>
      <c r="AD853" s="9"/>
      <c r="AE853" s="8"/>
      <c r="AF853" s="8"/>
      <c r="AG853" s="8"/>
      <c r="AH853" s="9"/>
      <c r="AI853" s="8"/>
      <c r="AJ853" s="8"/>
      <c r="AK853" s="8"/>
      <c r="AL853" s="8"/>
      <c r="AM853" s="9"/>
      <c r="AO853" s="8"/>
      <c r="AP853" s="9"/>
    </row>
    <row r="854" spans="20:42" ht="12.75" customHeight="1" x14ac:dyDescent="0.2">
      <c r="T854" s="3"/>
      <c r="U854" s="3"/>
      <c r="V854" s="9"/>
      <c r="W854" s="9"/>
      <c r="X854" s="9"/>
      <c r="Y854" s="9"/>
      <c r="Z854" s="9"/>
      <c r="AA854" s="9"/>
      <c r="AC854" s="9"/>
      <c r="AD854" s="9"/>
      <c r="AE854" s="8"/>
      <c r="AF854" s="8"/>
      <c r="AG854" s="8"/>
      <c r="AH854" s="9"/>
      <c r="AI854" s="8"/>
      <c r="AJ854" s="8"/>
      <c r="AK854" s="8"/>
      <c r="AL854" s="8"/>
      <c r="AM854" s="9"/>
      <c r="AO854" s="8"/>
      <c r="AP854" s="9"/>
    </row>
    <row r="855" spans="20:42" ht="12.75" customHeight="1" x14ac:dyDescent="0.2">
      <c r="T855" s="3"/>
      <c r="U855" s="3"/>
      <c r="V855" s="9"/>
      <c r="W855" s="9"/>
      <c r="X855" s="9"/>
      <c r="Y855" s="9"/>
      <c r="Z855" s="9"/>
      <c r="AA855" s="9"/>
      <c r="AC855" s="9"/>
      <c r="AD855" s="9"/>
      <c r="AE855" s="8"/>
      <c r="AF855" s="8"/>
      <c r="AG855" s="8"/>
      <c r="AH855" s="9"/>
      <c r="AI855" s="8"/>
      <c r="AJ855" s="8"/>
      <c r="AK855" s="8"/>
      <c r="AL855" s="8"/>
      <c r="AM855" s="9"/>
      <c r="AO855" s="8"/>
      <c r="AP855" s="9"/>
    </row>
    <row r="856" spans="20:42" ht="12.75" customHeight="1" x14ac:dyDescent="0.2">
      <c r="T856" s="3"/>
      <c r="U856" s="3"/>
      <c r="V856" s="9"/>
      <c r="W856" s="9"/>
      <c r="X856" s="9"/>
      <c r="Y856" s="9"/>
      <c r="Z856" s="9"/>
      <c r="AA856" s="9"/>
      <c r="AC856" s="9"/>
      <c r="AD856" s="9"/>
      <c r="AE856" s="8"/>
      <c r="AF856" s="8"/>
      <c r="AG856" s="8"/>
      <c r="AH856" s="9"/>
      <c r="AI856" s="8"/>
      <c r="AJ856" s="8"/>
      <c r="AK856" s="8"/>
      <c r="AL856" s="8"/>
      <c r="AM856" s="9"/>
      <c r="AO856" s="8"/>
      <c r="AP856" s="9"/>
    </row>
    <row r="857" spans="20:42" ht="12.75" customHeight="1" x14ac:dyDescent="0.2">
      <c r="T857" s="3"/>
      <c r="U857" s="3"/>
      <c r="V857" s="9"/>
      <c r="W857" s="9"/>
      <c r="X857" s="9"/>
      <c r="Y857" s="9"/>
      <c r="Z857" s="9"/>
      <c r="AA857" s="9"/>
      <c r="AC857" s="9"/>
      <c r="AD857" s="9"/>
      <c r="AE857" s="8"/>
      <c r="AF857" s="8"/>
      <c r="AG857" s="8"/>
      <c r="AH857" s="9"/>
      <c r="AI857" s="8"/>
      <c r="AJ857" s="8"/>
      <c r="AK857" s="8"/>
      <c r="AL857" s="8"/>
      <c r="AM857" s="9"/>
      <c r="AO857" s="8"/>
      <c r="AP857" s="9"/>
    </row>
    <row r="858" spans="20:42" ht="12.75" customHeight="1" x14ac:dyDescent="0.2">
      <c r="T858" s="3"/>
      <c r="U858" s="3"/>
      <c r="V858" s="9"/>
      <c r="W858" s="9"/>
      <c r="X858" s="9"/>
      <c r="Y858" s="9"/>
      <c r="Z858" s="9"/>
      <c r="AA858" s="9"/>
      <c r="AC858" s="9"/>
      <c r="AD858" s="9"/>
      <c r="AE858" s="8"/>
      <c r="AF858" s="8"/>
      <c r="AG858" s="8"/>
      <c r="AH858" s="9"/>
      <c r="AI858" s="8"/>
      <c r="AJ858" s="8"/>
      <c r="AK858" s="8"/>
      <c r="AL858" s="8"/>
      <c r="AM858" s="9"/>
      <c r="AO858" s="8"/>
      <c r="AP858" s="9"/>
    </row>
    <row r="859" spans="20:42" ht="12.75" customHeight="1" x14ac:dyDescent="0.2">
      <c r="T859" s="3"/>
      <c r="U859" s="3"/>
      <c r="V859" s="9"/>
      <c r="W859" s="9"/>
      <c r="X859" s="9"/>
      <c r="Y859" s="9"/>
      <c r="Z859" s="9"/>
      <c r="AA859" s="9"/>
      <c r="AC859" s="9"/>
      <c r="AD859" s="9"/>
      <c r="AE859" s="8"/>
      <c r="AF859" s="8"/>
      <c r="AG859" s="8"/>
      <c r="AH859" s="9"/>
      <c r="AI859" s="8"/>
      <c r="AJ859" s="8"/>
      <c r="AK859" s="8"/>
      <c r="AL859" s="8"/>
      <c r="AM859" s="9"/>
      <c r="AO859" s="8"/>
      <c r="AP859" s="9"/>
    </row>
    <row r="860" spans="20:42" ht="12.75" customHeight="1" x14ac:dyDescent="0.2">
      <c r="T860" s="3"/>
      <c r="U860" s="3"/>
      <c r="V860" s="9"/>
      <c r="W860" s="9"/>
      <c r="X860" s="9"/>
      <c r="Y860" s="9"/>
      <c r="Z860" s="9"/>
      <c r="AA860" s="9"/>
      <c r="AC860" s="9"/>
      <c r="AD860" s="9"/>
      <c r="AE860" s="8"/>
      <c r="AF860" s="8"/>
      <c r="AG860" s="8"/>
      <c r="AH860" s="9"/>
      <c r="AI860" s="8"/>
      <c r="AJ860" s="8"/>
      <c r="AK860" s="8"/>
      <c r="AL860" s="8"/>
      <c r="AM860" s="9"/>
      <c r="AO860" s="8"/>
      <c r="AP860" s="9"/>
    </row>
    <row r="861" spans="20:42" ht="12.75" customHeight="1" x14ac:dyDescent="0.2">
      <c r="T861" s="3"/>
      <c r="U861" s="3"/>
      <c r="V861" s="9"/>
      <c r="W861" s="9"/>
      <c r="X861" s="9"/>
      <c r="Y861" s="9"/>
      <c r="Z861" s="9"/>
      <c r="AA861" s="9"/>
      <c r="AC861" s="9"/>
      <c r="AD861" s="9"/>
      <c r="AE861" s="8"/>
      <c r="AF861" s="8"/>
      <c r="AG861" s="8"/>
      <c r="AH861" s="9"/>
      <c r="AI861" s="8"/>
      <c r="AJ861" s="8"/>
      <c r="AK861" s="8"/>
      <c r="AL861" s="8"/>
      <c r="AM861" s="9"/>
      <c r="AO861" s="8"/>
      <c r="AP861" s="9"/>
    </row>
    <row r="862" spans="20:42" ht="12.75" customHeight="1" x14ac:dyDescent="0.2">
      <c r="T862" s="3"/>
      <c r="U862" s="3"/>
      <c r="V862" s="9"/>
      <c r="W862" s="9"/>
      <c r="X862" s="9"/>
      <c r="Y862" s="9"/>
      <c r="Z862" s="9"/>
      <c r="AA862" s="9"/>
      <c r="AC862" s="9"/>
      <c r="AD862" s="9"/>
      <c r="AE862" s="8"/>
      <c r="AF862" s="8"/>
      <c r="AG862" s="8"/>
      <c r="AH862" s="9"/>
      <c r="AI862" s="8"/>
      <c r="AJ862" s="8"/>
      <c r="AK862" s="8"/>
      <c r="AL862" s="8"/>
      <c r="AM862" s="9"/>
      <c r="AO862" s="8"/>
      <c r="AP862" s="9"/>
    </row>
    <row r="863" spans="20:42" ht="12.75" customHeight="1" x14ac:dyDescent="0.2">
      <c r="T863" s="3"/>
      <c r="U863" s="3"/>
      <c r="V863" s="9"/>
      <c r="W863" s="9"/>
      <c r="X863" s="9"/>
      <c r="Y863" s="9"/>
      <c r="Z863" s="9"/>
      <c r="AA863" s="9"/>
      <c r="AC863" s="9"/>
      <c r="AD863" s="9"/>
      <c r="AE863" s="8"/>
      <c r="AF863" s="8"/>
      <c r="AG863" s="8"/>
      <c r="AH863" s="9"/>
      <c r="AI863" s="8"/>
      <c r="AJ863" s="8"/>
      <c r="AK863" s="8"/>
      <c r="AL863" s="8"/>
      <c r="AM863" s="9"/>
      <c r="AO863" s="8"/>
      <c r="AP863" s="9"/>
    </row>
    <row r="864" spans="20:42" ht="12.75" customHeight="1" x14ac:dyDescent="0.2">
      <c r="T864" s="3"/>
      <c r="U864" s="3"/>
      <c r="V864" s="9"/>
      <c r="W864" s="9"/>
      <c r="X864" s="9"/>
      <c r="Y864" s="9"/>
      <c r="Z864" s="9"/>
      <c r="AA864" s="9"/>
      <c r="AC864" s="9"/>
      <c r="AD864" s="9"/>
      <c r="AE864" s="8"/>
      <c r="AF864" s="8"/>
      <c r="AG864" s="8"/>
      <c r="AH864" s="9"/>
      <c r="AI864" s="8"/>
      <c r="AJ864" s="8"/>
      <c r="AK864" s="8"/>
      <c r="AL864" s="8"/>
      <c r="AM864" s="9"/>
      <c r="AO864" s="8"/>
      <c r="AP864" s="9"/>
    </row>
    <row r="865" spans="20:42" ht="12.75" customHeight="1" x14ac:dyDescent="0.2">
      <c r="T865" s="3"/>
      <c r="U865" s="3"/>
      <c r="V865" s="9"/>
      <c r="W865" s="9"/>
      <c r="X865" s="9"/>
      <c r="Y865" s="9"/>
      <c r="Z865" s="9"/>
      <c r="AA865" s="9"/>
      <c r="AC865" s="9"/>
      <c r="AD865" s="9"/>
      <c r="AE865" s="8"/>
      <c r="AF865" s="8"/>
      <c r="AG865" s="8"/>
      <c r="AH865" s="9"/>
      <c r="AI865" s="8"/>
      <c r="AJ865" s="8"/>
      <c r="AK865" s="8"/>
      <c r="AL865" s="8"/>
      <c r="AM865" s="9"/>
      <c r="AO865" s="8"/>
      <c r="AP865" s="9"/>
    </row>
    <row r="866" spans="20:42" ht="12.75" customHeight="1" x14ac:dyDescent="0.2">
      <c r="T866" s="3"/>
      <c r="U866" s="3"/>
      <c r="V866" s="9"/>
      <c r="W866" s="9"/>
      <c r="X866" s="9"/>
      <c r="Y866" s="9"/>
      <c r="Z866" s="9"/>
      <c r="AA866" s="9"/>
      <c r="AC866" s="9"/>
      <c r="AD866" s="9"/>
      <c r="AE866" s="8"/>
      <c r="AF866" s="8"/>
      <c r="AG866" s="8"/>
      <c r="AH866" s="9"/>
      <c r="AI866" s="8"/>
      <c r="AJ866" s="8"/>
      <c r="AK866" s="8"/>
      <c r="AL866" s="8"/>
      <c r="AM866" s="9"/>
      <c r="AO866" s="8"/>
      <c r="AP866" s="9"/>
    </row>
    <row r="867" spans="20:42" ht="12.75" customHeight="1" x14ac:dyDescent="0.2">
      <c r="T867" s="3"/>
      <c r="U867" s="3"/>
      <c r="V867" s="9"/>
      <c r="W867" s="9"/>
      <c r="X867" s="9"/>
      <c r="Y867" s="9"/>
      <c r="Z867" s="9"/>
      <c r="AA867" s="9"/>
      <c r="AC867" s="9"/>
      <c r="AD867" s="9"/>
      <c r="AE867" s="8"/>
      <c r="AF867" s="8"/>
      <c r="AG867" s="8"/>
      <c r="AH867" s="9"/>
      <c r="AI867" s="8"/>
      <c r="AJ867" s="8"/>
      <c r="AK867" s="8"/>
      <c r="AL867" s="8"/>
      <c r="AM867" s="9"/>
      <c r="AO867" s="8"/>
      <c r="AP867" s="9"/>
    </row>
    <row r="868" spans="20:42" ht="12.75" customHeight="1" x14ac:dyDescent="0.2">
      <c r="T868" s="3"/>
      <c r="U868" s="3"/>
      <c r="V868" s="9"/>
      <c r="W868" s="9"/>
      <c r="X868" s="9"/>
      <c r="Y868" s="9"/>
      <c r="Z868" s="9"/>
      <c r="AA868" s="9"/>
      <c r="AC868" s="9"/>
      <c r="AD868" s="9"/>
      <c r="AE868" s="8"/>
      <c r="AF868" s="8"/>
      <c r="AG868" s="8"/>
      <c r="AH868" s="9"/>
      <c r="AI868" s="8"/>
      <c r="AJ868" s="8"/>
      <c r="AK868" s="8"/>
      <c r="AL868" s="8"/>
      <c r="AM868" s="9"/>
      <c r="AO868" s="8"/>
      <c r="AP868" s="9"/>
    </row>
    <row r="869" spans="20:42" ht="12.75" customHeight="1" x14ac:dyDescent="0.2">
      <c r="T869" s="3"/>
      <c r="U869" s="3"/>
      <c r="V869" s="9"/>
      <c r="W869" s="9"/>
      <c r="X869" s="9"/>
      <c r="Y869" s="9"/>
      <c r="Z869" s="9"/>
      <c r="AA869" s="9"/>
      <c r="AC869" s="9"/>
      <c r="AD869" s="9"/>
      <c r="AE869" s="8"/>
      <c r="AF869" s="8"/>
      <c r="AG869" s="8"/>
      <c r="AH869" s="9"/>
      <c r="AI869" s="8"/>
      <c r="AJ869" s="8"/>
      <c r="AK869" s="8"/>
      <c r="AL869" s="8"/>
      <c r="AM869" s="9"/>
      <c r="AO869" s="8"/>
      <c r="AP869" s="9"/>
    </row>
    <row r="870" spans="20:42" ht="12.75" customHeight="1" x14ac:dyDescent="0.2">
      <c r="T870" s="3"/>
      <c r="U870" s="3"/>
      <c r="V870" s="9"/>
      <c r="W870" s="9"/>
      <c r="X870" s="9"/>
      <c r="Y870" s="9"/>
      <c r="Z870" s="9"/>
      <c r="AA870" s="9"/>
      <c r="AC870" s="9"/>
      <c r="AD870" s="9"/>
      <c r="AE870" s="8"/>
      <c r="AF870" s="8"/>
      <c r="AG870" s="8"/>
      <c r="AH870" s="9"/>
      <c r="AI870" s="8"/>
      <c r="AJ870" s="8"/>
      <c r="AK870" s="8"/>
      <c r="AL870" s="8"/>
      <c r="AM870" s="9"/>
      <c r="AO870" s="8"/>
      <c r="AP870" s="9"/>
    </row>
    <row r="871" spans="20:42" ht="12.75" customHeight="1" x14ac:dyDescent="0.2">
      <c r="T871" s="3"/>
      <c r="U871" s="3"/>
      <c r="V871" s="9"/>
      <c r="W871" s="9"/>
      <c r="X871" s="9"/>
      <c r="Y871" s="9"/>
      <c r="Z871" s="9"/>
      <c r="AA871" s="9"/>
      <c r="AC871" s="9"/>
      <c r="AD871" s="9"/>
      <c r="AE871" s="8"/>
      <c r="AF871" s="8"/>
      <c r="AG871" s="8"/>
      <c r="AH871" s="9"/>
      <c r="AI871" s="8"/>
      <c r="AJ871" s="8"/>
      <c r="AK871" s="8"/>
      <c r="AL871" s="8"/>
      <c r="AM871" s="9"/>
      <c r="AO871" s="8"/>
      <c r="AP871" s="9"/>
    </row>
    <row r="872" spans="20:42" ht="12.75" customHeight="1" x14ac:dyDescent="0.2">
      <c r="T872" s="3"/>
      <c r="U872" s="3"/>
      <c r="V872" s="9"/>
      <c r="W872" s="9"/>
      <c r="X872" s="9"/>
      <c r="Y872" s="9"/>
      <c r="Z872" s="9"/>
      <c r="AA872" s="9"/>
      <c r="AC872" s="9"/>
      <c r="AD872" s="9"/>
      <c r="AE872" s="8"/>
      <c r="AF872" s="8"/>
      <c r="AG872" s="8"/>
      <c r="AH872" s="9"/>
      <c r="AI872" s="8"/>
      <c r="AJ872" s="8"/>
      <c r="AK872" s="8"/>
      <c r="AL872" s="8"/>
      <c r="AM872" s="9"/>
      <c r="AO872" s="8"/>
      <c r="AP872" s="9"/>
    </row>
    <row r="873" spans="20:42" ht="12.75" customHeight="1" x14ac:dyDescent="0.2">
      <c r="T873" s="3"/>
      <c r="U873" s="3"/>
      <c r="V873" s="9"/>
      <c r="W873" s="9"/>
      <c r="X873" s="9"/>
      <c r="Y873" s="9"/>
      <c r="Z873" s="9"/>
      <c r="AA873" s="9"/>
      <c r="AC873" s="9"/>
      <c r="AD873" s="9"/>
      <c r="AE873" s="8"/>
      <c r="AF873" s="8"/>
      <c r="AG873" s="8"/>
      <c r="AH873" s="9"/>
      <c r="AI873" s="8"/>
      <c r="AJ873" s="8"/>
      <c r="AK873" s="8"/>
      <c r="AL873" s="8"/>
      <c r="AM873" s="9"/>
      <c r="AO873" s="8"/>
      <c r="AP873" s="9"/>
    </row>
    <row r="874" spans="20:42" ht="12.75" customHeight="1" x14ac:dyDescent="0.2">
      <c r="T874" s="3"/>
      <c r="U874" s="3"/>
      <c r="V874" s="9"/>
      <c r="W874" s="9"/>
      <c r="X874" s="9"/>
      <c r="Y874" s="9"/>
      <c r="Z874" s="9"/>
      <c r="AA874" s="9"/>
      <c r="AC874" s="9"/>
      <c r="AD874" s="9"/>
      <c r="AE874" s="8"/>
      <c r="AF874" s="8"/>
      <c r="AG874" s="8"/>
      <c r="AH874" s="9"/>
      <c r="AI874" s="8"/>
      <c r="AJ874" s="8"/>
      <c r="AK874" s="8"/>
      <c r="AL874" s="8"/>
      <c r="AM874" s="9"/>
      <c r="AO874" s="8"/>
      <c r="AP874" s="9"/>
    </row>
    <row r="875" spans="20:42" ht="12.75" customHeight="1" x14ac:dyDescent="0.2">
      <c r="T875" s="3"/>
      <c r="U875" s="3"/>
      <c r="V875" s="9"/>
      <c r="W875" s="9"/>
      <c r="X875" s="9"/>
      <c r="Y875" s="9"/>
      <c r="Z875" s="9"/>
      <c r="AA875" s="9"/>
      <c r="AC875" s="9"/>
      <c r="AD875" s="9"/>
      <c r="AE875" s="8"/>
      <c r="AF875" s="8"/>
      <c r="AG875" s="8"/>
      <c r="AH875" s="9"/>
      <c r="AI875" s="8"/>
      <c r="AJ875" s="8"/>
      <c r="AK875" s="8"/>
      <c r="AL875" s="8"/>
      <c r="AM875" s="9"/>
      <c r="AO875" s="8"/>
      <c r="AP875" s="9"/>
    </row>
    <row r="876" spans="20:42" ht="12.75" customHeight="1" x14ac:dyDescent="0.2">
      <c r="T876" s="3"/>
      <c r="U876" s="3"/>
      <c r="V876" s="9"/>
      <c r="W876" s="9"/>
      <c r="X876" s="9"/>
      <c r="Y876" s="9"/>
      <c r="Z876" s="9"/>
      <c r="AA876" s="9"/>
      <c r="AC876" s="9"/>
      <c r="AD876" s="9"/>
      <c r="AE876" s="8"/>
      <c r="AF876" s="8"/>
      <c r="AG876" s="8"/>
      <c r="AH876" s="9"/>
      <c r="AI876" s="8"/>
      <c r="AJ876" s="8"/>
      <c r="AK876" s="8"/>
      <c r="AL876" s="8"/>
      <c r="AM876" s="9"/>
      <c r="AO876" s="8"/>
      <c r="AP876" s="9"/>
    </row>
    <row r="877" spans="20:42" ht="12.75" customHeight="1" x14ac:dyDescent="0.2">
      <c r="T877" s="3"/>
      <c r="U877" s="3"/>
      <c r="V877" s="9"/>
      <c r="W877" s="9"/>
      <c r="X877" s="9"/>
      <c r="Y877" s="9"/>
      <c r="Z877" s="9"/>
      <c r="AA877" s="9"/>
      <c r="AC877" s="9"/>
      <c r="AD877" s="9"/>
      <c r="AE877" s="8"/>
      <c r="AF877" s="8"/>
      <c r="AG877" s="8"/>
      <c r="AH877" s="9"/>
      <c r="AI877" s="8"/>
      <c r="AJ877" s="8"/>
      <c r="AK877" s="8"/>
      <c r="AL877" s="8"/>
      <c r="AM877" s="9"/>
      <c r="AO877" s="8"/>
      <c r="AP877" s="9"/>
    </row>
    <row r="878" spans="20:42" ht="12.75" customHeight="1" x14ac:dyDescent="0.2">
      <c r="T878" s="3"/>
      <c r="U878" s="3"/>
      <c r="V878" s="9"/>
      <c r="W878" s="9"/>
      <c r="X878" s="9"/>
      <c r="Y878" s="9"/>
      <c r="Z878" s="9"/>
      <c r="AA878" s="9"/>
      <c r="AC878" s="9"/>
      <c r="AD878" s="9"/>
      <c r="AE878" s="8"/>
      <c r="AF878" s="8"/>
      <c r="AG878" s="8"/>
      <c r="AH878" s="9"/>
      <c r="AI878" s="8"/>
      <c r="AJ878" s="8"/>
      <c r="AK878" s="8"/>
      <c r="AL878" s="8"/>
      <c r="AM878" s="9"/>
      <c r="AO878" s="8"/>
      <c r="AP878" s="9"/>
    </row>
    <row r="879" spans="20:42" ht="12.75" customHeight="1" x14ac:dyDescent="0.2">
      <c r="T879" s="3"/>
      <c r="U879" s="3"/>
      <c r="V879" s="9"/>
      <c r="W879" s="9"/>
      <c r="X879" s="9"/>
      <c r="Y879" s="9"/>
      <c r="Z879" s="9"/>
      <c r="AA879" s="9"/>
      <c r="AC879" s="9"/>
      <c r="AD879" s="9"/>
      <c r="AE879" s="8"/>
      <c r="AF879" s="8"/>
      <c r="AG879" s="8"/>
      <c r="AH879" s="9"/>
      <c r="AI879" s="8"/>
      <c r="AJ879" s="8"/>
      <c r="AK879" s="8"/>
      <c r="AL879" s="8"/>
      <c r="AM879" s="9"/>
      <c r="AO879" s="8"/>
      <c r="AP879" s="9"/>
    </row>
    <row r="880" spans="20:42" ht="12.75" customHeight="1" x14ac:dyDescent="0.2">
      <c r="T880" s="3"/>
      <c r="U880" s="3"/>
      <c r="V880" s="9"/>
      <c r="W880" s="9"/>
      <c r="X880" s="9"/>
      <c r="Y880" s="9"/>
      <c r="Z880" s="9"/>
      <c r="AA880" s="9"/>
      <c r="AC880" s="9"/>
      <c r="AD880" s="9"/>
      <c r="AE880" s="8"/>
      <c r="AF880" s="8"/>
      <c r="AG880" s="8"/>
      <c r="AH880" s="9"/>
      <c r="AI880" s="8"/>
      <c r="AJ880" s="8"/>
      <c r="AK880" s="8"/>
      <c r="AL880" s="8"/>
      <c r="AM880" s="9"/>
      <c r="AO880" s="8"/>
      <c r="AP880" s="9"/>
    </row>
    <row r="881" spans="20:42" ht="12.75" customHeight="1" x14ac:dyDescent="0.2">
      <c r="T881" s="3"/>
      <c r="U881" s="3"/>
      <c r="V881" s="9"/>
      <c r="W881" s="9"/>
      <c r="X881" s="9"/>
      <c r="Y881" s="9"/>
      <c r="Z881" s="9"/>
      <c r="AA881" s="9"/>
      <c r="AC881" s="9"/>
      <c r="AD881" s="9"/>
      <c r="AE881" s="8"/>
      <c r="AF881" s="8"/>
      <c r="AG881" s="8"/>
      <c r="AH881" s="9"/>
      <c r="AI881" s="8"/>
      <c r="AJ881" s="8"/>
      <c r="AK881" s="8"/>
      <c r="AL881" s="8"/>
      <c r="AM881" s="9"/>
      <c r="AO881" s="8"/>
      <c r="AP881" s="9"/>
    </row>
    <row r="882" spans="20:42" ht="12.75" customHeight="1" x14ac:dyDescent="0.2">
      <c r="T882" s="3"/>
      <c r="U882" s="3"/>
      <c r="V882" s="9"/>
      <c r="W882" s="9"/>
      <c r="X882" s="9"/>
      <c r="Y882" s="9"/>
      <c r="Z882" s="9"/>
      <c r="AA882" s="9"/>
      <c r="AC882" s="9"/>
      <c r="AD882" s="9"/>
      <c r="AE882" s="8"/>
      <c r="AF882" s="8"/>
      <c r="AG882" s="8"/>
      <c r="AH882" s="9"/>
      <c r="AI882" s="8"/>
      <c r="AJ882" s="8"/>
      <c r="AK882" s="8"/>
      <c r="AL882" s="8"/>
      <c r="AM882" s="9"/>
      <c r="AO882" s="8"/>
      <c r="AP882" s="9"/>
    </row>
    <row r="883" spans="20:42" ht="12.75" customHeight="1" x14ac:dyDescent="0.2">
      <c r="T883" s="3"/>
      <c r="U883" s="3"/>
      <c r="V883" s="9"/>
      <c r="W883" s="9"/>
      <c r="X883" s="9"/>
      <c r="Y883" s="9"/>
      <c r="Z883" s="9"/>
      <c r="AA883" s="9"/>
      <c r="AC883" s="9"/>
      <c r="AD883" s="9"/>
      <c r="AE883" s="8"/>
      <c r="AF883" s="8"/>
      <c r="AG883" s="8"/>
      <c r="AH883" s="9"/>
      <c r="AI883" s="8"/>
      <c r="AJ883" s="8"/>
      <c r="AK883" s="8"/>
      <c r="AL883" s="8"/>
      <c r="AM883" s="9"/>
      <c r="AO883" s="8"/>
      <c r="AP883" s="9"/>
    </row>
    <row r="884" spans="20:42" ht="12.75" customHeight="1" x14ac:dyDescent="0.2">
      <c r="T884" s="3"/>
      <c r="U884" s="3"/>
      <c r="V884" s="9"/>
      <c r="W884" s="9"/>
      <c r="X884" s="9"/>
      <c r="Y884" s="9"/>
      <c r="Z884" s="9"/>
      <c r="AA884" s="9"/>
      <c r="AC884" s="9"/>
      <c r="AD884" s="9"/>
      <c r="AE884" s="8"/>
      <c r="AF884" s="8"/>
      <c r="AG884" s="8"/>
      <c r="AH884" s="9"/>
      <c r="AI884" s="8"/>
      <c r="AJ884" s="8"/>
      <c r="AK884" s="8"/>
      <c r="AL884" s="8"/>
      <c r="AM884" s="9"/>
      <c r="AO884" s="8"/>
      <c r="AP884" s="9"/>
    </row>
    <row r="885" spans="20:42" ht="12.75" customHeight="1" x14ac:dyDescent="0.2">
      <c r="T885" s="3"/>
      <c r="U885" s="3"/>
      <c r="V885" s="9"/>
      <c r="W885" s="9"/>
      <c r="X885" s="9"/>
      <c r="Y885" s="9"/>
      <c r="Z885" s="9"/>
      <c r="AA885" s="9"/>
      <c r="AC885" s="9"/>
      <c r="AD885" s="9"/>
      <c r="AE885" s="8"/>
      <c r="AF885" s="8"/>
      <c r="AG885" s="8"/>
      <c r="AH885" s="9"/>
      <c r="AI885" s="8"/>
      <c r="AJ885" s="8"/>
      <c r="AK885" s="8"/>
      <c r="AL885" s="8"/>
      <c r="AM885" s="9"/>
      <c r="AO885" s="8"/>
      <c r="AP885" s="9"/>
    </row>
    <row r="886" spans="20:42" ht="12.75" customHeight="1" x14ac:dyDescent="0.2">
      <c r="T886" s="3"/>
      <c r="U886" s="3"/>
      <c r="V886" s="9"/>
      <c r="W886" s="9"/>
      <c r="X886" s="9"/>
      <c r="Y886" s="9"/>
      <c r="Z886" s="9"/>
      <c r="AA886" s="9"/>
      <c r="AC886" s="9"/>
      <c r="AD886" s="9"/>
      <c r="AE886" s="8"/>
      <c r="AF886" s="8"/>
      <c r="AG886" s="8"/>
      <c r="AH886" s="9"/>
      <c r="AI886" s="8"/>
      <c r="AJ886" s="8"/>
      <c r="AK886" s="8"/>
      <c r="AL886" s="8"/>
      <c r="AM886" s="9"/>
      <c r="AO886" s="8"/>
      <c r="AP886" s="9"/>
    </row>
    <row r="887" spans="20:42" ht="12.75" customHeight="1" x14ac:dyDescent="0.2">
      <c r="T887" s="3"/>
      <c r="U887" s="3"/>
      <c r="V887" s="9"/>
      <c r="W887" s="9"/>
      <c r="X887" s="9"/>
      <c r="Y887" s="9"/>
      <c r="Z887" s="9"/>
      <c r="AA887" s="9"/>
      <c r="AC887" s="9"/>
      <c r="AD887" s="9"/>
      <c r="AE887" s="8"/>
      <c r="AF887" s="8"/>
      <c r="AG887" s="8"/>
      <c r="AH887" s="9"/>
      <c r="AI887" s="8"/>
      <c r="AJ887" s="8"/>
      <c r="AK887" s="8"/>
      <c r="AL887" s="8"/>
      <c r="AM887" s="9"/>
      <c r="AO887" s="8"/>
      <c r="AP887" s="9"/>
    </row>
    <row r="888" spans="20:42" ht="12.75" customHeight="1" x14ac:dyDescent="0.2">
      <c r="T888" s="3"/>
      <c r="U888" s="3"/>
      <c r="V888" s="9"/>
      <c r="W888" s="9"/>
      <c r="X888" s="9"/>
      <c r="Y888" s="9"/>
      <c r="Z888" s="9"/>
      <c r="AA888" s="9"/>
      <c r="AC888" s="9"/>
      <c r="AD888" s="9"/>
      <c r="AE888" s="8"/>
      <c r="AF888" s="8"/>
      <c r="AG888" s="8"/>
      <c r="AH888" s="9"/>
      <c r="AI888" s="8"/>
      <c r="AJ888" s="8"/>
      <c r="AK888" s="8"/>
      <c r="AL888" s="8"/>
      <c r="AM888" s="9"/>
      <c r="AO888" s="8"/>
      <c r="AP888" s="9"/>
    </row>
    <row r="889" spans="20:42" ht="12.75" customHeight="1" x14ac:dyDescent="0.2">
      <c r="T889" s="3"/>
      <c r="U889" s="3"/>
      <c r="V889" s="9"/>
      <c r="W889" s="9"/>
      <c r="X889" s="9"/>
      <c r="Y889" s="9"/>
      <c r="Z889" s="9"/>
      <c r="AA889" s="9"/>
      <c r="AC889" s="9"/>
      <c r="AD889" s="9"/>
      <c r="AE889" s="8"/>
      <c r="AF889" s="8"/>
      <c r="AG889" s="8"/>
      <c r="AH889" s="9"/>
      <c r="AI889" s="8"/>
      <c r="AJ889" s="8"/>
      <c r="AK889" s="8"/>
      <c r="AL889" s="8"/>
      <c r="AM889" s="9"/>
      <c r="AO889" s="8"/>
      <c r="AP889" s="9"/>
    </row>
    <row r="890" spans="20:42" ht="12.75" customHeight="1" x14ac:dyDescent="0.2">
      <c r="T890" s="3"/>
      <c r="U890" s="3"/>
      <c r="V890" s="9"/>
      <c r="W890" s="9"/>
      <c r="X890" s="9"/>
      <c r="Y890" s="9"/>
      <c r="Z890" s="9"/>
      <c r="AA890" s="9"/>
      <c r="AC890" s="9"/>
      <c r="AD890" s="9"/>
      <c r="AE890" s="8"/>
      <c r="AF890" s="8"/>
      <c r="AG890" s="8"/>
      <c r="AH890" s="9"/>
      <c r="AI890" s="8"/>
      <c r="AJ890" s="8"/>
      <c r="AK890" s="8"/>
      <c r="AL890" s="8"/>
      <c r="AM890" s="9"/>
      <c r="AO890" s="8"/>
      <c r="AP890" s="9"/>
    </row>
    <row r="891" spans="20:42" ht="12.75" customHeight="1" x14ac:dyDescent="0.2">
      <c r="T891" s="3"/>
      <c r="U891" s="3"/>
      <c r="V891" s="9"/>
      <c r="W891" s="9"/>
      <c r="X891" s="9"/>
      <c r="Y891" s="9"/>
      <c r="Z891" s="9"/>
      <c r="AA891" s="9"/>
      <c r="AC891" s="9"/>
      <c r="AD891" s="9"/>
      <c r="AE891" s="8"/>
      <c r="AF891" s="8"/>
      <c r="AG891" s="8"/>
      <c r="AH891" s="9"/>
      <c r="AI891" s="8"/>
      <c r="AJ891" s="8"/>
      <c r="AK891" s="8"/>
      <c r="AL891" s="8"/>
      <c r="AM891" s="9"/>
      <c r="AO891" s="8"/>
      <c r="AP891" s="9"/>
    </row>
    <row r="892" spans="20:42" ht="12.75" customHeight="1" x14ac:dyDescent="0.2">
      <c r="T892" s="3"/>
      <c r="U892" s="3"/>
      <c r="V892" s="9"/>
      <c r="W892" s="9"/>
      <c r="X892" s="9"/>
      <c r="Y892" s="9"/>
      <c r="Z892" s="9"/>
      <c r="AA892" s="9"/>
      <c r="AC892" s="9"/>
      <c r="AD892" s="9"/>
      <c r="AE892" s="8"/>
      <c r="AF892" s="8"/>
      <c r="AG892" s="8"/>
      <c r="AH892" s="9"/>
      <c r="AI892" s="8"/>
      <c r="AJ892" s="8"/>
      <c r="AK892" s="8"/>
      <c r="AL892" s="8"/>
      <c r="AM892" s="9"/>
      <c r="AO892" s="8"/>
      <c r="AP892" s="9"/>
    </row>
    <row r="893" spans="20:42" ht="12.75" customHeight="1" x14ac:dyDescent="0.2">
      <c r="T893" s="3"/>
      <c r="U893" s="3"/>
      <c r="V893" s="9"/>
      <c r="W893" s="9"/>
      <c r="X893" s="9"/>
      <c r="Y893" s="9"/>
      <c r="Z893" s="9"/>
      <c r="AA893" s="9"/>
      <c r="AC893" s="9"/>
      <c r="AD893" s="9"/>
      <c r="AE893" s="8"/>
      <c r="AF893" s="8"/>
      <c r="AG893" s="8"/>
      <c r="AH893" s="9"/>
      <c r="AI893" s="8"/>
      <c r="AJ893" s="8"/>
      <c r="AK893" s="8"/>
      <c r="AL893" s="8"/>
      <c r="AM893" s="9"/>
      <c r="AO893" s="8"/>
      <c r="AP893" s="9"/>
    </row>
    <row r="894" spans="20:42" ht="12.75" customHeight="1" x14ac:dyDescent="0.2">
      <c r="T894" s="3"/>
      <c r="U894" s="3"/>
      <c r="V894" s="9"/>
      <c r="W894" s="9"/>
      <c r="X894" s="9"/>
      <c r="Y894" s="9"/>
      <c r="Z894" s="9"/>
      <c r="AA894" s="9"/>
      <c r="AC894" s="9"/>
      <c r="AD894" s="9"/>
      <c r="AE894" s="8"/>
      <c r="AF894" s="8"/>
      <c r="AG894" s="8"/>
      <c r="AH894" s="9"/>
      <c r="AI894" s="8"/>
      <c r="AJ894" s="8"/>
      <c r="AK894" s="8"/>
      <c r="AL894" s="8"/>
      <c r="AM894" s="9"/>
      <c r="AO894" s="8"/>
      <c r="AP894" s="9"/>
    </row>
    <row r="895" spans="20:42" ht="12.75" customHeight="1" x14ac:dyDescent="0.2">
      <c r="T895" s="3"/>
      <c r="U895" s="3"/>
      <c r="V895" s="9"/>
      <c r="W895" s="9"/>
      <c r="X895" s="9"/>
      <c r="Y895" s="9"/>
      <c r="Z895" s="9"/>
      <c r="AA895" s="9"/>
      <c r="AC895" s="9"/>
      <c r="AD895" s="9"/>
      <c r="AE895" s="8"/>
      <c r="AF895" s="8"/>
      <c r="AG895" s="8"/>
      <c r="AH895" s="9"/>
      <c r="AI895" s="8"/>
      <c r="AJ895" s="8"/>
      <c r="AK895" s="8"/>
      <c r="AL895" s="8"/>
      <c r="AM895" s="9"/>
      <c r="AO895" s="8"/>
      <c r="AP895" s="9"/>
    </row>
    <row r="896" spans="20:42" ht="12.75" customHeight="1" x14ac:dyDescent="0.2">
      <c r="T896" s="3"/>
      <c r="U896" s="3"/>
      <c r="V896" s="9"/>
      <c r="W896" s="9"/>
      <c r="X896" s="9"/>
      <c r="Y896" s="9"/>
      <c r="Z896" s="9"/>
      <c r="AA896" s="9"/>
      <c r="AC896" s="9"/>
      <c r="AD896" s="9"/>
      <c r="AE896" s="8"/>
      <c r="AF896" s="8"/>
      <c r="AG896" s="8"/>
      <c r="AH896" s="9"/>
      <c r="AI896" s="8"/>
      <c r="AJ896" s="8"/>
      <c r="AK896" s="8"/>
      <c r="AL896" s="8"/>
      <c r="AM896" s="9"/>
      <c r="AO896" s="8"/>
      <c r="AP896" s="9"/>
    </row>
    <row r="897" spans="20:42" ht="12.75" customHeight="1" x14ac:dyDescent="0.2">
      <c r="T897" s="3"/>
      <c r="U897" s="3"/>
      <c r="V897" s="9"/>
      <c r="W897" s="9"/>
      <c r="X897" s="9"/>
      <c r="Y897" s="9"/>
      <c r="Z897" s="9"/>
      <c r="AA897" s="9"/>
      <c r="AC897" s="9"/>
      <c r="AD897" s="9"/>
      <c r="AE897" s="8"/>
      <c r="AF897" s="8"/>
      <c r="AG897" s="8"/>
      <c r="AH897" s="9"/>
      <c r="AI897" s="8"/>
      <c r="AJ897" s="8"/>
      <c r="AK897" s="8"/>
      <c r="AL897" s="8"/>
      <c r="AM897" s="9"/>
      <c r="AO897" s="8"/>
      <c r="AP897" s="9"/>
    </row>
    <row r="898" spans="20:42" ht="12.75" customHeight="1" x14ac:dyDescent="0.2">
      <c r="T898" s="3"/>
      <c r="U898" s="3"/>
      <c r="V898" s="9"/>
      <c r="W898" s="9"/>
      <c r="X898" s="9"/>
      <c r="Y898" s="9"/>
      <c r="Z898" s="9"/>
      <c r="AA898" s="9"/>
      <c r="AC898" s="9"/>
      <c r="AD898" s="9"/>
      <c r="AE898" s="8"/>
      <c r="AF898" s="8"/>
      <c r="AG898" s="8"/>
      <c r="AH898" s="9"/>
      <c r="AI898" s="8"/>
      <c r="AJ898" s="8"/>
      <c r="AK898" s="8"/>
      <c r="AL898" s="8"/>
      <c r="AM898" s="9"/>
      <c r="AO898" s="8"/>
      <c r="AP898" s="9"/>
    </row>
    <row r="899" spans="20:42" ht="12.75" customHeight="1" x14ac:dyDescent="0.2">
      <c r="T899" s="3"/>
      <c r="U899" s="3"/>
      <c r="V899" s="9"/>
      <c r="W899" s="9"/>
      <c r="X899" s="9"/>
      <c r="Y899" s="9"/>
      <c r="Z899" s="9"/>
      <c r="AA899" s="9"/>
      <c r="AC899" s="9"/>
      <c r="AD899" s="9"/>
      <c r="AE899" s="8"/>
      <c r="AF899" s="8"/>
      <c r="AG899" s="8"/>
      <c r="AH899" s="9"/>
      <c r="AI899" s="8"/>
      <c r="AJ899" s="8"/>
      <c r="AK899" s="8"/>
      <c r="AL899" s="8"/>
      <c r="AM899" s="9"/>
      <c r="AO899" s="8"/>
      <c r="AP899" s="9"/>
    </row>
    <row r="900" spans="20:42" ht="12.75" customHeight="1" x14ac:dyDescent="0.2">
      <c r="T900" s="3"/>
      <c r="U900" s="3"/>
      <c r="V900" s="9"/>
      <c r="W900" s="9"/>
      <c r="X900" s="9"/>
      <c r="Y900" s="9"/>
      <c r="Z900" s="9"/>
      <c r="AA900" s="9"/>
      <c r="AC900" s="9"/>
      <c r="AD900" s="9"/>
      <c r="AE900" s="8"/>
      <c r="AF900" s="8"/>
      <c r="AG900" s="8"/>
      <c r="AH900" s="9"/>
      <c r="AI900" s="8"/>
      <c r="AJ900" s="8"/>
      <c r="AK900" s="8"/>
      <c r="AL900" s="8"/>
      <c r="AM900" s="9"/>
      <c r="AO900" s="8"/>
      <c r="AP900" s="9"/>
    </row>
    <row r="901" spans="20:42" ht="12.75" customHeight="1" x14ac:dyDescent="0.2">
      <c r="T901" s="3"/>
      <c r="U901" s="3"/>
      <c r="V901" s="9"/>
      <c r="W901" s="9"/>
      <c r="X901" s="9"/>
      <c r="Y901" s="9"/>
      <c r="Z901" s="9"/>
      <c r="AA901" s="9"/>
      <c r="AC901" s="9"/>
      <c r="AD901" s="9"/>
      <c r="AE901" s="8"/>
      <c r="AF901" s="8"/>
      <c r="AG901" s="8"/>
      <c r="AH901" s="9"/>
      <c r="AI901" s="8"/>
      <c r="AJ901" s="8"/>
      <c r="AK901" s="8"/>
      <c r="AL901" s="8"/>
      <c r="AM901" s="9"/>
      <c r="AO901" s="8"/>
      <c r="AP901" s="9"/>
    </row>
    <row r="902" spans="20:42" ht="12.75" customHeight="1" x14ac:dyDescent="0.2">
      <c r="T902" s="3"/>
      <c r="U902" s="3"/>
      <c r="V902" s="9"/>
      <c r="W902" s="9"/>
      <c r="X902" s="9"/>
      <c r="Y902" s="9"/>
      <c r="Z902" s="9"/>
      <c r="AA902" s="9"/>
      <c r="AC902" s="9"/>
      <c r="AD902" s="9"/>
      <c r="AE902" s="8"/>
      <c r="AF902" s="8"/>
      <c r="AG902" s="8"/>
      <c r="AH902" s="9"/>
      <c r="AI902" s="8"/>
      <c r="AJ902" s="8"/>
      <c r="AK902" s="8"/>
      <c r="AL902" s="8"/>
      <c r="AM902" s="9"/>
      <c r="AO902" s="8"/>
      <c r="AP902" s="9"/>
    </row>
    <row r="903" spans="20:42" ht="12.75" customHeight="1" x14ac:dyDescent="0.2">
      <c r="T903" s="3"/>
      <c r="U903" s="3"/>
      <c r="V903" s="9"/>
      <c r="W903" s="9"/>
      <c r="X903" s="9"/>
      <c r="Y903" s="9"/>
      <c r="Z903" s="9"/>
      <c r="AA903" s="9"/>
      <c r="AC903" s="9"/>
      <c r="AD903" s="9"/>
      <c r="AE903" s="8"/>
      <c r="AF903" s="8"/>
      <c r="AG903" s="8"/>
      <c r="AH903" s="9"/>
      <c r="AI903" s="8"/>
      <c r="AJ903" s="8"/>
      <c r="AK903" s="8"/>
      <c r="AL903" s="8"/>
      <c r="AM903" s="9"/>
      <c r="AO903" s="8"/>
      <c r="AP903" s="9"/>
    </row>
    <row r="904" spans="20:42" ht="12.75" customHeight="1" x14ac:dyDescent="0.2">
      <c r="T904" s="3"/>
      <c r="U904" s="3"/>
      <c r="V904" s="9"/>
      <c r="W904" s="9"/>
      <c r="X904" s="9"/>
      <c r="Y904" s="9"/>
      <c r="Z904" s="9"/>
      <c r="AA904" s="9"/>
      <c r="AC904" s="9"/>
      <c r="AD904" s="9"/>
      <c r="AE904" s="8"/>
      <c r="AF904" s="8"/>
      <c r="AG904" s="8"/>
      <c r="AH904" s="9"/>
      <c r="AI904" s="8"/>
      <c r="AJ904" s="8"/>
      <c r="AK904" s="8"/>
      <c r="AL904" s="8"/>
      <c r="AM904" s="9"/>
      <c r="AO904" s="8"/>
      <c r="AP904" s="9"/>
    </row>
    <row r="905" spans="20:42" ht="12.75" customHeight="1" x14ac:dyDescent="0.2">
      <c r="T905" s="3"/>
      <c r="U905" s="3"/>
      <c r="V905" s="9"/>
      <c r="W905" s="9"/>
      <c r="X905" s="9"/>
      <c r="Y905" s="9"/>
      <c r="Z905" s="9"/>
      <c r="AA905" s="9"/>
      <c r="AC905" s="9"/>
      <c r="AD905" s="9"/>
      <c r="AE905" s="8"/>
      <c r="AF905" s="8"/>
      <c r="AG905" s="8"/>
      <c r="AH905" s="9"/>
      <c r="AI905" s="8"/>
      <c r="AJ905" s="8"/>
      <c r="AK905" s="8"/>
      <c r="AL905" s="8"/>
      <c r="AM905" s="9"/>
      <c r="AO905" s="8"/>
      <c r="AP905" s="9"/>
    </row>
    <row r="906" spans="20:42" ht="12.75" customHeight="1" x14ac:dyDescent="0.2">
      <c r="T906" s="3"/>
      <c r="U906" s="3"/>
      <c r="V906" s="9"/>
      <c r="W906" s="9"/>
      <c r="X906" s="9"/>
      <c r="Y906" s="9"/>
      <c r="Z906" s="9"/>
      <c r="AA906" s="9"/>
      <c r="AC906" s="9"/>
      <c r="AD906" s="9"/>
      <c r="AE906" s="8"/>
      <c r="AF906" s="8"/>
      <c r="AG906" s="8"/>
      <c r="AH906" s="9"/>
      <c r="AI906" s="8"/>
      <c r="AJ906" s="8"/>
      <c r="AK906" s="8"/>
      <c r="AL906" s="8"/>
      <c r="AM906" s="9"/>
      <c r="AO906" s="8"/>
      <c r="AP906" s="9"/>
    </row>
    <row r="907" spans="20:42" ht="12.75" customHeight="1" x14ac:dyDescent="0.2">
      <c r="T907" s="3"/>
      <c r="U907" s="3"/>
      <c r="V907" s="9"/>
      <c r="W907" s="9"/>
      <c r="X907" s="9"/>
      <c r="Y907" s="9"/>
      <c r="Z907" s="9"/>
      <c r="AA907" s="9"/>
      <c r="AC907" s="9"/>
      <c r="AD907" s="9"/>
      <c r="AE907" s="8"/>
      <c r="AF907" s="8"/>
      <c r="AG907" s="8"/>
      <c r="AH907" s="9"/>
      <c r="AI907" s="8"/>
      <c r="AJ907" s="8"/>
      <c r="AK907" s="8"/>
      <c r="AL907" s="8"/>
      <c r="AM907" s="9"/>
      <c r="AO907" s="8"/>
      <c r="AP907" s="9"/>
    </row>
    <row r="908" spans="20:42" ht="12.75" customHeight="1" x14ac:dyDescent="0.2">
      <c r="T908" s="3"/>
      <c r="U908" s="3"/>
      <c r="V908" s="9"/>
      <c r="W908" s="9"/>
      <c r="X908" s="9"/>
      <c r="Y908" s="9"/>
      <c r="Z908" s="9"/>
      <c r="AA908" s="9"/>
      <c r="AC908" s="9"/>
      <c r="AD908" s="9"/>
      <c r="AE908" s="8"/>
      <c r="AF908" s="8"/>
      <c r="AG908" s="8"/>
      <c r="AH908" s="9"/>
      <c r="AI908" s="8"/>
      <c r="AJ908" s="8"/>
      <c r="AK908" s="8"/>
      <c r="AL908" s="8"/>
      <c r="AM908" s="9"/>
      <c r="AO908" s="8"/>
      <c r="AP908" s="9"/>
    </row>
    <row r="909" spans="20:42" ht="12.75" customHeight="1" x14ac:dyDescent="0.2">
      <c r="T909" s="3"/>
      <c r="U909" s="3"/>
      <c r="V909" s="9"/>
      <c r="W909" s="9"/>
      <c r="X909" s="9"/>
      <c r="Y909" s="9"/>
      <c r="Z909" s="9"/>
      <c r="AA909" s="9"/>
      <c r="AC909" s="9"/>
      <c r="AD909" s="9"/>
      <c r="AE909" s="8"/>
      <c r="AF909" s="8"/>
      <c r="AG909" s="8"/>
      <c r="AH909" s="9"/>
      <c r="AI909" s="8"/>
      <c r="AJ909" s="8"/>
      <c r="AK909" s="8"/>
      <c r="AL909" s="8"/>
      <c r="AM909" s="9"/>
      <c r="AO909" s="8"/>
      <c r="AP909" s="9"/>
    </row>
    <row r="910" spans="20:42" ht="12.75" customHeight="1" x14ac:dyDescent="0.2">
      <c r="T910" s="3"/>
      <c r="U910" s="3"/>
      <c r="V910" s="9"/>
      <c r="W910" s="9"/>
      <c r="X910" s="9"/>
      <c r="Y910" s="9"/>
      <c r="Z910" s="9"/>
      <c r="AA910" s="9"/>
      <c r="AC910" s="9"/>
      <c r="AD910" s="9"/>
      <c r="AE910" s="8"/>
      <c r="AF910" s="8"/>
      <c r="AG910" s="8"/>
      <c r="AH910" s="9"/>
      <c r="AI910" s="8"/>
      <c r="AJ910" s="8"/>
      <c r="AK910" s="8"/>
      <c r="AL910" s="8"/>
      <c r="AM910" s="9"/>
      <c r="AO910" s="8"/>
      <c r="AP910" s="9"/>
    </row>
    <row r="911" spans="20:42" ht="12.75" customHeight="1" x14ac:dyDescent="0.2">
      <c r="T911" s="3"/>
      <c r="U911" s="3"/>
      <c r="V911" s="9"/>
      <c r="W911" s="9"/>
      <c r="X911" s="9"/>
      <c r="Y911" s="9"/>
      <c r="Z911" s="9"/>
      <c r="AA911" s="9"/>
      <c r="AC911" s="9"/>
      <c r="AD911" s="9"/>
      <c r="AE911" s="8"/>
      <c r="AF911" s="8"/>
      <c r="AG911" s="8"/>
      <c r="AH911" s="9"/>
      <c r="AI911" s="8"/>
      <c r="AJ911" s="8"/>
      <c r="AK911" s="8"/>
      <c r="AL911" s="8"/>
      <c r="AM911" s="9"/>
      <c r="AO911" s="8"/>
      <c r="AP911" s="9"/>
    </row>
    <row r="912" spans="20:42" ht="12.75" customHeight="1" x14ac:dyDescent="0.2">
      <c r="T912" s="3"/>
      <c r="U912" s="3"/>
      <c r="V912" s="9"/>
      <c r="W912" s="9"/>
      <c r="X912" s="9"/>
      <c r="Y912" s="9"/>
      <c r="Z912" s="9"/>
      <c r="AA912" s="9"/>
      <c r="AC912" s="9"/>
      <c r="AD912" s="9"/>
      <c r="AE912" s="8"/>
      <c r="AF912" s="8"/>
      <c r="AG912" s="8"/>
      <c r="AH912" s="9"/>
      <c r="AI912" s="8"/>
      <c r="AJ912" s="8"/>
      <c r="AK912" s="8"/>
      <c r="AL912" s="8"/>
      <c r="AM912" s="9"/>
      <c r="AO912" s="8"/>
      <c r="AP912" s="9"/>
    </row>
    <row r="913" spans="20:42" ht="12.75" customHeight="1" x14ac:dyDescent="0.2">
      <c r="T913" s="3"/>
      <c r="U913" s="3"/>
      <c r="V913" s="9"/>
      <c r="W913" s="9"/>
      <c r="X913" s="9"/>
      <c r="Y913" s="9"/>
      <c r="Z913" s="9"/>
      <c r="AA913" s="9"/>
      <c r="AC913" s="9"/>
      <c r="AD913" s="9"/>
      <c r="AE913" s="8"/>
      <c r="AF913" s="8"/>
      <c r="AG913" s="8"/>
      <c r="AH913" s="9"/>
      <c r="AI913" s="8"/>
      <c r="AJ913" s="8"/>
      <c r="AK913" s="8"/>
      <c r="AL913" s="8"/>
      <c r="AM913" s="9"/>
      <c r="AO913" s="8"/>
      <c r="AP913" s="9"/>
    </row>
    <row r="914" spans="20:42" ht="12.75" customHeight="1" x14ac:dyDescent="0.2">
      <c r="T914" s="3"/>
      <c r="U914" s="3"/>
      <c r="V914" s="9"/>
      <c r="W914" s="9"/>
      <c r="X914" s="9"/>
      <c r="Y914" s="9"/>
      <c r="Z914" s="9"/>
      <c r="AA914" s="9"/>
      <c r="AC914" s="9"/>
      <c r="AD914" s="9"/>
      <c r="AE914" s="8"/>
      <c r="AF914" s="8"/>
      <c r="AG914" s="8"/>
      <c r="AH914" s="9"/>
      <c r="AI914" s="8"/>
      <c r="AJ914" s="8"/>
      <c r="AK914" s="8"/>
      <c r="AL914" s="8"/>
      <c r="AM914" s="9"/>
      <c r="AO914" s="8"/>
      <c r="AP914" s="9"/>
    </row>
    <row r="915" spans="20:42" ht="12.75" customHeight="1" x14ac:dyDescent="0.2">
      <c r="T915" s="3"/>
      <c r="U915" s="3"/>
      <c r="V915" s="9"/>
      <c r="W915" s="9"/>
      <c r="X915" s="9"/>
      <c r="Y915" s="9"/>
      <c r="Z915" s="9"/>
      <c r="AA915" s="9"/>
      <c r="AC915" s="9"/>
      <c r="AD915" s="9"/>
      <c r="AE915" s="8"/>
      <c r="AF915" s="8"/>
      <c r="AG915" s="8"/>
      <c r="AH915" s="9"/>
      <c r="AI915" s="8"/>
      <c r="AJ915" s="8"/>
      <c r="AK915" s="8"/>
      <c r="AL915" s="8"/>
      <c r="AM915" s="9"/>
      <c r="AO915" s="8"/>
      <c r="AP915" s="9"/>
    </row>
    <row r="916" spans="20:42" ht="12.75" customHeight="1" x14ac:dyDescent="0.2">
      <c r="T916" s="3"/>
      <c r="U916" s="3"/>
      <c r="V916" s="9"/>
      <c r="W916" s="9"/>
      <c r="X916" s="9"/>
      <c r="Y916" s="9"/>
      <c r="Z916" s="9"/>
      <c r="AA916" s="9"/>
      <c r="AC916" s="9"/>
      <c r="AD916" s="9"/>
      <c r="AE916" s="8"/>
      <c r="AF916" s="8"/>
      <c r="AG916" s="8"/>
      <c r="AH916" s="9"/>
      <c r="AI916" s="8"/>
      <c r="AJ916" s="8"/>
      <c r="AK916" s="8"/>
      <c r="AL916" s="8"/>
      <c r="AM916" s="9"/>
      <c r="AO916" s="8"/>
      <c r="AP916" s="9"/>
    </row>
    <row r="917" spans="20:42" ht="12.75" customHeight="1" x14ac:dyDescent="0.2">
      <c r="T917" s="3"/>
      <c r="U917" s="3"/>
      <c r="V917" s="9"/>
      <c r="W917" s="9"/>
      <c r="X917" s="9"/>
      <c r="Y917" s="9"/>
      <c r="Z917" s="9"/>
      <c r="AA917" s="9"/>
      <c r="AC917" s="9"/>
      <c r="AD917" s="9"/>
      <c r="AE917" s="8"/>
      <c r="AF917" s="8"/>
      <c r="AG917" s="8"/>
      <c r="AH917" s="9"/>
      <c r="AI917" s="8"/>
      <c r="AJ917" s="8"/>
      <c r="AK917" s="8"/>
      <c r="AL917" s="8"/>
      <c r="AM917" s="9"/>
      <c r="AO917" s="8"/>
      <c r="AP917" s="9"/>
    </row>
    <row r="918" spans="20:42" ht="12.75" customHeight="1" x14ac:dyDescent="0.2">
      <c r="T918" s="3"/>
      <c r="U918" s="3"/>
      <c r="V918" s="9"/>
      <c r="W918" s="9"/>
      <c r="X918" s="9"/>
      <c r="Y918" s="9"/>
      <c r="Z918" s="9"/>
      <c r="AA918" s="9"/>
      <c r="AC918" s="9"/>
      <c r="AD918" s="9"/>
      <c r="AE918" s="8"/>
      <c r="AF918" s="8"/>
      <c r="AG918" s="8"/>
      <c r="AH918" s="9"/>
      <c r="AI918" s="8"/>
      <c r="AJ918" s="8"/>
      <c r="AK918" s="8"/>
      <c r="AL918" s="8"/>
      <c r="AM918" s="9"/>
      <c r="AO918" s="8"/>
      <c r="AP918" s="9"/>
    </row>
    <row r="919" spans="20:42" ht="12.75" customHeight="1" x14ac:dyDescent="0.2">
      <c r="T919" s="3"/>
      <c r="U919" s="3"/>
      <c r="V919" s="9"/>
      <c r="W919" s="9"/>
      <c r="X919" s="9"/>
      <c r="Y919" s="9"/>
      <c r="Z919" s="9"/>
      <c r="AA919" s="9"/>
      <c r="AC919" s="9"/>
      <c r="AD919" s="9"/>
      <c r="AE919" s="8"/>
      <c r="AF919" s="8"/>
      <c r="AG919" s="8"/>
      <c r="AH919" s="9"/>
      <c r="AI919" s="8"/>
      <c r="AJ919" s="8"/>
      <c r="AK919" s="8"/>
      <c r="AL919" s="8"/>
      <c r="AM919" s="9"/>
      <c r="AO919" s="8"/>
      <c r="AP919" s="9"/>
    </row>
    <row r="920" spans="20:42" ht="12.75" customHeight="1" x14ac:dyDescent="0.2">
      <c r="T920" s="3"/>
      <c r="U920" s="3"/>
      <c r="V920" s="9"/>
      <c r="W920" s="9"/>
      <c r="X920" s="9"/>
      <c r="Y920" s="9"/>
      <c r="Z920" s="9"/>
      <c r="AA920" s="9"/>
      <c r="AC920" s="9"/>
      <c r="AD920" s="9"/>
      <c r="AE920" s="8"/>
      <c r="AF920" s="8"/>
      <c r="AG920" s="8"/>
      <c r="AH920" s="9"/>
      <c r="AI920" s="8"/>
      <c r="AJ920" s="8"/>
      <c r="AK920" s="8"/>
      <c r="AL920" s="8"/>
      <c r="AM920" s="9"/>
      <c r="AO920" s="8"/>
      <c r="AP920" s="9"/>
    </row>
    <row r="921" spans="20:42" ht="12.75" customHeight="1" x14ac:dyDescent="0.2">
      <c r="T921" s="3"/>
      <c r="U921" s="3"/>
      <c r="V921" s="9"/>
      <c r="W921" s="9"/>
      <c r="X921" s="9"/>
      <c r="Y921" s="9"/>
      <c r="Z921" s="9"/>
      <c r="AA921" s="9"/>
      <c r="AC921" s="9"/>
      <c r="AD921" s="9"/>
      <c r="AE921" s="8"/>
      <c r="AF921" s="8"/>
      <c r="AG921" s="8"/>
      <c r="AH921" s="9"/>
      <c r="AI921" s="8"/>
      <c r="AJ921" s="8"/>
      <c r="AK921" s="8"/>
      <c r="AL921" s="8"/>
      <c r="AM921" s="9"/>
      <c r="AO921" s="8"/>
      <c r="AP921" s="9"/>
    </row>
    <row r="922" spans="20:42" ht="12.75" customHeight="1" x14ac:dyDescent="0.2">
      <c r="T922" s="3"/>
      <c r="U922" s="3"/>
      <c r="V922" s="9"/>
      <c r="W922" s="9"/>
      <c r="X922" s="9"/>
      <c r="Y922" s="9"/>
      <c r="Z922" s="9"/>
      <c r="AA922" s="9"/>
      <c r="AC922" s="9"/>
      <c r="AD922" s="9"/>
      <c r="AE922" s="8"/>
      <c r="AF922" s="8"/>
      <c r="AG922" s="8"/>
      <c r="AH922" s="9"/>
      <c r="AI922" s="8"/>
      <c r="AJ922" s="8"/>
      <c r="AK922" s="8"/>
      <c r="AL922" s="8"/>
      <c r="AM922" s="9"/>
      <c r="AO922" s="8"/>
      <c r="AP922" s="9"/>
    </row>
    <row r="923" spans="20:42" ht="12.75" customHeight="1" x14ac:dyDescent="0.2">
      <c r="T923" s="3"/>
      <c r="U923" s="3"/>
      <c r="V923" s="9"/>
      <c r="W923" s="9"/>
      <c r="X923" s="9"/>
      <c r="Y923" s="9"/>
      <c r="Z923" s="9"/>
      <c r="AA923" s="9"/>
      <c r="AC923" s="9"/>
      <c r="AD923" s="9"/>
      <c r="AE923" s="8"/>
      <c r="AF923" s="8"/>
      <c r="AG923" s="8"/>
      <c r="AH923" s="9"/>
      <c r="AI923" s="8"/>
      <c r="AJ923" s="8"/>
      <c r="AK923" s="8"/>
      <c r="AL923" s="8"/>
      <c r="AM923" s="9"/>
      <c r="AO923" s="8"/>
      <c r="AP923" s="9"/>
    </row>
    <row r="924" spans="20:42" ht="12.75" customHeight="1" x14ac:dyDescent="0.2">
      <c r="T924" s="3"/>
      <c r="U924" s="3"/>
      <c r="V924" s="9"/>
      <c r="W924" s="9"/>
      <c r="X924" s="9"/>
      <c r="Y924" s="9"/>
      <c r="Z924" s="9"/>
      <c r="AA924" s="9"/>
      <c r="AC924" s="9"/>
      <c r="AD924" s="9"/>
      <c r="AE924" s="8"/>
      <c r="AF924" s="8"/>
      <c r="AG924" s="8"/>
      <c r="AH924" s="9"/>
      <c r="AI924" s="8"/>
      <c r="AJ924" s="8"/>
      <c r="AK924" s="8"/>
      <c r="AL924" s="8"/>
      <c r="AM924" s="9"/>
      <c r="AO924" s="8"/>
      <c r="AP924" s="9"/>
    </row>
    <row r="925" spans="20:42" ht="12.75" customHeight="1" x14ac:dyDescent="0.2">
      <c r="T925" s="3"/>
      <c r="U925" s="3"/>
      <c r="V925" s="9"/>
      <c r="W925" s="9"/>
      <c r="X925" s="9"/>
      <c r="Y925" s="9"/>
      <c r="Z925" s="9"/>
      <c r="AA925" s="9"/>
      <c r="AC925" s="9"/>
      <c r="AD925" s="9"/>
      <c r="AE925" s="8"/>
      <c r="AF925" s="8"/>
      <c r="AG925" s="8"/>
      <c r="AH925" s="9"/>
      <c r="AI925" s="8"/>
      <c r="AJ925" s="8"/>
      <c r="AK925" s="8"/>
      <c r="AL925" s="8"/>
      <c r="AM925" s="9"/>
      <c r="AO925" s="8"/>
      <c r="AP925" s="9"/>
    </row>
    <row r="926" spans="20:42" ht="12.75" customHeight="1" x14ac:dyDescent="0.2">
      <c r="T926" s="3"/>
      <c r="U926" s="3"/>
      <c r="V926" s="9"/>
      <c r="W926" s="9"/>
      <c r="X926" s="9"/>
      <c r="Y926" s="9"/>
      <c r="Z926" s="9"/>
      <c r="AA926" s="9"/>
      <c r="AC926" s="9"/>
      <c r="AD926" s="9"/>
      <c r="AE926" s="8"/>
      <c r="AF926" s="8"/>
      <c r="AG926" s="8"/>
      <c r="AH926" s="9"/>
      <c r="AI926" s="8"/>
      <c r="AJ926" s="8"/>
      <c r="AK926" s="8"/>
      <c r="AL926" s="8"/>
      <c r="AM926" s="9"/>
      <c r="AO926" s="8"/>
      <c r="AP926" s="9"/>
    </row>
    <row r="927" spans="20:42" ht="12.75" customHeight="1" x14ac:dyDescent="0.2">
      <c r="T927" s="3"/>
      <c r="U927" s="3"/>
      <c r="V927" s="9"/>
      <c r="W927" s="9"/>
      <c r="X927" s="9"/>
      <c r="Y927" s="9"/>
      <c r="Z927" s="9"/>
      <c r="AA927" s="9"/>
      <c r="AC927" s="9"/>
      <c r="AD927" s="9"/>
      <c r="AE927" s="8"/>
      <c r="AF927" s="8"/>
      <c r="AG927" s="8"/>
      <c r="AH927" s="9"/>
      <c r="AI927" s="8"/>
      <c r="AJ927" s="8"/>
      <c r="AK927" s="8"/>
      <c r="AL927" s="8"/>
      <c r="AM927" s="9"/>
      <c r="AO927" s="8"/>
      <c r="AP927" s="9"/>
    </row>
    <row r="928" spans="20:42" ht="12.75" customHeight="1" x14ac:dyDescent="0.2">
      <c r="T928" s="3"/>
      <c r="U928" s="3"/>
      <c r="V928" s="9"/>
      <c r="W928" s="9"/>
      <c r="X928" s="9"/>
      <c r="Y928" s="9"/>
      <c r="Z928" s="9"/>
      <c r="AA928" s="9"/>
      <c r="AC928" s="9"/>
      <c r="AD928" s="9"/>
      <c r="AE928" s="8"/>
      <c r="AF928" s="8"/>
      <c r="AG928" s="8"/>
      <c r="AH928" s="9"/>
      <c r="AI928" s="8"/>
      <c r="AJ928" s="8"/>
      <c r="AK928" s="8"/>
      <c r="AL928" s="8"/>
      <c r="AM928" s="9"/>
      <c r="AO928" s="8"/>
      <c r="AP928" s="9"/>
    </row>
    <row r="929" spans="20:42" ht="12.75" customHeight="1" x14ac:dyDescent="0.2">
      <c r="T929" s="3"/>
      <c r="U929" s="3"/>
      <c r="V929" s="9"/>
      <c r="W929" s="9"/>
      <c r="X929" s="9"/>
      <c r="Y929" s="9"/>
      <c r="Z929" s="9"/>
      <c r="AA929" s="9"/>
      <c r="AC929" s="9"/>
      <c r="AD929" s="9"/>
      <c r="AE929" s="8"/>
      <c r="AF929" s="8"/>
      <c r="AG929" s="8"/>
      <c r="AH929" s="9"/>
      <c r="AI929" s="8"/>
      <c r="AJ929" s="8"/>
      <c r="AK929" s="8"/>
      <c r="AL929" s="8"/>
      <c r="AM929" s="9"/>
      <c r="AO929" s="8"/>
      <c r="AP929" s="9"/>
    </row>
    <row r="930" spans="20:42" ht="12.75" customHeight="1" x14ac:dyDescent="0.2">
      <c r="T930" s="3"/>
      <c r="U930" s="3"/>
      <c r="V930" s="9"/>
      <c r="W930" s="9"/>
      <c r="X930" s="9"/>
      <c r="Y930" s="9"/>
      <c r="Z930" s="9"/>
      <c r="AA930" s="9"/>
      <c r="AC930" s="9"/>
      <c r="AD930" s="9"/>
      <c r="AE930" s="8"/>
      <c r="AF930" s="8"/>
      <c r="AG930" s="8"/>
      <c r="AH930" s="9"/>
      <c r="AI930" s="8"/>
      <c r="AJ930" s="8"/>
      <c r="AK930" s="8"/>
      <c r="AL930" s="8"/>
      <c r="AM930" s="9"/>
      <c r="AO930" s="8"/>
      <c r="AP930" s="9"/>
    </row>
    <row r="931" spans="20:42" ht="12.75" customHeight="1" x14ac:dyDescent="0.2">
      <c r="T931" s="3"/>
      <c r="U931" s="3"/>
      <c r="V931" s="9"/>
      <c r="W931" s="9"/>
      <c r="X931" s="9"/>
      <c r="Y931" s="9"/>
      <c r="Z931" s="9"/>
      <c r="AA931" s="9"/>
      <c r="AC931" s="9"/>
      <c r="AD931" s="9"/>
      <c r="AE931" s="8"/>
      <c r="AF931" s="8"/>
      <c r="AG931" s="8"/>
      <c r="AH931" s="9"/>
      <c r="AI931" s="8"/>
      <c r="AJ931" s="8"/>
      <c r="AK931" s="8"/>
      <c r="AL931" s="8"/>
      <c r="AM931" s="9"/>
      <c r="AO931" s="8"/>
      <c r="AP931" s="9"/>
    </row>
    <row r="932" spans="20:42" ht="12.75" customHeight="1" x14ac:dyDescent="0.2">
      <c r="T932" s="3"/>
      <c r="U932" s="3"/>
      <c r="V932" s="9"/>
      <c r="W932" s="9"/>
      <c r="X932" s="9"/>
      <c r="Y932" s="9"/>
      <c r="Z932" s="9"/>
      <c r="AA932" s="9"/>
      <c r="AC932" s="9"/>
      <c r="AD932" s="9"/>
      <c r="AE932" s="8"/>
      <c r="AF932" s="8"/>
      <c r="AG932" s="8"/>
      <c r="AH932" s="9"/>
      <c r="AI932" s="8"/>
      <c r="AJ932" s="8"/>
      <c r="AK932" s="8"/>
      <c r="AL932" s="8"/>
      <c r="AM932" s="9"/>
      <c r="AO932" s="8"/>
      <c r="AP932" s="9"/>
    </row>
    <row r="933" spans="20:42" ht="12.75" customHeight="1" x14ac:dyDescent="0.2">
      <c r="T933" s="3"/>
      <c r="U933" s="3"/>
      <c r="V933" s="9"/>
      <c r="W933" s="9"/>
      <c r="X933" s="9"/>
      <c r="Y933" s="9"/>
      <c r="Z933" s="9"/>
      <c r="AA933" s="9"/>
      <c r="AC933" s="9"/>
      <c r="AD933" s="9"/>
      <c r="AE933" s="8"/>
      <c r="AF933" s="8"/>
      <c r="AG933" s="8"/>
      <c r="AH933" s="9"/>
      <c r="AI933" s="8"/>
      <c r="AJ933" s="8"/>
      <c r="AK933" s="8"/>
      <c r="AL933" s="8"/>
      <c r="AM933" s="9"/>
      <c r="AO933" s="8"/>
      <c r="AP933" s="9"/>
    </row>
    <row r="934" spans="20:42" ht="12.75" customHeight="1" x14ac:dyDescent="0.2">
      <c r="T934" s="3"/>
      <c r="U934" s="3"/>
      <c r="V934" s="9"/>
      <c r="W934" s="9"/>
      <c r="X934" s="9"/>
      <c r="Y934" s="9"/>
      <c r="Z934" s="9"/>
      <c r="AA934" s="9"/>
      <c r="AC934" s="9"/>
      <c r="AD934" s="9"/>
      <c r="AE934" s="8"/>
      <c r="AF934" s="8"/>
      <c r="AG934" s="8"/>
      <c r="AH934" s="9"/>
      <c r="AI934" s="8"/>
      <c r="AJ934" s="8"/>
      <c r="AK934" s="8"/>
      <c r="AL934" s="8"/>
      <c r="AM934" s="9"/>
      <c r="AO934" s="8"/>
      <c r="AP934" s="9"/>
    </row>
    <row r="935" spans="20:42" ht="12.75" customHeight="1" x14ac:dyDescent="0.2">
      <c r="T935" s="3"/>
      <c r="U935" s="3"/>
      <c r="V935" s="9"/>
      <c r="W935" s="9"/>
      <c r="X935" s="9"/>
      <c r="Y935" s="9"/>
      <c r="Z935" s="9"/>
      <c r="AA935" s="9"/>
      <c r="AC935" s="9"/>
      <c r="AD935" s="9"/>
      <c r="AE935" s="8"/>
      <c r="AF935" s="8"/>
      <c r="AG935" s="8"/>
      <c r="AH935" s="9"/>
      <c r="AI935" s="8"/>
      <c r="AJ935" s="8"/>
      <c r="AK935" s="8"/>
      <c r="AL935" s="8"/>
      <c r="AM935" s="9"/>
      <c r="AO935" s="8"/>
      <c r="AP935" s="9"/>
    </row>
    <row r="936" spans="20:42" ht="12.75" customHeight="1" x14ac:dyDescent="0.2">
      <c r="T936" s="3"/>
      <c r="U936" s="3"/>
      <c r="V936" s="9"/>
      <c r="W936" s="9"/>
      <c r="X936" s="9"/>
      <c r="Y936" s="9"/>
      <c r="Z936" s="9"/>
      <c r="AA936" s="9"/>
      <c r="AC936" s="9"/>
      <c r="AD936" s="9"/>
      <c r="AE936" s="8"/>
      <c r="AF936" s="8"/>
      <c r="AG936" s="8"/>
      <c r="AH936" s="9"/>
      <c r="AI936" s="8"/>
      <c r="AJ936" s="8"/>
      <c r="AK936" s="8"/>
      <c r="AL936" s="8"/>
      <c r="AM936" s="9"/>
      <c r="AO936" s="8"/>
      <c r="AP936" s="9"/>
    </row>
    <row r="937" spans="20:42" ht="12.75" customHeight="1" x14ac:dyDescent="0.2">
      <c r="T937" s="3"/>
      <c r="U937" s="3"/>
      <c r="V937" s="9"/>
      <c r="W937" s="9"/>
      <c r="X937" s="9"/>
      <c r="Y937" s="9"/>
      <c r="Z937" s="9"/>
      <c r="AA937" s="9"/>
      <c r="AC937" s="9"/>
      <c r="AD937" s="9"/>
      <c r="AE937" s="8"/>
      <c r="AF937" s="8"/>
      <c r="AG937" s="8"/>
      <c r="AH937" s="9"/>
      <c r="AI937" s="8"/>
      <c r="AJ937" s="8"/>
      <c r="AK937" s="8"/>
      <c r="AL937" s="8"/>
      <c r="AM937" s="9"/>
      <c r="AO937" s="8"/>
      <c r="AP937" s="9"/>
    </row>
    <row r="938" spans="20:42" ht="12.75" customHeight="1" x14ac:dyDescent="0.2">
      <c r="T938" s="3"/>
      <c r="U938" s="3"/>
      <c r="V938" s="9"/>
      <c r="W938" s="9"/>
      <c r="X938" s="9"/>
      <c r="Y938" s="9"/>
      <c r="Z938" s="9"/>
      <c r="AA938" s="9"/>
      <c r="AC938" s="9"/>
      <c r="AD938" s="9"/>
      <c r="AE938" s="8"/>
      <c r="AF938" s="8"/>
      <c r="AG938" s="8"/>
      <c r="AH938" s="9"/>
      <c r="AI938" s="8"/>
      <c r="AJ938" s="8"/>
      <c r="AK938" s="8"/>
      <c r="AL938" s="8"/>
      <c r="AM938" s="9"/>
      <c r="AO938" s="8"/>
      <c r="AP938" s="9"/>
    </row>
    <row r="939" spans="20:42" ht="12.75" customHeight="1" x14ac:dyDescent="0.2">
      <c r="T939" s="3"/>
      <c r="U939" s="3"/>
      <c r="V939" s="9"/>
      <c r="W939" s="9"/>
      <c r="X939" s="9"/>
      <c r="Y939" s="9"/>
      <c r="Z939" s="9"/>
      <c r="AA939" s="9"/>
      <c r="AC939" s="9"/>
      <c r="AD939" s="9"/>
      <c r="AE939" s="8"/>
      <c r="AF939" s="8"/>
      <c r="AG939" s="8"/>
      <c r="AH939" s="9"/>
      <c r="AI939" s="8"/>
      <c r="AJ939" s="8"/>
      <c r="AK939" s="8"/>
      <c r="AL939" s="8"/>
      <c r="AM939" s="9"/>
      <c r="AO939" s="8"/>
      <c r="AP939" s="9"/>
    </row>
    <row r="940" spans="20:42" ht="12.75" customHeight="1" x14ac:dyDescent="0.2">
      <c r="T940" s="3"/>
      <c r="U940" s="3"/>
      <c r="V940" s="9"/>
      <c r="W940" s="9"/>
      <c r="X940" s="9"/>
      <c r="Y940" s="9"/>
      <c r="Z940" s="9"/>
      <c r="AA940" s="9"/>
      <c r="AC940" s="9"/>
      <c r="AD940" s="9"/>
      <c r="AE940" s="8"/>
      <c r="AF940" s="8"/>
      <c r="AG940" s="8"/>
      <c r="AH940" s="9"/>
      <c r="AI940" s="8"/>
      <c r="AJ940" s="8"/>
      <c r="AK940" s="8"/>
      <c r="AL940" s="8"/>
      <c r="AM940" s="9"/>
      <c r="AO940" s="8"/>
      <c r="AP940" s="9"/>
    </row>
    <row r="941" spans="20:42" ht="12.75" customHeight="1" x14ac:dyDescent="0.2">
      <c r="T941" s="3"/>
      <c r="U941" s="3"/>
      <c r="V941" s="9"/>
      <c r="W941" s="9"/>
      <c r="X941" s="9"/>
      <c r="Y941" s="9"/>
      <c r="Z941" s="9"/>
      <c r="AA941" s="9"/>
      <c r="AC941" s="9"/>
      <c r="AD941" s="9"/>
      <c r="AE941" s="8"/>
      <c r="AF941" s="8"/>
      <c r="AG941" s="8"/>
      <c r="AH941" s="9"/>
      <c r="AI941" s="8"/>
      <c r="AJ941" s="8"/>
      <c r="AK941" s="8"/>
      <c r="AL941" s="8"/>
      <c r="AM941" s="9"/>
      <c r="AO941" s="8"/>
      <c r="AP941" s="9"/>
    </row>
    <row r="942" spans="20:42" ht="12.75" customHeight="1" x14ac:dyDescent="0.2">
      <c r="T942" s="3"/>
      <c r="U942" s="3"/>
      <c r="V942" s="9"/>
      <c r="W942" s="9"/>
      <c r="X942" s="9"/>
      <c r="Y942" s="9"/>
      <c r="Z942" s="9"/>
      <c r="AA942" s="9"/>
      <c r="AC942" s="9"/>
      <c r="AD942" s="9"/>
      <c r="AE942" s="8"/>
      <c r="AF942" s="8"/>
      <c r="AG942" s="8"/>
      <c r="AH942" s="9"/>
      <c r="AI942" s="8"/>
      <c r="AJ942" s="8"/>
      <c r="AK942" s="8"/>
      <c r="AL942" s="8"/>
      <c r="AM942" s="9"/>
      <c r="AO942" s="8"/>
      <c r="AP942" s="9"/>
    </row>
    <row r="943" spans="20:42" ht="12.75" customHeight="1" x14ac:dyDescent="0.2">
      <c r="T943" s="3"/>
      <c r="U943" s="3"/>
      <c r="V943" s="9"/>
      <c r="W943" s="9"/>
      <c r="X943" s="9"/>
      <c r="Y943" s="9"/>
      <c r="Z943" s="9"/>
      <c r="AA943" s="9"/>
      <c r="AC943" s="9"/>
      <c r="AD943" s="9"/>
      <c r="AE943" s="8"/>
      <c r="AF943" s="8"/>
      <c r="AG943" s="8"/>
      <c r="AH943" s="9"/>
      <c r="AI943" s="8"/>
      <c r="AJ943" s="8"/>
      <c r="AK943" s="8"/>
      <c r="AL943" s="8"/>
      <c r="AM943" s="9"/>
      <c r="AO943" s="8"/>
      <c r="AP943" s="9"/>
    </row>
    <row r="944" spans="20:42" ht="12.75" customHeight="1" x14ac:dyDescent="0.2">
      <c r="T944" s="3"/>
      <c r="U944" s="3"/>
      <c r="V944" s="9"/>
      <c r="W944" s="9"/>
      <c r="X944" s="9"/>
      <c r="Y944" s="9"/>
      <c r="Z944" s="9"/>
      <c r="AA944" s="9"/>
      <c r="AC944" s="9"/>
      <c r="AD944" s="9"/>
      <c r="AE944" s="8"/>
      <c r="AF944" s="8"/>
      <c r="AG944" s="8"/>
      <c r="AH944" s="9"/>
      <c r="AI944" s="8"/>
      <c r="AJ944" s="8"/>
      <c r="AK944" s="8"/>
      <c r="AL944" s="8"/>
      <c r="AM944" s="9"/>
      <c r="AO944" s="8"/>
      <c r="AP944" s="9"/>
    </row>
    <row r="945" spans="20:42" ht="12.75" customHeight="1" x14ac:dyDescent="0.2">
      <c r="T945" s="3"/>
      <c r="U945" s="3"/>
      <c r="V945" s="9"/>
      <c r="W945" s="9"/>
      <c r="X945" s="9"/>
      <c r="Y945" s="9"/>
      <c r="Z945" s="9"/>
      <c r="AA945" s="9"/>
      <c r="AC945" s="9"/>
      <c r="AD945" s="9"/>
      <c r="AE945" s="8"/>
      <c r="AF945" s="8"/>
      <c r="AG945" s="8"/>
      <c r="AH945" s="9"/>
      <c r="AI945" s="8"/>
      <c r="AJ945" s="8"/>
      <c r="AK945" s="8"/>
      <c r="AL945" s="8"/>
      <c r="AM945" s="9"/>
      <c r="AO945" s="8"/>
      <c r="AP945" s="9"/>
    </row>
    <row r="946" spans="20:42" ht="12.75" customHeight="1" x14ac:dyDescent="0.2">
      <c r="T946" s="3"/>
      <c r="U946" s="3"/>
      <c r="V946" s="9"/>
      <c r="W946" s="9"/>
      <c r="X946" s="9"/>
      <c r="Y946" s="9"/>
      <c r="Z946" s="9"/>
      <c r="AA946" s="9"/>
      <c r="AC946" s="9"/>
      <c r="AD946" s="9"/>
      <c r="AE946" s="8"/>
      <c r="AF946" s="8"/>
      <c r="AG946" s="8"/>
      <c r="AH946" s="9"/>
      <c r="AI946" s="8"/>
      <c r="AJ946" s="8"/>
      <c r="AK946" s="8"/>
      <c r="AL946" s="8"/>
      <c r="AM946" s="9"/>
      <c r="AO946" s="8"/>
      <c r="AP946" s="9"/>
    </row>
    <row r="947" spans="20:42" ht="12.75" customHeight="1" x14ac:dyDescent="0.2">
      <c r="T947" s="3"/>
      <c r="U947" s="3"/>
      <c r="V947" s="9"/>
      <c r="W947" s="9"/>
      <c r="X947" s="9"/>
      <c r="Y947" s="9"/>
      <c r="Z947" s="9"/>
      <c r="AA947" s="9"/>
      <c r="AC947" s="9"/>
      <c r="AD947" s="9"/>
      <c r="AE947" s="8"/>
      <c r="AF947" s="8"/>
      <c r="AG947" s="8"/>
      <c r="AH947" s="9"/>
      <c r="AI947" s="8"/>
      <c r="AJ947" s="8"/>
      <c r="AK947" s="8"/>
      <c r="AL947" s="8"/>
      <c r="AM947" s="9"/>
      <c r="AO947" s="8"/>
      <c r="AP947" s="9"/>
    </row>
    <row r="948" spans="20:42" ht="12.75" customHeight="1" x14ac:dyDescent="0.2">
      <c r="T948" s="3"/>
      <c r="U948" s="3"/>
      <c r="V948" s="9"/>
      <c r="W948" s="9"/>
      <c r="X948" s="9"/>
      <c r="Y948" s="9"/>
      <c r="Z948" s="9"/>
      <c r="AA948" s="9"/>
      <c r="AC948" s="9"/>
      <c r="AD948" s="9"/>
      <c r="AE948" s="8"/>
      <c r="AF948" s="8"/>
      <c r="AG948" s="8"/>
      <c r="AH948" s="9"/>
      <c r="AI948" s="8"/>
      <c r="AJ948" s="8"/>
      <c r="AK948" s="8"/>
      <c r="AL948" s="8"/>
      <c r="AM948" s="9"/>
      <c r="AO948" s="8"/>
      <c r="AP948" s="9"/>
    </row>
    <row r="949" spans="20:42" ht="12.75" customHeight="1" x14ac:dyDescent="0.2">
      <c r="T949" s="3"/>
      <c r="U949" s="3"/>
      <c r="V949" s="9"/>
      <c r="W949" s="9"/>
      <c r="X949" s="9"/>
      <c r="Y949" s="9"/>
      <c r="Z949" s="9"/>
      <c r="AA949" s="9"/>
      <c r="AC949" s="9"/>
      <c r="AD949" s="9"/>
      <c r="AE949" s="8"/>
      <c r="AF949" s="8"/>
      <c r="AG949" s="8"/>
      <c r="AH949" s="9"/>
      <c r="AI949" s="8"/>
      <c r="AJ949" s="8"/>
      <c r="AK949" s="8"/>
      <c r="AL949" s="8"/>
      <c r="AM949" s="9"/>
      <c r="AO949" s="8"/>
      <c r="AP949" s="9"/>
    </row>
    <row r="950" spans="20:42" ht="12.75" customHeight="1" x14ac:dyDescent="0.2">
      <c r="T950" s="3"/>
      <c r="U950" s="3"/>
      <c r="V950" s="9"/>
      <c r="W950" s="9"/>
      <c r="X950" s="9"/>
      <c r="Y950" s="9"/>
      <c r="Z950" s="9"/>
      <c r="AA950" s="9"/>
      <c r="AC950" s="9"/>
      <c r="AD950" s="9"/>
      <c r="AE950" s="8"/>
      <c r="AF950" s="8"/>
      <c r="AG950" s="8"/>
      <c r="AH950" s="9"/>
      <c r="AI950" s="8"/>
      <c r="AJ950" s="8"/>
      <c r="AK950" s="8"/>
      <c r="AL950" s="8"/>
      <c r="AM950" s="9"/>
      <c r="AO950" s="8"/>
      <c r="AP950" s="9"/>
    </row>
    <row r="951" spans="20:42" ht="12.75" customHeight="1" x14ac:dyDescent="0.2">
      <c r="T951" s="3"/>
      <c r="U951" s="3"/>
      <c r="V951" s="9"/>
      <c r="W951" s="9"/>
      <c r="X951" s="9"/>
      <c r="Y951" s="9"/>
      <c r="Z951" s="9"/>
      <c r="AA951" s="9"/>
      <c r="AC951" s="9"/>
      <c r="AD951" s="9"/>
      <c r="AE951" s="8"/>
      <c r="AF951" s="8"/>
      <c r="AG951" s="8"/>
      <c r="AH951" s="9"/>
      <c r="AI951" s="8"/>
      <c r="AJ951" s="8"/>
      <c r="AK951" s="8"/>
      <c r="AL951" s="8"/>
      <c r="AM951" s="9"/>
      <c r="AO951" s="8"/>
      <c r="AP951" s="9"/>
    </row>
    <row r="952" spans="20:42" ht="12.75" customHeight="1" x14ac:dyDescent="0.2">
      <c r="T952" s="3"/>
      <c r="U952" s="3"/>
      <c r="V952" s="9"/>
      <c r="W952" s="9"/>
      <c r="X952" s="9"/>
      <c r="Y952" s="9"/>
      <c r="Z952" s="9"/>
      <c r="AA952" s="9"/>
      <c r="AC952" s="9"/>
      <c r="AD952" s="9"/>
      <c r="AE952" s="8"/>
      <c r="AF952" s="8"/>
      <c r="AG952" s="8"/>
      <c r="AH952" s="9"/>
      <c r="AI952" s="8"/>
      <c r="AJ952" s="8"/>
      <c r="AK952" s="8"/>
      <c r="AL952" s="8"/>
      <c r="AM952" s="9"/>
      <c r="AO952" s="8"/>
      <c r="AP952" s="9"/>
    </row>
    <row r="953" spans="20:42" ht="12.75" customHeight="1" x14ac:dyDescent="0.2">
      <c r="T953" s="3"/>
      <c r="U953" s="3"/>
      <c r="V953" s="9"/>
      <c r="W953" s="9"/>
      <c r="X953" s="9"/>
      <c r="Y953" s="9"/>
      <c r="Z953" s="9"/>
      <c r="AA953" s="9"/>
      <c r="AC953" s="9"/>
      <c r="AD953" s="9"/>
      <c r="AE953" s="8"/>
      <c r="AF953" s="8"/>
      <c r="AG953" s="8"/>
      <c r="AH953" s="9"/>
      <c r="AI953" s="8"/>
      <c r="AJ953" s="8"/>
      <c r="AK953" s="8"/>
      <c r="AL953" s="8"/>
      <c r="AM953" s="9"/>
      <c r="AO953" s="8"/>
      <c r="AP953" s="9"/>
    </row>
    <row r="954" spans="20:42" ht="12.75" customHeight="1" x14ac:dyDescent="0.2">
      <c r="T954" s="3"/>
      <c r="U954" s="3"/>
      <c r="V954" s="9"/>
      <c r="W954" s="9"/>
      <c r="X954" s="9"/>
      <c r="Y954" s="9"/>
      <c r="Z954" s="9"/>
      <c r="AA954" s="9"/>
      <c r="AC954" s="9"/>
      <c r="AD954" s="9"/>
      <c r="AE954" s="8"/>
      <c r="AF954" s="8"/>
      <c r="AG954" s="8"/>
      <c r="AH954" s="9"/>
      <c r="AI954" s="8"/>
      <c r="AJ954" s="8"/>
      <c r="AK954" s="8"/>
      <c r="AL954" s="8"/>
      <c r="AM954" s="9"/>
      <c r="AO954" s="8"/>
      <c r="AP954" s="9"/>
    </row>
    <row r="955" spans="20:42" ht="12.75" customHeight="1" x14ac:dyDescent="0.2">
      <c r="T955" s="3"/>
      <c r="U955" s="3"/>
      <c r="V955" s="9"/>
      <c r="W955" s="9"/>
      <c r="X955" s="9"/>
      <c r="Y955" s="9"/>
      <c r="Z955" s="9"/>
      <c r="AA955" s="9"/>
      <c r="AC955" s="9"/>
      <c r="AD955" s="9"/>
      <c r="AE955" s="8"/>
      <c r="AF955" s="8"/>
      <c r="AG955" s="8"/>
      <c r="AH955" s="9"/>
      <c r="AI955" s="8"/>
      <c r="AJ955" s="8"/>
      <c r="AK955" s="8"/>
      <c r="AL955" s="8"/>
      <c r="AM955" s="9"/>
      <c r="AO955" s="8"/>
      <c r="AP955" s="9"/>
    </row>
    <row r="956" spans="20:42" ht="12.75" customHeight="1" x14ac:dyDescent="0.2">
      <c r="T956" s="3"/>
      <c r="U956" s="3"/>
      <c r="V956" s="9"/>
      <c r="W956" s="9"/>
      <c r="X956" s="9"/>
      <c r="Y956" s="9"/>
      <c r="Z956" s="9"/>
      <c r="AA956" s="9"/>
      <c r="AC956" s="9"/>
      <c r="AD956" s="9"/>
      <c r="AE956" s="8"/>
      <c r="AF956" s="8"/>
      <c r="AG956" s="8"/>
      <c r="AH956" s="9"/>
      <c r="AI956" s="8"/>
      <c r="AJ956" s="8"/>
      <c r="AK956" s="8"/>
      <c r="AL956" s="8"/>
      <c r="AM956" s="9"/>
      <c r="AO956" s="8"/>
      <c r="AP956" s="9"/>
    </row>
    <row r="957" spans="20:42" ht="12.75" customHeight="1" x14ac:dyDescent="0.2">
      <c r="T957" s="3"/>
      <c r="U957" s="3"/>
      <c r="V957" s="9"/>
      <c r="W957" s="9"/>
      <c r="X957" s="9"/>
      <c r="Y957" s="9"/>
      <c r="Z957" s="9"/>
      <c r="AA957" s="9"/>
      <c r="AC957" s="9"/>
      <c r="AD957" s="9"/>
      <c r="AE957" s="8"/>
      <c r="AF957" s="8"/>
      <c r="AG957" s="8"/>
      <c r="AH957" s="9"/>
      <c r="AI957" s="8"/>
      <c r="AJ957" s="8"/>
      <c r="AK957" s="8"/>
      <c r="AL957" s="8"/>
      <c r="AM957" s="9"/>
      <c r="AO957" s="8"/>
      <c r="AP957" s="9"/>
    </row>
    <row r="958" spans="20:42" ht="12.75" customHeight="1" x14ac:dyDescent="0.2">
      <c r="T958" s="3"/>
      <c r="U958" s="3"/>
      <c r="V958" s="9"/>
      <c r="W958" s="9"/>
      <c r="X958" s="9"/>
      <c r="Y958" s="9"/>
      <c r="Z958" s="9"/>
      <c r="AA958" s="9"/>
      <c r="AC958" s="9"/>
      <c r="AD958" s="9"/>
      <c r="AE958" s="8"/>
      <c r="AF958" s="8"/>
      <c r="AG958" s="8"/>
      <c r="AH958" s="9"/>
      <c r="AI958" s="8"/>
      <c r="AJ958" s="8"/>
      <c r="AK958" s="8"/>
      <c r="AL958" s="8"/>
      <c r="AM958" s="9"/>
      <c r="AO958" s="8"/>
      <c r="AP958" s="9"/>
    </row>
    <row r="959" spans="20:42" ht="12.75" customHeight="1" x14ac:dyDescent="0.2">
      <c r="T959" s="3"/>
      <c r="U959" s="3"/>
      <c r="V959" s="9"/>
      <c r="W959" s="9"/>
      <c r="X959" s="9"/>
      <c r="Y959" s="9"/>
      <c r="Z959" s="9"/>
      <c r="AA959" s="9"/>
      <c r="AC959" s="9"/>
      <c r="AD959" s="9"/>
      <c r="AE959" s="8"/>
      <c r="AF959" s="8"/>
      <c r="AG959" s="8"/>
      <c r="AH959" s="9"/>
      <c r="AI959" s="8"/>
      <c r="AJ959" s="8"/>
      <c r="AK959" s="8"/>
      <c r="AL959" s="8"/>
      <c r="AM959" s="9"/>
      <c r="AO959" s="8"/>
      <c r="AP959" s="9"/>
    </row>
    <row r="960" spans="20:42" ht="12.75" customHeight="1" x14ac:dyDescent="0.2">
      <c r="T960" s="3"/>
      <c r="U960" s="3"/>
      <c r="V960" s="9"/>
      <c r="W960" s="9"/>
      <c r="X960" s="9"/>
      <c r="Y960" s="9"/>
      <c r="Z960" s="9"/>
      <c r="AA960" s="9"/>
      <c r="AC960" s="9"/>
      <c r="AD960" s="9"/>
      <c r="AE960" s="8"/>
      <c r="AF960" s="8"/>
      <c r="AG960" s="8"/>
      <c r="AH960" s="9"/>
      <c r="AI960" s="8"/>
      <c r="AJ960" s="8"/>
      <c r="AK960" s="8"/>
      <c r="AL960" s="8"/>
      <c r="AM960" s="9"/>
      <c r="AO960" s="8"/>
      <c r="AP960" s="9"/>
    </row>
    <row r="961" spans="20:42" ht="12.75" customHeight="1" x14ac:dyDescent="0.2">
      <c r="T961" s="3"/>
      <c r="U961" s="3"/>
      <c r="V961" s="9"/>
      <c r="W961" s="9"/>
      <c r="X961" s="9"/>
      <c r="Y961" s="9"/>
      <c r="Z961" s="9"/>
      <c r="AA961" s="9"/>
      <c r="AC961" s="9"/>
      <c r="AD961" s="9"/>
      <c r="AE961" s="8"/>
      <c r="AF961" s="8"/>
      <c r="AG961" s="8"/>
      <c r="AH961" s="9"/>
      <c r="AI961" s="8"/>
      <c r="AJ961" s="8"/>
      <c r="AK961" s="8"/>
      <c r="AL961" s="8"/>
      <c r="AM961" s="9"/>
      <c r="AO961" s="8"/>
      <c r="AP961" s="9"/>
    </row>
    <row r="962" spans="20:42" ht="12.75" customHeight="1" x14ac:dyDescent="0.2">
      <c r="T962" s="3"/>
      <c r="U962" s="3"/>
      <c r="V962" s="9"/>
      <c r="W962" s="9"/>
      <c r="X962" s="9"/>
      <c r="Y962" s="9"/>
      <c r="Z962" s="9"/>
      <c r="AA962" s="9"/>
      <c r="AC962" s="9"/>
      <c r="AD962" s="9"/>
      <c r="AE962" s="8"/>
      <c r="AF962" s="8"/>
      <c r="AG962" s="8"/>
      <c r="AH962" s="9"/>
      <c r="AI962" s="8"/>
      <c r="AJ962" s="8"/>
      <c r="AK962" s="8"/>
      <c r="AL962" s="8"/>
      <c r="AM962" s="9"/>
      <c r="AO962" s="8"/>
      <c r="AP962" s="9"/>
    </row>
    <row r="963" spans="20:42" ht="12.75" customHeight="1" x14ac:dyDescent="0.2">
      <c r="T963" s="3"/>
      <c r="U963" s="3"/>
      <c r="V963" s="9"/>
      <c r="W963" s="9"/>
      <c r="X963" s="9"/>
      <c r="Y963" s="9"/>
      <c r="Z963" s="9"/>
      <c r="AA963" s="9"/>
      <c r="AC963" s="9"/>
      <c r="AD963" s="9"/>
      <c r="AE963" s="8"/>
      <c r="AF963" s="8"/>
      <c r="AG963" s="8"/>
      <c r="AH963" s="9"/>
      <c r="AI963" s="8"/>
      <c r="AJ963" s="8"/>
      <c r="AK963" s="8"/>
      <c r="AL963" s="8"/>
      <c r="AM963" s="9"/>
      <c r="AO963" s="8"/>
      <c r="AP963" s="9"/>
    </row>
    <row r="964" spans="20:42" ht="12.75" customHeight="1" x14ac:dyDescent="0.2">
      <c r="T964" s="3"/>
      <c r="U964" s="3"/>
      <c r="V964" s="9"/>
      <c r="W964" s="9"/>
      <c r="X964" s="9"/>
      <c r="Y964" s="9"/>
      <c r="Z964" s="9"/>
      <c r="AA964" s="9"/>
      <c r="AC964" s="9"/>
      <c r="AD964" s="9"/>
      <c r="AE964" s="8"/>
      <c r="AF964" s="8"/>
      <c r="AG964" s="8"/>
      <c r="AH964" s="9"/>
      <c r="AI964" s="8"/>
      <c r="AJ964" s="8"/>
      <c r="AK964" s="8"/>
      <c r="AL964" s="8"/>
      <c r="AM964" s="9"/>
      <c r="AO964" s="8"/>
      <c r="AP964" s="9"/>
    </row>
    <row r="965" spans="20:42" ht="12.75" customHeight="1" x14ac:dyDescent="0.2">
      <c r="T965" s="3"/>
      <c r="U965" s="3"/>
      <c r="V965" s="9"/>
      <c r="W965" s="9"/>
      <c r="X965" s="9"/>
      <c r="Y965" s="9"/>
      <c r="Z965" s="9"/>
      <c r="AA965" s="9"/>
      <c r="AC965" s="9"/>
      <c r="AD965" s="9"/>
      <c r="AE965" s="8"/>
      <c r="AF965" s="8"/>
      <c r="AG965" s="8"/>
      <c r="AH965" s="9"/>
      <c r="AI965" s="8"/>
      <c r="AJ965" s="8"/>
      <c r="AK965" s="8"/>
      <c r="AL965" s="8"/>
      <c r="AM965" s="9"/>
      <c r="AO965" s="8"/>
      <c r="AP965" s="9"/>
    </row>
    <row r="966" spans="20:42" ht="12.75" customHeight="1" x14ac:dyDescent="0.2">
      <c r="T966" s="3"/>
      <c r="U966" s="3"/>
      <c r="V966" s="9"/>
      <c r="W966" s="9"/>
      <c r="X966" s="9"/>
      <c r="Y966" s="9"/>
      <c r="Z966" s="9"/>
      <c r="AA966" s="9"/>
      <c r="AC966" s="9"/>
      <c r="AD966" s="9"/>
      <c r="AE966" s="8"/>
      <c r="AF966" s="8"/>
      <c r="AG966" s="8"/>
      <c r="AH966" s="9"/>
      <c r="AI966" s="8"/>
      <c r="AJ966" s="8"/>
      <c r="AK966" s="8"/>
      <c r="AL966" s="8"/>
      <c r="AM966" s="9"/>
      <c r="AO966" s="8"/>
      <c r="AP966" s="9"/>
    </row>
    <row r="967" spans="20:42" ht="12.75" customHeight="1" x14ac:dyDescent="0.2">
      <c r="T967" s="3"/>
      <c r="U967" s="3"/>
      <c r="V967" s="9"/>
      <c r="W967" s="9"/>
      <c r="X967" s="9"/>
      <c r="Y967" s="9"/>
      <c r="Z967" s="9"/>
      <c r="AA967" s="9"/>
      <c r="AC967" s="9"/>
      <c r="AD967" s="9"/>
      <c r="AE967" s="8"/>
      <c r="AF967" s="8"/>
      <c r="AG967" s="8"/>
      <c r="AH967" s="9"/>
      <c r="AI967" s="8"/>
      <c r="AJ967" s="8"/>
      <c r="AK967" s="8"/>
      <c r="AL967" s="8"/>
      <c r="AM967" s="9"/>
      <c r="AO967" s="8"/>
      <c r="AP967" s="9"/>
    </row>
    <row r="968" spans="20:42" ht="12.75" customHeight="1" x14ac:dyDescent="0.2">
      <c r="T968" s="3"/>
      <c r="U968" s="3"/>
      <c r="V968" s="9"/>
      <c r="W968" s="9"/>
      <c r="X968" s="9"/>
      <c r="Y968" s="9"/>
      <c r="Z968" s="9"/>
      <c r="AA968" s="9"/>
      <c r="AC968" s="9"/>
      <c r="AD968" s="9"/>
      <c r="AE968" s="8"/>
      <c r="AF968" s="8"/>
      <c r="AG968" s="8"/>
      <c r="AH968" s="9"/>
      <c r="AI968" s="8"/>
      <c r="AJ968" s="8"/>
      <c r="AK968" s="8"/>
      <c r="AL968" s="8"/>
      <c r="AM968" s="9"/>
      <c r="AO968" s="8"/>
      <c r="AP968" s="9"/>
    </row>
    <row r="969" spans="20:42" ht="12.75" customHeight="1" x14ac:dyDescent="0.2">
      <c r="T969" s="3"/>
      <c r="U969" s="3"/>
      <c r="V969" s="9"/>
      <c r="W969" s="9"/>
      <c r="X969" s="9"/>
      <c r="Y969" s="9"/>
      <c r="Z969" s="9"/>
      <c r="AA969" s="9"/>
      <c r="AC969" s="9"/>
      <c r="AD969" s="9"/>
      <c r="AE969" s="8"/>
      <c r="AF969" s="8"/>
      <c r="AG969" s="8"/>
      <c r="AH969" s="9"/>
      <c r="AI969" s="8"/>
      <c r="AJ969" s="8"/>
      <c r="AK969" s="8"/>
      <c r="AL969" s="8"/>
      <c r="AM969" s="9"/>
      <c r="AO969" s="8"/>
      <c r="AP969" s="9"/>
    </row>
    <row r="970" spans="20:42" ht="12.75" customHeight="1" x14ac:dyDescent="0.2">
      <c r="T970" s="3"/>
      <c r="U970" s="3"/>
      <c r="V970" s="9"/>
      <c r="W970" s="9"/>
      <c r="X970" s="9"/>
      <c r="Y970" s="9"/>
      <c r="Z970" s="9"/>
      <c r="AA970" s="9"/>
      <c r="AC970" s="9"/>
      <c r="AD970" s="9"/>
      <c r="AE970" s="8"/>
      <c r="AF970" s="8"/>
      <c r="AG970" s="8"/>
      <c r="AH970" s="9"/>
      <c r="AI970" s="8"/>
      <c r="AJ970" s="8"/>
      <c r="AK970" s="8"/>
      <c r="AL970" s="8"/>
      <c r="AM970" s="9"/>
      <c r="AO970" s="8"/>
      <c r="AP970" s="9"/>
    </row>
    <row r="971" spans="20:42" ht="12.75" customHeight="1" x14ac:dyDescent="0.2">
      <c r="T971" s="3"/>
      <c r="U971" s="3"/>
      <c r="V971" s="9"/>
      <c r="W971" s="9"/>
      <c r="X971" s="9"/>
      <c r="Y971" s="9"/>
      <c r="Z971" s="9"/>
      <c r="AA971" s="9"/>
      <c r="AC971" s="9"/>
      <c r="AD971" s="9"/>
      <c r="AE971" s="8"/>
      <c r="AF971" s="8"/>
      <c r="AG971" s="8"/>
      <c r="AH971" s="9"/>
      <c r="AI971" s="8"/>
      <c r="AJ971" s="8"/>
      <c r="AK971" s="8"/>
      <c r="AL971" s="8"/>
      <c r="AM971" s="9"/>
      <c r="AO971" s="8"/>
      <c r="AP971" s="9"/>
    </row>
    <row r="972" spans="20:42" ht="12.75" customHeight="1" x14ac:dyDescent="0.2">
      <c r="T972" s="3"/>
      <c r="U972" s="3"/>
      <c r="V972" s="9"/>
      <c r="W972" s="9"/>
      <c r="X972" s="9"/>
      <c r="Y972" s="9"/>
      <c r="Z972" s="9"/>
      <c r="AA972" s="9"/>
      <c r="AC972" s="9"/>
      <c r="AD972" s="9"/>
      <c r="AE972" s="8"/>
      <c r="AF972" s="8"/>
      <c r="AG972" s="8"/>
      <c r="AH972" s="9"/>
      <c r="AI972" s="8"/>
      <c r="AJ972" s="8"/>
      <c r="AK972" s="8"/>
      <c r="AL972" s="8"/>
      <c r="AM972" s="9"/>
      <c r="AO972" s="8"/>
      <c r="AP972" s="9"/>
    </row>
    <row r="973" spans="20:42" ht="12.75" customHeight="1" x14ac:dyDescent="0.2">
      <c r="T973" s="3"/>
      <c r="U973" s="3"/>
      <c r="V973" s="9"/>
      <c r="W973" s="9"/>
      <c r="X973" s="9"/>
      <c r="Y973" s="9"/>
      <c r="Z973" s="9"/>
      <c r="AA973" s="9"/>
      <c r="AC973" s="9"/>
      <c r="AD973" s="9"/>
      <c r="AE973" s="8"/>
      <c r="AF973" s="8"/>
      <c r="AG973" s="8"/>
      <c r="AH973" s="9"/>
      <c r="AI973" s="8"/>
      <c r="AJ973" s="8"/>
      <c r="AK973" s="8"/>
      <c r="AL973" s="8"/>
      <c r="AM973" s="9"/>
      <c r="AO973" s="8"/>
      <c r="AP973" s="9"/>
    </row>
    <row r="974" spans="20:42" ht="12.75" customHeight="1" x14ac:dyDescent="0.2">
      <c r="T974" s="3"/>
      <c r="U974" s="3"/>
      <c r="V974" s="9"/>
      <c r="W974" s="9"/>
      <c r="X974" s="9"/>
      <c r="Y974" s="9"/>
      <c r="Z974" s="9"/>
      <c r="AA974" s="9"/>
      <c r="AC974" s="9"/>
      <c r="AD974" s="9"/>
      <c r="AE974" s="8"/>
      <c r="AF974" s="8"/>
      <c r="AG974" s="8"/>
      <c r="AH974" s="9"/>
      <c r="AI974" s="8"/>
      <c r="AJ974" s="8"/>
      <c r="AK974" s="8"/>
      <c r="AL974" s="8"/>
      <c r="AM974" s="9"/>
      <c r="AO974" s="8"/>
      <c r="AP974" s="9"/>
    </row>
    <row r="975" spans="20:42" ht="12.75" customHeight="1" x14ac:dyDescent="0.2">
      <c r="T975" s="3"/>
      <c r="U975" s="3"/>
      <c r="V975" s="9"/>
      <c r="W975" s="9"/>
      <c r="X975" s="9"/>
      <c r="Y975" s="9"/>
      <c r="Z975" s="9"/>
      <c r="AA975" s="9"/>
      <c r="AC975" s="9"/>
      <c r="AD975" s="9"/>
      <c r="AE975" s="8"/>
      <c r="AF975" s="8"/>
      <c r="AG975" s="8"/>
      <c r="AH975" s="9"/>
      <c r="AI975" s="8"/>
      <c r="AJ975" s="8"/>
      <c r="AK975" s="8"/>
      <c r="AL975" s="8"/>
      <c r="AM975" s="9"/>
      <c r="AO975" s="8"/>
      <c r="AP975" s="9"/>
    </row>
    <row r="976" spans="20:42" ht="12.75" customHeight="1" x14ac:dyDescent="0.2">
      <c r="T976" s="3"/>
      <c r="U976" s="3"/>
      <c r="V976" s="9"/>
      <c r="W976" s="9"/>
      <c r="X976" s="9"/>
      <c r="Y976" s="9"/>
      <c r="Z976" s="9"/>
      <c r="AA976" s="9"/>
      <c r="AC976" s="9"/>
      <c r="AD976" s="9"/>
      <c r="AE976" s="8"/>
      <c r="AF976" s="8"/>
      <c r="AG976" s="8"/>
      <c r="AH976" s="9"/>
      <c r="AI976" s="8"/>
      <c r="AJ976" s="8"/>
      <c r="AK976" s="8"/>
      <c r="AL976" s="8"/>
      <c r="AM976" s="9"/>
      <c r="AO976" s="8"/>
      <c r="AP976" s="9"/>
    </row>
    <row r="977" spans="20:42" ht="12.75" customHeight="1" x14ac:dyDescent="0.2">
      <c r="T977" s="3"/>
      <c r="U977" s="3"/>
      <c r="V977" s="9"/>
      <c r="W977" s="9"/>
      <c r="X977" s="9"/>
      <c r="Y977" s="9"/>
      <c r="Z977" s="9"/>
      <c r="AA977" s="9"/>
      <c r="AC977" s="9"/>
      <c r="AD977" s="9"/>
      <c r="AE977" s="8"/>
      <c r="AF977" s="8"/>
      <c r="AG977" s="8"/>
      <c r="AH977" s="9"/>
      <c r="AI977" s="8"/>
      <c r="AJ977" s="8"/>
      <c r="AK977" s="8"/>
      <c r="AL977" s="8"/>
      <c r="AM977" s="9"/>
      <c r="AO977" s="8"/>
      <c r="AP977" s="9"/>
    </row>
    <row r="978" spans="20:42" ht="12.75" customHeight="1" x14ac:dyDescent="0.2">
      <c r="T978" s="3"/>
      <c r="U978" s="3"/>
      <c r="V978" s="9"/>
      <c r="W978" s="9"/>
      <c r="X978" s="9"/>
      <c r="Y978" s="9"/>
      <c r="Z978" s="9"/>
      <c r="AA978" s="9"/>
      <c r="AC978" s="9"/>
      <c r="AD978" s="9"/>
      <c r="AE978" s="8"/>
      <c r="AF978" s="8"/>
      <c r="AG978" s="8"/>
      <c r="AH978" s="9"/>
      <c r="AI978" s="8"/>
      <c r="AJ978" s="8"/>
      <c r="AK978" s="8"/>
      <c r="AL978" s="8"/>
      <c r="AM978" s="9"/>
      <c r="AO978" s="8"/>
      <c r="AP978" s="9"/>
    </row>
    <row r="979" spans="20:42" ht="12.75" customHeight="1" x14ac:dyDescent="0.2">
      <c r="T979" s="3"/>
      <c r="U979" s="3"/>
      <c r="V979" s="9"/>
      <c r="W979" s="9"/>
      <c r="X979" s="9"/>
      <c r="Y979" s="9"/>
      <c r="Z979" s="9"/>
      <c r="AA979" s="9"/>
      <c r="AC979" s="9"/>
      <c r="AD979" s="9"/>
      <c r="AE979" s="8"/>
      <c r="AF979" s="8"/>
      <c r="AG979" s="8"/>
      <c r="AH979" s="9"/>
      <c r="AI979" s="8"/>
      <c r="AJ979" s="8"/>
      <c r="AK979" s="8"/>
      <c r="AL979" s="8"/>
      <c r="AM979" s="9"/>
      <c r="AO979" s="8"/>
      <c r="AP979" s="9"/>
    </row>
    <row r="980" spans="20:42" ht="12.75" customHeight="1" x14ac:dyDescent="0.2">
      <c r="T980" s="3"/>
      <c r="U980" s="3"/>
      <c r="V980" s="9"/>
      <c r="W980" s="9"/>
      <c r="X980" s="9"/>
      <c r="Y980" s="9"/>
      <c r="Z980" s="9"/>
      <c r="AA980" s="9"/>
      <c r="AC980" s="9"/>
      <c r="AD980" s="9"/>
      <c r="AE980" s="8"/>
      <c r="AF980" s="8"/>
      <c r="AG980" s="8"/>
      <c r="AH980" s="9"/>
      <c r="AI980" s="8"/>
      <c r="AJ980" s="8"/>
      <c r="AK980" s="8"/>
      <c r="AL980" s="8"/>
      <c r="AM980" s="9"/>
      <c r="AO980" s="8"/>
      <c r="AP980" s="9"/>
    </row>
    <row r="981" spans="20:42" ht="12.75" customHeight="1" x14ac:dyDescent="0.2">
      <c r="T981" s="3"/>
      <c r="U981" s="3"/>
      <c r="V981" s="9"/>
      <c r="W981" s="9"/>
      <c r="X981" s="9"/>
      <c r="Y981" s="9"/>
      <c r="Z981" s="9"/>
      <c r="AA981" s="9"/>
      <c r="AC981" s="9"/>
      <c r="AD981" s="9"/>
      <c r="AE981" s="8"/>
      <c r="AF981" s="8"/>
      <c r="AG981" s="8"/>
      <c r="AH981" s="9"/>
      <c r="AI981" s="8"/>
      <c r="AJ981" s="8"/>
      <c r="AK981" s="8"/>
      <c r="AL981" s="8"/>
      <c r="AM981" s="9"/>
      <c r="AO981" s="8"/>
      <c r="AP981" s="9"/>
    </row>
    <row r="982" spans="20:42" ht="12.75" customHeight="1" x14ac:dyDescent="0.2">
      <c r="T982" s="3"/>
      <c r="U982" s="3"/>
      <c r="V982" s="9"/>
      <c r="W982" s="9"/>
      <c r="X982" s="9"/>
      <c r="Y982" s="9"/>
      <c r="Z982" s="9"/>
      <c r="AA982" s="9"/>
      <c r="AC982" s="9"/>
      <c r="AD982" s="9"/>
      <c r="AE982" s="8"/>
      <c r="AF982" s="8"/>
      <c r="AG982" s="8"/>
      <c r="AH982" s="9"/>
      <c r="AI982" s="8"/>
      <c r="AJ982" s="8"/>
      <c r="AK982" s="8"/>
      <c r="AL982" s="8"/>
      <c r="AM982" s="9"/>
      <c r="AO982" s="8"/>
      <c r="AP982" s="9"/>
    </row>
    <row r="983" spans="20:42" ht="12.75" customHeight="1" x14ac:dyDescent="0.2">
      <c r="T983" s="3"/>
      <c r="U983" s="3"/>
      <c r="V983" s="9"/>
      <c r="W983" s="9"/>
      <c r="X983" s="9"/>
      <c r="Y983" s="9"/>
      <c r="Z983" s="9"/>
      <c r="AA983" s="9"/>
      <c r="AC983" s="9"/>
      <c r="AD983" s="9"/>
      <c r="AE983" s="8"/>
      <c r="AF983" s="8"/>
      <c r="AG983" s="8"/>
      <c r="AH983" s="9"/>
      <c r="AI983" s="8"/>
      <c r="AJ983" s="8"/>
      <c r="AK983" s="8"/>
      <c r="AL983" s="8"/>
      <c r="AM983" s="9"/>
      <c r="AO983" s="8"/>
      <c r="AP983" s="9"/>
    </row>
    <row r="984" spans="20:42" ht="12.75" customHeight="1" x14ac:dyDescent="0.2">
      <c r="T984" s="3"/>
      <c r="U984" s="3"/>
      <c r="V984" s="9"/>
      <c r="W984" s="9"/>
      <c r="X984" s="9"/>
      <c r="Y984" s="9"/>
      <c r="Z984" s="9"/>
      <c r="AA984" s="9"/>
      <c r="AC984" s="9"/>
      <c r="AD984" s="9"/>
      <c r="AE984" s="8"/>
      <c r="AF984" s="8"/>
      <c r="AG984" s="8"/>
      <c r="AH984" s="9"/>
      <c r="AI984" s="8"/>
      <c r="AJ984" s="8"/>
      <c r="AK984" s="8"/>
      <c r="AL984" s="8"/>
      <c r="AM984" s="9"/>
      <c r="AO984" s="8"/>
      <c r="AP984" s="9"/>
    </row>
    <row r="985" spans="20:42" ht="12.75" customHeight="1" x14ac:dyDescent="0.2">
      <c r="T985" s="3"/>
      <c r="U985" s="3"/>
      <c r="V985" s="9"/>
      <c r="W985" s="9"/>
      <c r="X985" s="9"/>
      <c r="Y985" s="9"/>
      <c r="Z985" s="9"/>
      <c r="AA985" s="9"/>
      <c r="AC985" s="9"/>
      <c r="AD985" s="9"/>
      <c r="AE985" s="8"/>
      <c r="AF985" s="8"/>
      <c r="AG985" s="8"/>
      <c r="AH985" s="9"/>
      <c r="AI985" s="8"/>
      <c r="AJ985" s="8"/>
      <c r="AK985" s="8"/>
      <c r="AL985" s="8"/>
      <c r="AM985" s="9"/>
      <c r="AO985" s="8"/>
      <c r="AP985" s="9"/>
    </row>
    <row r="986" spans="20:42" ht="12.75" customHeight="1" x14ac:dyDescent="0.2">
      <c r="T986" s="3"/>
      <c r="U986" s="3"/>
      <c r="V986" s="9"/>
      <c r="W986" s="9"/>
      <c r="X986" s="9"/>
      <c r="Y986" s="9"/>
      <c r="Z986" s="9"/>
      <c r="AA986" s="9"/>
      <c r="AC986" s="9"/>
      <c r="AD986" s="9"/>
      <c r="AE986" s="8"/>
      <c r="AF986" s="8"/>
      <c r="AG986" s="8"/>
      <c r="AH986" s="9"/>
      <c r="AI986" s="8"/>
      <c r="AJ986" s="8"/>
      <c r="AK986" s="8"/>
      <c r="AL986" s="8"/>
      <c r="AM986" s="9"/>
      <c r="AO986" s="8"/>
      <c r="AP986" s="9"/>
    </row>
    <row r="987" spans="20:42" ht="12.75" customHeight="1" x14ac:dyDescent="0.2">
      <c r="T987" s="3"/>
      <c r="U987" s="3"/>
      <c r="V987" s="9"/>
      <c r="W987" s="9"/>
      <c r="X987" s="9"/>
      <c r="Y987" s="9"/>
      <c r="Z987" s="9"/>
      <c r="AA987" s="9"/>
      <c r="AC987" s="9"/>
      <c r="AD987" s="9"/>
      <c r="AE987" s="8"/>
      <c r="AF987" s="8"/>
      <c r="AG987" s="8"/>
      <c r="AH987" s="9"/>
      <c r="AI987" s="8"/>
      <c r="AJ987" s="8"/>
      <c r="AK987" s="8"/>
      <c r="AL987" s="8"/>
      <c r="AM987" s="9"/>
      <c r="AO987" s="8"/>
      <c r="AP987" s="9"/>
    </row>
    <row r="988" spans="20:42" ht="12.75" customHeight="1" x14ac:dyDescent="0.2">
      <c r="T988" s="3"/>
      <c r="U988" s="3"/>
      <c r="V988" s="9"/>
      <c r="W988" s="9"/>
      <c r="X988" s="9"/>
      <c r="Y988" s="9"/>
      <c r="Z988" s="9"/>
      <c r="AA988" s="9"/>
      <c r="AC988" s="9"/>
      <c r="AD988" s="9"/>
      <c r="AE988" s="8"/>
      <c r="AF988" s="8"/>
      <c r="AG988" s="8"/>
      <c r="AH988" s="9"/>
      <c r="AI988" s="8"/>
      <c r="AJ988" s="8"/>
      <c r="AK988" s="8"/>
      <c r="AL988" s="8"/>
      <c r="AM988" s="9"/>
      <c r="AO988" s="8"/>
      <c r="AP988" s="9"/>
    </row>
    <row r="989" spans="20:42" ht="12.75" customHeight="1" x14ac:dyDescent="0.2">
      <c r="T989" s="3"/>
      <c r="U989" s="3"/>
      <c r="V989" s="9"/>
      <c r="W989" s="9"/>
      <c r="X989" s="9"/>
      <c r="Y989" s="9"/>
      <c r="Z989" s="9"/>
      <c r="AA989" s="9"/>
      <c r="AC989" s="9"/>
      <c r="AD989" s="9"/>
      <c r="AE989" s="8"/>
      <c r="AF989" s="8"/>
      <c r="AG989" s="8"/>
      <c r="AH989" s="9"/>
      <c r="AI989" s="8"/>
      <c r="AJ989" s="8"/>
      <c r="AK989" s="8"/>
      <c r="AL989" s="8"/>
      <c r="AM989" s="9"/>
      <c r="AO989" s="8"/>
      <c r="AP989" s="9"/>
    </row>
    <row r="990" spans="20:42" ht="12.75" customHeight="1" x14ac:dyDescent="0.2">
      <c r="T990" s="3"/>
      <c r="U990" s="3"/>
      <c r="V990" s="9"/>
      <c r="W990" s="9"/>
      <c r="X990" s="9"/>
      <c r="Y990" s="9"/>
      <c r="Z990" s="9"/>
      <c r="AA990" s="9"/>
      <c r="AC990" s="9"/>
      <c r="AD990" s="9"/>
      <c r="AE990" s="8"/>
      <c r="AF990" s="8"/>
      <c r="AG990" s="8"/>
      <c r="AH990" s="9"/>
      <c r="AI990" s="8"/>
      <c r="AJ990" s="8"/>
      <c r="AK990" s="8"/>
      <c r="AL990" s="8"/>
      <c r="AM990" s="9"/>
      <c r="AO990" s="8"/>
      <c r="AP990" s="9"/>
    </row>
    <row r="991" spans="20:42" ht="12.75" customHeight="1" x14ac:dyDescent="0.2">
      <c r="T991" s="3"/>
      <c r="U991" s="3"/>
      <c r="V991" s="9"/>
      <c r="W991" s="9"/>
      <c r="X991" s="9"/>
      <c r="Y991" s="9"/>
      <c r="Z991" s="9"/>
      <c r="AA991" s="9"/>
      <c r="AC991" s="9"/>
      <c r="AD991" s="9"/>
      <c r="AE991" s="8"/>
      <c r="AF991" s="8"/>
      <c r="AG991" s="8"/>
      <c r="AH991" s="9"/>
      <c r="AI991" s="8"/>
      <c r="AJ991" s="8"/>
      <c r="AK991" s="8"/>
      <c r="AL991" s="8"/>
      <c r="AM991" s="9"/>
      <c r="AO991" s="8"/>
      <c r="AP991" s="9"/>
    </row>
    <row r="992" spans="20:42" ht="12.75" customHeight="1" x14ac:dyDescent="0.2">
      <c r="T992" s="3"/>
      <c r="U992" s="3"/>
      <c r="V992" s="9"/>
      <c r="W992" s="9"/>
      <c r="X992" s="9"/>
      <c r="Y992" s="9"/>
      <c r="Z992" s="9"/>
      <c r="AA992" s="9"/>
      <c r="AC992" s="9"/>
      <c r="AD992" s="9"/>
      <c r="AE992" s="8"/>
      <c r="AF992" s="8"/>
      <c r="AG992" s="8"/>
      <c r="AH992" s="9"/>
      <c r="AI992" s="8"/>
      <c r="AJ992" s="8"/>
      <c r="AK992" s="8"/>
      <c r="AL992" s="8"/>
      <c r="AM992" s="9"/>
      <c r="AO992" s="8"/>
      <c r="AP992" s="9"/>
    </row>
    <row r="993" spans="20:42" ht="12.75" customHeight="1" x14ac:dyDescent="0.2">
      <c r="T993" s="3"/>
      <c r="U993" s="3"/>
      <c r="V993" s="9"/>
      <c r="W993" s="9"/>
      <c r="X993" s="9"/>
      <c r="Y993" s="9"/>
      <c r="Z993" s="9"/>
      <c r="AA993" s="9"/>
      <c r="AC993" s="9"/>
      <c r="AD993" s="9"/>
      <c r="AE993" s="8"/>
      <c r="AF993" s="8"/>
      <c r="AG993" s="8"/>
      <c r="AH993" s="9"/>
      <c r="AI993" s="8"/>
      <c r="AJ993" s="8"/>
      <c r="AK993" s="8"/>
      <c r="AL993" s="8"/>
      <c r="AM993" s="9"/>
      <c r="AO993" s="8"/>
      <c r="AP993" s="9"/>
    </row>
    <row r="994" spans="20:42" ht="12.75" customHeight="1" x14ac:dyDescent="0.2">
      <c r="T994" s="3"/>
      <c r="U994" s="3"/>
      <c r="V994" s="9"/>
      <c r="W994" s="9"/>
      <c r="X994" s="9"/>
      <c r="Y994" s="9"/>
      <c r="Z994" s="9"/>
      <c r="AA994" s="9"/>
      <c r="AC994" s="9"/>
      <c r="AD994" s="9"/>
      <c r="AE994" s="8"/>
      <c r="AF994" s="8"/>
      <c r="AG994" s="8"/>
      <c r="AH994" s="9"/>
      <c r="AI994" s="8"/>
      <c r="AJ994" s="8"/>
      <c r="AK994" s="8"/>
      <c r="AL994" s="8"/>
      <c r="AM994" s="9"/>
      <c r="AO994" s="8"/>
      <c r="AP994" s="9"/>
    </row>
    <row r="995" spans="20:42" ht="12.75" customHeight="1" x14ac:dyDescent="0.2">
      <c r="T995" s="3"/>
      <c r="U995" s="3"/>
      <c r="V995" s="9"/>
      <c r="W995" s="9"/>
      <c r="X995" s="9"/>
      <c r="Y995" s="9"/>
      <c r="Z995" s="9"/>
      <c r="AA995" s="9"/>
      <c r="AC995" s="9"/>
      <c r="AD995" s="9"/>
      <c r="AE995" s="8"/>
      <c r="AF995" s="8"/>
      <c r="AG995" s="8"/>
      <c r="AH995" s="9"/>
      <c r="AI995" s="8"/>
      <c r="AJ995" s="8"/>
      <c r="AK995" s="8"/>
      <c r="AL995" s="8"/>
      <c r="AM995" s="9"/>
      <c r="AO995" s="8"/>
      <c r="AP995" s="9"/>
    </row>
    <row r="996" spans="20:42" ht="12.75" customHeight="1" x14ac:dyDescent="0.2">
      <c r="T996" s="3"/>
      <c r="U996" s="3"/>
      <c r="V996" s="9"/>
      <c r="W996" s="9"/>
      <c r="X996" s="9"/>
      <c r="Y996" s="9"/>
      <c r="Z996" s="9"/>
      <c r="AA996" s="9"/>
      <c r="AC996" s="9"/>
      <c r="AD996" s="9"/>
      <c r="AE996" s="8"/>
      <c r="AF996" s="8"/>
      <c r="AG996" s="8"/>
      <c r="AH996" s="9"/>
      <c r="AI996" s="8"/>
      <c r="AJ996" s="8"/>
      <c r="AK996" s="8"/>
      <c r="AL996" s="8"/>
      <c r="AM996" s="9"/>
      <c r="AO996" s="8"/>
      <c r="AP996" s="9"/>
    </row>
    <row r="997" spans="20:42" ht="12.75" customHeight="1" x14ac:dyDescent="0.2">
      <c r="T997" s="3"/>
      <c r="U997" s="3"/>
      <c r="V997" s="9"/>
      <c r="W997" s="9"/>
      <c r="X997" s="9"/>
      <c r="Y997" s="9"/>
      <c r="Z997" s="9"/>
      <c r="AA997" s="9"/>
      <c r="AC997" s="9"/>
      <c r="AD997" s="9"/>
      <c r="AE997" s="8"/>
      <c r="AF997" s="8"/>
      <c r="AG997" s="8"/>
      <c r="AH997" s="9"/>
      <c r="AI997" s="8"/>
      <c r="AJ997" s="8"/>
      <c r="AK997" s="8"/>
      <c r="AL997" s="8"/>
      <c r="AM997" s="9"/>
      <c r="AO997" s="8"/>
      <c r="AP997" s="9"/>
    </row>
    <row r="998" spans="20:42" ht="12.75" customHeight="1" x14ac:dyDescent="0.2">
      <c r="T998" s="3"/>
      <c r="U998" s="3"/>
      <c r="V998" s="9"/>
      <c r="W998" s="9"/>
      <c r="X998" s="9"/>
      <c r="Y998" s="9"/>
      <c r="Z998" s="9"/>
      <c r="AA998" s="9"/>
      <c r="AC998" s="9"/>
      <c r="AD998" s="9"/>
      <c r="AE998" s="8"/>
      <c r="AF998" s="8"/>
      <c r="AG998" s="8"/>
      <c r="AH998" s="9"/>
      <c r="AI998" s="8"/>
      <c r="AJ998" s="8"/>
      <c r="AK998" s="8"/>
      <c r="AL998" s="8"/>
      <c r="AM998" s="9"/>
      <c r="AO998" s="8"/>
      <c r="AP998" s="9"/>
    </row>
    <row r="999" spans="20:42" ht="12.75" customHeight="1" x14ac:dyDescent="0.2">
      <c r="T999" s="3"/>
      <c r="U999" s="3"/>
      <c r="V999" s="9"/>
      <c r="W999" s="9"/>
      <c r="X999" s="9"/>
      <c r="Y999" s="9"/>
      <c r="Z999" s="9"/>
      <c r="AA999" s="9"/>
      <c r="AC999" s="9"/>
      <c r="AD999" s="9"/>
      <c r="AE999" s="8"/>
      <c r="AF999" s="8"/>
      <c r="AG999" s="8"/>
      <c r="AH999" s="9"/>
      <c r="AI999" s="8"/>
      <c r="AJ999" s="8"/>
      <c r="AK999" s="8"/>
      <c r="AL999" s="8"/>
      <c r="AM999" s="9"/>
      <c r="AO999" s="8"/>
      <c r="AP999" s="9"/>
    </row>
    <row r="1000" spans="20:42" ht="12.75" customHeight="1" x14ac:dyDescent="0.2">
      <c r="T1000" s="3"/>
      <c r="U1000" s="3"/>
      <c r="V1000" s="9"/>
      <c r="W1000" s="9"/>
      <c r="X1000" s="9"/>
      <c r="Y1000" s="9"/>
      <c r="Z1000" s="9"/>
      <c r="AA1000" s="9"/>
      <c r="AC1000" s="9"/>
      <c r="AD1000" s="9"/>
      <c r="AE1000" s="8"/>
      <c r="AF1000" s="8"/>
      <c r="AG1000" s="8"/>
      <c r="AH1000" s="9"/>
      <c r="AI1000" s="8"/>
      <c r="AJ1000" s="8"/>
      <c r="AK1000" s="8"/>
      <c r="AL1000" s="8"/>
      <c r="AM1000" s="9"/>
      <c r="AO1000" s="8"/>
      <c r="AP1000" s="9"/>
    </row>
    <row r="1001" spans="20:42" ht="12.75" customHeight="1" x14ac:dyDescent="0.2">
      <c r="T1001" s="3"/>
      <c r="U1001" s="3"/>
      <c r="V1001" s="9"/>
      <c r="W1001" s="9"/>
      <c r="X1001" s="9"/>
      <c r="Y1001" s="9"/>
      <c r="Z1001" s="9"/>
      <c r="AA1001" s="9"/>
      <c r="AC1001" s="9"/>
      <c r="AD1001" s="9"/>
      <c r="AE1001" s="8"/>
      <c r="AF1001" s="8"/>
      <c r="AG1001" s="8"/>
      <c r="AH1001" s="9"/>
      <c r="AI1001" s="8"/>
      <c r="AJ1001" s="8"/>
      <c r="AK1001" s="8"/>
      <c r="AL1001" s="8"/>
      <c r="AM1001" s="9"/>
      <c r="AO1001" s="8"/>
      <c r="AP1001" s="9"/>
    </row>
    <row r="1002" spans="20:42" ht="12.75" customHeight="1" x14ac:dyDescent="0.2">
      <c r="T1002" s="3"/>
      <c r="U1002" s="3"/>
      <c r="V1002" s="9"/>
      <c r="W1002" s="9"/>
      <c r="X1002" s="9"/>
      <c r="Y1002" s="9"/>
      <c r="Z1002" s="9"/>
      <c r="AA1002" s="9"/>
      <c r="AC1002" s="9"/>
      <c r="AD1002" s="9"/>
      <c r="AE1002" s="8"/>
      <c r="AF1002" s="8"/>
      <c r="AG1002" s="8"/>
      <c r="AH1002" s="9"/>
      <c r="AI1002" s="8"/>
      <c r="AJ1002" s="8"/>
      <c r="AK1002" s="8"/>
      <c r="AL1002" s="8"/>
      <c r="AM1002" s="9"/>
      <c r="AO1002" s="8"/>
      <c r="AP1002" s="9"/>
    </row>
    <row r="1003" spans="20:42" ht="12.75" customHeight="1" x14ac:dyDescent="0.2">
      <c r="T1003" s="3"/>
      <c r="U1003" s="3"/>
      <c r="V1003" s="9"/>
      <c r="W1003" s="9"/>
      <c r="X1003" s="9"/>
      <c r="Y1003" s="9"/>
      <c r="Z1003" s="9"/>
      <c r="AA1003" s="9"/>
      <c r="AC1003" s="9"/>
      <c r="AD1003" s="9"/>
      <c r="AE1003" s="8"/>
      <c r="AF1003" s="8"/>
      <c r="AG1003" s="8"/>
      <c r="AH1003" s="9"/>
      <c r="AI1003" s="8"/>
      <c r="AJ1003" s="8"/>
      <c r="AK1003" s="8"/>
      <c r="AL1003" s="8"/>
      <c r="AM1003" s="9"/>
      <c r="AO1003" s="8"/>
      <c r="AP1003" s="9"/>
    </row>
    <row r="1004" spans="20:42" ht="12.75" customHeight="1" x14ac:dyDescent="0.2">
      <c r="T1004" s="3"/>
      <c r="U1004" s="3"/>
      <c r="V1004" s="9"/>
      <c r="W1004" s="9"/>
      <c r="X1004" s="9"/>
      <c r="Y1004" s="9"/>
      <c r="Z1004" s="9"/>
      <c r="AA1004" s="9"/>
      <c r="AC1004" s="9"/>
      <c r="AD1004" s="9"/>
      <c r="AE1004" s="8"/>
      <c r="AF1004" s="8"/>
      <c r="AG1004" s="8"/>
      <c r="AH1004" s="9"/>
      <c r="AI1004" s="8"/>
      <c r="AJ1004" s="8"/>
      <c r="AK1004" s="8"/>
      <c r="AL1004" s="8"/>
      <c r="AM1004" s="9"/>
      <c r="AO1004" s="8"/>
      <c r="AP1004" s="9"/>
    </row>
    <row r="1005" spans="20:42" ht="12.75" customHeight="1" x14ac:dyDescent="0.2">
      <c r="T1005" s="3"/>
      <c r="U1005" s="3"/>
      <c r="V1005" s="9"/>
      <c r="W1005" s="9"/>
      <c r="X1005" s="9"/>
      <c r="Y1005" s="9"/>
      <c r="Z1005" s="9"/>
      <c r="AA1005" s="9"/>
      <c r="AC1005" s="9"/>
      <c r="AD1005" s="9"/>
      <c r="AE1005" s="8"/>
      <c r="AF1005" s="8"/>
      <c r="AG1005" s="8"/>
      <c r="AH1005" s="9"/>
      <c r="AI1005" s="8"/>
      <c r="AJ1005" s="8"/>
      <c r="AK1005" s="8"/>
      <c r="AL1005" s="8"/>
      <c r="AM1005" s="9"/>
      <c r="AO1005" s="8"/>
      <c r="AP1005" s="9"/>
    </row>
    <row r="1006" spans="20:42" ht="12.75" customHeight="1" x14ac:dyDescent="0.2">
      <c r="T1006" s="3"/>
      <c r="U1006" s="3"/>
      <c r="V1006" s="9"/>
      <c r="W1006" s="9"/>
      <c r="X1006" s="9"/>
      <c r="Y1006" s="9"/>
      <c r="Z1006" s="9"/>
      <c r="AA1006" s="9"/>
      <c r="AC1006" s="9"/>
      <c r="AD1006" s="9"/>
      <c r="AE1006" s="8"/>
      <c r="AF1006" s="8"/>
      <c r="AG1006" s="8"/>
      <c r="AH1006" s="9"/>
      <c r="AI1006" s="8"/>
      <c r="AJ1006" s="8"/>
      <c r="AK1006" s="8"/>
      <c r="AL1006" s="8"/>
      <c r="AM1006" s="9"/>
      <c r="AO1006" s="8"/>
      <c r="AP1006" s="9"/>
    </row>
    <row r="1007" spans="20:42" ht="12.75" customHeight="1" x14ac:dyDescent="0.2">
      <c r="T1007" s="3"/>
      <c r="U1007" s="3"/>
      <c r="V1007" s="9"/>
      <c r="W1007" s="9"/>
      <c r="X1007" s="9"/>
      <c r="Y1007" s="9"/>
      <c r="Z1007" s="9"/>
      <c r="AA1007" s="9"/>
      <c r="AC1007" s="9"/>
      <c r="AD1007" s="9"/>
      <c r="AE1007" s="8"/>
      <c r="AF1007" s="8"/>
      <c r="AG1007" s="8"/>
      <c r="AH1007" s="9"/>
      <c r="AI1007" s="8"/>
      <c r="AJ1007" s="8"/>
      <c r="AK1007" s="8"/>
      <c r="AL1007" s="8"/>
      <c r="AM1007" s="9"/>
      <c r="AO1007" s="8"/>
      <c r="AP1007" s="9"/>
    </row>
    <row r="1008" spans="20:42" ht="12.75" customHeight="1" x14ac:dyDescent="0.2">
      <c r="T1008" s="3"/>
      <c r="U1008" s="3"/>
      <c r="V1008" s="9"/>
      <c r="W1008" s="9"/>
      <c r="X1008" s="9"/>
      <c r="Y1008" s="9"/>
      <c r="Z1008" s="9"/>
      <c r="AA1008" s="9"/>
      <c r="AC1008" s="9"/>
      <c r="AD1008" s="9"/>
      <c r="AE1008" s="8"/>
      <c r="AF1008" s="8"/>
      <c r="AG1008" s="8"/>
      <c r="AH1008" s="9"/>
      <c r="AI1008" s="8"/>
      <c r="AJ1008" s="8"/>
      <c r="AK1008" s="8"/>
      <c r="AL1008" s="8"/>
      <c r="AM1008" s="9"/>
      <c r="AO1008" s="8"/>
      <c r="AP1008" s="9"/>
    </row>
    <row r="1009" spans="20:42" ht="12.75" customHeight="1" x14ac:dyDescent="0.2">
      <c r="T1009" s="3"/>
      <c r="U1009" s="3"/>
      <c r="V1009" s="9"/>
      <c r="W1009" s="9"/>
      <c r="X1009" s="9"/>
      <c r="Y1009" s="9"/>
      <c r="Z1009" s="9"/>
      <c r="AA1009" s="9"/>
      <c r="AC1009" s="9"/>
      <c r="AD1009" s="9"/>
      <c r="AE1009" s="8"/>
      <c r="AF1009" s="8"/>
      <c r="AG1009" s="8"/>
      <c r="AH1009" s="9"/>
      <c r="AI1009" s="8"/>
      <c r="AJ1009" s="8"/>
      <c r="AK1009" s="8"/>
      <c r="AL1009" s="8"/>
      <c r="AM1009" s="9"/>
      <c r="AO1009" s="8"/>
      <c r="AP1009" s="9"/>
    </row>
    <row r="1010" spans="20:42" ht="12.75" customHeight="1" x14ac:dyDescent="0.2">
      <c r="T1010" s="3"/>
      <c r="U1010" s="3"/>
      <c r="V1010" s="9"/>
      <c r="W1010" s="9"/>
      <c r="X1010" s="9"/>
      <c r="Y1010" s="9"/>
      <c r="Z1010" s="9"/>
      <c r="AA1010" s="9"/>
      <c r="AC1010" s="9"/>
      <c r="AD1010" s="9"/>
      <c r="AE1010" s="8"/>
      <c r="AF1010" s="8"/>
      <c r="AG1010" s="8"/>
      <c r="AH1010" s="9"/>
      <c r="AI1010" s="8"/>
      <c r="AJ1010" s="8"/>
      <c r="AK1010" s="8"/>
      <c r="AL1010" s="8"/>
      <c r="AM1010" s="9"/>
      <c r="AO1010" s="8"/>
      <c r="AP1010" s="9"/>
    </row>
    <row r="1011" spans="20:42" ht="12.75" customHeight="1" x14ac:dyDescent="0.2">
      <c r="T1011" s="3"/>
      <c r="U1011" s="3"/>
      <c r="V1011" s="9"/>
      <c r="W1011" s="9"/>
      <c r="X1011" s="9"/>
      <c r="Y1011" s="9"/>
      <c r="Z1011" s="9"/>
      <c r="AA1011" s="9"/>
      <c r="AC1011" s="9"/>
      <c r="AD1011" s="9"/>
      <c r="AE1011" s="8"/>
      <c r="AF1011" s="8"/>
      <c r="AG1011" s="8"/>
      <c r="AH1011" s="9"/>
      <c r="AI1011" s="8"/>
      <c r="AJ1011" s="8"/>
      <c r="AK1011" s="8"/>
      <c r="AL1011" s="8"/>
      <c r="AM1011" s="9"/>
      <c r="AO1011" s="8"/>
      <c r="AP1011" s="9"/>
    </row>
    <row r="1012" spans="20:42" ht="12.75" customHeight="1" x14ac:dyDescent="0.2">
      <c r="T1012" s="3"/>
      <c r="U1012" s="3"/>
      <c r="V1012" s="9"/>
      <c r="W1012" s="9"/>
      <c r="X1012" s="9"/>
      <c r="Y1012" s="9"/>
      <c r="Z1012" s="9"/>
      <c r="AA1012" s="9"/>
      <c r="AC1012" s="9"/>
      <c r="AD1012" s="9"/>
      <c r="AE1012" s="8"/>
      <c r="AF1012" s="8"/>
      <c r="AG1012" s="8"/>
      <c r="AH1012" s="9"/>
      <c r="AI1012" s="8"/>
      <c r="AJ1012" s="8"/>
      <c r="AK1012" s="8"/>
      <c r="AL1012" s="8"/>
      <c r="AM1012" s="9"/>
      <c r="AO1012" s="8"/>
      <c r="AP1012" s="9"/>
    </row>
    <row r="1013" spans="20:42" ht="12.75" customHeight="1" x14ac:dyDescent="0.2">
      <c r="T1013" s="3"/>
      <c r="U1013" s="3"/>
      <c r="V1013" s="9"/>
      <c r="W1013" s="9"/>
      <c r="X1013" s="9"/>
      <c r="Y1013" s="9"/>
      <c r="Z1013" s="9"/>
      <c r="AA1013" s="9"/>
      <c r="AC1013" s="9"/>
      <c r="AD1013" s="9"/>
      <c r="AE1013" s="8"/>
      <c r="AF1013" s="8"/>
      <c r="AG1013" s="8"/>
      <c r="AH1013" s="9"/>
      <c r="AI1013" s="8"/>
      <c r="AJ1013" s="8"/>
      <c r="AK1013" s="8"/>
      <c r="AL1013" s="8"/>
      <c r="AM1013" s="9"/>
      <c r="AO1013" s="8"/>
      <c r="AP1013" s="9"/>
    </row>
    <row r="1014" spans="20:42" ht="12.75" customHeight="1" x14ac:dyDescent="0.2">
      <c r="T1014" s="3"/>
      <c r="U1014" s="3"/>
      <c r="V1014" s="9"/>
      <c r="W1014" s="9"/>
      <c r="X1014" s="9"/>
      <c r="Y1014" s="9"/>
      <c r="Z1014" s="9"/>
      <c r="AA1014" s="9"/>
      <c r="AC1014" s="9"/>
      <c r="AD1014" s="9"/>
      <c r="AE1014" s="8"/>
      <c r="AF1014" s="8"/>
      <c r="AG1014" s="8"/>
      <c r="AH1014" s="9"/>
      <c r="AI1014" s="8"/>
      <c r="AJ1014" s="8"/>
      <c r="AK1014" s="8"/>
      <c r="AL1014" s="8"/>
      <c r="AM1014" s="9"/>
      <c r="AO1014" s="8"/>
      <c r="AP1014" s="9"/>
    </row>
    <row r="1015" spans="20:42" ht="12.75" customHeight="1" x14ac:dyDescent="0.2">
      <c r="T1015" s="3"/>
      <c r="U1015" s="3"/>
      <c r="V1015" s="9"/>
      <c r="W1015" s="9"/>
      <c r="X1015" s="9"/>
      <c r="Y1015" s="9"/>
      <c r="Z1015" s="9"/>
      <c r="AA1015" s="9"/>
      <c r="AC1015" s="9"/>
      <c r="AD1015" s="9"/>
      <c r="AE1015" s="8"/>
      <c r="AF1015" s="8"/>
      <c r="AG1015" s="8"/>
      <c r="AH1015" s="9"/>
      <c r="AI1015" s="8"/>
      <c r="AJ1015" s="8"/>
      <c r="AK1015" s="8"/>
      <c r="AL1015" s="8"/>
      <c r="AM1015" s="9"/>
      <c r="AO1015" s="8"/>
      <c r="AP1015" s="9"/>
    </row>
    <row r="1016" spans="20:42" ht="12.75" customHeight="1" x14ac:dyDescent="0.2">
      <c r="T1016" s="3"/>
      <c r="U1016" s="3"/>
      <c r="V1016" s="9"/>
      <c r="W1016" s="9"/>
      <c r="X1016" s="9"/>
      <c r="Y1016" s="9"/>
      <c r="Z1016" s="9"/>
      <c r="AA1016" s="9"/>
      <c r="AC1016" s="9"/>
      <c r="AD1016" s="9"/>
      <c r="AE1016" s="8"/>
      <c r="AF1016" s="8"/>
      <c r="AG1016" s="8"/>
      <c r="AH1016" s="9"/>
      <c r="AI1016" s="8"/>
      <c r="AJ1016" s="8"/>
      <c r="AK1016" s="8"/>
      <c r="AL1016" s="8"/>
      <c r="AM1016" s="9"/>
      <c r="AO1016" s="8"/>
      <c r="AP1016" s="9"/>
    </row>
    <row r="1017" spans="20:42" ht="12.75" customHeight="1" x14ac:dyDescent="0.2">
      <c r="T1017" s="3"/>
      <c r="U1017" s="3"/>
      <c r="V1017" s="9"/>
      <c r="W1017" s="9"/>
      <c r="X1017" s="9"/>
      <c r="Y1017" s="9"/>
      <c r="Z1017" s="9"/>
      <c r="AA1017" s="9"/>
      <c r="AC1017" s="9"/>
      <c r="AD1017" s="9"/>
      <c r="AE1017" s="8"/>
      <c r="AF1017" s="8"/>
      <c r="AG1017" s="8"/>
      <c r="AH1017" s="9"/>
      <c r="AI1017" s="8"/>
      <c r="AJ1017" s="8"/>
      <c r="AK1017" s="8"/>
      <c r="AL1017" s="8"/>
      <c r="AM1017" s="9"/>
      <c r="AO1017" s="8"/>
      <c r="AP1017" s="9"/>
    </row>
    <row r="1018" spans="20:42" ht="12.75" customHeight="1" x14ac:dyDescent="0.2">
      <c r="T1018" s="3"/>
      <c r="U1018" s="3"/>
      <c r="V1018" s="9"/>
      <c r="W1018" s="9"/>
      <c r="X1018" s="9"/>
      <c r="Y1018" s="9"/>
      <c r="Z1018" s="9"/>
      <c r="AA1018" s="9"/>
      <c r="AC1018" s="9"/>
      <c r="AD1018" s="9"/>
      <c r="AE1018" s="8"/>
      <c r="AF1018" s="8"/>
      <c r="AG1018" s="8"/>
      <c r="AH1018" s="9"/>
      <c r="AI1018" s="8"/>
      <c r="AJ1018" s="8"/>
      <c r="AK1018" s="8"/>
      <c r="AL1018" s="8"/>
      <c r="AM1018" s="9"/>
      <c r="AO1018" s="8"/>
      <c r="AP1018" s="9"/>
    </row>
    <row r="1019" spans="20:42" ht="12.75" customHeight="1" x14ac:dyDescent="0.2">
      <c r="T1019" s="3"/>
      <c r="U1019" s="3"/>
      <c r="V1019" s="9"/>
      <c r="W1019" s="9"/>
      <c r="X1019" s="9"/>
      <c r="Y1019" s="9"/>
      <c r="Z1019" s="9"/>
      <c r="AA1019" s="9"/>
      <c r="AC1019" s="9"/>
      <c r="AD1019" s="9"/>
      <c r="AE1019" s="8"/>
      <c r="AF1019" s="8"/>
      <c r="AG1019" s="8"/>
      <c r="AH1019" s="9"/>
      <c r="AI1019" s="8"/>
      <c r="AJ1019" s="8"/>
      <c r="AK1019" s="8"/>
      <c r="AL1019" s="8"/>
      <c r="AM1019" s="9"/>
      <c r="AO1019" s="8"/>
      <c r="AP1019" s="9"/>
    </row>
    <row r="1020" spans="20:42" ht="12.75" customHeight="1" x14ac:dyDescent="0.2">
      <c r="T1020" s="3"/>
      <c r="U1020" s="3"/>
      <c r="V1020" s="9"/>
      <c r="W1020" s="9"/>
      <c r="X1020" s="9"/>
      <c r="Y1020" s="9"/>
      <c r="Z1020" s="9"/>
      <c r="AA1020" s="9"/>
      <c r="AC1020" s="9"/>
      <c r="AD1020" s="9"/>
      <c r="AE1020" s="8"/>
      <c r="AF1020" s="8"/>
      <c r="AG1020" s="8"/>
      <c r="AH1020" s="9"/>
      <c r="AI1020" s="8"/>
      <c r="AJ1020" s="8"/>
      <c r="AK1020" s="8"/>
      <c r="AL1020" s="8"/>
      <c r="AM1020" s="9"/>
      <c r="AO1020" s="8"/>
      <c r="AP1020" s="9"/>
    </row>
    <row r="1021" spans="20:42" ht="12.75" customHeight="1" x14ac:dyDescent="0.2">
      <c r="T1021" s="3"/>
      <c r="U1021" s="3"/>
      <c r="V1021" s="9"/>
      <c r="W1021" s="9"/>
      <c r="X1021" s="9"/>
      <c r="Y1021" s="9"/>
      <c r="Z1021" s="9"/>
      <c r="AA1021" s="9"/>
      <c r="AC1021" s="9"/>
      <c r="AD1021" s="9"/>
      <c r="AE1021" s="8"/>
      <c r="AF1021" s="8"/>
      <c r="AG1021" s="8"/>
      <c r="AH1021" s="9"/>
      <c r="AI1021" s="8"/>
      <c r="AJ1021" s="8"/>
      <c r="AK1021" s="8"/>
      <c r="AL1021" s="8"/>
      <c r="AM1021" s="9"/>
      <c r="AO1021" s="8"/>
      <c r="AP1021" s="9"/>
    </row>
  </sheetData>
  <pageMargins left="0.75" right="0.75" top="1" bottom="1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C99FF"/>
  </sheetPr>
  <dimension ref="A1:BO1000"/>
  <sheetViews>
    <sheetView topLeftCell="A55" workbookViewId="0">
      <selection activeCell="J99" sqref="J99"/>
    </sheetView>
  </sheetViews>
  <sheetFormatPr defaultColWidth="14.42578125" defaultRowHeight="15" customHeight="1" x14ac:dyDescent="0.2"/>
  <cols>
    <col min="1" max="1" width="23.140625" customWidth="1"/>
    <col min="2" max="2" width="12.28515625" customWidth="1"/>
    <col min="3" max="3" width="11.7109375" customWidth="1"/>
    <col min="4" max="4" width="12.140625" customWidth="1"/>
    <col min="5" max="5" width="15.42578125" customWidth="1"/>
    <col min="6" max="6" width="22.28515625" customWidth="1"/>
    <col min="7" max="7" width="12.140625" customWidth="1"/>
    <col min="8" max="8" width="8.7109375" customWidth="1"/>
    <col min="9" max="9" width="9.28515625" customWidth="1"/>
    <col min="10" max="10" width="16.28515625" customWidth="1"/>
    <col min="11" max="11" width="14.7109375" customWidth="1"/>
    <col min="12" max="12" width="16.5703125" customWidth="1"/>
    <col min="13" max="13" width="12.5703125" customWidth="1"/>
    <col min="14" max="14" width="13.85546875" customWidth="1"/>
    <col min="15" max="15" width="12.7109375" customWidth="1"/>
    <col min="16" max="16" width="15.140625" customWidth="1"/>
    <col min="17" max="17" width="15.42578125" customWidth="1"/>
    <col min="18" max="67" width="8.7109375" customWidth="1"/>
  </cols>
  <sheetData>
    <row r="1" spans="1:17" ht="12.75" customHeight="1" x14ac:dyDescent="0.2"/>
    <row r="2" spans="1:17" ht="12.75" customHeight="1" x14ac:dyDescent="0.2">
      <c r="A2" t="s">
        <v>19</v>
      </c>
      <c r="B2" t="s">
        <v>37</v>
      </c>
      <c r="C2" t="s">
        <v>667</v>
      </c>
      <c r="D2" t="s">
        <v>668</v>
      </c>
      <c r="E2" t="s">
        <v>30</v>
      </c>
      <c r="F2" t="s">
        <v>33</v>
      </c>
      <c r="G2" t="s">
        <v>32</v>
      </c>
      <c r="H2" t="s">
        <v>29</v>
      </c>
      <c r="I2" t="s">
        <v>153</v>
      </c>
      <c r="J2" t="s">
        <v>154</v>
      </c>
      <c r="K2" t="s">
        <v>128</v>
      </c>
      <c r="L2" t="s">
        <v>669</v>
      </c>
      <c r="M2" t="s">
        <v>670</v>
      </c>
      <c r="N2" t="s">
        <v>671</v>
      </c>
      <c r="O2" t="s">
        <v>672</v>
      </c>
      <c r="P2" t="s">
        <v>673</v>
      </c>
      <c r="Q2" t="s">
        <v>674</v>
      </c>
    </row>
    <row r="3" spans="1:17" ht="12.75" customHeight="1" x14ac:dyDescent="0.2">
      <c r="A3" t="s">
        <v>51</v>
      </c>
      <c r="L3" s="9"/>
      <c r="O3" s="9"/>
    </row>
    <row r="4" spans="1:17" ht="12.75" customHeight="1" x14ac:dyDescent="0.2">
      <c r="A4" t="s">
        <v>675</v>
      </c>
      <c r="L4" s="9">
        <v>0.2</v>
      </c>
      <c r="M4">
        <v>50</v>
      </c>
      <c r="O4" s="9">
        <v>0.1</v>
      </c>
      <c r="P4">
        <v>48</v>
      </c>
    </row>
    <row r="5" spans="1:17" ht="12.75" customHeight="1" x14ac:dyDescent="0.2">
      <c r="A5" t="s">
        <v>676</v>
      </c>
      <c r="L5" s="9">
        <v>0.21</v>
      </c>
      <c r="M5">
        <v>55</v>
      </c>
      <c r="O5" s="9">
        <v>0.11</v>
      </c>
      <c r="P5">
        <v>52</v>
      </c>
    </row>
    <row r="6" spans="1:17" ht="12.75" customHeight="1" x14ac:dyDescent="0.2">
      <c r="A6" t="s">
        <v>677</v>
      </c>
      <c r="F6">
        <v>6</v>
      </c>
      <c r="H6">
        <v>5</v>
      </c>
      <c r="L6" s="9"/>
      <c r="O6" s="9">
        <v>0.16</v>
      </c>
      <c r="P6">
        <v>76</v>
      </c>
    </row>
    <row r="7" spans="1:17" ht="12.75" customHeight="1" x14ac:dyDescent="0.2">
      <c r="A7" t="s">
        <v>678</v>
      </c>
      <c r="L7" s="9"/>
      <c r="O7" s="9">
        <v>0.13</v>
      </c>
      <c r="P7">
        <v>62</v>
      </c>
    </row>
    <row r="8" spans="1:17" ht="12.75" customHeight="1" x14ac:dyDescent="0.2">
      <c r="A8" t="s">
        <v>679</v>
      </c>
      <c r="E8">
        <v>5</v>
      </c>
      <c r="F8">
        <v>6</v>
      </c>
      <c r="L8" s="9"/>
      <c r="O8" s="9">
        <v>0.15</v>
      </c>
      <c r="P8">
        <v>72</v>
      </c>
    </row>
    <row r="9" spans="1:17" ht="12.75" customHeight="1" x14ac:dyDescent="0.2">
      <c r="A9" t="s">
        <v>680</v>
      </c>
      <c r="F9">
        <v>6</v>
      </c>
      <c r="L9" s="9"/>
      <c r="O9" s="9">
        <v>0.15</v>
      </c>
      <c r="P9">
        <v>72</v>
      </c>
    </row>
    <row r="10" spans="1:17" ht="12.75" customHeight="1" x14ac:dyDescent="0.2">
      <c r="A10" t="s">
        <v>681</v>
      </c>
      <c r="E10">
        <v>6</v>
      </c>
      <c r="I10">
        <v>-3</v>
      </c>
      <c r="L10" s="9">
        <v>0.18</v>
      </c>
      <c r="M10">
        <v>90</v>
      </c>
      <c r="O10" s="9"/>
    </row>
    <row r="11" spans="1:17" ht="12.75" customHeight="1" x14ac:dyDescent="0.2">
      <c r="A11" t="s">
        <v>682</v>
      </c>
      <c r="C11" s="3"/>
      <c r="D11" s="3"/>
      <c r="E11" s="3">
        <v>8</v>
      </c>
      <c r="K11" s="3"/>
      <c r="L11" s="9">
        <v>0.23</v>
      </c>
      <c r="M11" s="3">
        <v>180</v>
      </c>
    </row>
    <row r="12" spans="1:17" ht="12.75" customHeight="1" x14ac:dyDescent="0.2">
      <c r="A12" t="s">
        <v>683</v>
      </c>
      <c r="C12" s="3"/>
      <c r="D12" s="3"/>
      <c r="E12" s="3">
        <v>7</v>
      </c>
      <c r="K12" s="3">
        <v>-10</v>
      </c>
      <c r="L12" s="9">
        <v>0.17</v>
      </c>
      <c r="M12" s="3">
        <v>110</v>
      </c>
    </row>
    <row r="13" spans="1:17" ht="12.75" customHeight="1" x14ac:dyDescent="0.2">
      <c r="A13" t="s">
        <v>684</v>
      </c>
      <c r="C13" s="3"/>
      <c r="D13" s="3"/>
      <c r="E13" s="3">
        <v>8</v>
      </c>
      <c r="K13" s="3"/>
      <c r="L13" s="9">
        <v>0.23499999999999999</v>
      </c>
      <c r="M13" s="3">
        <v>175</v>
      </c>
    </row>
    <row r="14" spans="1:17" ht="12.75" customHeight="1" x14ac:dyDescent="0.2">
      <c r="A14" t="s">
        <v>685</v>
      </c>
      <c r="C14" s="9">
        <v>0.14000000000000001</v>
      </c>
      <c r="D14">
        <v>175</v>
      </c>
      <c r="E14">
        <v>4</v>
      </c>
      <c r="H14">
        <v>2</v>
      </c>
      <c r="I14">
        <v>-3</v>
      </c>
      <c r="K14">
        <v>6</v>
      </c>
      <c r="L14" s="9">
        <v>0.18</v>
      </c>
      <c r="M14">
        <v>65</v>
      </c>
      <c r="O14" s="9"/>
    </row>
    <row r="15" spans="1:17" ht="12.75" customHeight="1" x14ac:dyDescent="0.2">
      <c r="A15" t="s">
        <v>686</v>
      </c>
      <c r="C15" s="9">
        <v>0.12</v>
      </c>
      <c r="D15">
        <v>150</v>
      </c>
      <c r="E15">
        <v>5</v>
      </c>
      <c r="H15">
        <v>2</v>
      </c>
      <c r="I15">
        <v>-7</v>
      </c>
      <c r="K15">
        <v>5</v>
      </c>
      <c r="L15" s="9">
        <v>0.22500000000000001</v>
      </c>
      <c r="M15">
        <v>120</v>
      </c>
      <c r="O15" s="9"/>
    </row>
    <row r="16" spans="1:17" ht="12.75" customHeight="1" x14ac:dyDescent="0.2">
      <c r="A16" t="s">
        <v>687</v>
      </c>
      <c r="E16">
        <v>5</v>
      </c>
      <c r="I16">
        <v>-2</v>
      </c>
      <c r="L16" s="9">
        <v>0.22</v>
      </c>
      <c r="M16">
        <v>60</v>
      </c>
      <c r="O16" s="9"/>
    </row>
    <row r="17" spans="1:16" ht="12.75" customHeight="1" x14ac:dyDescent="0.2">
      <c r="A17" t="s">
        <v>688</v>
      </c>
      <c r="E17">
        <v>5</v>
      </c>
      <c r="I17">
        <v>-2</v>
      </c>
      <c r="L17" s="9">
        <v>0.22</v>
      </c>
      <c r="M17">
        <v>65</v>
      </c>
      <c r="O17" s="9"/>
    </row>
    <row r="18" spans="1:16" ht="12.75" customHeight="1" x14ac:dyDescent="0.2">
      <c r="A18" t="s">
        <v>689</v>
      </c>
      <c r="E18">
        <v>5</v>
      </c>
      <c r="I18">
        <v>-2</v>
      </c>
      <c r="L18" s="9">
        <v>0.2</v>
      </c>
      <c r="M18">
        <v>75</v>
      </c>
      <c r="O18" s="9"/>
    </row>
    <row r="19" spans="1:16" ht="12.75" customHeight="1" x14ac:dyDescent="0.2">
      <c r="A19" t="s">
        <v>690</v>
      </c>
      <c r="E19">
        <v>5</v>
      </c>
      <c r="I19">
        <v>-2</v>
      </c>
      <c r="L19" s="9">
        <v>0.22</v>
      </c>
      <c r="M19">
        <v>80</v>
      </c>
      <c r="O19" s="9"/>
    </row>
    <row r="20" spans="1:16" ht="12.75" customHeight="1" x14ac:dyDescent="0.2">
      <c r="A20" t="s">
        <v>691</v>
      </c>
      <c r="E20">
        <v>5</v>
      </c>
      <c r="I20">
        <v>-4</v>
      </c>
      <c r="L20" s="9">
        <v>0.23</v>
      </c>
      <c r="M20">
        <v>75</v>
      </c>
      <c r="O20" s="9"/>
    </row>
    <row r="21" spans="1:16" ht="12.75" customHeight="1" x14ac:dyDescent="0.2">
      <c r="A21" t="s">
        <v>692</v>
      </c>
      <c r="E21">
        <v>5</v>
      </c>
      <c r="I21">
        <v>-4</v>
      </c>
      <c r="L21" s="9">
        <v>0.2</v>
      </c>
      <c r="M21">
        <v>85</v>
      </c>
      <c r="O21" s="9"/>
    </row>
    <row r="22" spans="1:16" ht="12.75" customHeight="1" x14ac:dyDescent="0.2">
      <c r="A22" t="s">
        <v>693</v>
      </c>
      <c r="E22">
        <v>5</v>
      </c>
      <c r="I22">
        <v>-2</v>
      </c>
      <c r="L22" s="9">
        <v>0.23</v>
      </c>
      <c r="M22">
        <v>90</v>
      </c>
      <c r="O22" s="9"/>
    </row>
    <row r="23" spans="1:16" ht="12.75" customHeight="1" x14ac:dyDescent="0.2">
      <c r="A23" t="s">
        <v>694</v>
      </c>
      <c r="E23">
        <v>7</v>
      </c>
      <c r="I23">
        <v>-2</v>
      </c>
      <c r="L23" s="9">
        <v>0.247</v>
      </c>
      <c r="M23">
        <v>150</v>
      </c>
      <c r="O23" s="9"/>
    </row>
    <row r="24" spans="1:16" ht="12.75" customHeight="1" x14ac:dyDescent="0.2">
      <c r="A24" s="104" t="s">
        <v>695</v>
      </c>
      <c r="L24" s="9">
        <v>0.18</v>
      </c>
      <c r="M24">
        <v>80</v>
      </c>
      <c r="O24" s="9">
        <v>0.14000000000000001</v>
      </c>
      <c r="P24">
        <v>90</v>
      </c>
    </row>
    <row r="25" spans="1:16" ht="12.75" customHeight="1" x14ac:dyDescent="0.2">
      <c r="A25" s="104" t="s">
        <v>696</v>
      </c>
      <c r="E25">
        <v>7</v>
      </c>
      <c r="F25">
        <v>8</v>
      </c>
      <c r="J25">
        <v>-4</v>
      </c>
      <c r="L25" s="9"/>
      <c r="O25" s="9">
        <v>0.11</v>
      </c>
      <c r="P25">
        <v>105</v>
      </c>
    </row>
    <row r="26" spans="1:16" ht="12.75" customHeight="1" x14ac:dyDescent="0.2">
      <c r="A26" s="104" t="s">
        <v>20</v>
      </c>
      <c r="E26">
        <v>7</v>
      </c>
      <c r="H26">
        <v>3</v>
      </c>
      <c r="K26">
        <v>4</v>
      </c>
      <c r="L26" s="9">
        <v>0.23</v>
      </c>
      <c r="M26">
        <v>125</v>
      </c>
      <c r="O26" s="9"/>
    </row>
    <row r="27" spans="1:16" ht="12.75" customHeight="1" x14ac:dyDescent="0.2"/>
    <row r="28" spans="1:16" ht="12.75" customHeight="1" x14ac:dyDescent="0.2"/>
    <row r="29" spans="1:16" ht="12.75" customHeight="1" x14ac:dyDescent="0.2">
      <c r="A29" s="32" t="s">
        <v>697</v>
      </c>
    </row>
    <row r="30" spans="1:16" ht="12.75" customHeight="1" x14ac:dyDescent="0.2">
      <c r="A30" t="s">
        <v>698</v>
      </c>
      <c r="F30" s="13" t="s">
        <v>268</v>
      </c>
      <c r="G30" s="13" t="s">
        <v>699</v>
      </c>
      <c r="H30" s="13" t="s">
        <v>700</v>
      </c>
      <c r="I30" s="13" t="s">
        <v>701</v>
      </c>
      <c r="J30" s="13" t="s">
        <v>702</v>
      </c>
      <c r="K30" s="13" t="s">
        <v>77</v>
      </c>
      <c r="L30" s="13" t="s">
        <v>703</v>
      </c>
      <c r="M30" s="13" t="s">
        <v>704</v>
      </c>
      <c r="N30" s="13" t="s">
        <v>705</v>
      </c>
      <c r="O30" s="13" t="s">
        <v>81</v>
      </c>
      <c r="P30" s="13" t="s">
        <v>96</v>
      </c>
    </row>
    <row r="31" spans="1:16" ht="12.75" customHeight="1" x14ac:dyDescent="0.2">
      <c r="A31" s="3" t="s">
        <v>357</v>
      </c>
      <c r="F31" s="13" t="s">
        <v>80</v>
      </c>
      <c r="G31" s="13">
        <v>163</v>
      </c>
      <c r="H31" s="13">
        <v>179</v>
      </c>
      <c r="I31" s="13">
        <v>195</v>
      </c>
      <c r="J31" s="13">
        <v>211</v>
      </c>
      <c r="K31" s="13">
        <v>228</v>
      </c>
      <c r="L31" s="13">
        <v>244</v>
      </c>
      <c r="M31" s="13">
        <v>260</v>
      </c>
      <c r="N31" s="13">
        <v>277</v>
      </c>
      <c r="O31" s="13">
        <v>293</v>
      </c>
      <c r="P31" s="3"/>
    </row>
    <row r="32" spans="1:16" ht="12.75" customHeight="1" x14ac:dyDescent="0.2">
      <c r="A32" t="s">
        <v>58</v>
      </c>
      <c r="F32" s="13" t="s">
        <v>86</v>
      </c>
      <c r="G32" s="13">
        <v>108</v>
      </c>
      <c r="H32" s="13">
        <v>118</v>
      </c>
      <c r="I32" s="13">
        <v>129</v>
      </c>
      <c r="J32" s="13">
        <v>140</v>
      </c>
      <c r="K32" s="13">
        <v>151</v>
      </c>
      <c r="L32" s="13">
        <v>162</v>
      </c>
      <c r="M32" s="13">
        <v>172</v>
      </c>
      <c r="N32" s="13">
        <v>183</v>
      </c>
      <c r="O32" s="13">
        <v>194</v>
      </c>
      <c r="P32" s="3"/>
    </row>
    <row r="33" spans="1:16" ht="12.75" customHeight="1" x14ac:dyDescent="0.2">
      <c r="F33" s="13" t="s">
        <v>95</v>
      </c>
      <c r="G33" s="13">
        <v>60</v>
      </c>
      <c r="H33" s="13">
        <v>66</v>
      </c>
      <c r="I33" s="13">
        <v>72</v>
      </c>
      <c r="J33" s="13">
        <v>78</v>
      </c>
      <c r="K33" s="13">
        <v>84</v>
      </c>
      <c r="L33" s="13">
        <v>90</v>
      </c>
      <c r="M33" s="13">
        <v>96</v>
      </c>
      <c r="N33" s="13">
        <v>102</v>
      </c>
      <c r="O33" s="13">
        <v>108</v>
      </c>
      <c r="P33" s="13">
        <v>114</v>
      </c>
    </row>
    <row r="34" spans="1:16" ht="12.75" customHeight="1" x14ac:dyDescent="0.2">
      <c r="A34" s="32" t="s">
        <v>706</v>
      </c>
      <c r="F34" s="13" t="s">
        <v>99</v>
      </c>
      <c r="G34" s="13">
        <v>45</v>
      </c>
      <c r="H34" s="13">
        <v>49</v>
      </c>
      <c r="I34" s="13">
        <v>54</v>
      </c>
      <c r="J34" s="13">
        <v>58</v>
      </c>
      <c r="K34" s="13">
        <v>63</v>
      </c>
      <c r="L34" s="13">
        <v>67</v>
      </c>
      <c r="M34" s="13">
        <v>72</v>
      </c>
      <c r="N34" s="13">
        <v>76</v>
      </c>
      <c r="O34" s="13">
        <v>81</v>
      </c>
      <c r="P34" s="13">
        <v>85</v>
      </c>
    </row>
    <row r="35" spans="1:16" ht="12.75" customHeight="1" x14ac:dyDescent="0.2">
      <c r="A35" t="s">
        <v>707</v>
      </c>
      <c r="F35" s="13" t="s">
        <v>90</v>
      </c>
      <c r="G35" s="13">
        <v>124</v>
      </c>
      <c r="H35" s="13">
        <v>136</v>
      </c>
      <c r="I35" s="13">
        <v>148</v>
      </c>
      <c r="J35" s="13">
        <v>161</v>
      </c>
      <c r="K35" s="13">
        <v>173</v>
      </c>
      <c r="L35" s="13">
        <v>186</v>
      </c>
      <c r="M35" s="13">
        <v>198</v>
      </c>
      <c r="N35" s="13">
        <v>210</v>
      </c>
      <c r="O35" s="13">
        <v>223</v>
      </c>
      <c r="P35" s="3"/>
    </row>
    <row r="36" spans="1:16" ht="12.75" customHeight="1" x14ac:dyDescent="0.2">
      <c r="A36" t="s">
        <v>355</v>
      </c>
      <c r="F36" s="13" t="s">
        <v>94</v>
      </c>
      <c r="G36" s="13">
        <v>112</v>
      </c>
      <c r="H36" s="13">
        <v>123</v>
      </c>
      <c r="I36" s="13">
        <v>134</v>
      </c>
      <c r="J36" s="13">
        <v>145</v>
      </c>
      <c r="K36" s="13">
        <v>156</v>
      </c>
      <c r="L36" s="13">
        <v>168</v>
      </c>
      <c r="M36" s="13">
        <v>179</v>
      </c>
      <c r="N36" s="13">
        <v>190</v>
      </c>
      <c r="O36" s="13">
        <v>201</v>
      </c>
      <c r="P36" s="3"/>
    </row>
    <row r="37" spans="1:16" ht="12.75" customHeight="1" x14ac:dyDescent="0.2">
      <c r="A37" t="s">
        <v>55</v>
      </c>
      <c r="F37" s="13" t="s">
        <v>103</v>
      </c>
      <c r="G37" s="13">
        <v>126</v>
      </c>
      <c r="H37" s="13">
        <v>138</v>
      </c>
      <c r="I37" s="13">
        <v>150</v>
      </c>
      <c r="J37" s="13">
        <v>162</v>
      </c>
      <c r="K37" s="13">
        <v>174</v>
      </c>
      <c r="L37" s="3"/>
      <c r="M37" s="3"/>
      <c r="N37" s="3"/>
      <c r="O37" s="3"/>
      <c r="P37" s="3"/>
    </row>
    <row r="38" spans="1:16" ht="12.75" customHeight="1" x14ac:dyDescent="0.2">
      <c r="A38" s="3" t="s">
        <v>74</v>
      </c>
      <c r="F38" s="13" t="s">
        <v>106</v>
      </c>
      <c r="G38" s="13">
        <v>168</v>
      </c>
      <c r="H38" s="13">
        <v>184</v>
      </c>
      <c r="I38" s="13">
        <v>200</v>
      </c>
      <c r="J38" s="13">
        <v>216</v>
      </c>
      <c r="K38" s="13">
        <v>232</v>
      </c>
      <c r="L38" s="3"/>
      <c r="M38" s="3"/>
      <c r="N38" s="3"/>
      <c r="O38" s="3"/>
      <c r="P38" s="3"/>
    </row>
    <row r="39" spans="1:16" ht="12.75" customHeight="1" x14ac:dyDescent="0.2">
      <c r="F39" s="13" t="s">
        <v>108</v>
      </c>
      <c r="G39" s="13">
        <v>42</v>
      </c>
      <c r="H39" s="13">
        <v>46</v>
      </c>
      <c r="I39" s="13">
        <v>50</v>
      </c>
      <c r="J39" s="13">
        <v>54</v>
      </c>
      <c r="K39" s="13">
        <v>58</v>
      </c>
      <c r="L39" s="3"/>
      <c r="M39" s="3"/>
      <c r="N39" s="3"/>
      <c r="O39" s="3"/>
      <c r="P39" s="3"/>
    </row>
    <row r="40" spans="1:16" ht="12.75" customHeight="1" x14ac:dyDescent="0.2">
      <c r="A40" s="32" t="s">
        <v>708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2.75" customHeight="1" x14ac:dyDescent="0.2">
      <c r="A41" s="3" t="s">
        <v>709</v>
      </c>
      <c r="F41" s="13" t="s">
        <v>710</v>
      </c>
      <c r="G41" s="13" t="s">
        <v>711</v>
      </c>
      <c r="H41" s="13" t="s">
        <v>712</v>
      </c>
      <c r="I41" s="13" t="s">
        <v>713</v>
      </c>
      <c r="J41" s="13" t="s">
        <v>714</v>
      </c>
      <c r="K41" s="13" t="s">
        <v>715</v>
      </c>
      <c r="L41" s="13" t="s">
        <v>148</v>
      </c>
      <c r="M41" s="3"/>
      <c r="N41" s="3"/>
      <c r="O41" s="3"/>
      <c r="P41" s="3"/>
    </row>
    <row r="42" spans="1:16" ht="12.75" customHeight="1" x14ac:dyDescent="0.2">
      <c r="A42" t="s">
        <v>61</v>
      </c>
      <c r="F42" s="13" t="s">
        <v>362</v>
      </c>
      <c r="G42" s="13">
        <v>306</v>
      </c>
      <c r="H42" s="13">
        <v>339</v>
      </c>
      <c r="I42" s="13">
        <v>362</v>
      </c>
      <c r="J42" s="13">
        <v>373</v>
      </c>
      <c r="K42" s="13">
        <v>385</v>
      </c>
      <c r="L42" s="13">
        <v>418</v>
      </c>
      <c r="M42" s="3"/>
      <c r="N42" s="3"/>
      <c r="O42" s="3"/>
      <c r="P42" s="3"/>
    </row>
    <row r="43" spans="1:16" ht="12.75" customHeight="1" x14ac:dyDescent="0.2">
      <c r="F43" s="13" t="s">
        <v>144</v>
      </c>
      <c r="G43" s="105">
        <v>0.34699999999999998</v>
      </c>
      <c r="H43" s="105">
        <v>0.42799999999999999</v>
      </c>
      <c r="I43" s="105">
        <v>0.48199999999999998</v>
      </c>
      <c r="J43" s="105">
        <v>0.50900000000000001</v>
      </c>
      <c r="K43" s="105">
        <v>0.53600000000000003</v>
      </c>
      <c r="L43" s="105">
        <v>0.61699999999999999</v>
      </c>
      <c r="M43" s="3"/>
      <c r="N43" s="3"/>
      <c r="O43" s="3"/>
      <c r="P43" s="3"/>
    </row>
    <row r="44" spans="1:16" ht="12.75" customHeight="1" x14ac:dyDescent="0.2">
      <c r="A44" s="32" t="s">
        <v>716</v>
      </c>
      <c r="F44" s="13" t="s">
        <v>146</v>
      </c>
      <c r="G44" s="105">
        <v>-0.34699999999999998</v>
      </c>
      <c r="H44" s="105">
        <v>-0.42799999999999999</v>
      </c>
      <c r="I44" s="105">
        <v>-0.48199999999999998</v>
      </c>
      <c r="J44" s="105">
        <v>-0.50900000000000001</v>
      </c>
      <c r="K44" s="105">
        <v>-0.53600000000000003</v>
      </c>
      <c r="L44" s="105">
        <v>-0.61699999999999999</v>
      </c>
      <c r="M44" s="3"/>
      <c r="N44" s="3"/>
      <c r="O44" s="3"/>
      <c r="P44" s="3"/>
    </row>
    <row r="45" spans="1:16" ht="12.75" customHeight="1" x14ac:dyDescent="0.2">
      <c r="A45" t="s">
        <v>60</v>
      </c>
      <c r="F45" s="13" t="s">
        <v>717</v>
      </c>
      <c r="G45" s="13">
        <v>50</v>
      </c>
      <c r="H45" s="13">
        <v>65</v>
      </c>
      <c r="I45" s="13">
        <v>75</v>
      </c>
      <c r="J45" s="13">
        <v>80</v>
      </c>
      <c r="K45" s="13">
        <v>85</v>
      </c>
      <c r="L45" s="13">
        <v>100</v>
      </c>
      <c r="M45" s="3"/>
      <c r="N45" s="3"/>
      <c r="O45" s="3"/>
      <c r="P45" s="3"/>
    </row>
    <row r="46" spans="1:16" ht="12.75" customHeight="1" x14ac:dyDescent="0.2">
      <c r="F46" s="13" t="s">
        <v>233</v>
      </c>
      <c r="G46" s="13">
        <v>-50</v>
      </c>
      <c r="H46" s="13">
        <v>-65</v>
      </c>
      <c r="I46" s="13">
        <v>-75</v>
      </c>
      <c r="J46" s="13">
        <v>-80</v>
      </c>
      <c r="K46" s="13">
        <v>-85</v>
      </c>
      <c r="L46" s="13">
        <v>-100</v>
      </c>
      <c r="M46" s="3"/>
      <c r="N46" s="3"/>
      <c r="O46" s="3"/>
      <c r="P46" s="3"/>
    </row>
    <row r="47" spans="1:16" ht="12.75" customHeight="1" x14ac:dyDescent="0.2">
      <c r="A47" s="32" t="s">
        <v>718</v>
      </c>
      <c r="F47" s="13" t="s">
        <v>51</v>
      </c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2.75" customHeight="1" x14ac:dyDescent="0.2">
      <c r="A48" s="3" t="s">
        <v>719</v>
      </c>
    </row>
    <row r="49" spans="1:4" ht="12.75" customHeight="1" x14ac:dyDescent="0.2">
      <c r="A49" s="3" t="s">
        <v>720</v>
      </c>
    </row>
    <row r="50" spans="1:4" ht="12.75" customHeight="1" x14ac:dyDescent="0.2">
      <c r="A50" s="3" t="s">
        <v>721</v>
      </c>
    </row>
    <row r="51" spans="1:4" ht="12.75" customHeight="1" x14ac:dyDescent="0.2">
      <c r="A51" s="3" t="s">
        <v>722</v>
      </c>
    </row>
    <row r="52" spans="1:4" ht="12.75" customHeight="1" x14ac:dyDescent="0.2"/>
    <row r="53" spans="1:4" ht="12.75" customHeight="1" x14ac:dyDescent="0.2">
      <c r="A53" s="32" t="s">
        <v>723</v>
      </c>
      <c r="C53" s="106" t="s">
        <v>724</v>
      </c>
      <c r="D53" s="106" t="s">
        <v>26</v>
      </c>
    </row>
    <row r="54" spans="1:4" ht="12.75" customHeight="1" x14ac:dyDescent="0.2">
      <c r="A54" s="3" t="s">
        <v>721</v>
      </c>
      <c r="B54" t="s">
        <v>480</v>
      </c>
      <c r="C54">
        <v>240</v>
      </c>
      <c r="D54">
        <f>Setup!B15</f>
        <v>16</v>
      </c>
    </row>
    <row r="55" spans="1:4" ht="12.75" customHeight="1" x14ac:dyDescent="0.2">
      <c r="A55" s="3" t="s">
        <v>725</v>
      </c>
      <c r="B55" t="s">
        <v>479</v>
      </c>
      <c r="C55">
        <v>250</v>
      </c>
      <c r="D55">
        <f>Setup!B16</f>
        <v>16</v>
      </c>
    </row>
    <row r="56" spans="1:4" ht="12.75" customHeight="1" x14ac:dyDescent="0.2">
      <c r="A56" s="3" t="s">
        <v>167</v>
      </c>
      <c r="B56" t="s">
        <v>478</v>
      </c>
      <c r="C56">
        <v>276</v>
      </c>
      <c r="D56">
        <f>Setup!B14</f>
        <v>16</v>
      </c>
    </row>
    <row r="57" spans="1:4" ht="12.75" customHeight="1" x14ac:dyDescent="0.2">
      <c r="A57" s="3" t="s">
        <v>170</v>
      </c>
      <c r="B57" s="3" t="s">
        <v>51</v>
      </c>
      <c r="C57">
        <v>0</v>
      </c>
      <c r="D57">
        <v>0</v>
      </c>
    </row>
    <row r="58" spans="1:4" ht="12.75" customHeight="1" x14ac:dyDescent="0.2">
      <c r="A58" s="3" t="s">
        <v>719</v>
      </c>
      <c r="B58" t="s">
        <v>477</v>
      </c>
      <c r="C58">
        <v>269</v>
      </c>
      <c r="D58">
        <f>Setup!B13</f>
        <v>16</v>
      </c>
    </row>
    <row r="59" spans="1:4" ht="12.75" customHeight="1" x14ac:dyDescent="0.2"/>
    <row r="60" spans="1:4" ht="12.75" customHeight="1" x14ac:dyDescent="0.2">
      <c r="A60" s="32" t="s">
        <v>726</v>
      </c>
    </row>
    <row r="61" spans="1:4" ht="12.75" customHeight="1" x14ac:dyDescent="0.2">
      <c r="A61" s="3" t="s">
        <v>167</v>
      </c>
      <c r="B61" s="3" t="s">
        <v>727</v>
      </c>
    </row>
    <row r="62" spans="1:4" ht="12.75" customHeight="1" x14ac:dyDescent="0.2">
      <c r="A62" s="3" t="s">
        <v>725</v>
      </c>
      <c r="B62" s="3" t="s">
        <v>727</v>
      </c>
    </row>
    <row r="63" spans="1:4" ht="12.75" customHeight="1" x14ac:dyDescent="0.2">
      <c r="A63" s="3" t="s">
        <v>719</v>
      </c>
      <c r="B63" s="3" t="s">
        <v>728</v>
      </c>
    </row>
    <row r="64" spans="1:4" ht="12.75" customHeight="1" x14ac:dyDescent="0.2">
      <c r="A64" s="3" t="s">
        <v>721</v>
      </c>
      <c r="B64" s="3" t="s">
        <v>728</v>
      </c>
    </row>
    <row r="65" spans="1:20" ht="12.75" customHeight="1" x14ac:dyDescent="0.2"/>
    <row r="66" spans="1:20" ht="12.75" customHeight="1" x14ac:dyDescent="0.2"/>
    <row r="67" spans="1:20" ht="12.75" customHeight="1" x14ac:dyDescent="0.2">
      <c r="A67" s="32" t="s">
        <v>729</v>
      </c>
    </row>
    <row r="68" spans="1:20" ht="12.75" customHeight="1" x14ac:dyDescent="0.2">
      <c r="A68" s="3" t="s">
        <v>721</v>
      </c>
    </row>
    <row r="69" spans="1:20" ht="12.75" customHeight="1" x14ac:dyDescent="0.2">
      <c r="A69" s="3" t="s">
        <v>719</v>
      </c>
    </row>
    <row r="70" spans="1:20" ht="12.75" customHeight="1" x14ac:dyDescent="0.2"/>
    <row r="71" spans="1:20" ht="12.75" customHeight="1" x14ac:dyDescent="0.2">
      <c r="A71" s="32" t="s">
        <v>730</v>
      </c>
    </row>
    <row r="72" spans="1:20" ht="12.75" customHeight="1" x14ac:dyDescent="0.2">
      <c r="A72" s="3" t="s">
        <v>170</v>
      </c>
    </row>
    <row r="73" spans="1:20" ht="12.75" customHeight="1" x14ac:dyDescent="0.2"/>
    <row r="74" spans="1:20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20" ht="12.75" customHeight="1" x14ac:dyDescent="0.2">
      <c r="A75" s="32" t="s">
        <v>731</v>
      </c>
      <c r="B75" s="32" t="s">
        <v>467</v>
      </c>
      <c r="C75" s="32" t="s">
        <v>732</v>
      </c>
      <c r="D75" s="32" t="s">
        <v>733</v>
      </c>
      <c r="E75" s="32" t="s">
        <v>734</v>
      </c>
      <c r="F75" s="32" t="s">
        <v>735</v>
      </c>
      <c r="G75" s="32" t="s">
        <v>736</v>
      </c>
      <c r="H75" s="32" t="s">
        <v>737</v>
      </c>
      <c r="I75" s="32" t="s">
        <v>738</v>
      </c>
      <c r="J75" s="32" t="s">
        <v>739</v>
      </c>
      <c r="K75" s="32" t="s">
        <v>740</v>
      </c>
      <c r="L75" s="32" t="s">
        <v>238</v>
      </c>
      <c r="M75" s="32" t="s">
        <v>741</v>
      </c>
      <c r="N75" s="32" t="s">
        <v>742</v>
      </c>
      <c r="O75" s="32" t="s">
        <v>743</v>
      </c>
      <c r="P75" s="32" t="s">
        <v>744</v>
      </c>
      <c r="Q75" s="32" t="s">
        <v>745</v>
      </c>
      <c r="R75" s="32" t="s">
        <v>746</v>
      </c>
      <c r="S75" s="32" t="s">
        <v>747</v>
      </c>
      <c r="T75" s="32" t="s">
        <v>748</v>
      </c>
    </row>
    <row r="76" spans="1:20" ht="12.75" customHeight="1" x14ac:dyDescent="0.2">
      <c r="A76" t="s">
        <v>707</v>
      </c>
      <c r="B76">
        <v>0</v>
      </c>
      <c r="C76">
        <v>0</v>
      </c>
      <c r="D76" t="s">
        <v>30</v>
      </c>
      <c r="E76" s="9">
        <v>0.3</v>
      </c>
      <c r="F76" s="3" t="s">
        <v>153</v>
      </c>
      <c r="G76" s="9">
        <v>0.3</v>
      </c>
      <c r="H76" s="59">
        <v>2.5</v>
      </c>
      <c r="I76" s="59">
        <v>3.5</v>
      </c>
      <c r="J76" s="59">
        <v>4.5</v>
      </c>
      <c r="K76" s="3">
        <v>0</v>
      </c>
      <c r="L76" s="9">
        <v>0.5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</row>
    <row r="77" spans="1:20" ht="12.75" customHeight="1" x14ac:dyDescent="0.2">
      <c r="A77" t="s">
        <v>355</v>
      </c>
      <c r="B77">
        <v>0</v>
      </c>
      <c r="C77">
        <v>0</v>
      </c>
      <c r="D77" t="s">
        <v>30</v>
      </c>
      <c r="E77" s="9">
        <v>0.5</v>
      </c>
      <c r="F77" s="3" t="s">
        <v>153</v>
      </c>
      <c r="G77" s="9">
        <v>0.5</v>
      </c>
      <c r="H77" s="59">
        <v>1.5</v>
      </c>
      <c r="I77" s="59">
        <v>2.5</v>
      </c>
      <c r="J77" s="59">
        <v>3.5</v>
      </c>
      <c r="K77" s="3">
        <v>0</v>
      </c>
      <c r="L77" s="9">
        <v>0.75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</row>
    <row r="78" spans="1:20" ht="12.75" customHeight="1" x14ac:dyDescent="0.2">
      <c r="A78" t="s">
        <v>55</v>
      </c>
      <c r="B78">
        <v>0</v>
      </c>
      <c r="C78">
        <v>4</v>
      </c>
      <c r="D78" t="s">
        <v>30</v>
      </c>
      <c r="E78" s="9">
        <f>IF(Setup!B17&gt;0, 70% + 3% *Setup!B17, 0)</f>
        <v>0.85</v>
      </c>
      <c r="F78" s="3" t="s">
        <v>102</v>
      </c>
      <c r="G78" s="9">
        <v>0</v>
      </c>
      <c r="H78" s="59">
        <v>0.71875</v>
      </c>
      <c r="I78" s="59">
        <v>1.5</v>
      </c>
      <c r="J78" s="59">
        <v>2.25</v>
      </c>
      <c r="K78" s="3">
        <v>1</v>
      </c>
      <c r="L78" s="9">
        <v>-0.15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</row>
    <row r="79" spans="1:20" ht="12.75" customHeight="1" x14ac:dyDescent="0.2">
      <c r="A79" s="3" t="s">
        <v>74</v>
      </c>
      <c r="B79">
        <v>0</v>
      </c>
      <c r="C79">
        <v>1</v>
      </c>
      <c r="D79" s="3" t="s">
        <v>33</v>
      </c>
      <c r="E79" s="9">
        <v>0.8</v>
      </c>
      <c r="F79" s="3" t="s">
        <v>102</v>
      </c>
      <c r="G79" s="9">
        <v>0</v>
      </c>
      <c r="H79" s="59">
        <v>2.25</v>
      </c>
      <c r="I79" s="59">
        <v>4.5</v>
      </c>
      <c r="J79" s="59">
        <v>6.5</v>
      </c>
      <c r="K79" s="3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</row>
    <row r="80" spans="1:20" ht="12.75" customHeight="1" x14ac:dyDescent="0.2">
      <c r="A80" t="s">
        <v>60</v>
      </c>
      <c r="B80">
        <v>0</v>
      </c>
      <c r="C80">
        <v>3</v>
      </c>
      <c r="D80" t="s">
        <v>29</v>
      </c>
      <c r="E80" s="9">
        <f>IF(Setup!B19&gt;0, 70% + 3% *Setup!B19, 0)</f>
        <v>0.85</v>
      </c>
      <c r="F80" s="3" t="s">
        <v>102</v>
      </c>
      <c r="G80" s="9">
        <v>0</v>
      </c>
      <c r="H80" s="59">
        <v>1</v>
      </c>
      <c r="I80" s="59">
        <v>3.5</v>
      </c>
      <c r="J80" s="59">
        <v>6.5</v>
      </c>
      <c r="K80" s="3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</row>
    <row r="81" spans="1:67" ht="12.75" customHeight="1" x14ac:dyDescent="0.2">
      <c r="A81" t="s">
        <v>709</v>
      </c>
      <c r="B81">
        <v>0</v>
      </c>
      <c r="C81">
        <v>4</v>
      </c>
      <c r="D81" t="s">
        <v>30</v>
      </c>
      <c r="E81" s="9">
        <v>0.5</v>
      </c>
      <c r="F81" s="3" t="s">
        <v>102</v>
      </c>
      <c r="G81" s="9">
        <v>0</v>
      </c>
      <c r="H81" s="59">
        <v>0.5</v>
      </c>
      <c r="I81" s="59">
        <v>0.5</v>
      </c>
      <c r="J81" s="59">
        <v>0.5</v>
      </c>
      <c r="K81" s="3">
        <v>0</v>
      </c>
      <c r="L81" s="9">
        <v>0</v>
      </c>
      <c r="M81" s="9">
        <v>0</v>
      </c>
      <c r="N81" s="9">
        <v>0</v>
      </c>
      <c r="O81" s="9">
        <v>0.1</v>
      </c>
      <c r="P81" s="9">
        <v>0.1</v>
      </c>
      <c r="Q81" s="9">
        <v>0.15</v>
      </c>
      <c r="R81" s="9">
        <v>0</v>
      </c>
      <c r="S81" s="9">
        <v>0</v>
      </c>
      <c r="T81" s="9">
        <v>0</v>
      </c>
    </row>
    <row r="82" spans="1:67" ht="12.75" customHeight="1" x14ac:dyDescent="0.2">
      <c r="A82" t="s">
        <v>61</v>
      </c>
      <c r="B82">
        <v>0</v>
      </c>
      <c r="C82">
        <v>3</v>
      </c>
      <c r="D82" t="s">
        <v>30</v>
      </c>
      <c r="E82" s="9">
        <f>IF(Setup!B20&gt;0, 70% + 3% *Setup!B20, 0)</f>
        <v>0.85</v>
      </c>
      <c r="F82" s="3" t="s">
        <v>102</v>
      </c>
      <c r="G82" s="9">
        <v>0</v>
      </c>
      <c r="H82" s="59">
        <v>1</v>
      </c>
      <c r="I82" s="59">
        <v>1</v>
      </c>
      <c r="J82" s="59">
        <v>1</v>
      </c>
      <c r="K82" s="3">
        <v>1</v>
      </c>
      <c r="L82" s="9">
        <v>0.375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</row>
    <row r="83" spans="1:67" ht="12.75" customHeight="1" x14ac:dyDescent="0.2">
      <c r="A83" t="s">
        <v>698</v>
      </c>
      <c r="B83">
        <v>0</v>
      </c>
      <c r="C83">
        <v>3</v>
      </c>
      <c r="D83" t="s">
        <v>30</v>
      </c>
      <c r="E83" s="9">
        <v>0.6</v>
      </c>
      <c r="F83" s="3" t="s">
        <v>102</v>
      </c>
      <c r="G83" s="9">
        <v>0</v>
      </c>
      <c r="H83" s="59">
        <v>1</v>
      </c>
      <c r="I83" s="59">
        <v>1</v>
      </c>
      <c r="J83" s="59">
        <v>1</v>
      </c>
      <c r="K83" s="3">
        <v>0</v>
      </c>
      <c r="L83" s="9">
        <v>0</v>
      </c>
      <c r="M83" s="9">
        <v>0</v>
      </c>
      <c r="N83" s="9">
        <v>0</v>
      </c>
      <c r="O83" s="9">
        <v>0.1</v>
      </c>
      <c r="P83" s="9">
        <v>0.2</v>
      </c>
      <c r="Q83" s="9">
        <v>0.2</v>
      </c>
      <c r="R83" s="9">
        <v>0</v>
      </c>
      <c r="S83" s="9">
        <v>0</v>
      </c>
      <c r="T83" s="9">
        <v>0</v>
      </c>
      <c r="U83" s="3"/>
    </row>
    <row r="84" spans="1:67" ht="12.75" customHeight="1" x14ac:dyDescent="0.2">
      <c r="A84" s="3" t="s">
        <v>357</v>
      </c>
      <c r="B84">
        <v>0</v>
      </c>
      <c r="C84">
        <v>1</v>
      </c>
      <c r="D84" s="3" t="s">
        <v>30</v>
      </c>
      <c r="E84" s="9">
        <v>0.5</v>
      </c>
      <c r="F84" s="3" t="s">
        <v>154</v>
      </c>
      <c r="G84" s="9">
        <v>0.5</v>
      </c>
      <c r="H84" s="59">
        <v>1</v>
      </c>
      <c r="I84" s="59">
        <v>2.5</v>
      </c>
      <c r="J84" s="59">
        <v>4</v>
      </c>
      <c r="K84" s="3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3"/>
    </row>
    <row r="85" spans="1:67" ht="12.75" customHeight="1" x14ac:dyDescent="0.2">
      <c r="A85" t="s">
        <v>58</v>
      </c>
      <c r="B85">
        <v>0</v>
      </c>
      <c r="C85">
        <v>4</v>
      </c>
      <c r="D85" t="s">
        <v>154</v>
      </c>
      <c r="E85" s="9">
        <f>IF(Setup!B18&gt;0, 70% + 3% *Setup!B18, 0)</f>
        <v>0.85</v>
      </c>
      <c r="F85" s="3" t="s">
        <v>102</v>
      </c>
      <c r="G85" s="9">
        <v>0</v>
      </c>
      <c r="H85" s="59">
        <v>1</v>
      </c>
      <c r="I85" s="59">
        <v>1</v>
      </c>
      <c r="J85" s="59">
        <v>1</v>
      </c>
      <c r="K85" s="3">
        <v>1</v>
      </c>
      <c r="L85" s="9">
        <v>-0.2</v>
      </c>
      <c r="M85" s="9">
        <v>0.05</v>
      </c>
      <c r="N85" s="9">
        <v>0.05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</row>
    <row r="86" spans="1:67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67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67" ht="12.75" customHeight="1" x14ac:dyDescent="0.2">
      <c r="A88" s="3"/>
      <c r="B88" s="3"/>
      <c r="C88" s="3"/>
      <c r="D88" s="3" t="s">
        <v>749</v>
      </c>
      <c r="E88" s="3"/>
      <c r="F88" s="3"/>
      <c r="G88" s="3"/>
      <c r="H88" s="3"/>
      <c r="I88" s="3" t="s">
        <v>750</v>
      </c>
      <c r="J88" s="3"/>
      <c r="K88" s="3"/>
      <c r="L88" s="3"/>
      <c r="T88" t="s">
        <v>751</v>
      </c>
    </row>
    <row r="89" spans="1:67" ht="12.75" customHeight="1" x14ac:dyDescent="0.2">
      <c r="A89" s="32" t="s">
        <v>152</v>
      </c>
      <c r="B89" s="32" t="s">
        <v>752</v>
      </c>
      <c r="C89" s="32" t="s">
        <v>753</v>
      </c>
      <c r="D89" s="32">
        <v>0</v>
      </c>
      <c r="E89" s="32">
        <v>1</v>
      </c>
      <c r="F89" s="32">
        <v>2</v>
      </c>
      <c r="G89" s="32">
        <v>3</v>
      </c>
      <c r="H89" s="32">
        <v>4</v>
      </c>
      <c r="I89" s="32">
        <v>5</v>
      </c>
      <c r="J89" s="32" t="s">
        <v>754</v>
      </c>
      <c r="K89" s="32" t="s">
        <v>755</v>
      </c>
      <c r="L89" s="32" t="s">
        <v>756</v>
      </c>
      <c r="M89" s="32" t="s">
        <v>757</v>
      </c>
      <c r="N89" t="s">
        <v>758</v>
      </c>
      <c r="O89" t="s">
        <v>759</v>
      </c>
      <c r="P89" t="s">
        <v>760</v>
      </c>
      <c r="Q89" t="s">
        <v>761</v>
      </c>
      <c r="T89" s="32" t="s">
        <v>259</v>
      </c>
      <c r="U89" s="32" t="s">
        <v>260</v>
      </c>
      <c r="V89" s="32" t="s">
        <v>261</v>
      </c>
      <c r="W89" s="32" t="s">
        <v>262</v>
      </c>
      <c r="Z89" t="s">
        <v>477</v>
      </c>
      <c r="AA89" t="s">
        <v>478</v>
      </c>
      <c r="AB89" t="s">
        <v>479</v>
      </c>
      <c r="AC89" t="s">
        <v>480</v>
      </c>
      <c r="AD89" s="3" t="s">
        <v>481</v>
      </c>
      <c r="AE89" t="s">
        <v>30</v>
      </c>
      <c r="AF89" t="s">
        <v>33</v>
      </c>
      <c r="AG89" t="s">
        <v>29</v>
      </c>
      <c r="AH89" t="s">
        <v>32</v>
      </c>
      <c r="AI89" t="s">
        <v>153</v>
      </c>
      <c r="AJ89" t="s">
        <v>154</v>
      </c>
      <c r="AK89" t="s">
        <v>482</v>
      </c>
      <c r="AL89" t="s">
        <v>120</v>
      </c>
      <c r="AM89" t="s">
        <v>156</v>
      </c>
      <c r="AN89" t="s">
        <v>157</v>
      </c>
      <c r="AO89" t="s">
        <v>483</v>
      </c>
      <c r="AP89" t="s">
        <v>484</v>
      </c>
      <c r="AQ89" t="s">
        <v>485</v>
      </c>
      <c r="AR89" s="3" t="s">
        <v>486</v>
      </c>
      <c r="AS89" s="3" t="s">
        <v>487</v>
      </c>
      <c r="AT89" t="s">
        <v>158</v>
      </c>
      <c r="AU89" t="s">
        <v>159</v>
      </c>
      <c r="AV89" t="s">
        <v>160</v>
      </c>
      <c r="AW89" t="s">
        <v>488</v>
      </c>
      <c r="AX89" t="s">
        <v>161</v>
      </c>
      <c r="AY89" t="s">
        <v>165</v>
      </c>
      <c r="AZ89" t="s">
        <v>164</v>
      </c>
      <c r="BA89" t="s">
        <v>162</v>
      </c>
      <c r="BB89" t="s">
        <v>163</v>
      </c>
      <c r="BC89" t="s">
        <v>166</v>
      </c>
      <c r="BD89" t="s">
        <v>130</v>
      </c>
      <c r="BE89" t="s">
        <v>205</v>
      </c>
      <c r="BF89" t="s">
        <v>207</v>
      </c>
      <c r="BG89" s="3" t="s">
        <v>208</v>
      </c>
      <c r="BH89" s="3" t="s">
        <v>489</v>
      </c>
      <c r="BI89" s="3" t="s">
        <v>135</v>
      </c>
      <c r="BJ89" t="s">
        <v>206</v>
      </c>
      <c r="BK89" s="3" t="s">
        <v>490</v>
      </c>
      <c r="BM89" t="s">
        <v>37</v>
      </c>
      <c r="BN89" t="s">
        <v>155</v>
      </c>
      <c r="BO89" s="9"/>
    </row>
    <row r="90" spans="1:67" ht="12.75" customHeight="1" x14ac:dyDescent="0.2">
      <c r="A90" s="3" t="s">
        <v>762</v>
      </c>
      <c r="B90" s="3" t="s">
        <v>763</v>
      </c>
      <c r="C90" s="3" t="s">
        <v>158</v>
      </c>
      <c r="D90" s="3">
        <v>0</v>
      </c>
      <c r="E90" s="3">
        <v>0</v>
      </c>
      <c r="F90" s="9">
        <v>7.0000000000000007E-2</v>
      </c>
      <c r="G90" s="3">
        <v>0</v>
      </c>
      <c r="H90" s="3">
        <v>0</v>
      </c>
      <c r="I90" s="3">
        <v>0</v>
      </c>
      <c r="J90" s="3">
        <f t="shared" ref="J90:J95" si="0">COUNTIF($T$127:$T$148,$A90) + COUNTIF($T$127:$T$148, $B90)</f>
        <v>0</v>
      </c>
      <c r="K90" s="3">
        <f t="shared" ref="K90:K98" si="1">COUNTIF($U$90:$U$105,$A90) + COUNTIF($U$90:$U$105, $B90)</f>
        <v>0</v>
      </c>
      <c r="L90" s="3">
        <f t="shared" ref="L90:L98" si="2">COUNTIF($V$90:$V$105,$A90) + COUNTIF($V$90:$V$105, $B90)</f>
        <v>0</v>
      </c>
      <c r="M90" s="3">
        <f t="shared" ref="M90:M98" si="3">COUNTIF($W$90:$W$105,$A90) + COUNTIF($W$90:$W$105, $B90)</f>
        <v>0</v>
      </c>
      <c r="N90">
        <f t="shared" ref="N90:N98" si="4">INDEX($D90:$I90,1,J90+1)</f>
        <v>0</v>
      </c>
      <c r="O90" s="61">
        <f t="shared" ref="O90:O98" si="5">INDEX($D90:$I90,1,K90+1)</f>
        <v>0</v>
      </c>
      <c r="P90" s="61">
        <f t="shared" ref="P90:P98" si="6">INDEX($D90:$I90,1,L90+1)</f>
        <v>0</v>
      </c>
      <c r="Q90" s="61">
        <f t="shared" ref="Q90:Q98" si="7">INDEX($D90:$I90,1,M90+1)</f>
        <v>0</v>
      </c>
      <c r="S90" s="106" t="s">
        <v>412</v>
      </c>
      <c r="T90" t="str">
        <f>LEFT(Gear!B3,6)</f>
        <v>Epeola</v>
      </c>
      <c r="U90" t="str">
        <f>LEFT(Gear!AB3,6)</f>
        <v>Epeola</v>
      </c>
      <c r="V90" t="str">
        <f>LEFT(Gear!B26,6)</f>
        <v>Epeola</v>
      </c>
      <c r="W90" t="str">
        <f>LEFT(Gear!AB26,6)</f>
        <v>Epeola</v>
      </c>
      <c r="Y90" s="32" t="s">
        <v>754</v>
      </c>
      <c r="Z90" s="8">
        <f t="shared" ref="Z90:BN90" si="8">SUMIF($C$90:$C$98,Z$89,$N$90:$N$98)</f>
        <v>0</v>
      </c>
      <c r="AA90" s="8">
        <f t="shared" si="8"/>
        <v>0</v>
      </c>
      <c r="AB90" s="8">
        <f t="shared" si="8"/>
        <v>0</v>
      </c>
      <c r="AC90" s="8">
        <f t="shared" si="8"/>
        <v>0</v>
      </c>
      <c r="AD90" s="8">
        <f t="shared" si="8"/>
        <v>0</v>
      </c>
      <c r="AE90" s="8">
        <f t="shared" si="8"/>
        <v>0</v>
      </c>
      <c r="AF90" s="8">
        <f t="shared" si="8"/>
        <v>0</v>
      </c>
      <c r="AG90" s="8">
        <f t="shared" si="8"/>
        <v>0</v>
      </c>
      <c r="AH90" s="8">
        <f t="shared" si="8"/>
        <v>0</v>
      </c>
      <c r="AI90" s="8">
        <f t="shared" si="8"/>
        <v>0</v>
      </c>
      <c r="AJ90" s="8">
        <f t="shared" si="8"/>
        <v>0</v>
      </c>
      <c r="AK90" s="8">
        <f t="shared" si="8"/>
        <v>0</v>
      </c>
      <c r="AL90" s="8">
        <f t="shared" si="8"/>
        <v>0</v>
      </c>
      <c r="AM90" s="8">
        <f t="shared" si="8"/>
        <v>0</v>
      </c>
      <c r="AN90" s="9">
        <f t="shared" si="8"/>
        <v>0</v>
      </c>
      <c r="AO90" s="8">
        <f t="shared" si="8"/>
        <v>0</v>
      </c>
      <c r="AP90" s="8">
        <f t="shared" si="8"/>
        <v>0</v>
      </c>
      <c r="AQ90" s="8">
        <f t="shared" si="8"/>
        <v>0</v>
      </c>
      <c r="AR90" s="8">
        <f t="shared" si="8"/>
        <v>0</v>
      </c>
      <c r="AS90" s="8">
        <f t="shared" si="8"/>
        <v>0</v>
      </c>
      <c r="AT90" s="9">
        <f t="shared" si="8"/>
        <v>0</v>
      </c>
      <c r="AU90" s="9">
        <f t="shared" si="8"/>
        <v>0</v>
      </c>
      <c r="AV90" s="9">
        <f t="shared" si="8"/>
        <v>0</v>
      </c>
      <c r="AW90" s="9">
        <f t="shared" si="8"/>
        <v>0</v>
      </c>
      <c r="AX90" s="9">
        <f t="shared" si="8"/>
        <v>0</v>
      </c>
      <c r="AY90" s="8">
        <f t="shared" si="8"/>
        <v>0</v>
      </c>
      <c r="AZ90" s="8">
        <f t="shared" si="8"/>
        <v>0</v>
      </c>
      <c r="BA90" s="9">
        <f t="shared" si="8"/>
        <v>0</v>
      </c>
      <c r="BB90" s="9">
        <f t="shared" si="8"/>
        <v>0</v>
      </c>
      <c r="BC90" s="8">
        <f t="shared" si="8"/>
        <v>0</v>
      </c>
      <c r="BD90" s="8">
        <f t="shared" si="8"/>
        <v>0</v>
      </c>
      <c r="BE90" s="8">
        <f t="shared" si="8"/>
        <v>0</v>
      </c>
      <c r="BF90" s="9">
        <f t="shared" si="8"/>
        <v>0</v>
      </c>
      <c r="BG90" s="8">
        <f t="shared" si="8"/>
        <v>0</v>
      </c>
      <c r="BH90" s="8">
        <f t="shared" si="8"/>
        <v>0</v>
      </c>
      <c r="BI90" s="8">
        <f t="shared" si="8"/>
        <v>0</v>
      </c>
      <c r="BJ90" s="8">
        <f t="shared" si="8"/>
        <v>0</v>
      </c>
      <c r="BK90" s="8">
        <f t="shared" si="8"/>
        <v>0</v>
      </c>
      <c r="BL90" s="8">
        <f t="shared" si="8"/>
        <v>0</v>
      </c>
      <c r="BM90" s="8">
        <f t="shared" si="8"/>
        <v>0</v>
      </c>
      <c r="BN90" s="9">
        <f t="shared" si="8"/>
        <v>0</v>
      </c>
      <c r="BO90" s="9"/>
    </row>
    <row r="91" spans="1:67" ht="12.75" customHeight="1" x14ac:dyDescent="0.2">
      <c r="A91" s="3" t="s">
        <v>764</v>
      </c>
      <c r="B91" s="3" t="s">
        <v>765</v>
      </c>
      <c r="C91" s="3" t="s">
        <v>165</v>
      </c>
      <c r="D91" s="3">
        <v>0</v>
      </c>
      <c r="E91" s="3">
        <v>0</v>
      </c>
      <c r="F91" s="9">
        <v>7.0000000000000007E-2</v>
      </c>
      <c r="G91" s="3">
        <v>0</v>
      </c>
      <c r="H91" s="3">
        <v>0</v>
      </c>
      <c r="I91" s="3">
        <v>0</v>
      </c>
      <c r="J91" s="3">
        <f t="shared" si="0"/>
        <v>0</v>
      </c>
      <c r="K91" s="3">
        <f t="shared" si="1"/>
        <v>0</v>
      </c>
      <c r="L91" s="3">
        <f t="shared" si="2"/>
        <v>0</v>
      </c>
      <c r="M91" s="3">
        <f t="shared" si="3"/>
        <v>0</v>
      </c>
      <c r="N91">
        <f t="shared" si="4"/>
        <v>0</v>
      </c>
      <c r="O91">
        <f t="shared" si="5"/>
        <v>0</v>
      </c>
      <c r="P91">
        <f t="shared" si="6"/>
        <v>0</v>
      </c>
      <c r="Q91">
        <f t="shared" si="7"/>
        <v>0</v>
      </c>
      <c r="S91" s="106" t="s">
        <v>766</v>
      </c>
      <c r="T91" t="str">
        <f>LEFT(Gear!B4,6)</f>
        <v>Bloodr</v>
      </c>
      <c r="U91" t="str">
        <f>LEFT(Gear!AB4,6)</f>
        <v>Bloodr</v>
      </c>
      <c r="V91" t="str">
        <f>LEFT(Gear!B27,6)</f>
        <v>Bloodr</v>
      </c>
      <c r="W91" t="str">
        <f>LEFT(Gear!AB27,6)</f>
        <v>Bloodr</v>
      </c>
      <c r="Y91" s="32" t="s">
        <v>755</v>
      </c>
      <c r="Z91" s="8">
        <f t="shared" ref="Z91:BN91" si="9">SUMIF($C$90:$C$98,Z$89,$O$90:$O$98)</f>
        <v>0</v>
      </c>
      <c r="AA91" s="8">
        <f t="shared" si="9"/>
        <v>0</v>
      </c>
      <c r="AB91" s="8">
        <f t="shared" si="9"/>
        <v>0</v>
      </c>
      <c r="AC91" s="8">
        <f t="shared" si="9"/>
        <v>0</v>
      </c>
      <c r="AD91" s="8">
        <f t="shared" si="9"/>
        <v>0</v>
      </c>
      <c r="AE91" s="8">
        <f>SUMIF($C$90:$C$98,AE$89,$O$90:$O$98)</f>
        <v>0</v>
      </c>
      <c r="AF91" s="8">
        <f t="shared" si="9"/>
        <v>0</v>
      </c>
      <c r="AG91" s="8">
        <f t="shared" si="9"/>
        <v>0</v>
      </c>
      <c r="AH91" s="8">
        <f t="shared" si="9"/>
        <v>0</v>
      </c>
      <c r="AI91" s="8">
        <f t="shared" si="9"/>
        <v>0</v>
      </c>
      <c r="AJ91" s="8">
        <f t="shared" si="9"/>
        <v>0</v>
      </c>
      <c r="AK91" s="8">
        <f t="shared" si="9"/>
        <v>0</v>
      </c>
      <c r="AL91" s="8">
        <f t="shared" si="9"/>
        <v>0</v>
      </c>
      <c r="AM91" s="8">
        <f t="shared" si="9"/>
        <v>0</v>
      </c>
      <c r="AN91" s="9">
        <f t="shared" si="9"/>
        <v>0</v>
      </c>
      <c r="AO91" s="8">
        <f t="shared" si="9"/>
        <v>0</v>
      </c>
      <c r="AP91" s="8">
        <f t="shared" si="9"/>
        <v>0</v>
      </c>
      <c r="AQ91" s="8">
        <f t="shared" si="9"/>
        <v>0</v>
      </c>
      <c r="AR91" s="8">
        <f t="shared" si="9"/>
        <v>0</v>
      </c>
      <c r="AS91" s="8">
        <f t="shared" si="9"/>
        <v>0</v>
      </c>
      <c r="AT91" s="9">
        <f t="shared" si="9"/>
        <v>0</v>
      </c>
      <c r="AU91" s="9">
        <f t="shared" si="9"/>
        <v>0</v>
      </c>
      <c r="AV91" s="9">
        <f t="shared" si="9"/>
        <v>0</v>
      </c>
      <c r="AW91" s="9">
        <f t="shared" si="9"/>
        <v>0</v>
      </c>
      <c r="AX91" s="9">
        <f t="shared" si="9"/>
        <v>0</v>
      </c>
      <c r="AY91" s="8">
        <f t="shared" si="9"/>
        <v>0</v>
      </c>
      <c r="AZ91" s="8">
        <f t="shared" si="9"/>
        <v>0</v>
      </c>
      <c r="BA91" s="9">
        <f t="shared" si="9"/>
        <v>0</v>
      </c>
      <c r="BB91" s="9">
        <f t="shared" si="9"/>
        <v>0</v>
      </c>
      <c r="BC91" s="8">
        <f t="shared" si="9"/>
        <v>0</v>
      </c>
      <c r="BD91" s="8">
        <f t="shared" si="9"/>
        <v>0</v>
      </c>
      <c r="BE91" s="8">
        <f t="shared" si="9"/>
        <v>0</v>
      </c>
      <c r="BF91" s="9">
        <f t="shared" si="9"/>
        <v>0</v>
      </c>
      <c r="BG91" s="8">
        <f t="shared" si="9"/>
        <v>0</v>
      </c>
      <c r="BH91" s="8">
        <f t="shared" si="9"/>
        <v>0</v>
      </c>
      <c r="BI91" s="8">
        <f t="shared" si="9"/>
        <v>0</v>
      </c>
      <c r="BJ91" s="8">
        <f t="shared" si="9"/>
        <v>0</v>
      </c>
      <c r="BK91" s="8">
        <f t="shared" si="9"/>
        <v>0</v>
      </c>
      <c r="BL91" s="8">
        <f t="shared" si="9"/>
        <v>0</v>
      </c>
      <c r="BM91" s="8">
        <f t="shared" si="9"/>
        <v>0</v>
      </c>
      <c r="BN91" s="9">
        <f t="shared" si="9"/>
        <v>0</v>
      </c>
      <c r="BO91" s="9"/>
    </row>
    <row r="92" spans="1:67" ht="12.75" customHeight="1" x14ac:dyDescent="0.2">
      <c r="A92" s="3" t="s">
        <v>767</v>
      </c>
      <c r="B92" s="3"/>
      <c r="C92" s="3" t="s">
        <v>207</v>
      </c>
      <c r="D92" s="9">
        <v>0</v>
      </c>
      <c r="E92" s="9">
        <v>0</v>
      </c>
      <c r="F92" s="9">
        <v>0.04</v>
      </c>
      <c r="G92" s="9">
        <v>0.06</v>
      </c>
      <c r="H92" s="9">
        <v>0.08</v>
      </c>
      <c r="I92" s="9">
        <v>0.1</v>
      </c>
      <c r="J92" s="3">
        <f t="shared" si="0"/>
        <v>0</v>
      </c>
      <c r="K92" s="3">
        <f t="shared" si="1"/>
        <v>0</v>
      </c>
      <c r="L92" s="3">
        <f t="shared" si="2"/>
        <v>1</v>
      </c>
      <c r="M92" s="3">
        <f t="shared" si="3"/>
        <v>1</v>
      </c>
      <c r="N92" s="9">
        <f t="shared" si="4"/>
        <v>0</v>
      </c>
      <c r="O92" s="9">
        <f t="shared" si="5"/>
        <v>0</v>
      </c>
      <c r="P92" s="9">
        <f t="shared" si="6"/>
        <v>0</v>
      </c>
      <c r="Q92" s="9">
        <f t="shared" si="7"/>
        <v>0</v>
      </c>
      <c r="S92" s="106" t="s">
        <v>172</v>
      </c>
      <c r="T92" t="str">
        <f>LEFT(Gear!B5,6)</f>
        <v>Ginsen</v>
      </c>
      <c r="U92" t="str">
        <f>LEFT(Gear!AB5,6)</f>
        <v>Ginsen</v>
      </c>
      <c r="V92" t="str">
        <f>LEFT(Gear!B28,6)</f>
        <v>Knobki</v>
      </c>
      <c r="W92" t="str">
        <f>LEFT(Gear!AB28,6)</f>
        <v>Knobki</v>
      </c>
      <c r="Y92" s="32" t="s">
        <v>756</v>
      </c>
      <c r="Z92" s="8">
        <f t="shared" ref="Z92:BN92" si="10">SUMIF($C$90:$C$98,Z$89,$P$90:$P$98)</f>
        <v>0</v>
      </c>
      <c r="AA92" s="8">
        <f t="shared" si="10"/>
        <v>0</v>
      </c>
      <c r="AB92" s="8">
        <f t="shared" si="10"/>
        <v>0</v>
      </c>
      <c r="AC92" s="8">
        <f t="shared" si="10"/>
        <v>0</v>
      </c>
      <c r="AD92" s="8">
        <f t="shared" si="10"/>
        <v>0</v>
      </c>
      <c r="AE92" s="8">
        <f t="shared" si="10"/>
        <v>0</v>
      </c>
      <c r="AF92" s="8">
        <f t="shared" si="10"/>
        <v>0</v>
      </c>
      <c r="AG92" s="8">
        <f t="shared" si="10"/>
        <v>0</v>
      </c>
      <c r="AH92" s="8">
        <f t="shared" si="10"/>
        <v>0</v>
      </c>
      <c r="AI92" s="8">
        <f t="shared" si="10"/>
        <v>0</v>
      </c>
      <c r="AJ92" s="8">
        <f t="shared" si="10"/>
        <v>0</v>
      </c>
      <c r="AK92" s="8">
        <f t="shared" si="10"/>
        <v>0</v>
      </c>
      <c r="AL92" s="8">
        <f t="shared" si="10"/>
        <v>0</v>
      </c>
      <c r="AM92" s="8">
        <f t="shared" si="10"/>
        <v>0</v>
      </c>
      <c r="AN92" s="9">
        <f t="shared" si="10"/>
        <v>0</v>
      </c>
      <c r="AO92" s="8">
        <f t="shared" si="10"/>
        <v>0</v>
      </c>
      <c r="AP92" s="8">
        <f t="shared" si="10"/>
        <v>0</v>
      </c>
      <c r="AQ92" s="8">
        <f t="shared" si="10"/>
        <v>0</v>
      </c>
      <c r="AR92" s="8">
        <f t="shared" si="10"/>
        <v>0</v>
      </c>
      <c r="AS92" s="8">
        <f t="shared" si="10"/>
        <v>0</v>
      </c>
      <c r="AT92" s="9">
        <f t="shared" si="10"/>
        <v>0</v>
      </c>
      <c r="AU92" s="9">
        <f t="shared" si="10"/>
        <v>0</v>
      </c>
      <c r="AV92" s="9">
        <f t="shared" si="10"/>
        <v>0</v>
      </c>
      <c r="AW92" s="9">
        <f t="shared" si="10"/>
        <v>0</v>
      </c>
      <c r="AX92" s="9">
        <f t="shared" si="10"/>
        <v>0</v>
      </c>
      <c r="AY92" s="8">
        <f t="shared" si="10"/>
        <v>0</v>
      </c>
      <c r="AZ92" s="8">
        <f t="shared" si="10"/>
        <v>0</v>
      </c>
      <c r="BA92" s="9">
        <f t="shared" si="10"/>
        <v>0</v>
      </c>
      <c r="BB92" s="9">
        <f t="shared" si="10"/>
        <v>0</v>
      </c>
      <c r="BC92" s="8">
        <f t="shared" si="10"/>
        <v>0</v>
      </c>
      <c r="BD92" s="8">
        <f t="shared" si="10"/>
        <v>0</v>
      </c>
      <c r="BE92" s="8">
        <f t="shared" si="10"/>
        <v>0</v>
      </c>
      <c r="BF92" s="9">
        <f t="shared" si="10"/>
        <v>0</v>
      </c>
      <c r="BG92" s="8">
        <f t="shared" si="10"/>
        <v>0</v>
      </c>
      <c r="BH92" s="8">
        <f t="shared" si="10"/>
        <v>0</v>
      </c>
      <c r="BI92" s="8">
        <f t="shared" si="10"/>
        <v>0</v>
      </c>
      <c r="BJ92" s="8">
        <f t="shared" si="10"/>
        <v>0</v>
      </c>
      <c r="BK92" s="8">
        <f t="shared" si="10"/>
        <v>0</v>
      </c>
      <c r="BL92" s="8">
        <f t="shared" si="10"/>
        <v>0</v>
      </c>
      <c r="BM92" s="8">
        <f t="shared" si="10"/>
        <v>0</v>
      </c>
      <c r="BN92" s="9">
        <f t="shared" si="10"/>
        <v>0</v>
      </c>
      <c r="BO92" s="9"/>
    </row>
    <row r="93" spans="1:67" ht="12.75" customHeight="1" x14ac:dyDescent="0.2">
      <c r="A93" s="3" t="s">
        <v>768</v>
      </c>
      <c r="B93" s="3"/>
      <c r="C93" s="3" t="s">
        <v>769</v>
      </c>
      <c r="D93" s="9">
        <v>0</v>
      </c>
      <c r="E93" s="9">
        <v>0</v>
      </c>
      <c r="F93" s="9">
        <v>0.04</v>
      </c>
      <c r="G93" s="9">
        <v>0.06</v>
      </c>
      <c r="H93" s="9">
        <v>0.08</v>
      </c>
      <c r="I93" s="9">
        <v>0.1</v>
      </c>
      <c r="J93" s="3">
        <f t="shared" si="0"/>
        <v>0</v>
      </c>
      <c r="K93" s="3">
        <f t="shared" si="1"/>
        <v>0</v>
      </c>
      <c r="L93" s="3">
        <f t="shared" si="2"/>
        <v>0</v>
      </c>
      <c r="M93" s="3">
        <f t="shared" si="3"/>
        <v>0</v>
      </c>
      <c r="N93" s="9">
        <f t="shared" si="4"/>
        <v>0</v>
      </c>
      <c r="O93" s="9">
        <f t="shared" si="5"/>
        <v>0</v>
      </c>
      <c r="P93" s="9">
        <f t="shared" si="6"/>
        <v>0</v>
      </c>
      <c r="Q93" s="9">
        <f t="shared" si="7"/>
        <v>0</v>
      </c>
      <c r="S93" s="106" t="s">
        <v>175</v>
      </c>
      <c r="T93" t="str">
        <f>LEFT(Gear!B6,6)</f>
        <v>Bliste</v>
      </c>
      <c r="U93" t="str">
        <f>LEFT(Gear!AB6,6)</f>
        <v>Bliste</v>
      </c>
      <c r="V93" t="str">
        <f>LEFT(Gear!B29,6)</f>
        <v>Bliste</v>
      </c>
      <c r="W93" t="str">
        <f>LEFT(Gear!AB29,6)</f>
        <v>Bliste</v>
      </c>
      <c r="Y93" s="32" t="s">
        <v>757</v>
      </c>
      <c r="Z93" s="8">
        <f t="shared" ref="Z93:BN93" si="11">SUMIF($C$90:$C$98,Z$89,$Q$90:$Q$98)</f>
        <v>0</v>
      </c>
      <c r="AA93" s="8">
        <f t="shared" si="11"/>
        <v>0</v>
      </c>
      <c r="AB93" s="8">
        <f t="shared" si="11"/>
        <v>0</v>
      </c>
      <c r="AC93" s="8">
        <f t="shared" si="11"/>
        <v>0</v>
      </c>
      <c r="AD93" s="8">
        <f t="shared" si="11"/>
        <v>0</v>
      </c>
      <c r="AE93" s="8">
        <f t="shared" si="11"/>
        <v>0</v>
      </c>
      <c r="AF93" s="8">
        <f t="shared" si="11"/>
        <v>0</v>
      </c>
      <c r="AG93" s="8">
        <f t="shared" si="11"/>
        <v>0</v>
      </c>
      <c r="AH93" s="8">
        <f t="shared" si="11"/>
        <v>0</v>
      </c>
      <c r="AI93" s="8">
        <f t="shared" si="11"/>
        <v>0</v>
      </c>
      <c r="AJ93" s="8">
        <f t="shared" si="11"/>
        <v>0</v>
      </c>
      <c r="AK93" s="8">
        <f t="shared" si="11"/>
        <v>0</v>
      </c>
      <c r="AL93" s="8">
        <f t="shared" si="11"/>
        <v>0</v>
      </c>
      <c r="AM93" s="8">
        <f t="shared" si="11"/>
        <v>0</v>
      </c>
      <c r="AN93" s="9">
        <f t="shared" si="11"/>
        <v>0</v>
      </c>
      <c r="AO93" s="8">
        <f t="shared" si="11"/>
        <v>0</v>
      </c>
      <c r="AP93" s="8">
        <f t="shared" si="11"/>
        <v>0</v>
      </c>
      <c r="AQ93" s="8">
        <f t="shared" si="11"/>
        <v>0</v>
      </c>
      <c r="AR93" s="8">
        <f t="shared" si="11"/>
        <v>0</v>
      </c>
      <c r="AS93" s="8">
        <f t="shared" si="11"/>
        <v>0</v>
      </c>
      <c r="AT93" s="9">
        <f t="shared" si="11"/>
        <v>0</v>
      </c>
      <c r="AU93" s="9">
        <f t="shared" si="11"/>
        <v>0</v>
      </c>
      <c r="AV93" s="9">
        <f t="shared" si="11"/>
        <v>0</v>
      </c>
      <c r="AW93" s="9">
        <f t="shared" si="11"/>
        <v>0</v>
      </c>
      <c r="AX93" s="9">
        <f t="shared" si="11"/>
        <v>0</v>
      </c>
      <c r="AY93" s="8">
        <f t="shared" si="11"/>
        <v>0</v>
      </c>
      <c r="AZ93" s="8">
        <f t="shared" si="11"/>
        <v>0</v>
      </c>
      <c r="BA93" s="9">
        <f t="shared" si="11"/>
        <v>0</v>
      </c>
      <c r="BB93" s="9">
        <f t="shared" si="11"/>
        <v>0</v>
      </c>
      <c r="BC93" s="8">
        <f t="shared" si="11"/>
        <v>0</v>
      </c>
      <c r="BD93" s="8">
        <f t="shared" si="11"/>
        <v>0</v>
      </c>
      <c r="BE93" s="8">
        <f t="shared" si="11"/>
        <v>0</v>
      </c>
      <c r="BF93" s="9">
        <f t="shared" si="11"/>
        <v>0</v>
      </c>
      <c r="BG93" s="8">
        <f t="shared" si="11"/>
        <v>0</v>
      </c>
      <c r="BH93" s="8">
        <f t="shared" si="11"/>
        <v>0</v>
      </c>
      <c r="BI93" s="8">
        <f t="shared" si="11"/>
        <v>0</v>
      </c>
      <c r="BJ93" s="8">
        <f t="shared" si="11"/>
        <v>0</v>
      </c>
      <c r="BK93" s="8">
        <f t="shared" si="11"/>
        <v>0</v>
      </c>
      <c r="BL93" s="8">
        <f t="shared" si="11"/>
        <v>0</v>
      </c>
      <c r="BM93" s="8">
        <f t="shared" si="11"/>
        <v>0</v>
      </c>
      <c r="BN93" s="9">
        <f t="shared" si="11"/>
        <v>0</v>
      </c>
      <c r="BO93" s="9"/>
    </row>
    <row r="94" spans="1:67" ht="12.75" customHeight="1" x14ac:dyDescent="0.2">
      <c r="A94" s="3" t="s">
        <v>770</v>
      </c>
      <c r="B94" s="3"/>
      <c r="C94" s="3" t="s">
        <v>120</v>
      </c>
      <c r="D94" s="3">
        <v>0</v>
      </c>
      <c r="E94" s="3">
        <v>0</v>
      </c>
      <c r="F94" s="3">
        <v>20</v>
      </c>
      <c r="G94" s="3">
        <v>30</v>
      </c>
      <c r="H94" s="3">
        <v>40</v>
      </c>
      <c r="I94" s="3">
        <v>50</v>
      </c>
      <c r="J94" s="3">
        <f t="shared" si="0"/>
        <v>0</v>
      </c>
      <c r="K94" s="3">
        <f t="shared" si="1"/>
        <v>0</v>
      </c>
      <c r="L94" s="3">
        <f t="shared" si="2"/>
        <v>0</v>
      </c>
      <c r="M94" s="3">
        <f t="shared" si="3"/>
        <v>0</v>
      </c>
      <c r="N94" s="8">
        <f t="shared" si="4"/>
        <v>0</v>
      </c>
      <c r="O94" s="8">
        <f t="shared" si="5"/>
        <v>0</v>
      </c>
      <c r="P94" s="8">
        <f t="shared" si="6"/>
        <v>0</v>
      </c>
      <c r="Q94" s="8">
        <f t="shared" si="7"/>
        <v>0</v>
      </c>
      <c r="S94" s="106" t="s">
        <v>177</v>
      </c>
      <c r="T94" t="str">
        <f>LEFT(Gear!B7,6)</f>
        <v>Anu To</v>
      </c>
      <c r="U94" t="str">
        <f>LEFT(Gear!AB7,6)</f>
        <v>Anu To</v>
      </c>
      <c r="V94" t="str">
        <f>LEFT(Gear!B30,6)</f>
        <v>Caro</v>
      </c>
      <c r="W94" t="str">
        <f>LEFT(Gear!AB30,6)</f>
        <v>Caro</v>
      </c>
    </row>
    <row r="95" spans="1:67" ht="12.75" customHeight="1" x14ac:dyDescent="0.2">
      <c r="A95" s="3" t="s">
        <v>771</v>
      </c>
      <c r="B95" s="3" t="s">
        <v>772</v>
      </c>
      <c r="C95" s="3" t="s">
        <v>120</v>
      </c>
      <c r="D95" s="3">
        <v>0</v>
      </c>
      <c r="E95" s="3">
        <v>0</v>
      </c>
      <c r="F95" s="3">
        <v>15</v>
      </c>
      <c r="G95" s="3">
        <v>30</v>
      </c>
      <c r="H95" s="3">
        <v>45</v>
      </c>
      <c r="I95" s="3">
        <v>60</v>
      </c>
      <c r="J95" s="3">
        <f t="shared" si="0"/>
        <v>0</v>
      </c>
      <c r="K95" s="3">
        <f t="shared" si="1"/>
        <v>0</v>
      </c>
      <c r="L95" s="3">
        <f t="shared" si="2"/>
        <v>0</v>
      </c>
      <c r="M95" s="3">
        <f t="shared" si="3"/>
        <v>0</v>
      </c>
      <c r="N95" s="8">
        <f t="shared" si="4"/>
        <v>0</v>
      </c>
      <c r="O95" s="8">
        <f t="shared" si="5"/>
        <v>0</v>
      </c>
      <c r="P95" s="8">
        <f t="shared" si="6"/>
        <v>0</v>
      </c>
      <c r="Q95" s="8">
        <f t="shared" si="7"/>
        <v>0</v>
      </c>
      <c r="S95" s="106" t="s">
        <v>773</v>
      </c>
      <c r="T95" t="str">
        <f>LEFT(Gear!B8,6)</f>
        <v>Cessan</v>
      </c>
      <c r="U95" t="str">
        <f>LEFT(Gear!AB8,6)</f>
        <v>Cessan</v>
      </c>
      <c r="V95" t="str">
        <f>LEFT(Gear!B31,6)</f>
        <v>Sherid</v>
      </c>
      <c r="W95" t="str">
        <f>LEFT(Gear!AB31,6)</f>
        <v>Sherid</v>
      </c>
    </row>
    <row r="96" spans="1:67" ht="12.75" customHeight="1" x14ac:dyDescent="0.2">
      <c r="A96" t="s">
        <v>592</v>
      </c>
      <c r="C96" t="s">
        <v>30</v>
      </c>
      <c r="D96">
        <v>0</v>
      </c>
      <c r="E96">
        <v>0</v>
      </c>
      <c r="F96">
        <v>8</v>
      </c>
      <c r="G96">
        <v>16</v>
      </c>
      <c r="H96">
        <v>24</v>
      </c>
      <c r="I96">
        <v>32</v>
      </c>
      <c r="J96" s="3">
        <f>COUNTIF($T$90:$T$111,$A96) + COUNTIF($T$90:$T$111, $B96)</f>
        <v>1</v>
      </c>
      <c r="K96" s="3">
        <f>COUNTIF($U$90:$U$105,$A96) + COUNTIF($U$90:$U$105, $B96)</f>
        <v>1</v>
      </c>
      <c r="L96" s="3">
        <f t="shared" si="2"/>
        <v>0</v>
      </c>
      <c r="M96" s="3">
        <f t="shared" si="3"/>
        <v>0</v>
      </c>
      <c r="N96" s="8">
        <f t="shared" si="4"/>
        <v>0</v>
      </c>
      <c r="O96" s="8">
        <f t="shared" si="5"/>
        <v>0</v>
      </c>
      <c r="P96" s="8">
        <f t="shared" si="6"/>
        <v>0</v>
      </c>
      <c r="Q96" s="8">
        <f t="shared" si="7"/>
        <v>0</v>
      </c>
      <c r="S96" s="106" t="s">
        <v>774</v>
      </c>
      <c r="T96" t="str">
        <f>LEFT(Gear!B9,6)</f>
        <v>Sherid</v>
      </c>
      <c r="U96" t="str">
        <f>LEFT(Gear!AB9,6)</f>
        <v>Sherid</v>
      </c>
      <c r="V96" t="str">
        <f>LEFT(Gear!B32,6)</f>
        <v>Moonsh</v>
      </c>
      <c r="W96" t="str">
        <f>LEFT(Gear!AB32,6)</f>
        <v>Moonsh</v>
      </c>
    </row>
    <row r="97" spans="1:23" ht="12.75" customHeight="1" x14ac:dyDescent="0.2">
      <c r="A97" t="s">
        <v>592</v>
      </c>
      <c r="C97" t="s">
        <v>29</v>
      </c>
      <c r="D97">
        <v>0</v>
      </c>
      <c r="E97">
        <v>0</v>
      </c>
      <c r="F97">
        <v>8</v>
      </c>
      <c r="G97">
        <v>16</v>
      </c>
      <c r="H97">
        <v>24</v>
      </c>
      <c r="I97">
        <v>32</v>
      </c>
      <c r="J97" s="3">
        <f>COUNTIF($T$90:$T$105,$A97) + COUNTIF($T$90:$T$105, $B97)</f>
        <v>1</v>
      </c>
      <c r="K97" s="3">
        <f>COUNTIF($U$90:$U$105,$A97) + COUNTIF($U$90:$U$105, $B97)</f>
        <v>1</v>
      </c>
      <c r="L97" s="3">
        <f t="shared" si="2"/>
        <v>0</v>
      </c>
      <c r="M97" s="3">
        <f t="shared" si="3"/>
        <v>0</v>
      </c>
      <c r="N97" s="8">
        <f t="shared" si="4"/>
        <v>0</v>
      </c>
      <c r="O97" s="8">
        <f t="shared" si="5"/>
        <v>0</v>
      </c>
      <c r="P97" s="8">
        <f t="shared" si="6"/>
        <v>0</v>
      </c>
      <c r="Q97" s="8">
        <f t="shared" si="7"/>
        <v>0</v>
      </c>
      <c r="S97" s="106" t="s">
        <v>184</v>
      </c>
      <c r="T97" t="str">
        <f>LEFT(Gear!B10,6)</f>
        <v>Ayanmo</v>
      </c>
      <c r="U97" t="str">
        <f>LEFT(Gear!AB10,6)</f>
        <v>Ayanmo</v>
      </c>
      <c r="V97" t="str">
        <f>LEFT(Gear!B33,6)</f>
        <v>Hercul</v>
      </c>
      <c r="W97" t="str">
        <f>LEFT(Gear!AB33,6)</f>
        <v>Hercul</v>
      </c>
    </row>
    <row r="98" spans="1:23" ht="12.75" customHeight="1" x14ac:dyDescent="0.2">
      <c r="A98" t="s">
        <v>592</v>
      </c>
      <c r="C98" t="s">
        <v>154</v>
      </c>
      <c r="D98">
        <v>0</v>
      </c>
      <c r="E98">
        <v>0</v>
      </c>
      <c r="F98">
        <v>8</v>
      </c>
      <c r="G98">
        <v>16</v>
      </c>
      <c r="H98">
        <v>24</v>
      </c>
      <c r="I98">
        <v>32</v>
      </c>
      <c r="J98" s="3">
        <f>COUNTIF($T$90:$T$105,$A98) + COUNTIF($T$90:$T$105, $B98)</f>
        <v>1</v>
      </c>
      <c r="K98" s="3">
        <f t="shared" si="1"/>
        <v>1</v>
      </c>
      <c r="L98" s="3">
        <f t="shared" si="2"/>
        <v>0</v>
      </c>
      <c r="M98" s="3">
        <f t="shared" si="3"/>
        <v>0</v>
      </c>
      <c r="N98" s="8">
        <f t="shared" si="4"/>
        <v>0</v>
      </c>
      <c r="O98" s="8">
        <f t="shared" si="5"/>
        <v>0</v>
      </c>
      <c r="P98" s="8">
        <f t="shared" si="6"/>
        <v>0</v>
      </c>
      <c r="Q98" s="8">
        <f t="shared" si="7"/>
        <v>0</v>
      </c>
      <c r="S98" s="106" t="s">
        <v>186</v>
      </c>
      <c r="T98" t="str">
        <f>LEFT(Gear!B11,6)</f>
        <v>Hercul</v>
      </c>
      <c r="U98" t="str">
        <f>LEFT(Gear!AB11,6)</f>
        <v>Hercul</v>
      </c>
      <c r="V98" t="str">
        <f>LEFT(Gear!B34,6)</f>
        <v>Meghan</v>
      </c>
      <c r="W98" t="str">
        <f>LEFT(Gear!AB34,6)</f>
        <v>Meghan</v>
      </c>
    </row>
    <row r="99" spans="1:23" ht="12.75" customHeight="1" x14ac:dyDescent="0.2">
      <c r="S99" s="106" t="s">
        <v>188</v>
      </c>
      <c r="T99" t="str">
        <f>LEFT(Gear!B12,6)</f>
        <v>Petrov</v>
      </c>
      <c r="U99" t="str">
        <f>LEFT(Gear!AB12,6)</f>
        <v>Petrov</v>
      </c>
      <c r="V99" t="str">
        <f>LEFT(Gear!B35,6)</f>
        <v>Rajas</v>
      </c>
      <c r="W99" t="str">
        <f>LEFT(Gear!AB35,6)</f>
        <v>Rajas</v>
      </c>
    </row>
    <row r="100" spans="1:23" ht="12.75" customHeight="1" x14ac:dyDescent="0.2">
      <c r="S100" s="106" t="s">
        <v>188</v>
      </c>
      <c r="T100" t="str">
        <f>LEFT(Gear!B13,6)</f>
        <v>Niqmad</v>
      </c>
      <c r="U100" t="str">
        <f>LEFT(Gear!AB13,6)</f>
        <v>Niqmad</v>
      </c>
      <c r="V100" t="str">
        <f>LEFT(Gear!B36,6)</f>
        <v>Niqmad</v>
      </c>
      <c r="W100" t="str">
        <f>LEFT(Gear!AB36,6)</f>
        <v>Niqmad</v>
      </c>
    </row>
    <row r="101" spans="1:23" ht="12.75" customHeight="1" x14ac:dyDescent="0.2">
      <c r="S101" s="106" t="s">
        <v>190</v>
      </c>
      <c r="T101" t="str">
        <f>LEFT(Gear!B14,6)</f>
        <v>Ogma's</v>
      </c>
      <c r="U101" t="str">
        <f>LEFT(Gear!AB14,6)</f>
        <v>Ogma's</v>
      </c>
      <c r="V101" t="str">
        <f>LEFT(Gear!B37,6)</f>
        <v>Ogma's</v>
      </c>
      <c r="W101" t="str">
        <f>LEFT(Gear!AB37,6)</f>
        <v>Ogma's</v>
      </c>
    </row>
    <row r="102" spans="1:23" ht="12.75" customHeight="1" x14ac:dyDescent="0.2">
      <c r="A102" s="32" t="s">
        <v>118</v>
      </c>
      <c r="S102" s="106" t="s">
        <v>192</v>
      </c>
      <c r="T102" t="str">
        <f>LEFT(Gear!B15,6)</f>
        <v>Sailfi</v>
      </c>
      <c r="U102" t="str">
        <f>LEFT(Gear!AB15,6)</f>
        <v>Sailfi</v>
      </c>
      <c r="V102" t="str">
        <f>LEFT(Gear!B38,6)</f>
        <v>Sailfi</v>
      </c>
      <c r="W102" s="107" t="str">
        <f>LEFT(Gear!AB38,6)</f>
        <v>Sailfi</v>
      </c>
    </row>
    <row r="103" spans="1:23" ht="12.75" customHeight="1" x14ac:dyDescent="0.2">
      <c r="A103" s="3" t="s">
        <v>156</v>
      </c>
      <c r="B103">
        <v>20</v>
      </c>
      <c r="S103" s="106" t="s">
        <v>194</v>
      </c>
      <c r="T103" t="str">
        <f>LEFT(Gear!B16,6)</f>
        <v>Meghan</v>
      </c>
      <c r="U103" t="str">
        <f>LEFT(Gear!AB16,6)</f>
        <v>Meghan</v>
      </c>
      <c r="V103" t="str">
        <f>LEFT(Gear!B39,6)</f>
        <v>Lustra</v>
      </c>
      <c r="W103" t="str">
        <f>LEFT(Gear!AB39,6)</f>
        <v>Lustra</v>
      </c>
    </row>
    <row r="104" spans="1:23" ht="12.75" customHeight="1" x14ac:dyDescent="0.2">
      <c r="A104" s="3" t="s">
        <v>120</v>
      </c>
      <c r="B104">
        <v>20</v>
      </c>
      <c r="S104" s="106" t="s">
        <v>197</v>
      </c>
      <c r="T104" t="str">
        <f>LEFT(Gear!B17,6)</f>
        <v>Hercul</v>
      </c>
      <c r="U104" t="str">
        <f>LEFT(Gear!AB17,6)</f>
        <v>Hercul</v>
      </c>
      <c r="V104" t="str">
        <f>LEFT(Gear!B40,6)</f>
        <v>Hercul</v>
      </c>
      <c r="W104" t="str">
        <f>LEFT(Gear!AB40,6)</f>
        <v>Hercul</v>
      </c>
    </row>
    <row r="105" spans="1:23" ht="12.75" customHeight="1" x14ac:dyDescent="0.2">
      <c r="A105" s="3" t="s">
        <v>164</v>
      </c>
      <c r="B105">
        <v>12</v>
      </c>
    </row>
    <row r="106" spans="1:23" ht="12.75" customHeight="1" x14ac:dyDescent="0.2">
      <c r="A106" s="3" t="s">
        <v>135</v>
      </c>
      <c r="B106">
        <v>100</v>
      </c>
    </row>
    <row r="107" spans="1:23" ht="12.75" customHeight="1" x14ac:dyDescent="0.2">
      <c r="A107" s="3" t="s">
        <v>162</v>
      </c>
      <c r="B107" s="9">
        <v>0.02</v>
      </c>
    </row>
    <row r="108" spans="1:23" ht="12.75" customHeight="1" x14ac:dyDescent="0.2"/>
    <row r="109" spans="1:23" ht="12.75" customHeight="1" x14ac:dyDescent="0.2">
      <c r="T109" t="str">
        <f>LEFT(Gear!B18,6)</f>
        <v/>
      </c>
      <c r="U109" t="str">
        <f>LEFT(Gear!AB18,6)</f>
        <v/>
      </c>
      <c r="V109" t="str">
        <f>LEFT(Gear!B41,6)</f>
        <v/>
      </c>
      <c r="W109" t="str">
        <f>LEFT(Gear!AB41,6)</f>
        <v/>
      </c>
    </row>
    <row r="110" spans="1:23" ht="12.75" customHeight="1" x14ac:dyDescent="0.2">
      <c r="S110" s="106"/>
    </row>
    <row r="111" spans="1:23" ht="12.75" customHeight="1" x14ac:dyDescent="0.2">
      <c r="S111" s="106"/>
    </row>
    <row r="112" spans="1:23" ht="12.75" customHeight="1" x14ac:dyDescent="0.2">
      <c r="A112" s="32" t="s">
        <v>775</v>
      </c>
      <c r="B112" s="32" t="s">
        <v>251</v>
      </c>
      <c r="C112" s="32" t="s">
        <v>30</v>
      </c>
      <c r="D112" s="32" t="s">
        <v>33</v>
      </c>
      <c r="E112" s="32" t="s">
        <v>32</v>
      </c>
      <c r="F112" s="32" t="s">
        <v>29</v>
      </c>
      <c r="G112" s="32" t="s">
        <v>153</v>
      </c>
      <c r="H112" s="32" t="s">
        <v>154</v>
      </c>
      <c r="I112" s="32" t="s">
        <v>37</v>
      </c>
      <c r="J112" s="32" t="s">
        <v>155</v>
      </c>
      <c r="K112" s="32" t="s">
        <v>156</v>
      </c>
      <c r="L112" s="32" t="s">
        <v>120</v>
      </c>
      <c r="M112" s="32" t="s">
        <v>158</v>
      </c>
      <c r="N112" s="32" t="s">
        <v>159</v>
      </c>
      <c r="O112" s="32" t="s">
        <v>248</v>
      </c>
      <c r="P112" s="32" t="s">
        <v>250</v>
      </c>
      <c r="Q112" s="32" t="s">
        <v>164</v>
      </c>
      <c r="R112" s="32" t="s">
        <v>128</v>
      </c>
      <c r="S112" s="32" t="s">
        <v>252</v>
      </c>
      <c r="T112" s="32" t="s">
        <v>205</v>
      </c>
      <c r="U112" s="32" t="s">
        <v>130</v>
      </c>
    </row>
    <row r="113" spans="1:21" ht="12.75" customHeight="1" x14ac:dyDescent="0.2">
      <c r="A113" t="s">
        <v>51</v>
      </c>
    </row>
    <row r="114" spans="1:21" ht="12.75" customHeight="1" x14ac:dyDescent="0.2">
      <c r="A114" t="s">
        <v>776</v>
      </c>
      <c r="K114">
        <v>50</v>
      </c>
      <c r="N114" s="9">
        <v>0.1</v>
      </c>
    </row>
    <row r="115" spans="1:21" ht="12.75" customHeight="1" x14ac:dyDescent="0.2">
      <c r="A115" t="s">
        <v>84</v>
      </c>
      <c r="N115" s="9">
        <v>0.15</v>
      </c>
    </row>
    <row r="116" spans="1:21" ht="12.75" customHeight="1" x14ac:dyDescent="0.2">
      <c r="A116" t="s">
        <v>777</v>
      </c>
      <c r="K116">
        <v>30</v>
      </c>
    </row>
    <row r="117" spans="1:21" ht="12.75" customHeight="1" x14ac:dyDescent="0.2">
      <c r="A117" t="s">
        <v>778</v>
      </c>
      <c r="K117">
        <v>30</v>
      </c>
      <c r="M117" s="9">
        <v>0.05</v>
      </c>
      <c r="O117" s="9"/>
      <c r="P117" s="9"/>
    </row>
    <row r="118" spans="1:21" ht="12.75" customHeight="1" x14ac:dyDescent="0.2">
      <c r="A118" t="s">
        <v>779</v>
      </c>
      <c r="E118">
        <v>50</v>
      </c>
      <c r="M118" s="9"/>
      <c r="O118" s="9">
        <v>0.2</v>
      </c>
      <c r="P118" s="9"/>
    </row>
    <row r="119" spans="1:21" ht="12.75" customHeight="1" x14ac:dyDescent="0.2">
      <c r="A119" t="s">
        <v>93</v>
      </c>
      <c r="B119">
        <v>10</v>
      </c>
      <c r="M119" s="9"/>
      <c r="O119" s="9"/>
      <c r="P119" s="9"/>
      <c r="S119" s="9">
        <v>0.2</v>
      </c>
    </row>
    <row r="120" spans="1:21" ht="12.75" customHeight="1" x14ac:dyDescent="0.2">
      <c r="A120" t="s">
        <v>780</v>
      </c>
      <c r="C120">
        <v>40</v>
      </c>
      <c r="M120" s="9">
        <v>0.05</v>
      </c>
      <c r="O120" s="9"/>
      <c r="P120" s="9"/>
    </row>
    <row r="121" spans="1:21" ht="12.75" customHeight="1" x14ac:dyDescent="0.2">
      <c r="A121" t="s">
        <v>85</v>
      </c>
      <c r="D121">
        <v>50</v>
      </c>
      <c r="M121" s="9"/>
      <c r="O121" s="9">
        <v>0.3</v>
      </c>
      <c r="P121" s="9">
        <v>0.3</v>
      </c>
    </row>
    <row r="122" spans="1:21" ht="12.75" customHeight="1" x14ac:dyDescent="0.2">
      <c r="A122" t="s">
        <v>781</v>
      </c>
      <c r="J122" s="9">
        <v>0.2</v>
      </c>
      <c r="M122" s="9"/>
      <c r="O122" s="9"/>
      <c r="P122" s="9">
        <v>0.3</v>
      </c>
    </row>
    <row r="123" spans="1:21" ht="12.75" customHeight="1" x14ac:dyDescent="0.2">
      <c r="A123" t="s">
        <v>782</v>
      </c>
      <c r="M123" s="9"/>
      <c r="O123" s="9">
        <v>0.1</v>
      </c>
      <c r="P123" s="9"/>
      <c r="R123">
        <v>20</v>
      </c>
    </row>
    <row r="124" spans="1:21" ht="12.75" customHeight="1" x14ac:dyDescent="0.2">
      <c r="A124" t="s">
        <v>783</v>
      </c>
      <c r="M124" s="9"/>
      <c r="O124" s="9"/>
      <c r="P124" s="9"/>
      <c r="T124">
        <v>1000</v>
      </c>
    </row>
    <row r="125" spans="1:21" ht="12.75" customHeight="1" x14ac:dyDescent="0.2">
      <c r="A125" t="s">
        <v>784</v>
      </c>
      <c r="C125">
        <v>40</v>
      </c>
      <c r="K125">
        <v>50</v>
      </c>
      <c r="M125" s="9"/>
      <c r="N125" s="9"/>
      <c r="O125" s="9"/>
      <c r="P125" s="9"/>
    </row>
    <row r="126" spans="1:21" ht="12.75" customHeight="1" x14ac:dyDescent="0.2">
      <c r="A126" t="s">
        <v>89</v>
      </c>
      <c r="C126">
        <v>50</v>
      </c>
      <c r="M126" s="9">
        <v>0.05</v>
      </c>
      <c r="N126" s="9"/>
      <c r="O126" s="9"/>
      <c r="P126" s="9"/>
      <c r="U126">
        <v>20</v>
      </c>
    </row>
    <row r="127" spans="1:21" ht="12.75" customHeight="1" x14ac:dyDescent="0.2"/>
    <row r="128" spans="1:21" ht="12.75" customHeight="1" x14ac:dyDescent="0.2">
      <c r="A128" s="32" t="s">
        <v>785</v>
      </c>
      <c r="B128" s="32" t="s">
        <v>11</v>
      </c>
      <c r="C128" s="32" t="s">
        <v>786</v>
      </c>
      <c r="D128" s="32" t="s">
        <v>14</v>
      </c>
      <c r="E128" s="32" t="s">
        <v>22</v>
      </c>
      <c r="F128" s="32" t="s">
        <v>32</v>
      </c>
      <c r="G128" s="32" t="s">
        <v>29</v>
      </c>
      <c r="H128" s="32" t="s">
        <v>153</v>
      </c>
      <c r="I128" s="32" t="s">
        <v>787</v>
      </c>
      <c r="J128" s="32" t="s">
        <v>788</v>
      </c>
    </row>
    <row r="129" spans="1:10" ht="12.75" customHeight="1" x14ac:dyDescent="0.2">
      <c r="A129" s="3" t="s">
        <v>789</v>
      </c>
      <c r="B129">
        <v>84</v>
      </c>
      <c r="C129" t="s">
        <v>790</v>
      </c>
      <c r="D129">
        <v>360</v>
      </c>
      <c r="E129">
        <v>351</v>
      </c>
      <c r="F129">
        <v>74</v>
      </c>
      <c r="G129">
        <v>75</v>
      </c>
      <c r="H129">
        <v>75</v>
      </c>
      <c r="I129" s="9">
        <v>0</v>
      </c>
      <c r="J129" s="9">
        <v>0</v>
      </c>
    </row>
    <row r="130" spans="1:10" ht="12.75" customHeight="1" x14ac:dyDescent="0.2">
      <c r="A130" s="3" t="s">
        <v>791</v>
      </c>
      <c r="B130">
        <v>96</v>
      </c>
      <c r="C130" t="s">
        <v>790</v>
      </c>
      <c r="D130">
        <v>435</v>
      </c>
      <c r="E130">
        <v>405</v>
      </c>
      <c r="F130">
        <v>98</v>
      </c>
      <c r="G130">
        <v>95</v>
      </c>
      <c r="H130">
        <v>95</v>
      </c>
      <c r="I130" s="9">
        <v>0</v>
      </c>
      <c r="J130" s="9">
        <v>0</v>
      </c>
    </row>
    <row r="131" spans="1:10" ht="12.75" customHeight="1" x14ac:dyDescent="0.2">
      <c r="A131" t="s">
        <v>792</v>
      </c>
      <c r="B131">
        <v>99</v>
      </c>
      <c r="C131" t="s">
        <v>790</v>
      </c>
      <c r="D131">
        <v>516</v>
      </c>
      <c r="E131">
        <v>411</v>
      </c>
      <c r="F131">
        <v>77</v>
      </c>
      <c r="G131">
        <v>118</v>
      </c>
      <c r="H131">
        <v>118</v>
      </c>
      <c r="I131" s="9">
        <v>0.14000000000000001</v>
      </c>
      <c r="J131" s="9">
        <v>0</v>
      </c>
    </row>
    <row r="132" spans="1:10" ht="12.75" customHeight="1" x14ac:dyDescent="0.2">
      <c r="A132" t="s">
        <v>793</v>
      </c>
      <c r="B132">
        <v>100</v>
      </c>
      <c r="C132" t="s">
        <v>794</v>
      </c>
      <c r="D132">
        <v>498</v>
      </c>
      <c r="E132">
        <v>468</v>
      </c>
      <c r="F132">
        <v>106</v>
      </c>
      <c r="G132">
        <v>110</v>
      </c>
      <c r="H132">
        <v>110</v>
      </c>
      <c r="I132" s="9">
        <v>0</v>
      </c>
      <c r="J132" s="9">
        <v>0</v>
      </c>
    </row>
    <row r="133" spans="1:10" ht="12.75" customHeight="1" x14ac:dyDescent="0.2">
      <c r="A133" t="s">
        <v>795</v>
      </c>
      <c r="B133">
        <v>102</v>
      </c>
      <c r="C133" t="s">
        <v>794</v>
      </c>
      <c r="D133">
        <v>534</v>
      </c>
      <c r="E133">
        <v>505</v>
      </c>
      <c r="F133">
        <v>108</v>
      </c>
      <c r="G133">
        <v>112</v>
      </c>
      <c r="H133">
        <v>112</v>
      </c>
      <c r="I133" s="9">
        <v>0</v>
      </c>
      <c r="J133" s="9">
        <v>0</v>
      </c>
    </row>
    <row r="134" spans="1:10" ht="12.75" customHeight="1" x14ac:dyDescent="0.2">
      <c r="A134" t="s">
        <v>796</v>
      </c>
      <c r="B134">
        <v>107</v>
      </c>
      <c r="C134" t="s">
        <v>794</v>
      </c>
      <c r="D134">
        <v>610</v>
      </c>
      <c r="E134">
        <v>590</v>
      </c>
      <c r="F134">
        <v>136</v>
      </c>
      <c r="G134">
        <v>136</v>
      </c>
      <c r="H134">
        <v>136</v>
      </c>
      <c r="I134" s="9">
        <v>0</v>
      </c>
      <c r="J134" s="9">
        <v>0</v>
      </c>
    </row>
    <row r="135" spans="1:10" ht="12.75" customHeight="1" x14ac:dyDescent="0.2">
      <c r="A135" t="s">
        <v>797</v>
      </c>
      <c r="B135">
        <v>110</v>
      </c>
      <c r="C135" t="s">
        <v>790</v>
      </c>
      <c r="D135">
        <v>560</v>
      </c>
      <c r="E135">
        <v>485</v>
      </c>
      <c r="F135">
        <v>120</v>
      </c>
      <c r="G135">
        <v>120</v>
      </c>
      <c r="H135">
        <v>120</v>
      </c>
      <c r="I135" s="9">
        <v>0</v>
      </c>
      <c r="J135" s="9">
        <v>0</v>
      </c>
    </row>
    <row r="136" spans="1:10" ht="12.75" customHeight="1" x14ac:dyDescent="0.2">
      <c r="A136" t="s">
        <v>798</v>
      </c>
      <c r="B136">
        <v>113</v>
      </c>
      <c r="C136" t="s">
        <v>794</v>
      </c>
      <c r="D136">
        <v>753</v>
      </c>
      <c r="E136">
        <v>713</v>
      </c>
      <c r="F136">
        <v>127</v>
      </c>
      <c r="G136">
        <v>138</v>
      </c>
      <c r="H136">
        <v>123</v>
      </c>
      <c r="I136" s="9">
        <v>0</v>
      </c>
      <c r="J136" s="9">
        <v>0</v>
      </c>
    </row>
    <row r="137" spans="1:10" ht="12.75" customHeight="1" x14ac:dyDescent="0.2">
      <c r="A137" t="s">
        <v>799</v>
      </c>
      <c r="B137">
        <v>120</v>
      </c>
      <c r="C137" t="s">
        <v>790</v>
      </c>
      <c r="D137">
        <v>750</v>
      </c>
      <c r="E137">
        <v>540</v>
      </c>
      <c r="F137">
        <v>110</v>
      </c>
      <c r="G137">
        <v>123</v>
      </c>
      <c r="H137">
        <v>123</v>
      </c>
      <c r="I137" s="9">
        <v>0</v>
      </c>
      <c r="J137" s="9">
        <v>0</v>
      </c>
    </row>
    <row r="138" spans="1:10" ht="12.75" customHeight="1" x14ac:dyDescent="0.2">
      <c r="A138" s="3" t="s">
        <v>800</v>
      </c>
      <c r="B138">
        <v>130</v>
      </c>
      <c r="C138" t="s">
        <v>794</v>
      </c>
      <c r="D138">
        <v>1900</v>
      </c>
      <c r="E138">
        <v>870</v>
      </c>
      <c r="F138">
        <v>200</v>
      </c>
      <c r="G138">
        <v>200</v>
      </c>
      <c r="H138">
        <v>200</v>
      </c>
      <c r="I138" s="9">
        <v>0</v>
      </c>
      <c r="J138" s="9">
        <v>0</v>
      </c>
    </row>
    <row r="139" spans="1:10" ht="12.75" customHeight="1" x14ac:dyDescent="0.2">
      <c r="A139" s="3" t="s">
        <v>801</v>
      </c>
      <c r="B139">
        <v>126</v>
      </c>
      <c r="C139" s="3" t="s">
        <v>794</v>
      </c>
      <c r="D139">
        <v>1090</v>
      </c>
      <c r="E139">
        <v>1068</v>
      </c>
      <c r="F139">
        <v>235</v>
      </c>
      <c r="G139">
        <v>228</v>
      </c>
      <c r="H139">
        <v>215</v>
      </c>
      <c r="I139" s="9">
        <v>0</v>
      </c>
      <c r="J139" s="9">
        <v>0</v>
      </c>
    </row>
    <row r="140" spans="1:10" ht="12.75" customHeight="1" x14ac:dyDescent="0.2">
      <c r="A140" s="3" t="s">
        <v>802</v>
      </c>
      <c r="B140" s="3">
        <v>127</v>
      </c>
      <c r="C140" s="3" t="s">
        <v>794</v>
      </c>
      <c r="D140" s="3">
        <v>1130</v>
      </c>
      <c r="E140" s="3">
        <v>989</v>
      </c>
      <c r="F140" s="3">
        <v>230</v>
      </c>
      <c r="G140" s="3">
        <v>230</v>
      </c>
      <c r="H140" s="3">
        <v>220</v>
      </c>
      <c r="I140" s="9">
        <v>0</v>
      </c>
      <c r="J140" s="9">
        <v>0</v>
      </c>
    </row>
    <row r="141" spans="1:10" ht="12.75" customHeight="1" x14ac:dyDescent="0.2">
      <c r="A141" s="3" t="s">
        <v>803</v>
      </c>
      <c r="B141" s="3">
        <v>131</v>
      </c>
      <c r="C141" s="3" t="s">
        <v>794</v>
      </c>
      <c r="D141" s="3">
        <v>1286</v>
      </c>
      <c r="E141" s="3">
        <v>1103</v>
      </c>
      <c r="F141" s="3">
        <v>242</v>
      </c>
      <c r="G141" s="3">
        <v>242</v>
      </c>
      <c r="H141" s="3">
        <v>232</v>
      </c>
      <c r="I141" s="9">
        <v>0</v>
      </c>
      <c r="J141" s="9">
        <v>0</v>
      </c>
    </row>
    <row r="142" spans="1:10" ht="12.75" customHeight="1" x14ac:dyDescent="0.2">
      <c r="A142" s="3" t="s">
        <v>804</v>
      </c>
      <c r="B142" s="3">
        <v>136</v>
      </c>
      <c r="C142" s="3" t="s">
        <v>794</v>
      </c>
      <c r="D142" s="3">
        <v>1439</v>
      </c>
      <c r="E142" s="3">
        <v>1254</v>
      </c>
      <c r="F142" s="3">
        <v>290</v>
      </c>
      <c r="G142" s="3">
        <v>281</v>
      </c>
      <c r="H142" s="3">
        <v>244</v>
      </c>
      <c r="I142" s="9">
        <v>0</v>
      </c>
      <c r="J142" s="9">
        <v>0</v>
      </c>
    </row>
    <row r="143" spans="1:10" ht="12.75" customHeight="1" x14ac:dyDescent="0.2">
      <c r="A143" s="3" t="s">
        <v>805</v>
      </c>
      <c r="B143" s="3">
        <v>139</v>
      </c>
      <c r="C143" s="3" t="s">
        <v>794</v>
      </c>
      <c r="D143" s="3">
        <v>1525</v>
      </c>
      <c r="E143" s="3">
        <v>1319</v>
      </c>
      <c r="F143" s="3">
        <v>301</v>
      </c>
      <c r="G143" s="3">
        <v>295</v>
      </c>
      <c r="H143" s="3">
        <v>260</v>
      </c>
      <c r="I143" s="9">
        <v>0</v>
      </c>
      <c r="J143" s="9">
        <v>0</v>
      </c>
    </row>
    <row r="144" spans="1:10" ht="12.75" customHeight="1" x14ac:dyDescent="0.2">
      <c r="A144" s="3" t="s">
        <v>5</v>
      </c>
      <c r="B144" s="3">
        <v>140</v>
      </c>
      <c r="C144" s="3" t="s">
        <v>794</v>
      </c>
      <c r="D144" s="3">
        <v>1800</v>
      </c>
      <c r="E144" s="3">
        <v>1500</v>
      </c>
      <c r="F144" s="3">
        <v>325</v>
      </c>
      <c r="G144" s="3">
        <v>325</v>
      </c>
      <c r="H144" s="3">
        <v>325</v>
      </c>
      <c r="I144" s="9">
        <v>0</v>
      </c>
      <c r="J144" s="9">
        <v>0</v>
      </c>
    </row>
    <row r="145" spans="1:10" ht="12.75" customHeight="1" x14ac:dyDescent="0.2">
      <c r="A145" s="3" t="s">
        <v>806</v>
      </c>
      <c r="B145" s="3">
        <v>150</v>
      </c>
      <c r="C145" s="3" t="s">
        <v>794</v>
      </c>
      <c r="D145" s="3">
        <v>2100</v>
      </c>
      <c r="E145" s="3">
        <v>1720</v>
      </c>
      <c r="F145" s="3">
        <v>390</v>
      </c>
      <c r="G145" s="3">
        <v>390</v>
      </c>
      <c r="H145" s="3">
        <v>390</v>
      </c>
      <c r="I145" s="9">
        <v>0</v>
      </c>
      <c r="J145" s="9">
        <v>0</v>
      </c>
    </row>
    <row r="146" spans="1:10" ht="12.75" customHeight="1" x14ac:dyDescent="0.2"/>
    <row r="147" spans="1:10" ht="12.75" customHeight="1" x14ac:dyDescent="0.2"/>
    <row r="148" spans="1:10" ht="12.75" customHeight="1" x14ac:dyDescent="0.2">
      <c r="A148" s="32" t="s">
        <v>807</v>
      </c>
    </row>
    <row r="149" spans="1:10" ht="12.75" customHeight="1" x14ac:dyDescent="0.2">
      <c r="A149" t="s">
        <v>62</v>
      </c>
    </row>
    <row r="150" spans="1:10" ht="12.75" customHeight="1" x14ac:dyDescent="0.2">
      <c r="A150" t="s">
        <v>808</v>
      </c>
    </row>
    <row r="151" spans="1:10" ht="12.75" customHeight="1" x14ac:dyDescent="0.2">
      <c r="A151" t="s">
        <v>809</v>
      </c>
    </row>
    <row r="152" spans="1:10" ht="12.75" customHeight="1" x14ac:dyDescent="0.2">
      <c r="A152" t="s">
        <v>16</v>
      </c>
    </row>
    <row r="153" spans="1:10" ht="12.75" customHeight="1" x14ac:dyDescent="0.2">
      <c r="A153" t="s">
        <v>810</v>
      </c>
    </row>
    <row r="154" spans="1:10" ht="12.75" customHeight="1" x14ac:dyDescent="0.2">
      <c r="A154" s="3"/>
    </row>
    <row r="155" spans="1:10" ht="12.75" customHeight="1" x14ac:dyDescent="0.2">
      <c r="A155" s="32" t="s">
        <v>811</v>
      </c>
    </row>
    <row r="156" spans="1:10" ht="12.75" customHeight="1" x14ac:dyDescent="0.2">
      <c r="A156" t="s">
        <v>812</v>
      </c>
    </row>
    <row r="157" spans="1:10" ht="12.75" customHeight="1" x14ac:dyDescent="0.2">
      <c r="A157" t="s">
        <v>813</v>
      </c>
    </row>
    <row r="158" spans="1:10" ht="12.75" customHeight="1" x14ac:dyDescent="0.2">
      <c r="A158" t="s">
        <v>814</v>
      </c>
    </row>
    <row r="159" spans="1:10" ht="12.75" customHeight="1" x14ac:dyDescent="0.2">
      <c r="A159" t="s">
        <v>8</v>
      </c>
    </row>
    <row r="160" spans="1:10" ht="12.75" customHeight="1" x14ac:dyDescent="0.2">
      <c r="A160" t="s">
        <v>815</v>
      </c>
    </row>
    <row r="161" spans="1:1" ht="12.75" customHeight="1" x14ac:dyDescent="0.2"/>
    <row r="162" spans="1:1" ht="12.75" customHeight="1" x14ac:dyDescent="0.2">
      <c r="A162" s="32" t="s">
        <v>816</v>
      </c>
    </row>
    <row r="163" spans="1:1" ht="12.75" customHeight="1" x14ac:dyDescent="0.2">
      <c r="A163">
        <v>0</v>
      </c>
    </row>
    <row r="164" spans="1:1" ht="12.75" customHeight="1" x14ac:dyDescent="0.2">
      <c r="A164">
        <v>1</v>
      </c>
    </row>
    <row r="165" spans="1:1" ht="12.75" customHeight="1" x14ac:dyDescent="0.2"/>
    <row r="166" spans="1:1" ht="12.75" customHeight="1" x14ac:dyDescent="0.2">
      <c r="A166" s="32" t="s">
        <v>50</v>
      </c>
    </row>
    <row r="167" spans="1:1" ht="12.75" customHeight="1" x14ac:dyDescent="0.2">
      <c r="A167" t="s">
        <v>51</v>
      </c>
    </row>
    <row r="168" spans="1:1" ht="12.75" customHeight="1" x14ac:dyDescent="0.2">
      <c r="A168" t="s">
        <v>817</v>
      </c>
    </row>
    <row r="169" spans="1:1" ht="12.75" customHeight="1" x14ac:dyDescent="0.2">
      <c r="A169" t="s">
        <v>818</v>
      </c>
    </row>
    <row r="170" spans="1:1" ht="12.75" customHeight="1" x14ac:dyDescent="0.2"/>
    <row r="171" spans="1:1" ht="12.75" customHeight="1" x14ac:dyDescent="0.2"/>
    <row r="172" spans="1:1" ht="12.75" customHeight="1" x14ac:dyDescent="0.2">
      <c r="A172" s="32" t="s">
        <v>819</v>
      </c>
    </row>
    <row r="173" spans="1:1" ht="12.75" customHeight="1" x14ac:dyDescent="0.2">
      <c r="A173" s="3" t="s">
        <v>164</v>
      </c>
    </row>
    <row r="174" spans="1:1" ht="12.75" customHeight="1" x14ac:dyDescent="0.2">
      <c r="A174" s="3" t="s">
        <v>13</v>
      </c>
    </row>
    <row r="175" spans="1:1" ht="12.75" customHeight="1" x14ac:dyDescent="0.2"/>
    <row r="176" spans="1:1" ht="12.75" customHeight="1" x14ac:dyDescent="0.2">
      <c r="A176" s="32" t="s">
        <v>820</v>
      </c>
    </row>
    <row r="177" spans="1:7" ht="12.75" customHeight="1" x14ac:dyDescent="0.2">
      <c r="A177" s="3" t="s">
        <v>28</v>
      </c>
    </row>
    <row r="178" spans="1:7" ht="12.75" customHeight="1" x14ac:dyDescent="0.2">
      <c r="A178" s="3" t="s">
        <v>821</v>
      </c>
    </row>
    <row r="179" spans="1:7" ht="12.75" customHeight="1" x14ac:dyDescent="0.2"/>
    <row r="180" spans="1:7" ht="12.75" customHeight="1" x14ac:dyDescent="0.2"/>
    <row r="181" spans="1:7" ht="12.75" customHeight="1" x14ac:dyDescent="0.2"/>
    <row r="182" spans="1:7" ht="12.75" customHeight="1" x14ac:dyDescent="0.2">
      <c r="A182" s="108" t="s">
        <v>822</v>
      </c>
      <c r="C182" s="108" t="s">
        <v>823</v>
      </c>
      <c r="E182" s="108" t="s">
        <v>824</v>
      </c>
      <c r="G182" s="108" t="s">
        <v>825</v>
      </c>
    </row>
    <row r="183" spans="1:7" ht="12.75" customHeight="1" x14ac:dyDescent="0.2">
      <c r="A183" t="str">
        <f t="array" aca="1" ref="A183:A194" ca="1">INDIRECT(Gear!A3&amp;"List")</f>
        <v>Lionheart</v>
      </c>
      <c r="C183" t="str">
        <f t="array" aca="1" ref="C183:C193" ca="1">INDIRECT(Gear!A4&amp;"List")</f>
        <v>None</v>
      </c>
      <c r="E183" t="str">
        <f t="array" aca="1" ref="E183:E194" ca="1">INDIRECT(Gear!AA3&amp;"List")</f>
        <v>Lionheart</v>
      </c>
      <c r="G183" t="str">
        <f t="array" aca="1" ref="G183:G193" ca="1">INDIRECT(Gear!AA4&amp;"List")</f>
        <v>None</v>
      </c>
    </row>
    <row r="184" spans="1:7" ht="12.75" customHeight="1" x14ac:dyDescent="0.2">
      <c r="A184" t="str">
        <f ca="1"/>
        <v>Lionheart R15</v>
      </c>
      <c r="C184" t="str">
        <f ca="1"/>
        <v>Bloodrain</v>
      </c>
      <c r="E184" t="str">
        <f ca="1"/>
        <v>Lionheart R15</v>
      </c>
      <c r="G184" t="str">
        <f ca="1"/>
        <v>Bloodrain</v>
      </c>
    </row>
    <row r="185" spans="1:7" ht="12.75" customHeight="1" x14ac:dyDescent="0.2">
      <c r="A185" t="str">
        <f ca="1"/>
        <v>Epeolatry I</v>
      </c>
      <c r="C185" t="str">
        <f ca="1"/>
        <v>Claymore Grip</v>
      </c>
      <c r="E185" t="str">
        <f ca="1"/>
        <v>Epeolatry I</v>
      </c>
      <c r="G185" t="str">
        <f ca="1"/>
        <v>Claymore Grip</v>
      </c>
    </row>
    <row r="186" spans="1:7" ht="12.75" customHeight="1" x14ac:dyDescent="0.2">
      <c r="A186" t="str">
        <f ca="1"/>
        <v>Epeolatry III</v>
      </c>
      <c r="C186" t="str">
        <f ca="1"/>
        <v>Dilettante's +1</v>
      </c>
      <c r="E186" t="str">
        <f ca="1"/>
        <v>Epeolatry III</v>
      </c>
      <c r="G186" t="str">
        <f ca="1"/>
        <v>Dilettante's +1</v>
      </c>
    </row>
    <row r="187" spans="1:7" ht="12.75" customHeight="1" x14ac:dyDescent="0.2">
      <c r="A187" t="str">
        <f ca="1"/>
        <v>Epeolatry  III (R15)</v>
      </c>
      <c r="C187" t="str">
        <f ca="1"/>
        <v>Duplus Grip</v>
      </c>
      <c r="E187" t="str">
        <f ca="1"/>
        <v>Epeolatry  III (R15)</v>
      </c>
      <c r="G187" t="str">
        <f ca="1"/>
        <v>Duplus Grip</v>
      </c>
    </row>
    <row r="188" spans="1:7" ht="12.75" customHeight="1" x14ac:dyDescent="0.2">
      <c r="A188" t="str">
        <f ca="1"/>
        <v>Nandaka</v>
      </c>
      <c r="C188" t="str">
        <f ca="1"/>
        <v>Lentus Grip</v>
      </c>
      <c r="E188" t="str">
        <f ca="1"/>
        <v>Nandaka</v>
      </c>
      <c r="G188" t="str">
        <f ca="1"/>
        <v>Lentus Grip</v>
      </c>
    </row>
    <row r="189" spans="1:7" ht="12.75" customHeight="1" x14ac:dyDescent="0.2">
      <c r="A189" t="str">
        <f ca="1"/>
        <v>Aettir</v>
      </c>
      <c r="C189" t="str">
        <f ca="1"/>
        <v>Pole Grip</v>
      </c>
      <c r="E189" t="str">
        <f ca="1"/>
        <v>Aettir</v>
      </c>
      <c r="G189" t="str">
        <f ca="1"/>
        <v>Pole Grip</v>
      </c>
    </row>
    <row r="190" spans="1:7" ht="12.75" customHeight="1" x14ac:dyDescent="0.2">
      <c r="A190" t="str">
        <f ca="1"/>
        <v>Aettir R15</v>
      </c>
      <c r="C190" t="str">
        <f ca="1"/>
        <v>Sword Strap</v>
      </c>
      <c r="E190" t="str">
        <f ca="1"/>
        <v>Aettir R15</v>
      </c>
      <c r="G190" t="str">
        <f ca="1"/>
        <v>Sword Strap</v>
      </c>
    </row>
    <row r="191" spans="1:7" ht="12.75" customHeight="1" x14ac:dyDescent="0.2">
      <c r="A191" t="str">
        <f ca="1"/>
        <v>Montante +1</v>
      </c>
      <c r="C191" t="str">
        <f ca="1"/>
        <v>Tardus Grip</v>
      </c>
      <c r="E191" t="str">
        <f ca="1"/>
        <v>Montante +1</v>
      </c>
      <c r="G191" t="str">
        <f ca="1"/>
        <v>Tardus Grip</v>
      </c>
    </row>
    <row r="192" spans="1:7" ht="12.75" customHeight="1" x14ac:dyDescent="0.2">
      <c r="A192" t="str">
        <f ca="1"/>
        <v>Morgelai R15</v>
      </c>
      <c r="C192" t="str">
        <f ca="1"/>
        <v>Uther's Grip</v>
      </c>
      <c r="E192" t="str">
        <f ca="1"/>
        <v>Morgelai R15</v>
      </c>
      <c r="G192" t="str">
        <f ca="1"/>
        <v>Uther's Grip</v>
      </c>
    </row>
    <row r="193" spans="1:7" ht="12.75" customHeight="1" x14ac:dyDescent="0.2">
      <c r="A193" t="str">
        <f ca="1"/>
        <v>Peord Claymore R10</v>
      </c>
      <c r="C193" t="str">
        <f ca="1"/>
        <v>Utu Grip</v>
      </c>
      <c r="E193" t="str">
        <f ca="1"/>
        <v>Peord Claymore R10</v>
      </c>
      <c r="G193" t="str">
        <f ca="1"/>
        <v>Utu Grip</v>
      </c>
    </row>
    <row r="194" spans="1:7" ht="12.75" customHeight="1" x14ac:dyDescent="0.2">
      <c r="A194" t="str">
        <f ca="1"/>
        <v>Zantetsuken X</v>
      </c>
      <c r="E194" t="str">
        <f ca="1"/>
        <v>Zantetsuken X</v>
      </c>
    </row>
    <row r="195" spans="1:7" ht="12.75" customHeight="1" x14ac:dyDescent="0.2"/>
    <row r="196" spans="1:7" ht="12.75" customHeight="1" x14ac:dyDescent="0.2"/>
    <row r="197" spans="1:7" ht="12.75" customHeight="1" x14ac:dyDescent="0.2"/>
    <row r="198" spans="1:7" ht="12.75" customHeight="1" x14ac:dyDescent="0.2"/>
    <row r="199" spans="1:7" ht="12.75" customHeight="1" x14ac:dyDescent="0.2"/>
    <row r="200" spans="1:7" ht="12.75" customHeight="1" x14ac:dyDescent="0.2"/>
    <row r="201" spans="1:7" ht="12.75" customHeight="1" x14ac:dyDescent="0.2"/>
    <row r="202" spans="1:7" ht="12.75" customHeight="1" x14ac:dyDescent="0.2"/>
    <row r="203" spans="1:7" ht="12.75" customHeight="1" x14ac:dyDescent="0.2"/>
    <row r="204" spans="1:7" ht="12.75" customHeight="1" x14ac:dyDescent="0.2"/>
    <row r="205" spans="1:7" ht="12.75" customHeight="1" x14ac:dyDescent="0.2"/>
    <row r="206" spans="1:7" ht="12.75" customHeight="1" x14ac:dyDescent="0.2"/>
    <row r="207" spans="1:7" ht="12.75" customHeight="1" x14ac:dyDescent="0.2"/>
    <row r="208" spans="1:7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5" right="0.75" top="1" bottom="1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C99FF"/>
  </sheetPr>
  <dimension ref="A1:Z1000"/>
  <sheetViews>
    <sheetView topLeftCell="A19" workbookViewId="0"/>
  </sheetViews>
  <sheetFormatPr defaultColWidth="14.42578125" defaultRowHeight="15" customHeight="1" x14ac:dyDescent="0.2"/>
  <cols>
    <col min="1" max="1" width="12.7109375" customWidth="1"/>
    <col min="2" max="10" width="10.7109375" customWidth="1"/>
    <col min="11" max="26" width="8.7109375" customWidth="1"/>
  </cols>
  <sheetData>
    <row r="1" spans="1:9" ht="12.75" customHeight="1" x14ac:dyDescent="0.2">
      <c r="A1" t="s">
        <v>11</v>
      </c>
      <c r="B1">
        <f>Data!B1</f>
        <v>99</v>
      </c>
      <c r="C1">
        <f>FLOOR(B1/2,1)</f>
        <v>49</v>
      </c>
    </row>
    <row r="2" spans="1:9" ht="12.75" customHeight="1" x14ac:dyDescent="0.2">
      <c r="B2" s="32" t="s">
        <v>37</v>
      </c>
      <c r="C2" s="32" t="s">
        <v>30</v>
      </c>
      <c r="D2" s="32" t="s">
        <v>33</v>
      </c>
      <c r="E2" s="32" t="s">
        <v>29</v>
      </c>
      <c r="F2" s="32" t="s">
        <v>32</v>
      </c>
      <c r="G2" s="32" t="s">
        <v>153</v>
      </c>
      <c r="H2" s="32" t="s">
        <v>154</v>
      </c>
      <c r="I2" s="32" t="s">
        <v>482</v>
      </c>
    </row>
    <row r="3" spans="1:9" ht="12.75" customHeight="1" x14ac:dyDescent="0.2">
      <c r="A3" t="s">
        <v>826</v>
      </c>
      <c r="B3">
        <f>B55+B65+B75+B78</f>
        <v>1604</v>
      </c>
      <c r="C3">
        <f t="shared" ref="C3:I3" si="0">FLOOR(C55+C65+C75+C78, 1)</f>
        <v>94</v>
      </c>
      <c r="D3">
        <f t="shared" si="0"/>
        <v>86</v>
      </c>
      <c r="E3">
        <f t="shared" si="0"/>
        <v>83</v>
      </c>
      <c r="F3">
        <f t="shared" si="0"/>
        <v>87</v>
      </c>
      <c r="G3">
        <f t="shared" si="0"/>
        <v>89</v>
      </c>
      <c r="H3">
        <f t="shared" si="0"/>
        <v>83</v>
      </c>
      <c r="I3">
        <f t="shared" si="0"/>
        <v>74</v>
      </c>
    </row>
    <row r="4" spans="1:9" ht="12.75" customHeight="1" x14ac:dyDescent="0.2"/>
    <row r="5" spans="1:9" ht="12.75" customHeight="1" x14ac:dyDescent="0.2"/>
    <row r="6" spans="1:9" ht="12.75" customHeight="1" x14ac:dyDescent="0.2">
      <c r="A6" s="1" t="s">
        <v>827</v>
      </c>
    </row>
    <row r="7" spans="1:9" ht="12.75" customHeight="1" x14ac:dyDescent="0.2"/>
    <row r="8" spans="1:9" ht="12.75" customHeight="1" x14ac:dyDescent="0.2">
      <c r="A8" s="1" t="s">
        <v>828</v>
      </c>
      <c r="B8" s="32" t="s">
        <v>37</v>
      </c>
      <c r="C8" s="32" t="s">
        <v>30</v>
      </c>
      <c r="D8" s="32" t="s">
        <v>33</v>
      </c>
      <c r="E8" s="32" t="s">
        <v>29</v>
      </c>
      <c r="F8" s="32" t="s">
        <v>32</v>
      </c>
      <c r="G8" s="32" t="s">
        <v>153</v>
      </c>
      <c r="H8" s="32" t="s">
        <v>154</v>
      </c>
      <c r="I8" s="32" t="s">
        <v>482</v>
      </c>
    </row>
    <row r="9" spans="1:9" ht="12.75" customHeight="1" x14ac:dyDescent="0.2">
      <c r="A9" t="s">
        <v>812</v>
      </c>
      <c r="B9" t="s">
        <v>408</v>
      </c>
      <c r="C9" t="s">
        <v>408</v>
      </c>
      <c r="D9" t="s">
        <v>408</v>
      </c>
      <c r="E9" t="s">
        <v>408</v>
      </c>
      <c r="F9" t="s">
        <v>408</v>
      </c>
      <c r="G9" t="s">
        <v>408</v>
      </c>
      <c r="H9" t="s">
        <v>408</v>
      </c>
      <c r="I9" t="s">
        <v>408</v>
      </c>
    </row>
    <row r="10" spans="1:9" ht="12.75" customHeight="1" x14ac:dyDescent="0.2">
      <c r="A10" t="s">
        <v>8</v>
      </c>
      <c r="B10" t="s">
        <v>829</v>
      </c>
      <c r="C10" t="s">
        <v>830</v>
      </c>
      <c r="D10" t="s">
        <v>831</v>
      </c>
      <c r="E10" t="s">
        <v>829</v>
      </c>
      <c r="F10" t="s">
        <v>832</v>
      </c>
      <c r="G10" t="s">
        <v>832</v>
      </c>
      <c r="H10" t="s">
        <v>830</v>
      </c>
      <c r="I10" t="s">
        <v>408</v>
      </c>
    </row>
    <row r="11" spans="1:9" ht="12.75" customHeight="1" x14ac:dyDescent="0.2">
      <c r="A11" t="s">
        <v>815</v>
      </c>
      <c r="B11" t="s">
        <v>833</v>
      </c>
      <c r="C11" t="s">
        <v>832</v>
      </c>
      <c r="D11" t="s">
        <v>408</v>
      </c>
      <c r="E11" t="s">
        <v>831</v>
      </c>
      <c r="F11" t="s">
        <v>829</v>
      </c>
      <c r="G11" t="s">
        <v>834</v>
      </c>
      <c r="H11" t="s">
        <v>831</v>
      </c>
      <c r="I11" t="s">
        <v>408</v>
      </c>
    </row>
    <row r="12" spans="1:9" ht="12.75" customHeight="1" x14ac:dyDescent="0.2">
      <c r="A12" t="s">
        <v>813</v>
      </c>
      <c r="B12" t="s">
        <v>408</v>
      </c>
      <c r="C12" t="s">
        <v>831</v>
      </c>
      <c r="D12" t="s">
        <v>834</v>
      </c>
      <c r="E12" t="s">
        <v>831</v>
      </c>
      <c r="F12" t="s">
        <v>830</v>
      </c>
      <c r="G12" t="s">
        <v>408</v>
      </c>
      <c r="H12" t="s">
        <v>831</v>
      </c>
      <c r="I12" t="s">
        <v>832</v>
      </c>
    </row>
    <row r="13" spans="1:9" ht="12.75" customHeight="1" x14ac:dyDescent="0.2">
      <c r="A13" t="s">
        <v>814</v>
      </c>
      <c r="B13" t="s">
        <v>834</v>
      </c>
      <c r="C13" t="s">
        <v>829</v>
      </c>
      <c r="D13" t="s">
        <v>408</v>
      </c>
      <c r="E13" t="s">
        <v>834</v>
      </c>
      <c r="F13" t="s">
        <v>831</v>
      </c>
      <c r="G13" t="s">
        <v>831</v>
      </c>
      <c r="H13" t="s">
        <v>408</v>
      </c>
      <c r="I13" t="s">
        <v>832</v>
      </c>
    </row>
    <row r="14" spans="1:9" ht="12.75" customHeight="1" x14ac:dyDescent="0.2">
      <c r="A14" t="s">
        <v>835</v>
      </c>
      <c r="B14" t="s">
        <v>408</v>
      </c>
      <c r="C14" t="s">
        <v>408</v>
      </c>
      <c r="D14" t="s">
        <v>408</v>
      </c>
      <c r="E14" t="s">
        <v>408</v>
      </c>
      <c r="F14" t="s">
        <v>832</v>
      </c>
      <c r="G14" t="s">
        <v>408</v>
      </c>
      <c r="H14" t="s">
        <v>408</v>
      </c>
      <c r="I14" t="s">
        <v>830</v>
      </c>
    </row>
    <row r="15" spans="1:9" ht="12.75" customHeight="1" x14ac:dyDescent="0.2">
      <c r="A15" t="s">
        <v>836</v>
      </c>
      <c r="B15" t="s">
        <v>829</v>
      </c>
      <c r="C15" t="s">
        <v>408</v>
      </c>
      <c r="D15" t="s">
        <v>829</v>
      </c>
      <c r="E15" t="s">
        <v>408</v>
      </c>
      <c r="F15" t="s">
        <v>832</v>
      </c>
      <c r="G15" t="s">
        <v>831</v>
      </c>
      <c r="H15" t="s">
        <v>831</v>
      </c>
      <c r="I15" t="s">
        <v>834</v>
      </c>
    </row>
    <row r="16" spans="1:9" ht="12.75" customHeight="1" x14ac:dyDescent="0.2">
      <c r="A16" t="s">
        <v>837</v>
      </c>
      <c r="B16" t="s">
        <v>832</v>
      </c>
      <c r="C16" t="s">
        <v>832</v>
      </c>
      <c r="D16" t="s">
        <v>829</v>
      </c>
      <c r="E16" t="s">
        <v>832</v>
      </c>
      <c r="F16" t="s">
        <v>829</v>
      </c>
      <c r="G16" t="s">
        <v>834</v>
      </c>
      <c r="H16" t="s">
        <v>831</v>
      </c>
      <c r="I16" t="s">
        <v>408</v>
      </c>
    </row>
    <row r="17" spans="1:26" ht="12.75" customHeight="1" x14ac:dyDescent="0.2">
      <c r="A17" t="s">
        <v>838</v>
      </c>
      <c r="B17" t="s">
        <v>408</v>
      </c>
      <c r="C17" t="s">
        <v>831</v>
      </c>
      <c r="D17" t="s">
        <v>831</v>
      </c>
      <c r="E17" t="s">
        <v>831</v>
      </c>
      <c r="F17" t="s">
        <v>831</v>
      </c>
      <c r="G17" t="s">
        <v>831</v>
      </c>
      <c r="H17" t="s">
        <v>831</v>
      </c>
      <c r="I17" t="s">
        <v>831</v>
      </c>
    </row>
    <row r="18" spans="1:26" ht="12.75" customHeight="1" x14ac:dyDescent="0.2">
      <c r="A18" t="s">
        <v>839</v>
      </c>
      <c r="B18" t="s">
        <v>408</v>
      </c>
      <c r="C18" t="s">
        <v>831</v>
      </c>
      <c r="D18" t="s">
        <v>829</v>
      </c>
      <c r="E18" t="s">
        <v>831</v>
      </c>
      <c r="F18" t="s">
        <v>830</v>
      </c>
      <c r="G18" t="s">
        <v>829</v>
      </c>
      <c r="H18" t="s">
        <v>831</v>
      </c>
      <c r="I18" t="s">
        <v>831</v>
      </c>
    </row>
    <row r="19" spans="1:26" ht="12.75" customHeight="1" x14ac:dyDescent="0.2">
      <c r="A19" t="s">
        <v>840</v>
      </c>
      <c r="B19" t="s">
        <v>408</v>
      </c>
      <c r="C19" t="s">
        <v>408</v>
      </c>
      <c r="D19" t="s">
        <v>829</v>
      </c>
      <c r="E19" t="s">
        <v>831</v>
      </c>
      <c r="F19" t="s">
        <v>830</v>
      </c>
      <c r="G19" t="s">
        <v>832</v>
      </c>
      <c r="H19" t="s">
        <v>832</v>
      </c>
      <c r="I19" t="s">
        <v>830</v>
      </c>
    </row>
    <row r="20" spans="1:26" ht="12.75" customHeight="1" x14ac:dyDescent="0.2">
      <c r="A20" t="s">
        <v>841</v>
      </c>
      <c r="B20" t="s">
        <v>829</v>
      </c>
      <c r="C20" t="s">
        <v>834</v>
      </c>
      <c r="D20" t="s">
        <v>829</v>
      </c>
      <c r="E20" t="s">
        <v>829</v>
      </c>
      <c r="F20" t="s">
        <v>408</v>
      </c>
      <c r="G20" t="s">
        <v>829</v>
      </c>
      <c r="H20" t="s">
        <v>833</v>
      </c>
      <c r="I20" t="s">
        <v>833</v>
      </c>
    </row>
    <row r="21" spans="1:26" ht="12.75" customHeight="1" x14ac:dyDescent="0.2">
      <c r="A21" t="s">
        <v>842</v>
      </c>
      <c r="B21" t="s">
        <v>829</v>
      </c>
      <c r="C21" t="s">
        <v>830</v>
      </c>
      <c r="D21" t="s">
        <v>408</v>
      </c>
      <c r="E21" t="s">
        <v>829</v>
      </c>
      <c r="F21" t="s">
        <v>408</v>
      </c>
      <c r="G21" t="s">
        <v>832</v>
      </c>
      <c r="H21" t="s">
        <v>831</v>
      </c>
      <c r="I21" t="s">
        <v>829</v>
      </c>
    </row>
    <row r="22" spans="1:26" ht="12.75" customHeight="1" x14ac:dyDescent="0.2">
      <c r="A22" s="3" t="s">
        <v>843</v>
      </c>
      <c r="B22" s="3" t="s">
        <v>832</v>
      </c>
      <c r="C22" s="3" t="s">
        <v>832</v>
      </c>
      <c r="D22" s="3" t="s">
        <v>408</v>
      </c>
      <c r="E22" s="3" t="s">
        <v>408</v>
      </c>
      <c r="F22" s="3" t="s">
        <v>831</v>
      </c>
      <c r="G22" s="3" t="s">
        <v>830</v>
      </c>
      <c r="H22" s="3" t="s">
        <v>830</v>
      </c>
      <c r="I22" s="3" t="s">
        <v>831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t="s">
        <v>844</v>
      </c>
      <c r="B23" t="s">
        <v>834</v>
      </c>
      <c r="C23" t="s">
        <v>829</v>
      </c>
      <c r="D23" t="s">
        <v>830</v>
      </c>
      <c r="E23" t="s">
        <v>834</v>
      </c>
      <c r="F23" t="s">
        <v>832</v>
      </c>
      <c r="G23" t="s">
        <v>833</v>
      </c>
      <c r="H23" t="s">
        <v>408</v>
      </c>
      <c r="I23" t="s">
        <v>831</v>
      </c>
    </row>
    <row r="24" spans="1:26" ht="12.75" customHeight="1" x14ac:dyDescent="0.2">
      <c r="A24" t="s">
        <v>845</v>
      </c>
      <c r="B24" t="s">
        <v>408</v>
      </c>
      <c r="C24" t="s">
        <v>829</v>
      </c>
      <c r="D24" t="s">
        <v>830</v>
      </c>
      <c r="E24" t="s">
        <v>829</v>
      </c>
      <c r="F24" t="s">
        <v>830</v>
      </c>
      <c r="G24" t="s">
        <v>408</v>
      </c>
      <c r="H24" t="s">
        <v>833</v>
      </c>
      <c r="I24" t="s">
        <v>832</v>
      </c>
    </row>
    <row r="25" spans="1:26" ht="12.75" customHeight="1" x14ac:dyDescent="0.2">
      <c r="A25" t="s">
        <v>846</v>
      </c>
      <c r="B25" t="s">
        <v>829</v>
      </c>
      <c r="C25" t="s">
        <v>830</v>
      </c>
      <c r="D25" t="s">
        <v>831</v>
      </c>
      <c r="E25" t="s">
        <v>834</v>
      </c>
      <c r="F25" t="s">
        <v>833</v>
      </c>
      <c r="G25" t="s">
        <v>833</v>
      </c>
      <c r="H25" t="s">
        <v>829</v>
      </c>
      <c r="I25" t="s">
        <v>829</v>
      </c>
    </row>
    <row r="26" spans="1:26" ht="12.75" customHeight="1" x14ac:dyDescent="0.2">
      <c r="A26" t="s">
        <v>847</v>
      </c>
      <c r="B26" t="s">
        <v>408</v>
      </c>
      <c r="C26" t="s">
        <v>831</v>
      </c>
      <c r="D26" t="s">
        <v>830</v>
      </c>
      <c r="E26" t="s">
        <v>408</v>
      </c>
      <c r="F26" t="s">
        <v>829</v>
      </c>
      <c r="G26" t="s">
        <v>831</v>
      </c>
      <c r="H26" t="s">
        <v>832</v>
      </c>
      <c r="I26" t="s">
        <v>829</v>
      </c>
    </row>
    <row r="27" spans="1:26" ht="12.75" customHeight="1" x14ac:dyDescent="0.2">
      <c r="A27" t="s">
        <v>848</v>
      </c>
      <c r="B27" t="s">
        <v>831</v>
      </c>
      <c r="C27" t="s">
        <v>831</v>
      </c>
      <c r="D27" t="s">
        <v>408</v>
      </c>
      <c r="E27" t="s">
        <v>408</v>
      </c>
      <c r="F27" t="s">
        <v>834</v>
      </c>
      <c r="G27" t="s">
        <v>831</v>
      </c>
      <c r="H27" t="s">
        <v>408</v>
      </c>
      <c r="I27" t="s">
        <v>831</v>
      </c>
    </row>
    <row r="28" spans="1:26" ht="12.75" customHeight="1" x14ac:dyDescent="0.2">
      <c r="A28" t="s">
        <v>849</v>
      </c>
      <c r="B28" t="s">
        <v>408</v>
      </c>
      <c r="C28" t="s">
        <v>408</v>
      </c>
      <c r="D28" t="s">
        <v>408</v>
      </c>
      <c r="E28" t="s">
        <v>831</v>
      </c>
      <c r="F28" t="s">
        <v>831</v>
      </c>
      <c r="G28" t="s">
        <v>829</v>
      </c>
      <c r="H28" t="s">
        <v>829</v>
      </c>
      <c r="I28" t="s">
        <v>408</v>
      </c>
    </row>
    <row r="29" spans="1:26" ht="12.75" customHeight="1" x14ac:dyDescent="0.2">
      <c r="A29" s="3" t="s">
        <v>850</v>
      </c>
      <c r="B29" s="3" t="s">
        <v>834</v>
      </c>
      <c r="C29" s="3" t="s">
        <v>830</v>
      </c>
      <c r="D29" s="3" t="s">
        <v>408</v>
      </c>
      <c r="E29" s="3" t="s">
        <v>831</v>
      </c>
      <c r="F29" s="3" t="s">
        <v>829</v>
      </c>
      <c r="G29" s="3" t="s">
        <v>829</v>
      </c>
      <c r="H29" s="3" t="s">
        <v>829</v>
      </c>
      <c r="I29" s="3" t="s">
        <v>832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t="s">
        <v>851</v>
      </c>
      <c r="B30" t="s">
        <v>830</v>
      </c>
      <c r="C30" t="s">
        <v>829</v>
      </c>
      <c r="D30" t="s">
        <v>829</v>
      </c>
      <c r="E30" t="s">
        <v>829</v>
      </c>
      <c r="F30" t="s">
        <v>408</v>
      </c>
      <c r="G30" t="s">
        <v>831</v>
      </c>
      <c r="H30" t="s">
        <v>831</v>
      </c>
      <c r="I30" t="s">
        <v>408</v>
      </c>
    </row>
    <row r="31" spans="1:26" ht="12.75" customHeight="1" x14ac:dyDescent="0.2">
      <c r="A31" t="s">
        <v>852</v>
      </c>
      <c r="B31" t="s">
        <v>831</v>
      </c>
      <c r="C31" t="s">
        <v>832</v>
      </c>
      <c r="D31" t="s">
        <v>408</v>
      </c>
      <c r="E31" t="s">
        <v>831</v>
      </c>
      <c r="F31" t="s">
        <v>408</v>
      </c>
      <c r="G31" t="s">
        <v>830</v>
      </c>
      <c r="H31" t="s">
        <v>408</v>
      </c>
      <c r="I31" t="s">
        <v>829</v>
      </c>
    </row>
    <row r="32" spans="1:26" ht="12.75" customHeight="1" x14ac:dyDescent="0.2">
      <c r="A32" t="s">
        <v>853</v>
      </c>
      <c r="B32" t="s">
        <v>833</v>
      </c>
      <c r="C32" t="s">
        <v>832</v>
      </c>
      <c r="D32" t="s">
        <v>831</v>
      </c>
      <c r="E32" t="s">
        <v>832</v>
      </c>
      <c r="F32" t="s">
        <v>408</v>
      </c>
      <c r="G32" t="s">
        <v>830</v>
      </c>
      <c r="H32" t="s">
        <v>830</v>
      </c>
      <c r="I32" t="s">
        <v>830</v>
      </c>
    </row>
    <row r="33" spans="1:10" ht="12.75" customHeight="1" x14ac:dyDescent="0.2">
      <c r="A33" t="s">
        <v>854</v>
      </c>
      <c r="B33" t="s">
        <v>408</v>
      </c>
      <c r="C33" t="s">
        <v>408</v>
      </c>
      <c r="D33" t="s">
        <v>834</v>
      </c>
      <c r="E33" t="s">
        <v>408</v>
      </c>
      <c r="F33" t="s">
        <v>830</v>
      </c>
      <c r="G33" t="s">
        <v>829</v>
      </c>
      <c r="H33" t="s">
        <v>833</v>
      </c>
      <c r="I33" t="s">
        <v>833</v>
      </c>
    </row>
    <row r="34" spans="1:10" ht="12.75" customHeight="1" x14ac:dyDescent="0.2">
      <c r="A34" t="s">
        <v>855</v>
      </c>
      <c r="B34" t="s">
        <v>830</v>
      </c>
      <c r="C34" t="s">
        <v>834</v>
      </c>
      <c r="D34" t="s">
        <v>829</v>
      </c>
      <c r="E34" t="s">
        <v>408</v>
      </c>
      <c r="F34" t="s">
        <v>829</v>
      </c>
      <c r="G34" t="s">
        <v>832</v>
      </c>
      <c r="H34" t="s">
        <v>832</v>
      </c>
      <c r="I34" t="s">
        <v>831</v>
      </c>
    </row>
    <row r="35" spans="1:10" ht="12.75" customHeight="1" x14ac:dyDescent="0.2">
      <c r="A35" t="s">
        <v>856</v>
      </c>
      <c r="B35" t="s">
        <v>831</v>
      </c>
      <c r="C35" t="s">
        <v>408</v>
      </c>
      <c r="D35" t="s">
        <v>832</v>
      </c>
      <c r="E35" t="s">
        <v>408</v>
      </c>
      <c r="F35" t="s">
        <v>831</v>
      </c>
      <c r="G35" t="s">
        <v>831</v>
      </c>
      <c r="H35" t="s">
        <v>834</v>
      </c>
      <c r="I35" t="s">
        <v>829</v>
      </c>
    </row>
    <row r="36" spans="1:10" ht="12.75" customHeight="1" x14ac:dyDescent="0.2"/>
    <row r="37" spans="1:10" ht="12.75" customHeight="1" x14ac:dyDescent="0.2"/>
    <row r="38" spans="1:10" ht="12.75" customHeight="1" x14ac:dyDescent="0.2">
      <c r="A38" s="1" t="s">
        <v>857</v>
      </c>
      <c r="B38" t="s">
        <v>858</v>
      </c>
      <c r="C38" t="s">
        <v>859</v>
      </c>
      <c r="D38" t="s">
        <v>860</v>
      </c>
      <c r="E38" t="s">
        <v>861</v>
      </c>
      <c r="F38" t="s">
        <v>862</v>
      </c>
      <c r="G38" t="s">
        <v>863</v>
      </c>
      <c r="H38" t="s">
        <v>864</v>
      </c>
      <c r="I38" t="s">
        <v>865</v>
      </c>
      <c r="J38" t="s">
        <v>866</v>
      </c>
    </row>
    <row r="39" spans="1:10" ht="12.75" customHeight="1" x14ac:dyDescent="0.2">
      <c r="A39" t="s">
        <v>834</v>
      </c>
      <c r="B39">
        <v>19</v>
      </c>
      <c r="C39">
        <v>9</v>
      </c>
      <c r="D39">
        <v>1</v>
      </c>
      <c r="E39">
        <v>3</v>
      </c>
      <c r="F39">
        <v>3</v>
      </c>
      <c r="G39">
        <v>5</v>
      </c>
      <c r="H39" s="19">
        <v>0.5</v>
      </c>
      <c r="I39" s="19">
        <f>110/1024</f>
        <v>0.107421875</v>
      </c>
      <c r="J39" s="19">
        <f t="shared" ref="J39:J45" si="1">400/1024</f>
        <v>0.390625</v>
      </c>
    </row>
    <row r="40" spans="1:10" ht="12.75" customHeight="1" x14ac:dyDescent="0.2">
      <c r="A40" t="s">
        <v>830</v>
      </c>
      <c r="B40">
        <v>17</v>
      </c>
      <c r="C40">
        <v>8</v>
      </c>
      <c r="D40">
        <v>1</v>
      </c>
      <c r="E40">
        <v>3</v>
      </c>
      <c r="F40">
        <v>3</v>
      </c>
      <c r="G40">
        <v>4</v>
      </c>
      <c r="H40" s="19">
        <v>0.45</v>
      </c>
      <c r="I40" s="19">
        <f>210/1024</f>
        <v>0.205078125</v>
      </c>
      <c r="J40" s="19">
        <f t="shared" si="1"/>
        <v>0.390625</v>
      </c>
    </row>
    <row r="41" spans="1:10" ht="12.75" customHeight="1" x14ac:dyDescent="0.2">
      <c r="A41" t="s">
        <v>829</v>
      </c>
      <c r="B41">
        <v>16</v>
      </c>
      <c r="C41">
        <v>7</v>
      </c>
      <c r="D41">
        <v>1</v>
      </c>
      <c r="E41">
        <v>3</v>
      </c>
      <c r="F41">
        <v>3</v>
      </c>
      <c r="G41">
        <v>4</v>
      </c>
      <c r="H41" s="19">
        <v>0.4</v>
      </c>
      <c r="I41" s="19">
        <f>300/1024</f>
        <v>0.29296875</v>
      </c>
      <c r="J41" s="19">
        <f t="shared" si="1"/>
        <v>0.390625</v>
      </c>
    </row>
    <row r="42" spans="1:10" ht="12.75" customHeight="1" x14ac:dyDescent="0.2">
      <c r="A42" t="s">
        <v>408</v>
      </c>
      <c r="B42">
        <v>14</v>
      </c>
      <c r="C42">
        <v>6</v>
      </c>
      <c r="D42">
        <v>0</v>
      </c>
      <c r="E42">
        <v>3</v>
      </c>
      <c r="F42">
        <v>3</v>
      </c>
      <c r="G42">
        <v>3</v>
      </c>
      <c r="H42" s="19">
        <v>0.35</v>
      </c>
      <c r="I42" s="19">
        <f>350/1024</f>
        <v>0.341796875</v>
      </c>
      <c r="J42" s="19">
        <f t="shared" si="1"/>
        <v>0.390625</v>
      </c>
    </row>
    <row r="43" spans="1:10" ht="12.75" customHeight="1" x14ac:dyDescent="0.2">
      <c r="A43" t="s">
        <v>831</v>
      </c>
      <c r="B43">
        <v>13</v>
      </c>
      <c r="C43">
        <v>5</v>
      </c>
      <c r="D43">
        <v>0</v>
      </c>
      <c r="E43">
        <v>2</v>
      </c>
      <c r="F43">
        <v>2</v>
      </c>
      <c r="G43">
        <v>3</v>
      </c>
      <c r="H43" s="19">
        <v>0.3</v>
      </c>
      <c r="I43" s="19">
        <f>350/1024</f>
        <v>0.341796875</v>
      </c>
      <c r="J43" s="19">
        <f t="shared" si="1"/>
        <v>0.390625</v>
      </c>
    </row>
    <row r="44" spans="1:10" ht="12.75" customHeight="1" x14ac:dyDescent="0.2">
      <c r="A44" t="s">
        <v>832</v>
      </c>
      <c r="B44">
        <v>11</v>
      </c>
      <c r="C44">
        <v>4</v>
      </c>
      <c r="D44">
        <v>0</v>
      </c>
      <c r="E44">
        <v>2</v>
      </c>
      <c r="F44">
        <v>2</v>
      </c>
      <c r="G44">
        <v>2</v>
      </c>
      <c r="H44" s="19">
        <v>0.25</v>
      </c>
      <c r="I44" s="19">
        <f>400/1024</f>
        <v>0.390625</v>
      </c>
      <c r="J44" s="19">
        <f t="shared" si="1"/>
        <v>0.390625</v>
      </c>
    </row>
    <row r="45" spans="1:10" ht="12.75" customHeight="1" x14ac:dyDescent="0.2">
      <c r="A45" t="s">
        <v>833</v>
      </c>
      <c r="B45">
        <v>10</v>
      </c>
      <c r="C45">
        <v>3</v>
      </c>
      <c r="D45">
        <v>0</v>
      </c>
      <c r="E45">
        <v>2</v>
      </c>
      <c r="F45">
        <v>2</v>
      </c>
      <c r="G45">
        <v>2</v>
      </c>
      <c r="H45" s="19">
        <v>0.2</v>
      </c>
      <c r="I45" s="19">
        <f>430/1024</f>
        <v>0.419921875</v>
      </c>
      <c r="J45" s="19">
        <f t="shared" si="1"/>
        <v>0.390625</v>
      </c>
    </row>
    <row r="46" spans="1:10" ht="12.75" customHeight="1" x14ac:dyDescent="0.2"/>
    <row r="47" spans="1:10" ht="12.75" customHeight="1" x14ac:dyDescent="0.2"/>
    <row r="48" spans="1:10" ht="12.75" customHeight="1" x14ac:dyDescent="0.2">
      <c r="A48" s="1" t="s">
        <v>242</v>
      </c>
      <c r="B48" s="32" t="s">
        <v>37</v>
      </c>
      <c r="C48" s="32" t="s">
        <v>30</v>
      </c>
      <c r="D48" s="32" t="s">
        <v>33</v>
      </c>
      <c r="E48" s="32" t="s">
        <v>29</v>
      </c>
      <c r="F48" s="32" t="s">
        <v>32</v>
      </c>
      <c r="G48" s="32" t="s">
        <v>153</v>
      </c>
      <c r="H48" s="32" t="s">
        <v>154</v>
      </c>
      <c r="I48" s="32" t="s">
        <v>482</v>
      </c>
    </row>
    <row r="49" spans="1:10" ht="12.75" customHeight="1" x14ac:dyDescent="0.2">
      <c r="A49" t="str">
        <f>Data!C1</f>
        <v>Run</v>
      </c>
      <c r="B49" t="str">
        <f t="shared" ref="B49:I49" si="2">VLOOKUP($A49, Grades, MATCH(B$48, Stats, 0), 0)</f>
        <v>A</v>
      </c>
      <c r="C49" t="str">
        <f t="shared" si="2"/>
        <v>B</v>
      </c>
      <c r="D49" t="str">
        <f t="shared" si="2"/>
        <v>D</v>
      </c>
      <c r="E49" t="str">
        <f t="shared" si="2"/>
        <v>E</v>
      </c>
      <c r="F49" t="str">
        <f t="shared" si="2"/>
        <v>C</v>
      </c>
      <c r="G49" t="str">
        <f t="shared" si="2"/>
        <v>C</v>
      </c>
      <c r="H49" t="str">
        <f t="shared" si="2"/>
        <v>C</v>
      </c>
      <c r="I49" t="str">
        <f t="shared" si="2"/>
        <v>F</v>
      </c>
    </row>
    <row r="50" spans="1:10" ht="12.75" customHeight="1" x14ac:dyDescent="0.2">
      <c r="A50" t="s">
        <v>858</v>
      </c>
      <c r="B50">
        <f>VLOOKUP(B$49, GradeRates, MATCH($A50, RateTiers, 0), 0)</f>
        <v>19</v>
      </c>
      <c r="C50" s="19">
        <f t="shared" ref="C50:I53" si="3">VLOOKUP(C$49, GradeRates, MATCH($J50, RateTiers, 0), 0)</f>
        <v>4</v>
      </c>
      <c r="D50" s="19">
        <f t="shared" si="3"/>
        <v>3</v>
      </c>
      <c r="E50" s="19">
        <f t="shared" si="3"/>
        <v>3</v>
      </c>
      <c r="F50" s="19">
        <f t="shared" si="3"/>
        <v>4</v>
      </c>
      <c r="G50" s="19">
        <f t="shared" si="3"/>
        <v>4</v>
      </c>
      <c r="H50" s="19">
        <f t="shared" si="3"/>
        <v>4</v>
      </c>
      <c r="I50" s="19">
        <f t="shared" si="3"/>
        <v>2</v>
      </c>
      <c r="J50" t="s">
        <v>863</v>
      </c>
    </row>
    <row r="51" spans="1:10" ht="12.75" customHeight="1" x14ac:dyDescent="0.2">
      <c r="A51" t="s">
        <v>859</v>
      </c>
      <c r="B51">
        <f>VLOOKUP(B$49, GradeRates, MATCH($A51, RateTiers, 0), 0)</f>
        <v>9</v>
      </c>
      <c r="C51" s="19">
        <f t="shared" si="3"/>
        <v>0.45</v>
      </c>
      <c r="D51" s="19">
        <f t="shared" si="3"/>
        <v>0.35</v>
      </c>
      <c r="E51" s="19">
        <f t="shared" si="3"/>
        <v>0.3</v>
      </c>
      <c r="F51" s="19">
        <f t="shared" si="3"/>
        <v>0.4</v>
      </c>
      <c r="G51" s="19">
        <f t="shared" si="3"/>
        <v>0.4</v>
      </c>
      <c r="H51" s="19">
        <f t="shared" si="3"/>
        <v>0.4</v>
      </c>
      <c r="I51" s="19">
        <f t="shared" si="3"/>
        <v>0.25</v>
      </c>
      <c r="J51" t="s">
        <v>864</v>
      </c>
    </row>
    <row r="52" spans="1:10" ht="12.75" customHeight="1" x14ac:dyDescent="0.2">
      <c r="A52" t="s">
        <v>860</v>
      </c>
      <c r="B52">
        <f>VLOOKUP(B$49, GradeRates, MATCH($A52, RateTiers, 0), 0)</f>
        <v>1</v>
      </c>
      <c r="C52" s="19">
        <f t="shared" si="3"/>
        <v>0.205078125</v>
      </c>
      <c r="D52" s="19">
        <f t="shared" si="3"/>
        <v>0.341796875</v>
      </c>
      <c r="E52" s="19">
        <f t="shared" si="3"/>
        <v>0.341796875</v>
      </c>
      <c r="F52" s="19">
        <f t="shared" si="3"/>
        <v>0.29296875</v>
      </c>
      <c r="G52" s="19">
        <f t="shared" si="3"/>
        <v>0.29296875</v>
      </c>
      <c r="H52" s="19">
        <f t="shared" si="3"/>
        <v>0.29296875</v>
      </c>
      <c r="I52" s="19">
        <f t="shared" si="3"/>
        <v>0.390625</v>
      </c>
      <c r="J52" t="s">
        <v>865</v>
      </c>
    </row>
    <row r="53" spans="1:10" ht="12.75" customHeight="1" x14ac:dyDescent="0.2">
      <c r="A53" t="s">
        <v>861</v>
      </c>
      <c r="B53">
        <f>VLOOKUP(B$49, GradeRates, MATCH($A53, RateTiers, 0), 0)</f>
        <v>3</v>
      </c>
      <c r="C53" s="19">
        <f t="shared" si="3"/>
        <v>0.390625</v>
      </c>
      <c r="D53" s="19">
        <f t="shared" si="3"/>
        <v>0.390625</v>
      </c>
      <c r="E53" s="19">
        <f t="shared" si="3"/>
        <v>0.390625</v>
      </c>
      <c r="F53" s="19">
        <f t="shared" si="3"/>
        <v>0.390625</v>
      </c>
      <c r="G53" s="19">
        <f t="shared" si="3"/>
        <v>0.390625</v>
      </c>
      <c r="H53" s="19">
        <f t="shared" si="3"/>
        <v>0.390625</v>
      </c>
      <c r="I53" s="19">
        <f t="shared" si="3"/>
        <v>0.390625</v>
      </c>
      <c r="J53" t="s">
        <v>866</v>
      </c>
    </row>
    <row r="54" spans="1:10" ht="12.75" customHeight="1" x14ac:dyDescent="0.2">
      <c r="A54" t="s">
        <v>862</v>
      </c>
      <c r="B54">
        <f>VLOOKUP(B$49, GradeRates, MATCH($A54, RateTiers, 0), 0)</f>
        <v>3</v>
      </c>
    </row>
    <row r="55" spans="1:10" ht="12.75" customHeight="1" x14ac:dyDescent="0.2">
      <c r="A55" t="s">
        <v>201</v>
      </c>
      <c r="B55">
        <f>B50+MIN(59,$B$1-1)*B51+MAX(0,$B$1-30)*B52+MIN(15,MAX(0,$B$1-60))*B53+MAX(0,$B$1-75)*B54</f>
        <v>736</v>
      </c>
      <c r="C55" s="109">
        <f t="shared" ref="C55:I55" si="4">C50+FLOOR(MIN(59,$B$1-1)*C51,0.5)+FLOOR(MIN(15,MAX(0,$B$1-60))*C52,0.5)+FLOOR(MAX(0,$B$1-75)*C53,0.5)</f>
        <v>42.5</v>
      </c>
      <c r="D55" s="109">
        <f t="shared" si="4"/>
        <v>37.5</v>
      </c>
      <c r="E55" s="109">
        <f t="shared" si="4"/>
        <v>34.5</v>
      </c>
      <c r="F55" s="109">
        <f t="shared" si="4"/>
        <v>40.5</v>
      </c>
      <c r="G55" s="109">
        <f t="shared" si="4"/>
        <v>40.5</v>
      </c>
      <c r="H55" s="109">
        <f t="shared" si="4"/>
        <v>40.5</v>
      </c>
      <c r="I55" s="109">
        <f t="shared" si="4"/>
        <v>31</v>
      </c>
    </row>
    <row r="56" spans="1:10" ht="12.75" customHeight="1" x14ac:dyDescent="0.2"/>
    <row r="57" spans="1:10" ht="12.75" customHeight="1" x14ac:dyDescent="0.2"/>
    <row r="58" spans="1:10" ht="12.75" customHeight="1" x14ac:dyDescent="0.2">
      <c r="A58" s="1" t="s">
        <v>15</v>
      </c>
      <c r="B58" s="32" t="s">
        <v>37</v>
      </c>
      <c r="C58" s="32" t="s">
        <v>30</v>
      </c>
      <c r="D58" s="32" t="s">
        <v>33</v>
      </c>
      <c r="E58" s="32" t="s">
        <v>29</v>
      </c>
      <c r="F58" s="32" t="s">
        <v>32</v>
      </c>
      <c r="G58" s="32" t="s">
        <v>153</v>
      </c>
      <c r="H58" s="32" t="s">
        <v>154</v>
      </c>
      <c r="I58" s="32" t="s">
        <v>482</v>
      </c>
    </row>
    <row r="59" spans="1:10" ht="12.75" customHeight="1" x14ac:dyDescent="0.2">
      <c r="A59" t="str">
        <f>Data!D1</f>
        <v>Drk</v>
      </c>
      <c r="B59" t="str">
        <f t="shared" ref="B59:I59" si="5">VLOOKUP($A59, Grades, MATCH(B$58, Stats, 0), 0)</f>
        <v>C</v>
      </c>
      <c r="C59" t="str">
        <f t="shared" si="5"/>
        <v>A</v>
      </c>
      <c r="D59" t="str">
        <f t="shared" si="5"/>
        <v>C</v>
      </c>
      <c r="E59" t="str">
        <f t="shared" si="5"/>
        <v>C</v>
      </c>
      <c r="F59" t="str">
        <f t="shared" si="5"/>
        <v>D</v>
      </c>
      <c r="G59" t="str">
        <f t="shared" si="5"/>
        <v>C</v>
      </c>
      <c r="H59" t="str">
        <f t="shared" si="5"/>
        <v>G</v>
      </c>
      <c r="I59" t="str">
        <f t="shared" si="5"/>
        <v>G</v>
      </c>
    </row>
    <row r="60" spans="1:10" ht="12.75" customHeight="1" x14ac:dyDescent="0.2">
      <c r="A60" t="s">
        <v>858</v>
      </c>
      <c r="B60">
        <f>VLOOKUP(B$59, GradeRates, MATCH($A60, RateTiers, 0), 0)</f>
        <v>16</v>
      </c>
      <c r="C60" s="19">
        <f t="shared" ref="C60:I63" si="6">VLOOKUP(C$59, GradeRates, MATCH($J60, RateTiers, 0), 0)</f>
        <v>5</v>
      </c>
      <c r="D60" s="19">
        <f t="shared" si="6"/>
        <v>4</v>
      </c>
      <c r="E60" s="19">
        <f t="shared" si="6"/>
        <v>4</v>
      </c>
      <c r="F60" s="19">
        <f t="shared" si="6"/>
        <v>3</v>
      </c>
      <c r="G60" s="19">
        <f t="shared" si="6"/>
        <v>4</v>
      </c>
      <c r="H60" s="19">
        <f t="shared" si="6"/>
        <v>2</v>
      </c>
      <c r="I60" s="19">
        <f t="shared" si="6"/>
        <v>2</v>
      </c>
      <c r="J60" t="s">
        <v>863</v>
      </c>
    </row>
    <row r="61" spans="1:10" ht="12.75" customHeight="1" x14ac:dyDescent="0.2">
      <c r="A61" t="s">
        <v>859</v>
      </c>
      <c r="B61">
        <f>VLOOKUP(B$59, GradeRates, MATCH($A61, RateTiers, 0), 0)</f>
        <v>7</v>
      </c>
      <c r="C61" s="19">
        <f t="shared" si="6"/>
        <v>0.5</v>
      </c>
      <c r="D61" s="19">
        <f t="shared" si="6"/>
        <v>0.4</v>
      </c>
      <c r="E61" s="19">
        <f t="shared" si="6"/>
        <v>0.4</v>
      </c>
      <c r="F61" s="19">
        <f t="shared" si="6"/>
        <v>0.35</v>
      </c>
      <c r="G61" s="19">
        <f t="shared" si="6"/>
        <v>0.4</v>
      </c>
      <c r="H61" s="19">
        <f t="shared" si="6"/>
        <v>0.2</v>
      </c>
      <c r="I61" s="19">
        <f t="shared" si="6"/>
        <v>0.2</v>
      </c>
      <c r="J61" t="s">
        <v>864</v>
      </c>
    </row>
    <row r="62" spans="1:10" ht="12.75" customHeight="1" x14ac:dyDescent="0.2">
      <c r="A62" t="s">
        <v>860</v>
      </c>
      <c r="B62">
        <f>VLOOKUP(B$59, GradeRates, MATCH($A62, RateTiers, 0), 0)</f>
        <v>1</v>
      </c>
      <c r="C62" s="19">
        <f t="shared" si="6"/>
        <v>0.107421875</v>
      </c>
      <c r="D62" s="19">
        <f t="shared" si="6"/>
        <v>0.29296875</v>
      </c>
      <c r="E62" s="19">
        <f t="shared" si="6"/>
        <v>0.29296875</v>
      </c>
      <c r="F62" s="19">
        <f t="shared" si="6"/>
        <v>0.341796875</v>
      </c>
      <c r="G62" s="19">
        <f t="shared" si="6"/>
        <v>0.29296875</v>
      </c>
      <c r="H62" s="19">
        <f t="shared" si="6"/>
        <v>0.419921875</v>
      </c>
      <c r="I62" s="19">
        <f t="shared" si="6"/>
        <v>0.419921875</v>
      </c>
      <c r="J62" t="s">
        <v>865</v>
      </c>
    </row>
    <row r="63" spans="1:10" ht="12.75" customHeight="1" x14ac:dyDescent="0.2">
      <c r="A63" t="s">
        <v>861</v>
      </c>
      <c r="B63">
        <f>VLOOKUP(B$59, GradeRates, MATCH($A63, RateTiers, 0), 0)</f>
        <v>3</v>
      </c>
      <c r="C63" s="19">
        <f t="shared" si="6"/>
        <v>0.390625</v>
      </c>
      <c r="D63" s="19">
        <f t="shared" si="6"/>
        <v>0.390625</v>
      </c>
      <c r="E63" s="19">
        <f t="shared" si="6"/>
        <v>0.390625</v>
      </c>
      <c r="F63" s="19">
        <f t="shared" si="6"/>
        <v>0.390625</v>
      </c>
      <c r="G63" s="19">
        <f t="shared" si="6"/>
        <v>0.390625</v>
      </c>
      <c r="H63" s="19">
        <f t="shared" si="6"/>
        <v>0.390625</v>
      </c>
      <c r="I63" s="19">
        <f t="shared" si="6"/>
        <v>0.390625</v>
      </c>
      <c r="J63" t="s">
        <v>866</v>
      </c>
    </row>
    <row r="64" spans="1:10" ht="12.75" customHeight="1" x14ac:dyDescent="0.2">
      <c r="A64" t="s">
        <v>862</v>
      </c>
      <c r="B64">
        <f>VLOOKUP(B$59, GradeRates, MATCH($A64, RateTiers, 0), 0)</f>
        <v>3</v>
      </c>
    </row>
    <row r="65" spans="1:10" ht="12.75" customHeight="1" x14ac:dyDescent="0.2">
      <c r="A65" t="s">
        <v>201</v>
      </c>
      <c r="B65">
        <f>FLOOR((B60+MIN(59,$C$1-1)*B61+MAX(0,$C$1-30)*B62+MIN(15,MAX(0,$C$1-60))*B63+MAX(0,$C$1-75)*B64)/2,1)</f>
        <v>185</v>
      </c>
      <c r="C65">
        <f t="shared" ref="C65:I65" si="7">FLOOR((C60+FLOOR(MIN(59,$C$1-1)*C61,0.5)+FLOOR(MIN(15,MAX(0,$C$1-60))*C62,0.5)+FLOOR(MAX(0,$C$1-75)*C63,0.5))/2,0.5)</f>
        <v>14.5</v>
      </c>
      <c r="D65">
        <f t="shared" si="7"/>
        <v>11.5</v>
      </c>
      <c r="E65">
        <f t="shared" si="7"/>
        <v>11.5</v>
      </c>
      <c r="F65">
        <f t="shared" si="7"/>
        <v>9.5</v>
      </c>
      <c r="G65">
        <f t="shared" si="7"/>
        <v>11.5</v>
      </c>
      <c r="H65">
        <f t="shared" si="7"/>
        <v>5.5</v>
      </c>
      <c r="I65">
        <f t="shared" si="7"/>
        <v>5.5</v>
      </c>
    </row>
    <row r="66" spans="1:10" ht="12.75" customHeight="1" x14ac:dyDescent="0.2"/>
    <row r="67" spans="1:10" ht="12.75" customHeight="1" x14ac:dyDescent="0.2"/>
    <row r="68" spans="1:10" ht="12.75" customHeight="1" x14ac:dyDescent="0.2">
      <c r="A68" s="1" t="s">
        <v>7</v>
      </c>
      <c r="B68" s="32" t="s">
        <v>37</v>
      </c>
      <c r="C68" s="32" t="s">
        <v>30</v>
      </c>
      <c r="D68" s="32" t="s">
        <v>33</v>
      </c>
      <c r="E68" s="32" t="s">
        <v>29</v>
      </c>
      <c r="F68" s="32" t="s">
        <v>32</v>
      </c>
      <c r="G68" s="32" t="s">
        <v>153</v>
      </c>
      <c r="H68" s="32" t="s">
        <v>154</v>
      </c>
      <c r="I68" s="32" t="s">
        <v>482</v>
      </c>
    </row>
    <row r="69" spans="1:10" ht="12.75" customHeight="1" x14ac:dyDescent="0.2">
      <c r="A69" t="str">
        <f>Data!A1</f>
        <v>Hume</v>
      </c>
      <c r="B69" t="str">
        <f t="shared" ref="B69:I69" si="8">VLOOKUP($A69, Grades, MATCH(B$68, Stats, 0), 0)</f>
        <v>D</v>
      </c>
      <c r="C69" t="str">
        <f t="shared" si="8"/>
        <v>D</v>
      </c>
      <c r="D69" t="str">
        <f t="shared" si="8"/>
        <v>D</v>
      </c>
      <c r="E69" t="str">
        <f t="shared" si="8"/>
        <v>D</v>
      </c>
      <c r="F69" t="str">
        <f t="shared" si="8"/>
        <v>D</v>
      </c>
      <c r="G69" t="str">
        <f t="shared" si="8"/>
        <v>D</v>
      </c>
      <c r="H69" t="str">
        <f t="shared" si="8"/>
        <v>D</v>
      </c>
      <c r="I69" t="str">
        <f t="shared" si="8"/>
        <v>D</v>
      </c>
    </row>
    <row r="70" spans="1:10" ht="12.75" customHeight="1" x14ac:dyDescent="0.2">
      <c r="A70" t="s">
        <v>858</v>
      </c>
      <c r="B70">
        <f>VLOOKUP(B$69, GradeRates, MATCH($A70, RateTiers, 0), 0)</f>
        <v>14</v>
      </c>
      <c r="C70" s="19">
        <f t="shared" ref="C70:I73" si="9">VLOOKUP(C$69, GradeRates, MATCH($J70, RateTiers, 0), 0)</f>
        <v>3</v>
      </c>
      <c r="D70" s="19">
        <f t="shared" si="9"/>
        <v>3</v>
      </c>
      <c r="E70" s="19">
        <f t="shared" si="9"/>
        <v>3</v>
      </c>
      <c r="F70" s="19">
        <f t="shared" si="9"/>
        <v>3</v>
      </c>
      <c r="G70" s="19">
        <f t="shared" si="9"/>
        <v>3</v>
      </c>
      <c r="H70" s="19">
        <f t="shared" si="9"/>
        <v>3</v>
      </c>
      <c r="I70" s="19">
        <f t="shared" si="9"/>
        <v>3</v>
      </c>
      <c r="J70" t="s">
        <v>863</v>
      </c>
    </row>
    <row r="71" spans="1:10" ht="12.75" customHeight="1" x14ac:dyDescent="0.2">
      <c r="A71" t="s">
        <v>859</v>
      </c>
      <c r="B71">
        <f>VLOOKUP(B$69, GradeRates, MATCH($A71, RateTiers, 0), 0)</f>
        <v>6</v>
      </c>
      <c r="C71" s="19">
        <f t="shared" si="9"/>
        <v>0.35</v>
      </c>
      <c r="D71" s="19">
        <f t="shared" si="9"/>
        <v>0.35</v>
      </c>
      <c r="E71" s="19">
        <f t="shared" si="9"/>
        <v>0.35</v>
      </c>
      <c r="F71" s="19">
        <f t="shared" si="9"/>
        <v>0.35</v>
      </c>
      <c r="G71" s="19">
        <f t="shared" si="9"/>
        <v>0.35</v>
      </c>
      <c r="H71" s="19">
        <f t="shared" si="9"/>
        <v>0.35</v>
      </c>
      <c r="I71" s="19">
        <f t="shared" si="9"/>
        <v>0.35</v>
      </c>
      <c r="J71" t="s">
        <v>864</v>
      </c>
    </row>
    <row r="72" spans="1:10" ht="12.75" customHeight="1" x14ac:dyDescent="0.2">
      <c r="A72" t="s">
        <v>860</v>
      </c>
      <c r="B72">
        <f>VLOOKUP(B$69, GradeRates, MATCH($A72, RateTiers, 0), 0)</f>
        <v>0</v>
      </c>
      <c r="C72" s="19">
        <f t="shared" si="9"/>
        <v>0.341796875</v>
      </c>
      <c r="D72" s="19">
        <f t="shared" si="9"/>
        <v>0.341796875</v>
      </c>
      <c r="E72" s="19">
        <f t="shared" si="9"/>
        <v>0.341796875</v>
      </c>
      <c r="F72" s="19">
        <f t="shared" si="9"/>
        <v>0.341796875</v>
      </c>
      <c r="G72" s="19">
        <f t="shared" si="9"/>
        <v>0.341796875</v>
      </c>
      <c r="H72" s="19">
        <f t="shared" si="9"/>
        <v>0.341796875</v>
      </c>
      <c r="I72" s="19">
        <f t="shared" si="9"/>
        <v>0.341796875</v>
      </c>
      <c r="J72" t="s">
        <v>865</v>
      </c>
    </row>
    <row r="73" spans="1:10" ht="12.75" customHeight="1" x14ac:dyDescent="0.2">
      <c r="A73" t="s">
        <v>861</v>
      </c>
      <c r="B73">
        <f>VLOOKUP(B$69, GradeRates, MATCH($A73, RateTiers, 0), 0)</f>
        <v>3</v>
      </c>
      <c r="C73" s="19">
        <f t="shared" si="9"/>
        <v>0.390625</v>
      </c>
      <c r="D73" s="19">
        <f t="shared" si="9"/>
        <v>0.390625</v>
      </c>
      <c r="E73" s="19">
        <f t="shared" si="9"/>
        <v>0.390625</v>
      </c>
      <c r="F73" s="19">
        <f t="shared" si="9"/>
        <v>0.390625</v>
      </c>
      <c r="G73" s="19">
        <f t="shared" si="9"/>
        <v>0.390625</v>
      </c>
      <c r="H73" s="19">
        <f t="shared" si="9"/>
        <v>0.390625</v>
      </c>
      <c r="I73" s="19">
        <f t="shared" si="9"/>
        <v>0.390625</v>
      </c>
      <c r="J73" t="s">
        <v>866</v>
      </c>
    </row>
    <row r="74" spans="1:10" ht="12.75" customHeight="1" x14ac:dyDescent="0.2">
      <c r="A74" t="s">
        <v>862</v>
      </c>
      <c r="B74">
        <f>VLOOKUP(B$69, GradeRates, MATCH($A74, RateTiers, 0), 0)</f>
        <v>3</v>
      </c>
    </row>
    <row r="75" spans="1:10" ht="12.75" customHeight="1" x14ac:dyDescent="0.2">
      <c r="A75" t="s">
        <v>201</v>
      </c>
      <c r="B75">
        <f>B70+MIN(59,$B$1-1)*B71+MAX(0,$B$1-30)*B72+MIN(15,MAX(0,$B$1-60))*B73+MAX(0,$B$1-75)*B74</f>
        <v>485</v>
      </c>
      <c r="C75" s="109">
        <f t="shared" ref="C75:I75" si="10">C70+FLOOR(MIN(59,$B$1-1)*C71,0.5)+FLOOR(MIN(15,MAX(0,$B$1-60))*C72,0.5)+FLOOR(MAX(0,$B$1-75)*C73,0.5)</f>
        <v>37.5</v>
      </c>
      <c r="D75" s="109">
        <f t="shared" si="10"/>
        <v>37.5</v>
      </c>
      <c r="E75" s="109">
        <f t="shared" si="10"/>
        <v>37.5</v>
      </c>
      <c r="F75" s="109">
        <f t="shared" si="10"/>
        <v>37.5</v>
      </c>
      <c r="G75" s="109">
        <f t="shared" si="10"/>
        <v>37.5</v>
      </c>
      <c r="H75" s="109">
        <f t="shared" si="10"/>
        <v>37.5</v>
      </c>
      <c r="I75" s="109">
        <f t="shared" si="10"/>
        <v>37.5</v>
      </c>
    </row>
    <row r="76" spans="1:10" ht="12.75" customHeight="1" x14ac:dyDescent="0.2"/>
    <row r="77" spans="1:10" ht="12.75" customHeight="1" x14ac:dyDescent="0.2">
      <c r="B77" s="32" t="s">
        <v>37</v>
      </c>
      <c r="C77" s="32" t="s">
        <v>30</v>
      </c>
      <c r="D77" s="32" t="s">
        <v>33</v>
      </c>
      <c r="E77" s="32" t="s">
        <v>29</v>
      </c>
      <c r="F77" s="32" t="s">
        <v>32</v>
      </c>
      <c r="G77" s="32" t="s">
        <v>153</v>
      </c>
      <c r="H77" s="32" t="s">
        <v>154</v>
      </c>
      <c r="I77" s="32" t="s">
        <v>482</v>
      </c>
    </row>
    <row r="78" spans="1:10" ht="12.75" customHeight="1" x14ac:dyDescent="0.2">
      <c r="A78" t="s">
        <v>867</v>
      </c>
      <c r="B78">
        <f>MAX(0,$B$1-10)*2+MIN(10,MAX(0,$B$1-50))*2+IF(A49="Mnk",IF($B$1&gt;=15, 30,0)+IF($B$1&gt;=35, 30,0)+IF($B$1&gt;=55, 60,0)+IF($B$1&gt;=70, 60,0)+IF($B$1&gt;=90, 60,0))</f>
        <v>198</v>
      </c>
    </row>
    <row r="79" spans="1:10" ht="12.75" customHeight="1" x14ac:dyDescent="0.2"/>
    <row r="80" spans="1:1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173</vt:i4>
      </vt:variant>
    </vt:vector>
  </HeadingPairs>
  <TitlesOfParts>
    <vt:vector size="181" baseType="lpstr">
      <vt:lpstr>Setup</vt:lpstr>
      <vt:lpstr>Gear</vt:lpstr>
      <vt:lpstr>Data</vt:lpstr>
      <vt:lpstr>Weaponskill</vt:lpstr>
      <vt:lpstr>Melee</vt:lpstr>
      <vt:lpstr>Gear Lists</vt:lpstr>
      <vt:lpstr>Other Lists</vt:lpstr>
      <vt:lpstr>Stats</vt:lpstr>
      <vt:lpstr>AM2Table</vt:lpstr>
      <vt:lpstr>Ammo</vt:lpstr>
      <vt:lpstr>AmmoList</vt:lpstr>
      <vt:lpstr>AtmaHeader</vt:lpstr>
      <vt:lpstr>AtmaList</vt:lpstr>
      <vt:lpstr>Atmas</vt:lpstr>
      <vt:lpstr>AvgHitsPerHand1TP1</vt:lpstr>
      <vt:lpstr>AvgHitsPerHand1TP2</vt:lpstr>
      <vt:lpstr>AvgHitsPerHand2TP1</vt:lpstr>
      <vt:lpstr>AvgHitsPerHand2TP2</vt:lpstr>
      <vt:lpstr>AvgHitsPerRound1</vt:lpstr>
      <vt:lpstr>AvgHitsPerRound2</vt:lpstr>
      <vt:lpstr>AvgRoundsSet1</vt:lpstr>
      <vt:lpstr>AvgRoundsSet2</vt:lpstr>
      <vt:lpstr>Axe</vt:lpstr>
      <vt:lpstr>AxeList</vt:lpstr>
      <vt:lpstr>AxeWS</vt:lpstr>
      <vt:lpstr>Back</vt:lpstr>
      <vt:lpstr>BackList</vt:lpstr>
      <vt:lpstr>Body</vt:lpstr>
      <vt:lpstr>BodyList</vt:lpstr>
      <vt:lpstr>Boosts</vt:lpstr>
      <vt:lpstr>Brd</vt:lpstr>
      <vt:lpstr>BrdHeaders</vt:lpstr>
      <vt:lpstr>DREAMBonuses</vt:lpstr>
      <vt:lpstr>DREAMWeaponskills</vt:lpstr>
      <vt:lpstr>Earring</vt:lpstr>
      <vt:lpstr>EarringList</vt:lpstr>
      <vt:lpstr>ElvaanStats</vt:lpstr>
      <vt:lpstr>Entropy</vt:lpstr>
      <vt:lpstr>Feet</vt:lpstr>
      <vt:lpstr>FeetList</vt:lpstr>
      <vt:lpstr>Food</vt:lpstr>
      <vt:lpstr>FoodHeader</vt:lpstr>
      <vt:lpstr>FoodList</vt:lpstr>
      <vt:lpstr>GalkaStats</vt:lpstr>
      <vt:lpstr>Geo</vt:lpstr>
      <vt:lpstr>GeoHeaders</vt:lpstr>
      <vt:lpstr>Geomancy</vt:lpstr>
      <vt:lpstr>GeomancyBonuses</vt:lpstr>
      <vt:lpstr>GeomancyHeaders</vt:lpstr>
      <vt:lpstr>GeomancySpells</vt:lpstr>
      <vt:lpstr>GradeRates</vt:lpstr>
      <vt:lpstr>Grades</vt:lpstr>
      <vt:lpstr>GreatAxe</vt:lpstr>
      <vt:lpstr>GreatAxeList</vt:lpstr>
      <vt:lpstr>GreatAxeWS</vt:lpstr>
      <vt:lpstr>GreatSword</vt:lpstr>
      <vt:lpstr>GreatSwordList</vt:lpstr>
      <vt:lpstr>GreatSwordWS</vt:lpstr>
      <vt:lpstr>Grip</vt:lpstr>
      <vt:lpstr>GripList</vt:lpstr>
      <vt:lpstr>Hands</vt:lpstr>
      <vt:lpstr>HandsList</vt:lpstr>
      <vt:lpstr>Hastes</vt:lpstr>
      <vt:lpstr>Head</vt:lpstr>
      <vt:lpstr>HeadList</vt:lpstr>
      <vt:lpstr>HumeStats</vt:lpstr>
      <vt:lpstr>Ionis</vt:lpstr>
      <vt:lpstr>Legs</vt:lpstr>
      <vt:lpstr>LegsList</vt:lpstr>
      <vt:lpstr>MainList1</vt:lpstr>
      <vt:lpstr>MainList2</vt:lpstr>
      <vt:lpstr>MainWeaponGroup</vt:lpstr>
      <vt:lpstr>MainWeapons</vt:lpstr>
      <vt:lpstr>MithraStats</vt:lpstr>
      <vt:lpstr>MobHeader</vt:lpstr>
      <vt:lpstr>MobList</vt:lpstr>
      <vt:lpstr>Mobs</vt:lpstr>
      <vt:lpstr>Neck</vt:lpstr>
      <vt:lpstr>NeckList</vt:lpstr>
      <vt:lpstr>PlayerStats</vt:lpstr>
      <vt:lpstr>Races</vt:lpstr>
      <vt:lpstr>RateTiers</vt:lpstr>
      <vt:lpstr>Ring</vt:lpstr>
      <vt:lpstr>RingList</vt:lpstr>
      <vt:lpstr>Set1AM3</vt:lpstr>
      <vt:lpstr>Set1AM32</vt:lpstr>
      <vt:lpstr>Set1AM33</vt:lpstr>
      <vt:lpstr>Set1ConserveTP</vt:lpstr>
      <vt:lpstr>Set1CRatio</vt:lpstr>
      <vt:lpstr>Set1CritDmg</vt:lpstr>
      <vt:lpstr>Set1CritMain</vt:lpstr>
      <vt:lpstr>Set1CritOff</vt:lpstr>
      <vt:lpstr>Set1DA</vt:lpstr>
      <vt:lpstr>Set1FTP</vt:lpstr>
      <vt:lpstr>Set1MainDmg</vt:lpstr>
      <vt:lpstr>Set1MeleeTP</vt:lpstr>
      <vt:lpstr>Set1MinTP</vt:lpstr>
      <vt:lpstr>Set1OffDmg</vt:lpstr>
      <vt:lpstr>Set1OverTP</vt:lpstr>
      <vt:lpstr>Set1QA</vt:lpstr>
      <vt:lpstr>Set1Regain</vt:lpstr>
      <vt:lpstr>Set1SaveTP</vt:lpstr>
      <vt:lpstr>Set1TA</vt:lpstr>
      <vt:lpstr>Set1TPBonus</vt:lpstr>
      <vt:lpstr>Set1WSAgi</vt:lpstr>
      <vt:lpstr>Set1WSDex</vt:lpstr>
      <vt:lpstr>Set1WSDmg</vt:lpstr>
      <vt:lpstr>Set1WSHitRate</vt:lpstr>
      <vt:lpstr>Set1WSInt</vt:lpstr>
      <vt:lpstr>Set1WSMnd</vt:lpstr>
      <vt:lpstr>Set1WSStoreTP</vt:lpstr>
      <vt:lpstr>Set1WSStr</vt:lpstr>
      <vt:lpstr>Set1WSTP</vt:lpstr>
      <vt:lpstr>Set1WSVit</vt:lpstr>
      <vt:lpstr>Set2AM3</vt:lpstr>
      <vt:lpstr>Set2AM32</vt:lpstr>
      <vt:lpstr>Set2AM33</vt:lpstr>
      <vt:lpstr>Set2ConserveTP</vt:lpstr>
      <vt:lpstr>Set2CRatio</vt:lpstr>
      <vt:lpstr>Set2CritDmg</vt:lpstr>
      <vt:lpstr>Set2CritMain</vt:lpstr>
      <vt:lpstr>Set2CritOff</vt:lpstr>
      <vt:lpstr>Set2DA</vt:lpstr>
      <vt:lpstr>Set2FTP</vt:lpstr>
      <vt:lpstr>Set2MainDmg</vt:lpstr>
      <vt:lpstr>Set2MeleeTP</vt:lpstr>
      <vt:lpstr>Set2MinTP</vt:lpstr>
      <vt:lpstr>Set2OffDmg</vt:lpstr>
      <vt:lpstr>Set2OverTP</vt:lpstr>
      <vt:lpstr>Set2QA</vt:lpstr>
      <vt:lpstr>Set2Regain</vt:lpstr>
      <vt:lpstr>Set2SaveTP</vt:lpstr>
      <vt:lpstr>Set2TA</vt:lpstr>
      <vt:lpstr>Set2TPBonus</vt:lpstr>
      <vt:lpstr>Set2WSAgi</vt:lpstr>
      <vt:lpstr>Set2WSDex</vt:lpstr>
      <vt:lpstr>Set2WSDmg</vt:lpstr>
      <vt:lpstr>Set2WSHitRate</vt:lpstr>
      <vt:lpstr>Set2WSInt</vt:lpstr>
      <vt:lpstr>Set2WSMnd</vt:lpstr>
      <vt:lpstr>Set2WSStoreTP</vt:lpstr>
      <vt:lpstr>Set2WSStr</vt:lpstr>
      <vt:lpstr>Set2WSTP</vt:lpstr>
      <vt:lpstr>Set2WSVit</vt:lpstr>
      <vt:lpstr>SetBonusLookup</vt:lpstr>
      <vt:lpstr>Skills</vt:lpstr>
      <vt:lpstr>Slots</vt:lpstr>
      <vt:lpstr>Songs</vt:lpstr>
      <vt:lpstr>SongsHeaders</vt:lpstr>
      <vt:lpstr>SongsHonorBonuses</vt:lpstr>
      <vt:lpstr>SongsMadrigalBonuses</vt:lpstr>
      <vt:lpstr>SongsMinuetBonuses</vt:lpstr>
      <vt:lpstr>Souleater10</vt:lpstr>
      <vt:lpstr>Souleater12</vt:lpstr>
      <vt:lpstr>SouleaterOptions</vt:lpstr>
      <vt:lpstr>StatHeader</vt:lpstr>
      <vt:lpstr>Stats</vt:lpstr>
      <vt:lpstr>Sub1HWeapons</vt:lpstr>
      <vt:lpstr>Sub2HWeapons</vt:lpstr>
      <vt:lpstr>Subjobs</vt:lpstr>
      <vt:lpstr>SubList1</vt:lpstr>
      <vt:lpstr>SubList2</vt:lpstr>
      <vt:lpstr>Sword</vt:lpstr>
      <vt:lpstr>SwordList</vt:lpstr>
      <vt:lpstr>SwordWS</vt:lpstr>
      <vt:lpstr>Toggle</vt:lpstr>
      <vt:lpstr>TPSet1</vt:lpstr>
      <vt:lpstr>TPSet1Gear</vt:lpstr>
      <vt:lpstr>TPSet2</vt:lpstr>
      <vt:lpstr>TPSet2Gear</vt:lpstr>
      <vt:lpstr>Waist</vt:lpstr>
      <vt:lpstr>WaistList</vt:lpstr>
      <vt:lpstr>Weapon</vt:lpstr>
      <vt:lpstr>WeaponList</vt:lpstr>
      <vt:lpstr>WeaponskillData</vt:lpstr>
      <vt:lpstr>WeaponskillDataCols</vt:lpstr>
      <vt:lpstr>WeaponTypes</vt:lpstr>
      <vt:lpstr>WSSet1</vt:lpstr>
      <vt:lpstr>WSSet1Gear</vt:lpstr>
      <vt:lpstr>WSSet2</vt:lpstr>
      <vt:lpstr>WSSet2Gear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Dettenmaier</cp:lastModifiedBy>
  <dcterms:modified xsi:type="dcterms:W3CDTF">2020-09-11T23:37:21Z</dcterms:modified>
</cp:coreProperties>
</file>