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ajp2005_hw_ac_uk/Documents/University Documents/1st Year/SEM 2/Arduino buggy/Sensor characterisation/"/>
    </mc:Choice>
  </mc:AlternateContent>
  <xr:revisionPtr revIDLastSave="819" documentId="11_F25DC773A252ABDACC104829D19F48545ADE58EE" xr6:coauthVersionLast="47" xr6:coauthVersionMax="47" xr10:uidLastSave="{CBBA810C-767F-4739-9D8F-5DB3A8FC1C58}"/>
  <bookViews>
    <workbookView xWindow="-96" yWindow="0" windowWidth="11712" windowHeight="12336" firstSheet="9" activeTab="10" xr2:uid="{00000000-000D-0000-FFFF-FFFF00000000}"/>
  </bookViews>
  <sheets>
    <sheet name="black tape, dim" sheetId="2" r:id="rId1"/>
    <sheet name="dirty black tape, dim" sheetId="3" r:id="rId2"/>
    <sheet name="grey floor, dim" sheetId="5" r:id="rId3"/>
    <sheet name="dirty tape, bri" sheetId="7" r:id="rId4"/>
    <sheet name="clean tape, bright" sheetId="6" r:id="rId5"/>
    <sheet name="grey floor, bright" sheetId="8" r:id="rId6"/>
    <sheet name="Final results" sheetId="4" r:id="rId7"/>
    <sheet name="raw data summary" sheetId="9" r:id="rId8"/>
    <sheet name="raw data summary (2)" sheetId="16" r:id="rId9"/>
    <sheet name="effect of lighting and surface" sheetId="15" r:id="rId10"/>
    <sheet name="effect of light and surface" sheetId="10" r:id="rId11"/>
    <sheet name="sensor precision" sheetId="11" r:id="rId12"/>
    <sheet name="Sheet5" sheetId="14" r:id="rId13"/>
  </sheets>
  <definedNames>
    <definedName name="ExternalData_1" localSheetId="0" hidden="1">'black tape, dim'!$A$1:$C$28</definedName>
    <definedName name="ExternalData_1" localSheetId="4" hidden="1">'clean tape, bright'!$A$1:$C$30</definedName>
    <definedName name="ExternalData_1" localSheetId="1" hidden="1">'dirty black tape, dim'!$A$1:$C$31</definedName>
    <definedName name="ExternalData_1" localSheetId="3" hidden="1">'dirty tape, bri'!$A$1:$C$31</definedName>
    <definedName name="ExternalData_1" localSheetId="9" hidden="1">'effect of lighting and surface'!$A$1:$E$7</definedName>
    <definedName name="ExternalData_1" localSheetId="5" hidden="1">'grey floor, bright'!$A$1:$C$31</definedName>
    <definedName name="ExternalData_1" localSheetId="2" hidden="1">'grey floor, dim'!$A$1:$C$31</definedName>
    <definedName name="ExternalData_1" localSheetId="8" hidden="1">'raw data summary (2)'!$A$1:$H$19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  <c r="D13" i="10"/>
  <c r="E12" i="10"/>
  <c r="D12" i="10"/>
  <c r="D6" i="11"/>
  <c r="D8" i="11"/>
  <c r="D5" i="11"/>
  <c r="D7" i="11"/>
  <c r="D9" i="11"/>
  <c r="D4" i="11"/>
  <c r="E29" i="9"/>
  <c r="E28" i="9"/>
  <c r="E30" i="9"/>
  <c r="E31" i="9"/>
  <c r="E32" i="9"/>
  <c r="E27" i="9"/>
  <c r="F7" i="10"/>
  <c r="E7" i="10"/>
  <c r="D7" i="10"/>
  <c r="F6" i="10"/>
  <c r="E6" i="10"/>
  <c r="D6" i="10"/>
  <c r="F8" i="10"/>
  <c r="E8" i="10"/>
  <c r="D8" i="10"/>
  <c r="F4" i="10"/>
  <c r="E4" i="10"/>
  <c r="D4" i="10"/>
  <c r="F3" i="10"/>
  <c r="E3" i="10"/>
  <c r="D3" i="10"/>
  <c r="F5" i="10"/>
  <c r="E5" i="10"/>
  <c r="D5" i="10"/>
  <c r="D5" i="9"/>
  <c r="F5" i="9" s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3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E9" i="3"/>
  <c r="F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3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4" i="9"/>
  <c r="D3" i="9"/>
  <c r="I5" i="4"/>
  <c r="I7" i="4"/>
  <c r="I8" i="4"/>
  <c r="I9" i="4"/>
  <c r="I4" i="4"/>
  <c r="G5" i="4"/>
  <c r="H5" i="4"/>
  <c r="G7" i="4"/>
  <c r="H7" i="4"/>
  <c r="G8" i="4"/>
  <c r="H8" i="4"/>
  <c r="G9" i="4"/>
  <c r="H9" i="4"/>
  <c r="H4" i="4"/>
  <c r="G4" i="4"/>
  <c r="F7" i="4"/>
  <c r="E7" i="4"/>
  <c r="D7" i="4"/>
  <c r="F9" i="4"/>
  <c r="E9" i="4"/>
  <c r="D9" i="4"/>
  <c r="F8" i="4"/>
  <c r="E8" i="4"/>
  <c r="D8" i="4"/>
  <c r="F6" i="4"/>
  <c r="I6" i="4" s="1"/>
  <c r="E6" i="4"/>
  <c r="H6" i="4" s="1"/>
  <c r="D6" i="4"/>
  <c r="G6" i="4" s="1"/>
  <c r="F4" i="4"/>
  <c r="E4" i="4"/>
  <c r="D4" i="4"/>
  <c r="F5" i="4"/>
  <c r="E5" i="4"/>
  <c r="D5" i="4"/>
  <c r="H7" i="2"/>
  <c r="G15" i="3"/>
  <c r="G14" i="3"/>
  <c r="G13" i="3"/>
  <c r="F6" i="5"/>
  <c r="F5" i="5"/>
  <c r="F4" i="5"/>
  <c r="F6" i="3"/>
  <c r="F5" i="3"/>
  <c r="F7" i="2"/>
  <c r="G7" i="2"/>
  <c r="G6" i="10" l="1"/>
  <c r="G3" i="10"/>
  <c r="G4" i="10"/>
  <c r="G5" i="10"/>
  <c r="G8" i="10"/>
  <c r="G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CFE319-AB33-4CFF-87B0-3EE8B2FD1835}" keepAlive="1" name="Query - bright black tape" description="Connection to the 'bright black tape' query in the workbook." type="5" refreshedVersion="8" background="1" saveData="1">
    <dbPr connection="Provider=Microsoft.Mashup.OleDb.1;Data Source=$Workbook$;Location=&quot;bright black tape&quot;;Extended Properties=&quot;&quot;" command="SELECT * FROM [bright black tape]"/>
  </connection>
  <connection id="2" xr16:uid="{049C1AED-3262-4409-8629-95BFF460D5A5}" keepAlive="1" name="Query - bright dirty black tape" description="Connection to the 'bright dirty black tape' query in the workbook." type="5" refreshedVersion="8" background="1" saveData="1">
    <dbPr connection="Provider=Microsoft.Mashup.OleDb.1;Data Source=$Workbook$;Location=&quot;bright dirty black tape&quot;;Extended Properties=&quot;&quot;" command="SELECT * FROM [bright dirty black tape]"/>
  </connection>
  <connection id="3" xr16:uid="{64B84327-EAE9-46F7-B250-7067FF25F013}" keepAlive="1" name="Query - bright grey floor" description="Connection to the 'bright grey floor' query in the workbook." type="5" refreshedVersion="8" background="1" saveData="1">
    <dbPr connection="Provider=Microsoft.Mashup.OleDb.1;Data Source=$Workbook$;Location=&quot;bright grey floor&quot;;Extended Properties=&quot;&quot;" command="SELECT * FROM [bright grey floor]"/>
  </connection>
  <connection id="4" xr16:uid="{31D56A4A-BB24-436E-BEC7-C4BC0DA071CA}" keepAlive="1" name="Query - dim black tape" description="Connection to the 'dim black tape' query in the workbook." type="5" refreshedVersion="8" background="1" saveData="1">
    <dbPr connection="Provider=Microsoft.Mashup.OleDb.1;Data Source=$Workbook$;Location=&quot;dim black tape&quot;;Extended Properties=&quot;&quot;" command="SELECT * FROM [dim black tape]"/>
  </connection>
  <connection id="5" xr16:uid="{D042D4FB-0B0D-4854-A158-1D121A49B089}" keepAlive="1" name="Query - dim dirty black tape" description="Connection to the 'dim dirty black tape' query in the workbook." type="5" refreshedVersion="8" background="1" saveData="1">
    <dbPr connection="Provider=Microsoft.Mashup.OleDb.1;Data Source=$Workbook$;Location=&quot;dim dirty black tape&quot;;Extended Properties=&quot;&quot;" command="SELECT * FROM [dim dirty black tape]"/>
  </connection>
  <connection id="6" xr16:uid="{8F968FA1-637A-482B-9D70-E51C41A98F6C}" keepAlive="1" name="Query - dim grey floor" description="Connection to the 'dim grey floor' query in the workbook." type="5" refreshedVersion="8" background="1" saveData="1">
    <dbPr connection="Provider=Microsoft.Mashup.OleDb.1;Data Source=$Workbook$;Location=&quot;dim grey floor&quot;;Extended Properties=&quot;&quot;" command="SELECT * FROM [dim grey floor]"/>
  </connection>
  <connection id="7" xr16:uid="{39728C93-FD88-4ECB-A5F7-B3E816966980}" keepAlive="1" name="Query - effect of lighting and surface" description="Connection to the 'effect of lighting and surface' query in the workbook." type="5" refreshedVersion="8" background="1" saveData="1">
    <dbPr connection="Provider=Microsoft.Mashup.OleDb.1;Data Source=$Workbook$;Location=&quot;effect of lighting and surface&quot;;Extended Properties=&quot;&quot;" command="SELECT * FROM [effect of lighting and surface]"/>
  </connection>
  <connection id="8" xr16:uid="{C5DE065D-5188-4D52-8B60-A53B8959569C}" keepAlive="1" name="Query - raw data summary" description="Connection to the 'raw data summary' query in the workbook." type="5" refreshedVersion="8" background="1" saveData="1">
    <dbPr connection="Provider=Microsoft.Mashup.OleDb.1;Data Source=$Workbook$;Location=&quot;raw data summary&quot;;Extended Properties=&quot;&quot;" command="SELECT * FROM [raw data summary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<sst xmlns="http://schemas.openxmlformats.org/spreadsheetml/2006/main" count="298" uniqueCount="42">
  <si>
    <t>Left</t>
  </si>
  <si>
    <t>Middle</t>
  </si>
  <si>
    <t>Right</t>
  </si>
  <si>
    <t>Average</t>
  </si>
  <si>
    <t>Min</t>
  </si>
  <si>
    <t>Max</t>
  </si>
  <si>
    <t>total min</t>
  </si>
  <si>
    <t>total max</t>
  </si>
  <si>
    <t>average</t>
  </si>
  <si>
    <t>Lighting</t>
  </si>
  <si>
    <t>Surface</t>
  </si>
  <si>
    <t>dim</t>
  </si>
  <si>
    <t>bright</t>
  </si>
  <si>
    <t>grey floor</t>
  </si>
  <si>
    <t>black tape</t>
  </si>
  <si>
    <t>dirty black tape</t>
  </si>
  <si>
    <t>Analog read values</t>
  </si>
  <si>
    <t>Voltage (V)</t>
  </si>
  <si>
    <t>Standard deviation</t>
  </si>
  <si>
    <t>Voltage (average)</t>
  </si>
  <si>
    <t>Grey floor</t>
  </si>
  <si>
    <t>Sensor Position</t>
  </si>
  <si>
    <t>Clean black tape</t>
  </si>
  <si>
    <t>Dirty black tape</t>
  </si>
  <si>
    <t>left</t>
  </si>
  <si>
    <t>Average analog reading</t>
  </si>
  <si>
    <t>middle</t>
  </si>
  <si>
    <t>grey</t>
  </si>
  <si>
    <t>clean</t>
  </si>
  <si>
    <t>dirty</t>
  </si>
  <si>
    <t>Summary of all raw data</t>
  </si>
  <si>
    <t>Effect of lighting and surface on readings</t>
  </si>
  <si>
    <t>Average standard deviation</t>
  </si>
  <si>
    <t>Effect of lighting and surface on sensor precision</t>
  </si>
  <si>
    <t>Floor</t>
  </si>
  <si>
    <t>Line</t>
  </si>
  <si>
    <t>clean black tape</t>
  </si>
  <si>
    <t>Column1</t>
  </si>
  <si>
    <t>Mean</t>
  </si>
  <si>
    <t>black tape (clean)</t>
  </si>
  <si>
    <t>black tape (dirty)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</si>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</sst>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  <xf numFmtId="0" fontId="0" fillId="0" borderId="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44"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ambient</a:t>
            </a:r>
            <a:r>
              <a:rPr lang="en-US" baseline="0"/>
              <a:t> light and surface type on IR sensor analog readings</a:t>
            </a:r>
          </a:p>
        </c:rich>
      </c:tx>
      <c:layout>
        <c:manualLayout>
          <c:xMode val="edge"/>
          <c:yMode val="edge"/>
          <c:x val="0.1400067804024496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4747006566241791"/>
          <c:w val="0.84589129483814518"/>
          <c:h val="0.65256217248626081"/>
        </c:manualLayout>
      </c:layout>
      <c:lineChart>
        <c:grouping val="standard"/>
        <c:varyColors val="0"/>
        <c:ser>
          <c:idx val="0"/>
          <c:order val="0"/>
          <c:tx>
            <c:strRef>
              <c:f>'effect of light and surface'!$L$2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light and surface'!$J$3:$K$8</c:f>
              <c:multiLvlStrCache>
                <c:ptCount val="6"/>
                <c:lvl>
                  <c:pt idx="0">
                    <c:v>dim</c:v>
                  </c:pt>
                  <c:pt idx="1">
                    <c:v>bright</c:v>
                  </c:pt>
                  <c:pt idx="2">
                    <c:v>dim</c:v>
                  </c:pt>
                  <c:pt idx="3">
                    <c:v>bright</c:v>
                  </c:pt>
                  <c:pt idx="4">
                    <c:v>dim</c:v>
                  </c:pt>
                  <c:pt idx="5">
                    <c:v>bright</c:v>
                  </c:pt>
                </c:lvl>
                <c:lvl>
                  <c:pt idx="0">
                    <c:v>grey floor</c:v>
                  </c:pt>
                  <c:pt idx="2">
                    <c:v>black tape (clean)</c:v>
                  </c:pt>
                  <c:pt idx="4">
                    <c:v>black tape (dirty)</c:v>
                  </c:pt>
                </c:lvl>
              </c:multiLvlStrCache>
            </c:multiLvlStrRef>
          </c:cat>
          <c:val>
            <c:numRef>
              <c:f>'effect of light and surface'!$L$3:$L$8</c:f>
              <c:numCache>
                <c:formatCode>0.00</c:formatCode>
                <c:ptCount val="6"/>
                <c:pt idx="0">
                  <c:v>413.0333333333333</c:v>
                </c:pt>
                <c:pt idx="1">
                  <c:v>436.38888888888891</c:v>
                </c:pt>
                <c:pt idx="2">
                  <c:v>865.23456790123453</c:v>
                </c:pt>
                <c:pt idx="3">
                  <c:v>855.26436781609209</c:v>
                </c:pt>
                <c:pt idx="4">
                  <c:v>905.73333333333346</c:v>
                </c:pt>
                <c:pt idx="5">
                  <c:v>818.13333333333333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D-4D82-9AA0-9597B905C90D}"/>
            </c:ext>
          </c:extLst>
        </c:ser>
        <c:ser>
          <c:idx val="1"/>
          <c:order val="1"/>
          <c:tx>
            <c:strRef>
              <c:f>'effect of light and surface'!$M$2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light and surface'!$J$3:$K$8</c:f>
              <c:multiLvlStrCache>
                <c:ptCount val="6"/>
                <c:lvl>
                  <c:pt idx="0">
                    <c:v>dim</c:v>
                  </c:pt>
                  <c:pt idx="1">
                    <c:v>bright</c:v>
                  </c:pt>
                  <c:pt idx="2">
                    <c:v>dim</c:v>
                  </c:pt>
                  <c:pt idx="3">
                    <c:v>bright</c:v>
                  </c:pt>
                  <c:pt idx="4">
                    <c:v>dim</c:v>
                  </c:pt>
                  <c:pt idx="5">
                    <c:v>bright</c:v>
                  </c:pt>
                </c:lvl>
                <c:lvl>
                  <c:pt idx="0">
                    <c:v>grey floor</c:v>
                  </c:pt>
                  <c:pt idx="2">
                    <c:v>black tape (clean)</c:v>
                  </c:pt>
                  <c:pt idx="4">
                    <c:v>black tape (dirty)</c:v>
                  </c:pt>
                </c:lvl>
              </c:multiLvlStrCache>
            </c:multiLvlStrRef>
          </c:cat>
          <c:val>
            <c:numRef>
              <c:f>'effect of light and surface'!$M$3:$M$8</c:f>
              <c:numCache>
                <c:formatCode>General</c:formatCode>
                <c:ptCount val="6"/>
                <c:pt idx="0">
                  <c:v>360</c:v>
                </c:pt>
                <c:pt idx="1">
                  <c:v>373</c:v>
                </c:pt>
                <c:pt idx="2">
                  <c:v>838</c:v>
                </c:pt>
                <c:pt idx="3">
                  <c:v>826</c:v>
                </c:pt>
                <c:pt idx="4">
                  <c:v>802</c:v>
                </c:pt>
                <c:pt idx="5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D-4D82-9AA0-9597B905C90D}"/>
            </c:ext>
          </c:extLst>
        </c:ser>
        <c:ser>
          <c:idx val="2"/>
          <c:order val="2"/>
          <c:tx>
            <c:strRef>
              <c:f>'effect of light and surface'!$N$2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'effect of light and surface'!$J$3:$K$8</c:f>
              <c:multiLvlStrCache>
                <c:ptCount val="6"/>
                <c:lvl>
                  <c:pt idx="0">
                    <c:v>dim</c:v>
                  </c:pt>
                  <c:pt idx="1">
                    <c:v>bright</c:v>
                  </c:pt>
                  <c:pt idx="2">
                    <c:v>dim</c:v>
                  </c:pt>
                  <c:pt idx="3">
                    <c:v>bright</c:v>
                  </c:pt>
                  <c:pt idx="4">
                    <c:v>dim</c:v>
                  </c:pt>
                  <c:pt idx="5">
                    <c:v>bright</c:v>
                  </c:pt>
                </c:lvl>
                <c:lvl>
                  <c:pt idx="0">
                    <c:v>grey floor</c:v>
                  </c:pt>
                  <c:pt idx="2">
                    <c:v>black tape (clean)</c:v>
                  </c:pt>
                  <c:pt idx="4">
                    <c:v>black tape (dirty)</c:v>
                  </c:pt>
                </c:lvl>
              </c:multiLvlStrCache>
            </c:multiLvlStrRef>
          </c:cat>
          <c:val>
            <c:numRef>
              <c:f>'effect of light and surface'!$N$3:$N$8</c:f>
              <c:numCache>
                <c:formatCode>General</c:formatCode>
                <c:ptCount val="6"/>
                <c:pt idx="0">
                  <c:v>489</c:v>
                </c:pt>
                <c:pt idx="1">
                  <c:v>541</c:v>
                </c:pt>
                <c:pt idx="2">
                  <c:v>899</c:v>
                </c:pt>
                <c:pt idx="3">
                  <c:v>882</c:v>
                </c:pt>
                <c:pt idx="4">
                  <c:v>965</c:v>
                </c:pt>
                <c:pt idx="5">
                  <c:v>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D-4D82-9AA0-9597B905C90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79681344"/>
        <c:axId val="979682784"/>
      </c:lineChart>
      <c:catAx>
        <c:axId val="9796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82784"/>
        <c:crosses val="autoZero"/>
        <c:auto val="1"/>
        <c:lblAlgn val="ctr"/>
        <c:lblOffset val="100"/>
        <c:noMultiLvlLbl val="0"/>
      </c:catAx>
      <c:valAx>
        <c:axId val="97968278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44991251093618"/>
          <c:y val="0.92323245225864725"/>
          <c:w val="0.27089916885389326"/>
          <c:h val="6.5180062225709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'sensor precision'!$I$3</c:f>
              <c:strCache>
                <c:ptCount val="1"/>
                <c:pt idx="0">
                  <c:v>Average standard deviation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'sensor precision'!$G$4:$H$9</c:f>
              <c:multiLvlStrCache>
                <c:ptCount val="6"/>
                <c:lvl>
                  <c:pt idx="0">
                    <c:v>dim</c:v>
                  </c:pt>
                  <c:pt idx="1">
                    <c:v>bright</c:v>
                  </c:pt>
                  <c:pt idx="2">
                    <c:v>dim</c:v>
                  </c:pt>
                  <c:pt idx="3">
                    <c:v>bright</c:v>
                  </c:pt>
                  <c:pt idx="4">
                    <c:v>dim</c:v>
                  </c:pt>
                  <c:pt idx="5">
                    <c:v>bright</c:v>
                  </c:pt>
                </c:lvl>
                <c:lvl>
                  <c:pt idx="0">
                    <c:v>grey floor</c:v>
                  </c:pt>
                  <c:pt idx="2">
                    <c:v>black tape (clean)</c:v>
                  </c:pt>
                  <c:pt idx="4">
                    <c:v>black tape (dirty)</c:v>
                  </c:pt>
                </c:lvl>
              </c:multiLvlStrCache>
            </c:multiLvlStrRef>
          </c:cat>
          <c:val>
            <c:numRef>
              <c:f>'sensor precision'!$I$4:$I$9</c:f>
              <c:numCache>
                <c:formatCode>General</c:formatCode>
                <c:ptCount val="6"/>
                <c:pt idx="0">
                  <c:v>0.88334453096700427</c:v>
                </c:pt>
                <c:pt idx="1">
                  <c:v>1.2412845037310156</c:v>
                </c:pt>
                <c:pt idx="2">
                  <c:v>2.7867681981517651</c:v>
                </c:pt>
                <c:pt idx="3">
                  <c:v>1.050481096762244</c:v>
                </c:pt>
                <c:pt idx="4">
                  <c:v>8.7453244311053293</c:v>
                </c:pt>
                <c:pt idx="5">
                  <c:v>2.4077059818332578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9F7-9426-AD7DA866C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789616"/>
        <c:axId val="1289790576"/>
      </c:barChart>
      <c:catAx>
        <c:axId val="12897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90576"/>
        <c:crosses val="autoZero"/>
        <c:auto val="1"/>
        <c:lblAlgn val="ctr"/>
        <c:lblOffset val="100"/>
        <c:noMultiLvlLbl val="0"/>
      </c:catAx>
      <c:valAx>
        <c:axId val="1289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598170</xdr:colOff>
      <xdr:row>10</xdr:row>
      <xdr:rowOff>102870</xdr:rowOff>
    </xdr:from>
    <xdr:to>
      <xdr:col>15</xdr:col>
      <xdr:colOff>293370</xdr:colOff>
      <xdr:row>28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861243-AC02-5794-7F5C-6137E8EE5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179070</xdr:rowOff>
    </xdr:from>
    <xdr:to>
      <xdr:col>10</xdr:col>
      <xdr:colOff>49530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11620-AC22-0CF8-C8BC-01C5FFD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517C2D0-A47E-4C97-8CA0-E487A7AA182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69FF4D-6AA0-4B5E-9192-028CF57ADCF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D07E472-C198-4133-86A4-8717503A8F5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4CE9856-4061-4757-8971-E1C5DF73D11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386217-7B33-4B59-98EC-49ECF57EED0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C636DCB-3730-4C11-BEC4-87C0DED1111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BADA17F-AA7E-4A65-B565-87B79B5C4F25}" autoFormatId="16" applyNumberFormats="0" applyBorderFormats="0" applyFontFormats="0" applyPatternFormats="0" applyAlignmentFormats="0" applyWidthHeightFormats="0">
  <queryTableRefresh nextId="9">
    <queryTableFields count="8">
      <queryTableField id="1" name="Sensor Position" tableColumnId="1"/>
      <queryTableField id="2" name="Lighting" tableColumnId="2"/>
      <queryTableField id="3" name="Surface" tableColumnId="3"/>
      <queryTableField id="4" name="Average analog reading" tableColumnId="4"/>
      <queryTableField id="5" name="Standard deviation" tableColumnId="5"/>
      <queryTableField id="6" name="Voltage (average)" tableColumnId="6"/>
      <queryTableField id="7" name="Min" tableColumnId="7"/>
      <queryTableField id="8" name="Max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01A4692-D40D-4004-9EB1-4D1747804CD1}" autoFormatId="16" applyNumberFormats="0" applyBorderFormats="0" applyFontFormats="0" applyPatternFormats="0" applyAlignmentFormats="0" applyWidthHeightFormats="0">
  <queryTableRefresh nextId="6">
    <queryTableFields count="5">
      <queryTableField id="1" name="Lighting" tableColumnId="1"/>
      <queryTableField id="2" name="Surface" tableColumnId="2"/>
      <queryTableField id="3" name="Average analog reading" tableColumnId="3"/>
      <queryTableField id="4" name="Min" tableColumnId="4"/>
      <queryTableField id="5" name="Max" tableColumnId="5"/>
    </queryTableFields>
  </queryTableRefresh>
</queryTable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107BA-FC05-4D0A-9B22-C9B80C7140A6}" name="dim_black_tape" displayName="dim_black_tape" ref="A1:C28" tableType="queryTable" totalsRowShown="0">
  <autoFilter ref="A1:C28" xr:uid="{82F107BA-FC05-4D0A-9B22-C9B80C7140A6}"/>
  <tableColumns count="3">
    <tableColumn id="1" xr3:uid="{5050342F-7801-4B33-8B98-E8F637A70379}" uniqueName="1" name="Left" queryTableFieldId="1"/>
    <tableColumn id="2" xr3:uid="{7ABBAAB7-929B-453A-AE71-38ECA34DC123}" uniqueName="2" name="Middle" queryTableFieldId="2"/>
    <tableColumn id="3" xr3:uid="{12380D8B-7BB9-424F-85D4-7D36C8702FB3}" uniqueName="3" name="Righ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726734-8C73-43F5-8214-508035742A10}" name="Table8" displayName="Table8" ref="B2:G8" totalsRowShown="0" headerRowDxfId="27" headerRowBorderDxfId="26" tableBorderDxfId="25" totalsRowBorderDxfId="24">
  <autoFilter ref="B2:G8" xr:uid="{CB726734-8C73-43F5-8214-508035742A10}"/>
  <sortState xmlns:xlrd2="http://schemas.microsoft.com/office/spreadsheetml/2017/richdata2" ref="B3:G8">
    <sortCondition descending="1" ref="C2:C8"/>
  </sortState>
  <tableColumns count="6">
    <tableColumn id="1" xr3:uid="{D4CDED52-1627-403E-9A7F-6B70B8697E5E}" name="Surface" dataDxfId="23"/>
    <tableColumn id="2" xr3:uid="{D4463FF6-5C03-4954-9E8B-170325AB6E22}" name="Lighting" dataDxfId="22"/>
    <tableColumn id="3" xr3:uid="{0C7B3483-F6CD-4549-9D61-262F9474E78F}" name="Average analog reading" dataDxfId="21">
      <calculatedColumnFormula>AVERAGE('raw data summary'!D3,'raw data summary'!D9,'raw data summary'!D15)</calculatedColumnFormula>
    </tableColumn>
    <tableColumn id="4" xr3:uid="{BB75E397-4BE0-4C3B-B60A-0118BD9AF12D}" name="Min" dataDxfId="20">
      <calculatedColumnFormula>MIN('raw data summary'!G3,'raw data summary'!G9,'raw data summary'!G15)</calculatedColumnFormula>
    </tableColumn>
    <tableColumn id="5" xr3:uid="{60A56D76-B7D5-4AC5-944B-18FA8DC0F835}" name="Max" dataDxfId="19">
      <calculatedColumnFormula>MAX('raw data summary'!H3,'raw data summary'!H9,'raw data summary'!H15)</calculatedColumnFormula>
    </tableColumn>
    <tableColumn id="6" xr3:uid="{5DDA8B74-7D27-43FE-91BF-34B2E3415F1C}" name="Range" dataDxfId="0">
      <calculatedColumnFormula>Table8[[#This Row],[Max]]-Table8[[#This Row],[Min]]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FD5550A-1146-4172-9A51-746706A0320D}" name="Table813" displayName="Table813" ref="B16:G22" totalsRowShown="0" headerRowDxfId="18" headerRowBorderDxfId="17" tableBorderDxfId="16" totalsRowBorderDxfId="15">
  <autoFilter ref="B16:G22" xr:uid="{6FD5550A-1146-4172-9A51-746706A0320D}"/>
  <sortState xmlns:xlrd2="http://schemas.microsoft.com/office/spreadsheetml/2017/richdata2" ref="B17:F22">
    <sortCondition ref="B3:B8" customList="dim,bright"/>
  </sortState>
  <tableColumns count="6">
    <tableColumn id="2" xr3:uid="{DC6DEDAE-E474-4FD9-ADA0-DF00D44A0B74}" name="Column1" dataDxfId="14"/>
    <tableColumn id="1" xr3:uid="{1B07B1BB-D78D-4C4C-92C1-1E1FB036D22F}" name="Surface" dataDxfId="13"/>
    <tableColumn id="3" xr3:uid="{2595B29D-E3B4-4B32-AB37-1A099E7F1733}" name="Average analog reading" dataDxfId="12"/>
    <tableColumn id="4" xr3:uid="{9EC8CA6F-A2A1-4E84-AC7A-7A6CCBD3D071}" name="Min" dataDxfId="11"/>
    <tableColumn id="5" xr3:uid="{07942DAD-7702-4049-A812-165D19B2CCF1}" name="Max" dataDxfId="10"/>
    <tableColumn id="6" xr3:uid="{F2822DAF-0EC9-4233-9984-96992600DF8A}" name="Lighting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113093-C7B5-4A7D-95BC-5E2C8A448483}" name="Table13" displayName="Table13" ref="B3:D9" totalsRowShown="0" headerRowDxfId="8" dataDxfId="6" headerRowBorderDxfId="7" tableBorderDxfId="5" totalsRowBorderDxfId="4">
  <autoFilter ref="B3:D9" xr:uid="{75113093-C7B5-4A7D-95BC-5E2C8A448483}"/>
  <tableColumns count="3">
    <tableColumn id="2" xr3:uid="{7CC55700-E886-44FE-9D1A-82CF999071A4}" name="Surface" dataDxfId="3"/>
    <tableColumn id="1" xr3:uid="{A2A1197A-1255-4893-950F-BBBE02885129}" name="Lighting" dataDxfId="2"/>
    <tableColumn id="3" xr3:uid="{7C27862B-8FF9-4B72-A645-5EE356068887}" name="Average standard deviation" dataDxfId="1">
      <calculatedColumnFormula>AVERAGE('raw data summary'!E3,'raw data summary'!E9,'raw data summary'!E15)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D7F62-C98C-4347-87B7-7D280C63FD17}" name="dim_dirty_black_tape" displayName="dim_dirty_black_tape" ref="A1:C31" tableType="queryTable" totalsRowShown="0">
  <autoFilter ref="A1:C31" xr:uid="{99ED7F62-C98C-4347-87B7-7D280C63FD17}"/>
  <tableColumns count="3">
    <tableColumn id="1" xr3:uid="{057D7524-E04B-4D28-8DE9-58A4FFBF6A25}" uniqueName="1" name="Left" queryTableFieldId="1"/>
    <tableColumn id="2" xr3:uid="{3F6C1BC2-5BBD-45BC-8AF0-71F6AC7765BC}" uniqueName="2" name="Middle" queryTableFieldId="2"/>
    <tableColumn id="3" xr3:uid="{725AE927-887E-44BC-92BB-081C430A144E}" uniqueName="3" name="Righ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BDFBB-6182-4791-AAAE-B4A3FDF36FC3}" name="dim_grey_floor" displayName="dim_grey_floor" ref="A1:C31" tableType="queryTable" totalsRowShown="0">
  <autoFilter ref="A1:C31" xr:uid="{257BDFBB-6182-4791-AAAE-B4A3FDF36FC3}"/>
  <tableColumns count="3">
    <tableColumn id="1" xr3:uid="{C8046106-A932-4895-84D0-01E00D86023F}" uniqueName="1" name="Left" queryTableFieldId="1"/>
    <tableColumn id="2" xr3:uid="{C819E840-D2B6-4B79-A460-9F2D2CB200E9}" uniqueName="2" name="Middle" queryTableFieldId="2"/>
    <tableColumn id="3" xr3:uid="{2E9E2608-2D69-44D5-95DA-F5134D1A64EA}" uniqueName="3" name="Right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45CE0-EB24-4BB2-A378-FB70D13EE14F}" name="bright_dirty_black_tape" displayName="bright_dirty_black_tape" ref="A1:C31" tableType="queryTable" totalsRowShown="0">
  <autoFilter ref="A1:C31" xr:uid="{41D45CE0-EB24-4BB2-A378-FB70D13EE14F}"/>
  <tableColumns count="3">
    <tableColumn id="1" xr3:uid="{39B5A994-3F42-4EFB-BD2D-FCC6B9021E1B}" uniqueName="1" name="Left" queryTableFieldId="1"/>
    <tableColumn id="2" xr3:uid="{B8FA69DD-47E0-462E-AD89-0583A6931B8B}" uniqueName="2" name="Middle" queryTableFieldId="2"/>
    <tableColumn id="3" xr3:uid="{BC5661B2-0114-48F3-AC36-8725AD412AA6}" uniqueName="3" name="Righ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777F84-6C45-4BFC-B544-730955AD9545}" name="bright_black_tape" displayName="bright_black_tape" ref="A1:C30" tableType="queryTable" totalsRowShown="0">
  <autoFilter ref="A1:C30" xr:uid="{43777F84-6C45-4BFC-B544-730955AD9545}"/>
  <tableColumns count="3">
    <tableColumn id="1" xr3:uid="{82DFF856-9FBD-462F-BCED-3C059976C041}" uniqueName="1" name="Left" queryTableFieldId="1"/>
    <tableColumn id="2" xr3:uid="{362827E8-7907-456B-BF26-01C11F8F316E}" uniqueName="2" name="Middle" queryTableFieldId="2"/>
    <tableColumn id="3" xr3:uid="{B5AA541A-A265-4B60-98CE-6521CA302645}" uniqueName="3" name="Righ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B12DCA-15D5-4C23-A2AE-7C6ED32B0E74}" name="bright_grey_floor" displayName="bright_grey_floor" ref="A1:C31" tableType="queryTable" totalsRowShown="0">
  <autoFilter ref="A1:C31" xr:uid="{44B12DCA-15D5-4C23-A2AE-7C6ED32B0E74}"/>
  <tableColumns count="3">
    <tableColumn id="1" xr3:uid="{BB57839D-39F6-4276-B769-2F0BFE36D726}" uniqueName="1" name="Left" queryTableFieldId="1"/>
    <tableColumn id="2" xr3:uid="{921E7F83-5E95-47AD-A85D-52077185928B}" uniqueName="2" name="Middle" queryTableFieldId="2"/>
    <tableColumn id="3" xr3:uid="{DA462188-982F-4F41-9CAA-F5A5EC6618B3}" uniqueName="3" name="Right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C7F378-AB52-4A99-AD8B-19ABC191370B}" name="Table9" displayName="Table9" ref="A2:H20" totalsRowShown="0" headerRowDxfId="43" headerRowBorderDxfId="42" tableBorderDxfId="41">
  <autoFilter ref="A2:H20" xr:uid="{F9C7F378-AB52-4A99-AD8B-19ABC191370B}"/>
  <tableColumns count="8">
    <tableColumn id="1" xr3:uid="{E2006FBB-7400-4314-B723-FB9FB64B1739}" name="Sensor Position" dataDxfId="40"/>
    <tableColumn id="2" xr3:uid="{3A7CE447-FF8C-477B-9CA6-959E8A0E7A9D}" name="Lighting" dataDxfId="39"/>
    <tableColumn id="3" xr3:uid="{CCC16751-8019-4FEE-B9A5-7B73A261F1C8}" name="Surface" dataDxfId="38"/>
    <tableColumn id="4" xr3:uid="{1107EE39-5B6D-413B-BE19-B920E6CE8307}" name="Average analog reading" dataDxfId="37"/>
    <tableColumn id="5" xr3:uid="{C3F9146E-0876-4513-A1F8-3D19C3505F00}" name="Standard deviation" dataDxfId="36"/>
    <tableColumn id="6" xr3:uid="{8EEF1728-1757-45B3-B7FE-BBC7D621921D}" name="Voltage (average)" dataDxfId="35">
      <calculatedColumnFormula>(D3/1024)*5</calculatedColumnFormula>
    </tableColumn>
    <tableColumn id="7" xr3:uid="{07D80A33-3221-4B80-9ABE-B48EA9E365FB}" name="Min" dataDxfId="34"/>
    <tableColumn id="8" xr3:uid="{2C4579BE-CAB4-4D41-8436-C4F2769C0AD2}" name="Max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A5B275-0C51-46F1-B19D-6CEFBB699742}" name="raw_data_summary" displayName="raw_data_summary" ref="A1:H19" tableType="queryTable" totalsRowShown="0">
  <autoFilter ref="A1:H19" xr:uid="{0EA5B275-0C51-46F1-B19D-6CEFBB699742}"/>
  <tableColumns count="8">
    <tableColumn id="1" xr3:uid="{2E7EFBB3-C148-4C68-A442-91F31ACB406A}" uniqueName="1" name="Sensor Position" queryTableFieldId="1" dataDxfId="32"/>
    <tableColumn id="2" xr3:uid="{A3AF15AA-7AA0-498F-B3A5-A774892F86E3}" uniqueName="2" name="Lighting" queryTableFieldId="2" dataDxfId="31"/>
    <tableColumn id="3" xr3:uid="{9729A588-3654-455B-8D50-6E16BCBE663D}" uniqueName="3" name="Surface" queryTableFieldId="3" dataDxfId="30"/>
    <tableColumn id="4" xr3:uid="{CB786D8B-3B12-432A-ACDE-AC9DF8135DCF}" uniqueName="4" name="Average analog reading" queryTableFieldId="4"/>
    <tableColumn id="5" xr3:uid="{C2345ACB-F45E-4B82-8190-08F751FF8241}" uniqueName="5" name="Standard deviation" queryTableFieldId="5"/>
    <tableColumn id="6" xr3:uid="{25522307-A96B-4909-A939-D339C39EFEBA}" uniqueName="6" name="Voltage (average)" queryTableFieldId="6"/>
    <tableColumn id="7" xr3:uid="{FD322A55-D11A-4329-AFE9-A026D6D6E75F}" uniqueName="7" name="Min" queryTableFieldId="7"/>
    <tableColumn id="8" xr3:uid="{8034F7BD-9EE8-4AB3-B9EF-7F7C6308B02D}" uniqueName="8" name="Max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B7AFF4-BDE8-4EAD-91A8-105660552D03}" name="effect_of_lighting_and_surface" displayName="effect_of_lighting_and_surface" ref="A1:E7" tableType="queryTable" totalsRowShown="0">
  <autoFilter ref="A1:E7" xr:uid="{F7B7AFF4-BDE8-4EAD-91A8-105660552D03}"/>
  <tableColumns count="5">
    <tableColumn id="1" xr3:uid="{A66E9EA2-BCA6-417F-B9E1-1A9497D417F4}" uniqueName="1" name="Lighting" queryTableFieldId="1" dataDxfId="29"/>
    <tableColumn id="2" xr3:uid="{75B9891D-3C04-4370-B2F7-C26400EEBE20}" uniqueName="2" name="Surface" queryTableFieldId="2" dataDxfId="28"/>
    <tableColumn id="3" xr3:uid="{760C9C80-F937-4C68-86FA-54F867634E8A}" uniqueName="3" name="Average analog reading" queryTableFieldId="3"/>
    <tableColumn id="4" xr3:uid="{1AB7A9F6-2456-496F-80C1-32873F023C1C}" uniqueName="4" name="Min" queryTableFieldId="4"/>
    <tableColumn id="5" xr3:uid="{B1A8ECCE-F40E-43C9-91A5-7A459E36C965}" uniqueName="5" name="Max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4DE-3A71-47C0-B208-D21A89733ABF}">
  <dimension ref="A1:H28"/>
  <sheetViews>
    <sheetView workbookViewId="0">
      <selection activeCell="E17" sqref="E17"/>
    </sheetView>
  </sheetViews>
  <sheetFormatPr defaultRowHeight="14.4" x14ac:dyDescent="0.3"/>
  <cols>
    <col min="1" max="3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848</v>
      </c>
      <c r="B2">
        <v>857</v>
      </c>
      <c r="C2">
        <v>895</v>
      </c>
      <c r="F2" t="s">
        <v>0</v>
      </c>
      <c r="G2" t="s">
        <v>1</v>
      </c>
      <c r="H2" t="s">
        <v>2</v>
      </c>
    </row>
    <row r="3" spans="1:8" x14ac:dyDescent="0.3">
      <c r="A3">
        <v>849</v>
      </c>
      <c r="B3">
        <v>858</v>
      </c>
      <c r="C3">
        <v>897</v>
      </c>
      <c r="E3" t="s">
        <v>3</v>
      </c>
    </row>
    <row r="4" spans="1:8" x14ac:dyDescent="0.3">
      <c r="A4">
        <v>847</v>
      </c>
      <c r="B4">
        <v>857</v>
      </c>
      <c r="C4">
        <v>894</v>
      </c>
      <c r="E4" t="s">
        <v>4</v>
      </c>
    </row>
    <row r="5" spans="1:8" x14ac:dyDescent="0.3">
      <c r="A5">
        <v>846</v>
      </c>
      <c r="B5">
        <v>856</v>
      </c>
      <c r="C5">
        <v>893</v>
      </c>
      <c r="E5" t="s">
        <v>5</v>
      </c>
    </row>
    <row r="6" spans="1:8" x14ac:dyDescent="0.3">
      <c r="A6">
        <v>852</v>
      </c>
      <c r="B6">
        <v>861</v>
      </c>
      <c r="C6">
        <v>899</v>
      </c>
      <c r="F6" t="s">
        <v>6</v>
      </c>
      <c r="G6" t="s">
        <v>7</v>
      </c>
      <c r="H6" t="s">
        <v>8</v>
      </c>
    </row>
    <row r="7" spans="1:8" x14ac:dyDescent="0.3">
      <c r="A7">
        <v>843</v>
      </c>
      <c r="B7">
        <v>853</v>
      </c>
      <c r="C7">
        <v>891</v>
      </c>
      <c r="F7">
        <f>MIN(dim_black_tape[])</f>
        <v>838</v>
      </c>
      <c r="G7">
        <f>MAX(dim_black_tape[])</f>
        <v>899</v>
      </c>
      <c r="H7">
        <f>AVERAGE(dim_black_tape[])</f>
        <v>865.23456790123453</v>
      </c>
    </row>
    <row r="8" spans="1:8" x14ac:dyDescent="0.3">
      <c r="A8">
        <v>845</v>
      </c>
      <c r="B8">
        <v>854</v>
      </c>
      <c r="C8">
        <v>892</v>
      </c>
    </row>
    <row r="9" spans="1:8" x14ac:dyDescent="0.3">
      <c r="A9">
        <v>838</v>
      </c>
      <c r="B9">
        <v>847</v>
      </c>
      <c r="C9">
        <v>885</v>
      </c>
    </row>
    <row r="10" spans="1:8" x14ac:dyDescent="0.3">
      <c r="A10">
        <v>849</v>
      </c>
      <c r="B10">
        <v>858</v>
      </c>
      <c r="C10">
        <v>896</v>
      </c>
    </row>
    <row r="11" spans="1:8" x14ac:dyDescent="0.3">
      <c r="A11">
        <v>850</v>
      </c>
      <c r="B11">
        <v>859</v>
      </c>
      <c r="C11">
        <v>896</v>
      </c>
    </row>
    <row r="12" spans="1:8" x14ac:dyDescent="0.3">
      <c r="A12">
        <v>849</v>
      </c>
      <c r="B12">
        <v>857</v>
      </c>
      <c r="C12">
        <v>894</v>
      </c>
    </row>
    <row r="13" spans="1:8" x14ac:dyDescent="0.3">
      <c r="A13">
        <v>847</v>
      </c>
      <c r="B13">
        <v>856</v>
      </c>
      <c r="C13">
        <v>895</v>
      </c>
    </row>
    <row r="14" spans="1:8" x14ac:dyDescent="0.3">
      <c r="A14">
        <v>850</v>
      </c>
      <c r="B14">
        <v>859</v>
      </c>
      <c r="C14">
        <v>897</v>
      </c>
    </row>
    <row r="15" spans="1:8" x14ac:dyDescent="0.3">
      <c r="A15">
        <v>848</v>
      </c>
      <c r="B15">
        <v>857</v>
      </c>
      <c r="C15">
        <v>895</v>
      </c>
    </row>
    <row r="16" spans="1:8" x14ac:dyDescent="0.3">
      <c r="A16">
        <v>848</v>
      </c>
      <c r="B16">
        <v>857</v>
      </c>
      <c r="C16">
        <v>895</v>
      </c>
    </row>
    <row r="17" spans="1:3" x14ac:dyDescent="0.3">
      <c r="A17">
        <v>840</v>
      </c>
      <c r="B17">
        <v>849</v>
      </c>
      <c r="C17">
        <v>888</v>
      </c>
    </row>
    <row r="18" spans="1:3" x14ac:dyDescent="0.3">
      <c r="A18">
        <v>846</v>
      </c>
      <c r="B18">
        <v>855</v>
      </c>
      <c r="C18">
        <v>894</v>
      </c>
    </row>
    <row r="19" spans="1:3" x14ac:dyDescent="0.3">
      <c r="A19">
        <v>847</v>
      </c>
      <c r="B19">
        <v>855</v>
      </c>
      <c r="C19">
        <v>894</v>
      </c>
    </row>
    <row r="20" spans="1:3" x14ac:dyDescent="0.3">
      <c r="A20">
        <v>848</v>
      </c>
      <c r="B20">
        <v>857</v>
      </c>
      <c r="C20">
        <v>895</v>
      </c>
    </row>
    <row r="21" spans="1:3" x14ac:dyDescent="0.3">
      <c r="A21">
        <v>846</v>
      </c>
      <c r="B21">
        <v>855</v>
      </c>
      <c r="C21">
        <v>893</v>
      </c>
    </row>
    <row r="22" spans="1:3" x14ac:dyDescent="0.3">
      <c r="A22">
        <v>846</v>
      </c>
      <c r="B22">
        <v>854</v>
      </c>
      <c r="C22">
        <v>893</v>
      </c>
    </row>
    <row r="23" spans="1:3" x14ac:dyDescent="0.3">
      <c r="A23">
        <v>846</v>
      </c>
      <c r="B23">
        <v>855</v>
      </c>
      <c r="C23">
        <v>894</v>
      </c>
    </row>
    <row r="24" spans="1:3" x14ac:dyDescent="0.3">
      <c r="A24">
        <v>847</v>
      </c>
      <c r="B24">
        <v>855</v>
      </c>
      <c r="C24">
        <v>894</v>
      </c>
    </row>
    <row r="25" spans="1:3" x14ac:dyDescent="0.3">
      <c r="A25">
        <v>846</v>
      </c>
      <c r="B25">
        <v>854</v>
      </c>
      <c r="C25">
        <v>893</v>
      </c>
    </row>
    <row r="26" spans="1:3" x14ac:dyDescent="0.3">
      <c r="A26">
        <v>846</v>
      </c>
      <c r="B26">
        <v>855</v>
      </c>
      <c r="C26">
        <v>893</v>
      </c>
    </row>
    <row r="27" spans="1:3" x14ac:dyDescent="0.3">
      <c r="A27">
        <v>845</v>
      </c>
      <c r="B27">
        <v>854</v>
      </c>
      <c r="C27">
        <v>892</v>
      </c>
    </row>
    <row r="28" spans="1:3" x14ac:dyDescent="0.3">
      <c r="A28">
        <v>845</v>
      </c>
      <c r="B28">
        <v>854</v>
      </c>
      <c r="C28">
        <v>892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FC7-132C-473D-84DE-79835C47B5D2}">
  <dimension ref="A1:E7"/>
  <sheetViews>
    <sheetView workbookViewId="0">
      <selection activeCell="K28" sqref="K28"/>
    </sheetView>
  </sheetViews>
  <sheetFormatPr defaultRowHeight="14.4" x14ac:dyDescent="0.3"/>
  <cols>
    <col min="1" max="1" width="9.88671875" bestFit="1" customWidth="1"/>
    <col min="2" max="2" width="9.5546875" bestFit="1" customWidth="1"/>
    <col min="3" max="3" width="23.21875" bestFit="1" customWidth="1"/>
    <col min="4" max="4" width="6.5546875" bestFit="1" customWidth="1"/>
    <col min="5" max="5" width="6.88671875" bestFit="1" customWidth="1"/>
  </cols>
  <sheetData>
    <row r="1" spans="1:5" x14ac:dyDescent="0.3">
      <c r="A1" t="s">
        <v>9</v>
      </c>
      <c r="B1" t="s">
        <v>10</v>
      </c>
      <c r="C1" t="s">
        <v>25</v>
      </c>
      <c r="D1" t="s">
        <v>4</v>
      </c>
      <c r="E1" t="s">
        <v>5</v>
      </c>
    </row>
    <row r="2" spans="1:5" x14ac:dyDescent="0.3">
      <c r="A2" t="s">
        <v>11</v>
      </c>
      <c r="B2" t="s">
        <v>27</v>
      </c>
      <c r="C2">
        <v>413.0333333333333</v>
      </c>
      <c r="D2">
        <v>360</v>
      </c>
      <c r="E2">
        <v>489</v>
      </c>
    </row>
    <row r="3" spans="1:5" x14ac:dyDescent="0.3">
      <c r="A3" t="s">
        <v>11</v>
      </c>
      <c r="B3" t="s">
        <v>28</v>
      </c>
      <c r="C3">
        <v>865.23456790123453</v>
      </c>
      <c r="D3">
        <v>838</v>
      </c>
      <c r="E3">
        <v>899</v>
      </c>
    </row>
    <row r="4" spans="1:5" x14ac:dyDescent="0.3">
      <c r="A4" t="s">
        <v>11</v>
      </c>
      <c r="B4" t="s">
        <v>29</v>
      </c>
      <c r="C4">
        <v>905.73333333333346</v>
      </c>
      <c r="D4">
        <v>802</v>
      </c>
      <c r="E4">
        <v>965</v>
      </c>
    </row>
    <row r="5" spans="1:5" x14ac:dyDescent="0.3">
      <c r="A5" t="s">
        <v>12</v>
      </c>
      <c r="B5" t="s">
        <v>27</v>
      </c>
      <c r="C5">
        <v>436.38888888888891</v>
      </c>
      <c r="D5">
        <v>373</v>
      </c>
      <c r="E5">
        <v>541</v>
      </c>
    </row>
    <row r="6" spans="1:5" x14ac:dyDescent="0.3">
      <c r="A6" t="s">
        <v>12</v>
      </c>
      <c r="B6" t="s">
        <v>28</v>
      </c>
      <c r="C6">
        <v>855.26436781609209</v>
      </c>
      <c r="D6">
        <v>826</v>
      </c>
      <c r="E6">
        <v>882</v>
      </c>
    </row>
    <row r="7" spans="1:5" x14ac:dyDescent="0.3">
      <c r="A7" t="s">
        <v>12</v>
      </c>
      <c r="B7" t="s">
        <v>29</v>
      </c>
      <c r="C7">
        <v>818.13333333333333</v>
      </c>
      <c r="D7">
        <v>710</v>
      </c>
      <c r="E7">
        <v>946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B4E6-36D2-4205-8AA1-D7D4404EAC09}">
  <dimension ref="B1:N22"/>
  <sheetViews>
    <sheetView tabSelected="1" topLeftCell="B1" workbookViewId="0">
      <selection activeCell="G4" sqref="G4"/>
    </sheetView>
  </sheetViews>
  <sheetFormatPr defaultRowHeight="14.4" x14ac:dyDescent="0.3"/>
  <cols>
    <col min="2" max="2" width="14.21875" bestFit="1" customWidth="1"/>
    <col min="3" max="3" width="9.88671875" bestFit="1" customWidth="1"/>
    <col min="4" max="4" width="22.6640625" customWidth="1"/>
  </cols>
  <sheetData>
    <row r="1" spans="2:14" x14ac:dyDescent="0.3">
      <c r="B1" s="26" t="s">
        <v>31</v>
      </c>
      <c r="C1" s="26"/>
      <c r="D1" s="26"/>
      <c r="E1" s="26"/>
      <c r="F1" s="26"/>
    </row>
    <row r="2" spans="2:14" x14ac:dyDescent="0.3">
      <c r="B2" s="18" t="s">
        <v>10</v>
      </c>
      <c r="C2" s="7" t="s">
        <v>9</v>
      </c>
      <c r="D2" s="8" t="s">
        <v>25</v>
      </c>
      <c r="E2" s="8" t="s">
        <v>4</v>
      </c>
      <c r="F2" s="9" t="s">
        <v>5</v>
      </c>
      <c r="G2" s="8" t="s">
        <v>41</v>
      </c>
      <c r="J2" t="s">
        <v>10</v>
      </c>
      <c r="K2" t="s">
        <v>9</v>
      </c>
      <c r="L2" t="s">
        <v>38</v>
      </c>
      <c r="M2" t="s">
        <v>4</v>
      </c>
      <c r="N2" t="s">
        <v>5</v>
      </c>
    </row>
    <row r="3" spans="2:14" x14ac:dyDescent="0.3">
      <c r="B3" s="19" t="s">
        <v>36</v>
      </c>
      <c r="C3" s="5" t="s">
        <v>11</v>
      </c>
      <c r="D3" s="4">
        <f>AVERAGE('raw data summary'!D4,'raw data summary'!D10,'raw data summary'!D16)</f>
        <v>865.23456790123453</v>
      </c>
      <c r="E3" s="4">
        <f>MIN('raw data summary'!G4,'raw data summary'!G10,'raw data summary'!G16)</f>
        <v>838</v>
      </c>
      <c r="F3" s="6">
        <f>MAX('raw data summary'!H4,'raw data summary'!H10,'raw data summary'!H16)</f>
        <v>899</v>
      </c>
      <c r="G3" s="1">
        <f>Table8[[#This Row],[Max]]-Table8[[#This Row],[Min]]</f>
        <v>61</v>
      </c>
      <c r="J3" s="25" t="s">
        <v>13</v>
      </c>
      <c r="K3" t="s">
        <v>11</v>
      </c>
      <c r="L3" s="1">
        <v>413.0333333333333</v>
      </c>
      <c r="M3">
        <v>360</v>
      </c>
      <c r="N3">
        <v>489</v>
      </c>
    </row>
    <row r="4" spans="2:14" x14ac:dyDescent="0.3">
      <c r="B4" s="19" t="s">
        <v>15</v>
      </c>
      <c r="C4" s="5" t="s">
        <v>11</v>
      </c>
      <c r="D4" s="4">
        <f>AVERAGE('raw data summary'!D5,'raw data summary'!D11,'raw data summary'!D17)</f>
        <v>905.73333333333346</v>
      </c>
      <c r="E4" s="4">
        <f>MIN('raw data summary'!G5,'raw data summary'!G11,'raw data summary'!G17)</f>
        <v>802</v>
      </c>
      <c r="F4" s="6">
        <f>MAX('raw data summary'!H5,'raw data summary'!H11,'raw data summary'!H17)</f>
        <v>965</v>
      </c>
      <c r="G4" s="1">
        <f>Table8[[#This Row],[Max]]-Table8[[#This Row],[Min]]</f>
        <v>163</v>
      </c>
      <c r="J4" s="25"/>
      <c r="K4" t="s">
        <v>12</v>
      </c>
      <c r="L4" s="1">
        <v>436.38888888888891</v>
      </c>
      <c r="M4">
        <v>373</v>
      </c>
      <c r="N4">
        <v>541</v>
      </c>
    </row>
    <row r="5" spans="2:14" x14ac:dyDescent="0.3">
      <c r="B5" s="19" t="s">
        <v>13</v>
      </c>
      <c r="C5" s="5" t="s">
        <v>11</v>
      </c>
      <c r="D5" s="4">
        <f>AVERAGE('raw data summary'!D3,'raw data summary'!D9,'raw data summary'!D15)</f>
        <v>413.0333333333333</v>
      </c>
      <c r="E5" s="4">
        <f>MIN('raw data summary'!G3,'raw data summary'!G9,'raw data summary'!G15)</f>
        <v>360</v>
      </c>
      <c r="F5" s="6">
        <f>MAX('raw data summary'!H3,'raw data summary'!H9,'raw data summary'!H15)</f>
        <v>489</v>
      </c>
      <c r="G5" s="1">
        <f>Table8[[#This Row],[Max]]-Table8[[#This Row],[Min]]</f>
        <v>129</v>
      </c>
      <c r="J5" s="25" t="s">
        <v>39</v>
      </c>
      <c r="K5" t="s">
        <v>11</v>
      </c>
      <c r="L5" s="1">
        <v>865.23456790123453</v>
      </c>
      <c r="M5">
        <v>838</v>
      </c>
      <c r="N5">
        <v>899</v>
      </c>
    </row>
    <row r="6" spans="2:14" x14ac:dyDescent="0.3">
      <c r="B6" s="2" t="s">
        <v>36</v>
      </c>
      <c r="C6" s="5" t="s">
        <v>12</v>
      </c>
      <c r="D6" s="4">
        <f>AVERAGE('raw data summary'!D7,'raw data summary'!D13,'raw data summary'!D19)</f>
        <v>855.26436781609209</v>
      </c>
      <c r="E6" s="4">
        <f>MIN('raw data summary'!G7,'raw data summary'!G13,'raw data summary'!G19)</f>
        <v>826</v>
      </c>
      <c r="F6" s="6">
        <f>MAX('raw data summary'!H7,'raw data summary'!H13,'raw data summary'!H19)</f>
        <v>882</v>
      </c>
      <c r="G6" s="1">
        <f>Table8[[#This Row],[Max]]-Table8[[#This Row],[Min]]</f>
        <v>56</v>
      </c>
      <c r="J6" s="25"/>
      <c r="K6" t="s">
        <v>12</v>
      </c>
      <c r="L6" s="1">
        <v>855.26436781609209</v>
      </c>
      <c r="M6">
        <v>826</v>
      </c>
      <c r="N6">
        <v>882</v>
      </c>
    </row>
    <row r="7" spans="2:14" x14ac:dyDescent="0.3">
      <c r="B7" s="2" t="s">
        <v>15</v>
      </c>
      <c r="C7" s="5" t="s">
        <v>12</v>
      </c>
      <c r="D7" s="4">
        <f>AVERAGE('raw data summary'!D8,'raw data summary'!D14,'raw data summary'!D20)</f>
        <v>818.13333333333333</v>
      </c>
      <c r="E7" s="4">
        <f>MIN('raw data summary'!G8,'raw data summary'!G14,'raw data summary'!G20)</f>
        <v>710</v>
      </c>
      <c r="F7" s="6">
        <f>MAX('raw data summary'!H8,'raw data summary'!H14,'raw data summary'!H20)</f>
        <v>946</v>
      </c>
      <c r="G7" s="1">
        <f>Table8[[#This Row],[Max]]-Table8[[#This Row],[Min]]</f>
        <v>236</v>
      </c>
      <c r="J7" s="25" t="s">
        <v>40</v>
      </c>
      <c r="K7" t="s">
        <v>11</v>
      </c>
      <c r="L7" s="1">
        <v>905.73333333333346</v>
      </c>
      <c r="M7">
        <v>802</v>
      </c>
      <c r="N7">
        <v>965</v>
      </c>
    </row>
    <row r="8" spans="2:14" x14ac:dyDescent="0.3">
      <c r="B8" s="2" t="s">
        <v>13</v>
      </c>
      <c r="C8" s="15" t="s">
        <v>12</v>
      </c>
      <c r="D8" s="13">
        <f>AVERAGE('raw data summary'!D6,'raw data summary'!D12,'raw data summary'!D18)</f>
        <v>436.38888888888891</v>
      </c>
      <c r="E8" s="13">
        <f>MIN('raw data summary'!G6,'raw data summary'!G12,'raw data summary'!G18)</f>
        <v>373</v>
      </c>
      <c r="F8" s="14">
        <f>MAX('raw data summary'!H6,'raw data summary'!H12,'raw data summary'!H18)</f>
        <v>541</v>
      </c>
      <c r="G8" s="1">
        <f>Table8[[#This Row],[Max]]-Table8[[#This Row],[Min]]</f>
        <v>168</v>
      </c>
      <c r="J8" s="25"/>
      <c r="K8" t="s">
        <v>12</v>
      </c>
      <c r="L8" s="1">
        <v>818.13333333333333</v>
      </c>
      <c r="M8">
        <v>710</v>
      </c>
      <c r="N8">
        <v>946</v>
      </c>
    </row>
    <row r="10" spans="2:14" x14ac:dyDescent="0.3">
      <c r="J10" s="25"/>
    </row>
    <row r="11" spans="2:14" x14ac:dyDescent="0.3">
      <c r="C11" s="2" t="s">
        <v>10</v>
      </c>
      <c r="D11" s="2" t="s">
        <v>4</v>
      </c>
      <c r="E11" s="2" t="s">
        <v>5</v>
      </c>
      <c r="J11" s="25"/>
    </row>
    <row r="12" spans="2:14" x14ac:dyDescent="0.3">
      <c r="C12" s="2" t="s">
        <v>34</v>
      </c>
      <c r="D12" s="4">
        <f>MIN('effect of lighting and surface'!D2,'effect of lighting and surface'!D5)</f>
        <v>360</v>
      </c>
      <c r="E12" s="4">
        <f>MAX('effect of lighting and surface'!E2,'effect of lighting and surface'!E5)</f>
        <v>541</v>
      </c>
    </row>
    <row r="13" spans="2:14" x14ac:dyDescent="0.3">
      <c r="C13" s="2" t="s">
        <v>35</v>
      </c>
      <c r="D13" s="4">
        <f>MIN('effect of lighting and surface'!D3:D4,'effect of lighting and surface'!D6:D7)</f>
        <v>710</v>
      </c>
      <c r="E13" s="4">
        <f>MAX('effect of lighting and surface'!E3:E4,'effect of lighting and surface'!E6:E7)</f>
        <v>965</v>
      </c>
    </row>
    <row r="16" spans="2:14" x14ac:dyDescent="0.3">
      <c r="B16" s="8" t="s">
        <v>37</v>
      </c>
      <c r="C16" s="18" t="s">
        <v>10</v>
      </c>
      <c r="D16" s="8" t="s">
        <v>25</v>
      </c>
      <c r="E16" s="8" t="s">
        <v>4</v>
      </c>
      <c r="F16" s="9" t="s">
        <v>5</v>
      </c>
      <c r="G16" s="8" t="s">
        <v>9</v>
      </c>
    </row>
    <row r="17" spans="2:7" x14ac:dyDescent="0.3">
      <c r="B17" s="5" t="s">
        <v>11</v>
      </c>
      <c r="C17" s="19" t="s">
        <v>13</v>
      </c>
      <c r="D17" s="4">
        <v>413.0333333333333</v>
      </c>
      <c r="E17" s="4">
        <v>360</v>
      </c>
      <c r="F17" s="6">
        <v>489</v>
      </c>
      <c r="G17" s="7"/>
    </row>
    <row r="18" spans="2:7" x14ac:dyDescent="0.3">
      <c r="B18" s="5" t="s">
        <v>11</v>
      </c>
      <c r="C18" s="19" t="s">
        <v>15</v>
      </c>
      <c r="D18" s="4">
        <v>905.73333333333346</v>
      </c>
      <c r="E18" s="4">
        <v>802</v>
      </c>
      <c r="F18" s="6">
        <v>965</v>
      </c>
      <c r="G18" s="5"/>
    </row>
    <row r="19" spans="2:7" x14ac:dyDescent="0.3">
      <c r="B19" s="5" t="s">
        <v>11</v>
      </c>
      <c r="C19" s="19" t="s">
        <v>36</v>
      </c>
      <c r="D19" s="4">
        <v>865.23456790123453</v>
      </c>
      <c r="E19" s="4">
        <v>838</v>
      </c>
      <c r="F19" s="6">
        <v>899</v>
      </c>
      <c r="G19" s="5"/>
    </row>
    <row r="20" spans="2:7" x14ac:dyDescent="0.3">
      <c r="B20" s="5" t="s">
        <v>12</v>
      </c>
      <c r="C20" s="2" t="s">
        <v>13</v>
      </c>
      <c r="D20" s="4">
        <v>436.38888888888891</v>
      </c>
      <c r="E20" s="4">
        <v>373</v>
      </c>
      <c r="F20" s="6">
        <v>541</v>
      </c>
      <c r="G20" s="5"/>
    </row>
    <row r="21" spans="2:7" x14ac:dyDescent="0.3">
      <c r="B21" s="5" t="s">
        <v>12</v>
      </c>
      <c r="C21" s="2" t="s">
        <v>15</v>
      </c>
      <c r="D21" s="4">
        <v>818.13333333333333</v>
      </c>
      <c r="E21" s="4">
        <v>710</v>
      </c>
      <c r="F21" s="6">
        <v>946</v>
      </c>
      <c r="G21" s="5"/>
    </row>
    <row r="22" spans="2:7" x14ac:dyDescent="0.3">
      <c r="B22" s="15" t="s">
        <v>12</v>
      </c>
      <c r="C22" s="2" t="s">
        <v>36</v>
      </c>
      <c r="D22" s="13">
        <v>855.26436781609209</v>
      </c>
      <c r="E22" s="13">
        <v>826</v>
      </c>
      <c r="F22" s="14">
        <v>882</v>
      </c>
      <c r="G22" s="15"/>
    </row>
  </sheetData>
  <mergeCells count="5">
    <mergeCell ref="B1:F1"/>
    <mergeCell ref="J5:J6"/>
    <mergeCell ref="J10:J11"/>
    <mergeCell ref="J3:J4"/>
    <mergeCell ref="J7:J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D2EF-7DA1-4A0F-BD6C-B8CE97A04E05}">
  <dimension ref="B2:I9"/>
  <sheetViews>
    <sheetView workbookViewId="0">
      <selection activeCell="G3" sqref="G3:I9"/>
    </sheetView>
  </sheetViews>
  <sheetFormatPr defaultRowHeight="14.4" x14ac:dyDescent="0.3"/>
  <cols>
    <col min="2" max="2" width="15.33203125" bestFit="1" customWidth="1"/>
    <col min="3" max="3" width="12.109375" bestFit="1" customWidth="1"/>
    <col min="4" max="4" width="26" customWidth="1"/>
  </cols>
  <sheetData>
    <row r="2" spans="2:9" x14ac:dyDescent="0.3">
      <c r="B2" s="26" t="s">
        <v>33</v>
      </c>
      <c r="C2" s="26"/>
      <c r="D2" s="26"/>
    </row>
    <row r="3" spans="2:9" x14ac:dyDescent="0.3">
      <c r="B3" s="16" t="s">
        <v>10</v>
      </c>
      <c r="C3" s="23" t="s">
        <v>9</v>
      </c>
      <c r="D3" s="20" t="s">
        <v>32</v>
      </c>
      <c r="G3" t="s">
        <v>10</v>
      </c>
      <c r="H3" t="s">
        <v>9</v>
      </c>
      <c r="I3" t="s">
        <v>32</v>
      </c>
    </row>
    <row r="4" spans="2:9" x14ac:dyDescent="0.3">
      <c r="B4" s="3" t="s">
        <v>13</v>
      </c>
      <c r="C4" s="24" t="s">
        <v>11</v>
      </c>
      <c r="D4" s="21">
        <f>AVERAGE('raw data summary'!E3,'raw data summary'!E9,'raw data summary'!E15)</f>
        <v>0.88334453096700427</v>
      </c>
      <c r="G4" s="25" t="s">
        <v>13</v>
      </c>
      <c r="H4" t="s">
        <v>11</v>
      </c>
      <c r="I4">
        <v>0.88334453096700427</v>
      </c>
    </row>
    <row r="5" spans="2:9" x14ac:dyDescent="0.3">
      <c r="B5" s="3" t="s">
        <v>13</v>
      </c>
      <c r="C5" s="3" t="s">
        <v>12</v>
      </c>
      <c r="D5" s="21">
        <f>AVERAGE('raw data summary'!E6,'raw data summary'!E12,'raw data summary'!E18)</f>
        <v>1.2412845037310156</v>
      </c>
      <c r="G5" s="25"/>
      <c r="H5" t="s">
        <v>12</v>
      </c>
      <c r="I5">
        <v>1.2412845037310156</v>
      </c>
    </row>
    <row r="6" spans="2:9" x14ac:dyDescent="0.3">
      <c r="B6" s="3" t="s">
        <v>39</v>
      </c>
      <c r="C6" s="24" t="s">
        <v>11</v>
      </c>
      <c r="D6" s="21">
        <f>AVERAGE('raw data summary'!E4,'raw data summary'!E10,'raw data summary'!E16)</f>
        <v>2.7867681981517651</v>
      </c>
      <c r="G6" s="25" t="s">
        <v>39</v>
      </c>
      <c r="H6" t="s">
        <v>11</v>
      </c>
      <c r="I6">
        <v>2.7867681981517651</v>
      </c>
    </row>
    <row r="7" spans="2:9" x14ac:dyDescent="0.3">
      <c r="B7" s="3" t="s">
        <v>39</v>
      </c>
      <c r="C7" s="3" t="s">
        <v>12</v>
      </c>
      <c r="D7" s="21">
        <f>AVERAGE('raw data summary'!E7,'raw data summary'!E13,'raw data summary'!E19)</f>
        <v>1.050481096762244</v>
      </c>
      <c r="G7" s="25"/>
      <c r="H7" t="s">
        <v>12</v>
      </c>
      <c r="I7">
        <v>1.050481096762244</v>
      </c>
    </row>
    <row r="8" spans="2:9" x14ac:dyDescent="0.3">
      <c r="B8" s="3" t="s">
        <v>40</v>
      </c>
      <c r="C8" s="24" t="s">
        <v>11</v>
      </c>
      <c r="D8" s="21">
        <f>AVERAGE('raw data summary'!E5,'raw data summary'!E11,'raw data summary'!E17)</f>
        <v>8.7453244311053293</v>
      </c>
      <c r="G8" s="25" t="s">
        <v>40</v>
      </c>
      <c r="H8" t="s">
        <v>11</v>
      </c>
      <c r="I8">
        <v>8.7453244311053293</v>
      </c>
    </row>
    <row r="9" spans="2:9" x14ac:dyDescent="0.3">
      <c r="B9" s="3" t="s">
        <v>40</v>
      </c>
      <c r="C9" s="3" t="s">
        <v>12</v>
      </c>
      <c r="D9" s="22">
        <f>AVERAGE('raw data summary'!E8,'raw data summary'!E14,'raw data summary'!E20)</f>
        <v>2.4077059818332578</v>
      </c>
      <c r="G9" s="25"/>
      <c r="H9" t="s">
        <v>12</v>
      </c>
      <c r="I9">
        <v>2.4077059818332578</v>
      </c>
    </row>
  </sheetData>
  <mergeCells count="4">
    <mergeCell ref="B2:D2"/>
    <mergeCell ref="G4:G5"/>
    <mergeCell ref="G6:G7"/>
    <mergeCell ref="G8:G9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095E-BFAB-4879-A3AD-F15B68E405B3}">
  <dimension ref="A1"/>
  <sheetViews>
    <sheetView workbookViewId="0">
      <selection activeCell="G5" sqref="G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C147-D44E-4434-80F0-7DD1B06F143E}">
  <dimension ref="A1:G31"/>
  <sheetViews>
    <sheetView topLeftCell="A4" workbookViewId="0">
      <selection activeCell="J7" sqref="J7"/>
    </sheetView>
  </sheetViews>
  <sheetFormatPr defaultRowHeight="14.4" x14ac:dyDescent="0.3"/>
  <cols>
    <col min="1" max="3" width="10.7773437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839</v>
      </c>
      <c r="B2">
        <v>929</v>
      </c>
      <c r="C2">
        <v>963</v>
      </c>
    </row>
    <row r="3" spans="1:7" x14ac:dyDescent="0.3">
      <c r="A3">
        <v>839</v>
      </c>
      <c r="B3">
        <v>929</v>
      </c>
      <c r="C3">
        <v>962</v>
      </c>
    </row>
    <row r="4" spans="1:7" x14ac:dyDescent="0.3">
      <c r="A4">
        <v>838</v>
      </c>
      <c r="B4">
        <v>929</v>
      </c>
      <c r="C4">
        <v>962</v>
      </c>
    </row>
    <row r="5" spans="1:7" x14ac:dyDescent="0.3">
      <c r="A5">
        <v>839</v>
      </c>
      <c r="B5">
        <v>929</v>
      </c>
      <c r="C5">
        <v>962</v>
      </c>
      <c r="E5" t="s">
        <v>6</v>
      </c>
      <c r="F5">
        <f>MIN(dim_dirty_black_tape[])</f>
        <v>802</v>
      </c>
    </row>
    <row r="6" spans="1:7" x14ac:dyDescent="0.3">
      <c r="A6">
        <v>838</v>
      </c>
      <c r="B6">
        <v>929</v>
      </c>
      <c r="C6">
        <v>962</v>
      </c>
      <c r="E6" t="s">
        <v>7</v>
      </c>
      <c r="F6">
        <f>MAX(dim_dirty_black_tape[])</f>
        <v>965</v>
      </c>
    </row>
    <row r="7" spans="1:7" x14ac:dyDescent="0.3">
      <c r="A7">
        <v>837</v>
      </c>
      <c r="B7">
        <v>928</v>
      </c>
      <c r="C7">
        <v>961</v>
      </c>
    </row>
    <row r="8" spans="1:7" x14ac:dyDescent="0.3">
      <c r="A8">
        <v>838</v>
      </c>
      <c r="B8">
        <v>929</v>
      </c>
      <c r="C8">
        <v>962</v>
      </c>
    </row>
    <row r="9" spans="1:7" x14ac:dyDescent="0.3">
      <c r="A9">
        <v>838</v>
      </c>
      <c r="B9">
        <v>928</v>
      </c>
      <c r="C9">
        <v>962</v>
      </c>
      <c r="E9" t="e" vm="1">
        <f>_xleta.MIN</f>
        <v>#VALUE!</v>
      </c>
    </row>
    <row r="10" spans="1:7" x14ac:dyDescent="0.3">
      <c r="A10">
        <v>838</v>
      </c>
      <c r="B10">
        <v>929</v>
      </c>
      <c r="C10">
        <v>962</v>
      </c>
    </row>
    <row r="11" spans="1:7" x14ac:dyDescent="0.3">
      <c r="A11">
        <v>837</v>
      </c>
      <c r="B11">
        <v>929</v>
      </c>
      <c r="C11">
        <v>961</v>
      </c>
    </row>
    <row r="12" spans="1:7" x14ac:dyDescent="0.3">
      <c r="A12">
        <v>837</v>
      </c>
      <c r="B12">
        <v>928</v>
      </c>
      <c r="C12">
        <v>962</v>
      </c>
    </row>
    <row r="13" spans="1:7" x14ac:dyDescent="0.3">
      <c r="A13">
        <v>837</v>
      </c>
      <c r="B13">
        <v>928</v>
      </c>
      <c r="C13">
        <v>961</v>
      </c>
      <c r="F13" t="s">
        <v>6</v>
      </c>
      <c r="G13">
        <f>MIN(dim_dirty_black_tape[])</f>
        <v>802</v>
      </c>
    </row>
    <row r="14" spans="1:7" x14ac:dyDescent="0.3">
      <c r="A14">
        <v>837</v>
      </c>
      <c r="B14">
        <v>927</v>
      </c>
      <c r="C14">
        <v>961</v>
      </c>
      <c r="F14" t="s">
        <v>7</v>
      </c>
      <c r="G14">
        <f>MAX(dim_dirty_black_tape[])</f>
        <v>965</v>
      </c>
    </row>
    <row r="15" spans="1:7" x14ac:dyDescent="0.3">
      <c r="A15">
        <v>802</v>
      </c>
      <c r="B15">
        <v>895</v>
      </c>
      <c r="C15">
        <v>928</v>
      </c>
      <c r="F15" t="s">
        <v>8</v>
      </c>
      <c r="G15">
        <f>AVERAGE(dim_dirty_black_tape[])</f>
        <v>905.73333333333335</v>
      </c>
    </row>
    <row r="16" spans="1:7" x14ac:dyDescent="0.3">
      <c r="A16">
        <v>832</v>
      </c>
      <c r="B16">
        <v>923</v>
      </c>
      <c r="C16">
        <v>957</v>
      </c>
    </row>
    <row r="17" spans="1:3" x14ac:dyDescent="0.3">
      <c r="A17">
        <v>836</v>
      </c>
      <c r="B17">
        <v>927</v>
      </c>
      <c r="C17">
        <v>960</v>
      </c>
    </row>
    <row r="18" spans="1:3" x14ac:dyDescent="0.3">
      <c r="A18">
        <v>808</v>
      </c>
      <c r="B18">
        <v>898</v>
      </c>
      <c r="C18">
        <v>931</v>
      </c>
    </row>
    <row r="19" spans="1:3" x14ac:dyDescent="0.3">
      <c r="A19">
        <v>821</v>
      </c>
      <c r="B19">
        <v>910</v>
      </c>
      <c r="C19">
        <v>943</v>
      </c>
    </row>
    <row r="20" spans="1:3" x14ac:dyDescent="0.3">
      <c r="A20">
        <v>838</v>
      </c>
      <c r="B20">
        <v>928</v>
      </c>
      <c r="C20">
        <v>962</v>
      </c>
    </row>
    <row r="21" spans="1:3" x14ac:dyDescent="0.3">
      <c r="A21">
        <v>839</v>
      </c>
      <c r="B21">
        <v>928</v>
      </c>
      <c r="C21">
        <v>962</v>
      </c>
    </row>
    <row r="22" spans="1:3" x14ac:dyDescent="0.3">
      <c r="A22">
        <v>839</v>
      </c>
      <c r="B22">
        <v>929</v>
      </c>
      <c r="C22">
        <v>962</v>
      </c>
    </row>
    <row r="23" spans="1:3" x14ac:dyDescent="0.3">
      <c r="A23">
        <v>839</v>
      </c>
      <c r="B23">
        <v>929</v>
      </c>
      <c r="C23">
        <v>962</v>
      </c>
    </row>
    <row r="24" spans="1:3" x14ac:dyDescent="0.3">
      <c r="A24">
        <v>840</v>
      </c>
      <c r="B24">
        <v>931</v>
      </c>
      <c r="C24">
        <v>963</v>
      </c>
    </row>
    <row r="25" spans="1:3" x14ac:dyDescent="0.3">
      <c r="A25">
        <v>824</v>
      </c>
      <c r="B25">
        <v>916</v>
      </c>
      <c r="C25">
        <v>950</v>
      </c>
    </row>
    <row r="26" spans="1:3" x14ac:dyDescent="0.3">
      <c r="A26">
        <v>838</v>
      </c>
      <c r="B26">
        <v>931</v>
      </c>
      <c r="C26">
        <v>965</v>
      </c>
    </row>
    <row r="27" spans="1:3" x14ac:dyDescent="0.3">
      <c r="A27">
        <v>834</v>
      </c>
      <c r="B27">
        <v>928</v>
      </c>
      <c r="C27">
        <v>962</v>
      </c>
    </row>
    <row r="28" spans="1:3" x14ac:dyDescent="0.3">
      <c r="A28">
        <v>833</v>
      </c>
      <c r="B28">
        <v>928</v>
      </c>
      <c r="C28">
        <v>962</v>
      </c>
    </row>
    <row r="29" spans="1:3" x14ac:dyDescent="0.3">
      <c r="A29">
        <v>832</v>
      </c>
      <c r="B29">
        <v>926</v>
      </c>
      <c r="C29">
        <v>961</v>
      </c>
    </row>
    <row r="30" spans="1:3" x14ac:dyDescent="0.3">
      <c r="A30">
        <v>832</v>
      </c>
      <c r="B30">
        <v>927</v>
      </c>
      <c r="C30">
        <v>960</v>
      </c>
    </row>
    <row r="31" spans="1:3" x14ac:dyDescent="0.3">
      <c r="A31">
        <v>832</v>
      </c>
      <c r="B31">
        <v>927</v>
      </c>
      <c r="C31">
        <v>960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DD6-C83D-4A4C-B97E-8653C1D5B7C8}">
  <dimension ref="A1:F31"/>
  <sheetViews>
    <sheetView workbookViewId="0">
      <selection activeCell="H47" sqref="H47"/>
    </sheetView>
  </sheetViews>
  <sheetFormatPr defaultRowHeight="14.4" x14ac:dyDescent="0.3"/>
  <cols>
    <col min="1" max="3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363</v>
      </c>
      <c r="B2">
        <v>391</v>
      </c>
      <c r="C2">
        <v>487</v>
      </c>
    </row>
    <row r="3" spans="1:6" x14ac:dyDescent="0.3">
      <c r="A3">
        <v>362</v>
      </c>
      <c r="B3">
        <v>391</v>
      </c>
      <c r="C3">
        <v>488</v>
      </c>
    </row>
    <row r="4" spans="1:6" x14ac:dyDescent="0.3">
      <c r="A4">
        <v>365</v>
      </c>
      <c r="B4">
        <v>393</v>
      </c>
      <c r="C4">
        <v>489</v>
      </c>
      <c r="E4" t="s">
        <v>6</v>
      </c>
      <c r="F4">
        <f>MIN(dim_grey_floor[])</f>
        <v>360</v>
      </c>
    </row>
    <row r="5" spans="1:6" x14ac:dyDescent="0.3">
      <c r="A5">
        <v>363</v>
      </c>
      <c r="B5">
        <v>391</v>
      </c>
      <c r="C5">
        <v>488</v>
      </c>
      <c r="E5" t="s">
        <v>7</v>
      </c>
      <c r="F5">
        <f>MAX(dim_grey_floor[])</f>
        <v>489</v>
      </c>
    </row>
    <row r="6" spans="1:6" x14ac:dyDescent="0.3">
      <c r="A6">
        <v>361</v>
      </c>
      <c r="B6">
        <v>389</v>
      </c>
      <c r="C6">
        <v>487</v>
      </c>
      <c r="E6" t="s">
        <v>8</v>
      </c>
      <c r="F6">
        <f>AVERAGE(dim_grey_floor[])</f>
        <v>413.03333333333336</v>
      </c>
    </row>
    <row r="7" spans="1:6" x14ac:dyDescent="0.3">
      <c r="A7">
        <v>362</v>
      </c>
      <c r="B7">
        <v>390</v>
      </c>
      <c r="C7">
        <v>487</v>
      </c>
    </row>
    <row r="8" spans="1:6" x14ac:dyDescent="0.3">
      <c r="A8">
        <v>363</v>
      </c>
      <c r="B8">
        <v>391</v>
      </c>
      <c r="C8">
        <v>488</v>
      </c>
    </row>
    <row r="9" spans="1:6" x14ac:dyDescent="0.3">
      <c r="A9">
        <v>362</v>
      </c>
      <c r="B9">
        <v>390</v>
      </c>
      <c r="C9">
        <v>487</v>
      </c>
    </row>
    <row r="10" spans="1:6" x14ac:dyDescent="0.3">
      <c r="A10">
        <v>362</v>
      </c>
      <c r="B10">
        <v>390</v>
      </c>
      <c r="C10">
        <v>488</v>
      </c>
    </row>
    <row r="11" spans="1:6" x14ac:dyDescent="0.3">
      <c r="A11">
        <v>363</v>
      </c>
      <c r="B11">
        <v>390</v>
      </c>
      <c r="C11">
        <v>488</v>
      </c>
    </row>
    <row r="12" spans="1:6" x14ac:dyDescent="0.3">
      <c r="A12">
        <v>363</v>
      </c>
      <c r="B12">
        <v>390</v>
      </c>
      <c r="C12">
        <v>488</v>
      </c>
    </row>
    <row r="13" spans="1:6" x14ac:dyDescent="0.3">
      <c r="A13">
        <v>362</v>
      </c>
      <c r="B13">
        <v>389</v>
      </c>
      <c r="C13">
        <v>487</v>
      </c>
    </row>
    <row r="14" spans="1:6" x14ac:dyDescent="0.3">
      <c r="A14">
        <v>362</v>
      </c>
      <c r="B14">
        <v>390</v>
      </c>
      <c r="C14">
        <v>487</v>
      </c>
    </row>
    <row r="15" spans="1:6" x14ac:dyDescent="0.3">
      <c r="A15">
        <v>363</v>
      </c>
      <c r="B15">
        <v>390</v>
      </c>
      <c r="C15">
        <v>488</v>
      </c>
    </row>
    <row r="16" spans="1:6" x14ac:dyDescent="0.3">
      <c r="A16">
        <v>361</v>
      </c>
      <c r="B16">
        <v>390</v>
      </c>
      <c r="C16">
        <v>487</v>
      </c>
    </row>
    <row r="17" spans="1:3" x14ac:dyDescent="0.3">
      <c r="A17">
        <v>362</v>
      </c>
      <c r="B17">
        <v>390</v>
      </c>
      <c r="C17">
        <v>487</v>
      </c>
    </row>
    <row r="18" spans="1:3" x14ac:dyDescent="0.3">
      <c r="A18">
        <v>361</v>
      </c>
      <c r="B18">
        <v>389</v>
      </c>
      <c r="C18">
        <v>486</v>
      </c>
    </row>
    <row r="19" spans="1:3" x14ac:dyDescent="0.3">
      <c r="A19">
        <v>361</v>
      </c>
      <c r="B19">
        <v>389</v>
      </c>
      <c r="C19">
        <v>486</v>
      </c>
    </row>
    <row r="20" spans="1:3" x14ac:dyDescent="0.3">
      <c r="A20">
        <v>362</v>
      </c>
      <c r="B20">
        <v>390</v>
      </c>
      <c r="C20">
        <v>487</v>
      </c>
    </row>
    <row r="21" spans="1:3" x14ac:dyDescent="0.3">
      <c r="A21">
        <v>363</v>
      </c>
      <c r="B21">
        <v>391</v>
      </c>
      <c r="C21">
        <v>487</v>
      </c>
    </row>
    <row r="22" spans="1:3" x14ac:dyDescent="0.3">
      <c r="A22">
        <v>361</v>
      </c>
      <c r="B22">
        <v>389</v>
      </c>
      <c r="C22">
        <v>486</v>
      </c>
    </row>
    <row r="23" spans="1:3" x14ac:dyDescent="0.3">
      <c r="A23">
        <v>361</v>
      </c>
      <c r="B23">
        <v>389</v>
      </c>
      <c r="C23">
        <v>486</v>
      </c>
    </row>
    <row r="24" spans="1:3" x14ac:dyDescent="0.3">
      <c r="A24">
        <v>362</v>
      </c>
      <c r="B24">
        <v>390</v>
      </c>
      <c r="C24">
        <v>488</v>
      </c>
    </row>
    <row r="25" spans="1:3" x14ac:dyDescent="0.3">
      <c r="A25">
        <v>362</v>
      </c>
      <c r="B25">
        <v>390</v>
      </c>
      <c r="C25">
        <v>487</v>
      </c>
    </row>
    <row r="26" spans="1:3" x14ac:dyDescent="0.3">
      <c r="A26">
        <v>362</v>
      </c>
      <c r="B26">
        <v>390</v>
      </c>
      <c r="C26">
        <v>487</v>
      </c>
    </row>
    <row r="27" spans="1:3" x14ac:dyDescent="0.3">
      <c r="A27">
        <v>361</v>
      </c>
      <c r="B27">
        <v>389</v>
      </c>
      <c r="C27">
        <v>486</v>
      </c>
    </row>
    <row r="28" spans="1:3" x14ac:dyDescent="0.3">
      <c r="A28">
        <v>362</v>
      </c>
      <c r="B28">
        <v>391</v>
      </c>
      <c r="C28">
        <v>487</v>
      </c>
    </row>
    <row r="29" spans="1:3" x14ac:dyDescent="0.3">
      <c r="A29">
        <v>360</v>
      </c>
      <c r="B29">
        <v>389</v>
      </c>
      <c r="C29">
        <v>486</v>
      </c>
    </row>
    <row r="30" spans="1:3" x14ac:dyDescent="0.3">
      <c r="A30">
        <v>362</v>
      </c>
      <c r="B30">
        <v>390</v>
      </c>
      <c r="C30">
        <v>487</v>
      </c>
    </row>
    <row r="31" spans="1:3" x14ac:dyDescent="0.3">
      <c r="A31">
        <v>361</v>
      </c>
      <c r="B31">
        <v>389</v>
      </c>
      <c r="C31">
        <v>486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9134-73F7-42BB-8D55-03AE8FBE61E9}">
  <dimension ref="A1:C31"/>
  <sheetViews>
    <sheetView workbookViewId="0">
      <selection activeCell="C1" sqref="C1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787</v>
      </c>
      <c r="B2">
        <v>714</v>
      </c>
      <c r="C2">
        <v>938</v>
      </c>
    </row>
    <row r="3" spans="1:3" x14ac:dyDescent="0.3">
      <c r="A3">
        <v>784</v>
      </c>
      <c r="B3">
        <v>710</v>
      </c>
      <c r="C3">
        <v>936</v>
      </c>
    </row>
    <row r="4" spans="1:3" x14ac:dyDescent="0.3">
      <c r="A4">
        <v>792</v>
      </c>
      <c r="B4">
        <v>711</v>
      </c>
      <c r="C4">
        <v>941</v>
      </c>
    </row>
    <row r="5" spans="1:3" x14ac:dyDescent="0.3">
      <c r="A5">
        <v>794</v>
      </c>
      <c r="B5">
        <v>713</v>
      </c>
      <c r="C5">
        <v>942</v>
      </c>
    </row>
    <row r="6" spans="1:3" x14ac:dyDescent="0.3">
      <c r="A6">
        <v>794</v>
      </c>
      <c r="B6">
        <v>713</v>
      </c>
      <c r="C6">
        <v>942</v>
      </c>
    </row>
    <row r="7" spans="1:3" x14ac:dyDescent="0.3">
      <c r="A7">
        <v>795</v>
      </c>
      <c r="B7">
        <v>714</v>
      </c>
      <c r="C7">
        <v>943</v>
      </c>
    </row>
    <row r="8" spans="1:3" x14ac:dyDescent="0.3">
      <c r="A8">
        <v>795</v>
      </c>
      <c r="B8">
        <v>714</v>
      </c>
      <c r="C8">
        <v>943</v>
      </c>
    </row>
    <row r="9" spans="1:3" x14ac:dyDescent="0.3">
      <c r="A9">
        <v>796</v>
      </c>
      <c r="B9">
        <v>715</v>
      </c>
      <c r="C9">
        <v>943</v>
      </c>
    </row>
    <row r="10" spans="1:3" x14ac:dyDescent="0.3">
      <c r="A10">
        <v>791</v>
      </c>
      <c r="B10">
        <v>713</v>
      </c>
      <c r="C10">
        <v>940</v>
      </c>
    </row>
    <row r="11" spans="1:3" x14ac:dyDescent="0.3">
      <c r="A11">
        <v>797</v>
      </c>
      <c r="B11">
        <v>716</v>
      </c>
      <c r="C11">
        <v>944</v>
      </c>
    </row>
    <row r="12" spans="1:3" x14ac:dyDescent="0.3">
      <c r="A12">
        <v>799</v>
      </c>
      <c r="B12">
        <v>717</v>
      </c>
      <c r="C12">
        <v>945</v>
      </c>
    </row>
    <row r="13" spans="1:3" x14ac:dyDescent="0.3">
      <c r="A13">
        <v>797</v>
      </c>
      <c r="B13">
        <v>716</v>
      </c>
      <c r="C13">
        <v>944</v>
      </c>
    </row>
    <row r="14" spans="1:3" x14ac:dyDescent="0.3">
      <c r="A14">
        <v>797</v>
      </c>
      <c r="B14">
        <v>716</v>
      </c>
      <c r="C14">
        <v>944</v>
      </c>
    </row>
    <row r="15" spans="1:3" x14ac:dyDescent="0.3">
      <c r="A15">
        <v>797</v>
      </c>
      <c r="B15">
        <v>716</v>
      </c>
      <c r="C15">
        <v>944</v>
      </c>
    </row>
    <row r="16" spans="1:3" x14ac:dyDescent="0.3">
      <c r="A16">
        <v>797</v>
      </c>
      <c r="B16">
        <v>716</v>
      </c>
      <c r="C16">
        <v>943</v>
      </c>
    </row>
    <row r="17" spans="1:3" x14ac:dyDescent="0.3">
      <c r="A17">
        <v>797</v>
      </c>
      <c r="B17">
        <v>716</v>
      </c>
      <c r="C17">
        <v>945</v>
      </c>
    </row>
    <row r="18" spans="1:3" x14ac:dyDescent="0.3">
      <c r="A18">
        <v>797</v>
      </c>
      <c r="B18">
        <v>716</v>
      </c>
      <c r="C18">
        <v>944</v>
      </c>
    </row>
    <row r="19" spans="1:3" x14ac:dyDescent="0.3">
      <c r="A19">
        <v>797</v>
      </c>
      <c r="B19">
        <v>717</v>
      </c>
      <c r="C19">
        <v>945</v>
      </c>
    </row>
    <row r="20" spans="1:3" x14ac:dyDescent="0.3">
      <c r="A20">
        <v>797</v>
      </c>
      <c r="B20">
        <v>716</v>
      </c>
      <c r="C20">
        <v>945</v>
      </c>
    </row>
    <row r="21" spans="1:3" x14ac:dyDescent="0.3">
      <c r="A21">
        <v>797</v>
      </c>
      <c r="B21">
        <v>717</v>
      </c>
      <c r="C21">
        <v>945</v>
      </c>
    </row>
    <row r="22" spans="1:3" x14ac:dyDescent="0.3">
      <c r="A22">
        <v>798</v>
      </c>
      <c r="B22">
        <v>717</v>
      </c>
      <c r="C22">
        <v>946</v>
      </c>
    </row>
    <row r="23" spans="1:3" x14ac:dyDescent="0.3">
      <c r="A23">
        <v>798</v>
      </c>
      <c r="B23">
        <v>717</v>
      </c>
      <c r="C23">
        <v>944</v>
      </c>
    </row>
    <row r="24" spans="1:3" x14ac:dyDescent="0.3">
      <c r="A24">
        <v>797</v>
      </c>
      <c r="B24">
        <v>717</v>
      </c>
      <c r="C24">
        <v>942</v>
      </c>
    </row>
    <row r="25" spans="1:3" x14ac:dyDescent="0.3">
      <c r="A25">
        <v>797</v>
      </c>
      <c r="B25">
        <v>716</v>
      </c>
      <c r="C25">
        <v>945</v>
      </c>
    </row>
    <row r="26" spans="1:3" x14ac:dyDescent="0.3">
      <c r="A26">
        <v>798</v>
      </c>
      <c r="B26">
        <v>717</v>
      </c>
      <c r="C26">
        <v>945</v>
      </c>
    </row>
    <row r="27" spans="1:3" x14ac:dyDescent="0.3">
      <c r="A27">
        <v>796</v>
      </c>
      <c r="B27">
        <v>716</v>
      </c>
      <c r="C27">
        <v>944</v>
      </c>
    </row>
    <row r="28" spans="1:3" x14ac:dyDescent="0.3">
      <c r="A28">
        <v>797</v>
      </c>
      <c r="B28">
        <v>717</v>
      </c>
      <c r="C28">
        <v>945</v>
      </c>
    </row>
    <row r="29" spans="1:3" x14ac:dyDescent="0.3">
      <c r="A29">
        <v>796</v>
      </c>
      <c r="B29">
        <v>717</v>
      </c>
      <c r="C29">
        <v>945</v>
      </c>
    </row>
    <row r="30" spans="1:3" x14ac:dyDescent="0.3">
      <c r="A30">
        <v>798</v>
      </c>
      <c r="B30">
        <v>717</v>
      </c>
      <c r="C30">
        <v>944</v>
      </c>
    </row>
    <row r="31" spans="1:3" x14ac:dyDescent="0.3">
      <c r="A31">
        <v>797</v>
      </c>
      <c r="B31">
        <v>716</v>
      </c>
      <c r="C31">
        <v>944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A6CD-3F4D-4611-9FB8-690CB2809352}">
  <dimension ref="A1:C30"/>
  <sheetViews>
    <sheetView workbookViewId="0">
      <selection activeCell="F8" sqref="F8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828</v>
      </c>
      <c r="B2">
        <v>858</v>
      </c>
      <c r="C2">
        <v>878</v>
      </c>
    </row>
    <row r="3" spans="1:3" x14ac:dyDescent="0.3">
      <c r="A3">
        <v>829</v>
      </c>
      <c r="B3">
        <v>858</v>
      </c>
      <c r="C3">
        <v>879</v>
      </c>
    </row>
    <row r="4" spans="1:3" x14ac:dyDescent="0.3">
      <c r="A4">
        <v>829</v>
      </c>
      <c r="B4">
        <v>858</v>
      </c>
      <c r="C4">
        <v>879</v>
      </c>
    </row>
    <row r="5" spans="1:3" x14ac:dyDescent="0.3">
      <c r="A5">
        <v>828</v>
      </c>
      <c r="B5">
        <v>858</v>
      </c>
      <c r="C5">
        <v>879</v>
      </c>
    </row>
    <row r="6" spans="1:3" x14ac:dyDescent="0.3">
      <c r="A6">
        <v>828</v>
      </c>
      <c r="B6">
        <v>858</v>
      </c>
      <c r="C6">
        <v>878</v>
      </c>
    </row>
    <row r="7" spans="1:3" x14ac:dyDescent="0.3">
      <c r="A7">
        <v>828</v>
      </c>
      <c r="B7">
        <v>858</v>
      </c>
      <c r="C7">
        <v>879</v>
      </c>
    </row>
    <row r="8" spans="1:3" x14ac:dyDescent="0.3">
      <c r="A8">
        <v>829</v>
      </c>
      <c r="B8">
        <v>858</v>
      </c>
      <c r="C8">
        <v>878</v>
      </c>
    </row>
    <row r="9" spans="1:3" x14ac:dyDescent="0.3">
      <c r="A9">
        <v>829</v>
      </c>
      <c r="B9">
        <v>858</v>
      </c>
      <c r="C9">
        <v>879</v>
      </c>
    </row>
    <row r="10" spans="1:3" x14ac:dyDescent="0.3">
      <c r="A10">
        <v>829</v>
      </c>
      <c r="B10">
        <v>858</v>
      </c>
      <c r="C10">
        <v>879</v>
      </c>
    </row>
    <row r="11" spans="1:3" x14ac:dyDescent="0.3">
      <c r="A11">
        <v>828</v>
      </c>
      <c r="B11">
        <v>857</v>
      </c>
      <c r="C11">
        <v>879</v>
      </c>
    </row>
    <row r="12" spans="1:3" x14ac:dyDescent="0.3">
      <c r="A12">
        <v>829</v>
      </c>
      <c r="B12">
        <v>858</v>
      </c>
      <c r="C12">
        <v>879</v>
      </c>
    </row>
    <row r="13" spans="1:3" x14ac:dyDescent="0.3">
      <c r="A13">
        <v>829</v>
      </c>
      <c r="B13">
        <v>859</v>
      </c>
      <c r="C13">
        <v>879</v>
      </c>
    </row>
    <row r="14" spans="1:3" x14ac:dyDescent="0.3">
      <c r="A14">
        <v>829</v>
      </c>
      <c r="B14">
        <v>859</v>
      </c>
      <c r="C14">
        <v>879</v>
      </c>
    </row>
    <row r="15" spans="1:3" x14ac:dyDescent="0.3">
      <c r="A15">
        <v>829</v>
      </c>
      <c r="B15">
        <v>858</v>
      </c>
      <c r="C15">
        <v>879</v>
      </c>
    </row>
    <row r="16" spans="1:3" x14ac:dyDescent="0.3">
      <c r="A16">
        <v>829</v>
      </c>
      <c r="B16">
        <v>859</v>
      </c>
      <c r="C16">
        <v>879</v>
      </c>
    </row>
    <row r="17" spans="1:3" x14ac:dyDescent="0.3">
      <c r="A17">
        <v>828</v>
      </c>
      <c r="B17">
        <v>857</v>
      </c>
      <c r="C17">
        <v>878</v>
      </c>
    </row>
    <row r="18" spans="1:3" x14ac:dyDescent="0.3">
      <c r="A18">
        <v>829</v>
      </c>
      <c r="B18">
        <v>859</v>
      </c>
      <c r="C18">
        <v>879</v>
      </c>
    </row>
    <row r="19" spans="1:3" x14ac:dyDescent="0.3">
      <c r="A19">
        <v>830</v>
      </c>
      <c r="B19">
        <v>859</v>
      </c>
      <c r="C19">
        <v>880</v>
      </c>
    </row>
    <row r="20" spans="1:3" x14ac:dyDescent="0.3">
      <c r="A20">
        <v>831</v>
      </c>
      <c r="B20">
        <v>860</v>
      </c>
      <c r="C20">
        <v>880</v>
      </c>
    </row>
    <row r="21" spans="1:3" x14ac:dyDescent="0.3">
      <c r="A21">
        <v>831</v>
      </c>
      <c r="B21">
        <v>859</v>
      </c>
      <c r="C21">
        <v>880</v>
      </c>
    </row>
    <row r="22" spans="1:3" x14ac:dyDescent="0.3">
      <c r="A22">
        <v>827</v>
      </c>
      <c r="B22">
        <v>860</v>
      </c>
      <c r="C22">
        <v>882</v>
      </c>
    </row>
    <row r="23" spans="1:3" x14ac:dyDescent="0.3">
      <c r="A23">
        <v>829</v>
      </c>
      <c r="B23">
        <v>858</v>
      </c>
      <c r="C23">
        <v>879</v>
      </c>
    </row>
    <row r="24" spans="1:3" x14ac:dyDescent="0.3">
      <c r="A24">
        <v>829</v>
      </c>
      <c r="B24">
        <v>859</v>
      </c>
      <c r="C24">
        <v>880</v>
      </c>
    </row>
    <row r="25" spans="1:3" x14ac:dyDescent="0.3">
      <c r="A25">
        <v>826</v>
      </c>
      <c r="B25">
        <v>857</v>
      </c>
      <c r="C25">
        <v>878</v>
      </c>
    </row>
    <row r="26" spans="1:3" x14ac:dyDescent="0.3">
      <c r="A26">
        <v>827</v>
      </c>
      <c r="B26">
        <v>857</v>
      </c>
      <c r="C26">
        <v>874</v>
      </c>
    </row>
    <row r="27" spans="1:3" x14ac:dyDescent="0.3">
      <c r="A27">
        <v>828</v>
      </c>
      <c r="B27">
        <v>857</v>
      </c>
      <c r="C27">
        <v>877</v>
      </c>
    </row>
    <row r="28" spans="1:3" x14ac:dyDescent="0.3">
      <c r="A28">
        <v>829</v>
      </c>
      <c r="B28">
        <v>858</v>
      </c>
      <c r="C28">
        <v>879</v>
      </c>
    </row>
    <row r="29" spans="1:3" x14ac:dyDescent="0.3">
      <c r="A29">
        <v>829</v>
      </c>
      <c r="B29">
        <v>858</v>
      </c>
      <c r="C29">
        <v>878</v>
      </c>
    </row>
    <row r="30" spans="1:3" x14ac:dyDescent="0.3">
      <c r="A30">
        <v>830</v>
      </c>
      <c r="B30">
        <v>859</v>
      </c>
      <c r="C30">
        <v>880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4005-FB11-4077-A4FE-36E4F3F02F9D}">
  <dimension ref="A1:C31"/>
  <sheetViews>
    <sheetView topLeftCell="A4" workbookViewId="0">
      <selection activeCell="B19" sqref="B19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377</v>
      </c>
      <c r="B2">
        <v>398</v>
      </c>
      <c r="C2">
        <v>540</v>
      </c>
    </row>
    <row r="3" spans="1:3" x14ac:dyDescent="0.3">
      <c r="A3">
        <v>376</v>
      </c>
      <c r="B3">
        <v>398</v>
      </c>
      <c r="C3">
        <v>540</v>
      </c>
    </row>
    <row r="4" spans="1:3" x14ac:dyDescent="0.3">
      <c r="A4">
        <v>376</v>
      </c>
      <c r="B4">
        <v>398</v>
      </c>
      <c r="C4">
        <v>539</v>
      </c>
    </row>
    <row r="5" spans="1:3" x14ac:dyDescent="0.3">
      <c r="A5">
        <v>376</v>
      </c>
      <c r="B5">
        <v>398</v>
      </c>
      <c r="C5">
        <v>539</v>
      </c>
    </row>
    <row r="6" spans="1:3" x14ac:dyDescent="0.3">
      <c r="A6">
        <v>375</v>
      </c>
      <c r="B6">
        <v>397</v>
      </c>
      <c r="C6">
        <v>539</v>
      </c>
    </row>
    <row r="7" spans="1:3" x14ac:dyDescent="0.3">
      <c r="A7">
        <v>375</v>
      </c>
      <c r="B7">
        <v>397</v>
      </c>
      <c r="C7">
        <v>538</v>
      </c>
    </row>
    <row r="8" spans="1:3" x14ac:dyDescent="0.3">
      <c r="A8">
        <v>382</v>
      </c>
      <c r="B8">
        <v>400</v>
      </c>
      <c r="C8">
        <v>541</v>
      </c>
    </row>
    <row r="9" spans="1:3" x14ac:dyDescent="0.3">
      <c r="A9">
        <v>375</v>
      </c>
      <c r="B9">
        <v>396</v>
      </c>
      <c r="C9">
        <v>538</v>
      </c>
    </row>
    <row r="10" spans="1:3" x14ac:dyDescent="0.3">
      <c r="A10">
        <v>375</v>
      </c>
      <c r="B10">
        <v>396</v>
      </c>
      <c r="C10">
        <v>538</v>
      </c>
    </row>
    <row r="11" spans="1:3" x14ac:dyDescent="0.3">
      <c r="A11">
        <v>374</v>
      </c>
      <c r="B11">
        <v>396</v>
      </c>
      <c r="C11">
        <v>538</v>
      </c>
    </row>
    <row r="12" spans="1:3" x14ac:dyDescent="0.3">
      <c r="A12">
        <v>375</v>
      </c>
      <c r="B12">
        <v>396</v>
      </c>
      <c r="C12">
        <v>538</v>
      </c>
    </row>
    <row r="13" spans="1:3" x14ac:dyDescent="0.3">
      <c r="A13">
        <v>375</v>
      </c>
      <c r="B13">
        <v>397</v>
      </c>
      <c r="C13">
        <v>538</v>
      </c>
    </row>
    <row r="14" spans="1:3" x14ac:dyDescent="0.3">
      <c r="A14">
        <v>375</v>
      </c>
      <c r="B14">
        <v>396</v>
      </c>
      <c r="C14">
        <v>538</v>
      </c>
    </row>
    <row r="15" spans="1:3" x14ac:dyDescent="0.3">
      <c r="A15">
        <v>373</v>
      </c>
      <c r="B15">
        <v>395</v>
      </c>
      <c r="C15">
        <v>537</v>
      </c>
    </row>
    <row r="16" spans="1:3" x14ac:dyDescent="0.3">
      <c r="A16">
        <v>375</v>
      </c>
      <c r="B16">
        <v>396</v>
      </c>
      <c r="C16">
        <v>538</v>
      </c>
    </row>
    <row r="17" spans="1:3" x14ac:dyDescent="0.3">
      <c r="A17">
        <v>375</v>
      </c>
      <c r="B17">
        <v>395</v>
      </c>
      <c r="C17">
        <v>537</v>
      </c>
    </row>
    <row r="18" spans="1:3" x14ac:dyDescent="0.3">
      <c r="A18">
        <v>375</v>
      </c>
      <c r="B18">
        <v>396</v>
      </c>
      <c r="C18">
        <v>538</v>
      </c>
    </row>
    <row r="19" spans="1:3" x14ac:dyDescent="0.3">
      <c r="A19">
        <v>375</v>
      </c>
      <c r="B19">
        <v>396</v>
      </c>
      <c r="C19">
        <v>538</v>
      </c>
    </row>
    <row r="20" spans="1:3" x14ac:dyDescent="0.3">
      <c r="A20">
        <v>374</v>
      </c>
      <c r="B20">
        <v>396</v>
      </c>
      <c r="C20">
        <v>537</v>
      </c>
    </row>
    <row r="21" spans="1:3" x14ac:dyDescent="0.3">
      <c r="A21">
        <v>374</v>
      </c>
      <c r="B21">
        <v>396</v>
      </c>
      <c r="C21">
        <v>537</v>
      </c>
    </row>
    <row r="22" spans="1:3" x14ac:dyDescent="0.3">
      <c r="A22">
        <v>375</v>
      </c>
      <c r="B22">
        <v>396</v>
      </c>
      <c r="C22">
        <v>538</v>
      </c>
    </row>
    <row r="23" spans="1:3" x14ac:dyDescent="0.3">
      <c r="A23">
        <v>374</v>
      </c>
      <c r="B23">
        <v>396</v>
      </c>
      <c r="C23">
        <v>537</v>
      </c>
    </row>
    <row r="24" spans="1:3" x14ac:dyDescent="0.3">
      <c r="A24">
        <v>373</v>
      </c>
      <c r="B24">
        <v>395</v>
      </c>
      <c r="C24">
        <v>537</v>
      </c>
    </row>
    <row r="25" spans="1:3" x14ac:dyDescent="0.3">
      <c r="A25">
        <v>374</v>
      </c>
      <c r="B25">
        <v>395</v>
      </c>
      <c r="C25">
        <v>537</v>
      </c>
    </row>
    <row r="26" spans="1:3" x14ac:dyDescent="0.3">
      <c r="A26">
        <v>374</v>
      </c>
      <c r="B26">
        <v>396</v>
      </c>
      <c r="C26">
        <v>537</v>
      </c>
    </row>
    <row r="27" spans="1:3" x14ac:dyDescent="0.3">
      <c r="A27">
        <v>374</v>
      </c>
      <c r="B27">
        <v>396</v>
      </c>
      <c r="C27">
        <v>538</v>
      </c>
    </row>
    <row r="28" spans="1:3" x14ac:dyDescent="0.3">
      <c r="A28">
        <v>374</v>
      </c>
      <c r="B28">
        <v>396</v>
      </c>
      <c r="C28">
        <v>537</v>
      </c>
    </row>
    <row r="29" spans="1:3" x14ac:dyDescent="0.3">
      <c r="A29">
        <v>374</v>
      </c>
      <c r="B29">
        <v>395</v>
      </c>
      <c r="C29">
        <v>537</v>
      </c>
    </row>
    <row r="30" spans="1:3" x14ac:dyDescent="0.3">
      <c r="A30">
        <v>374</v>
      </c>
      <c r="B30">
        <v>396</v>
      </c>
      <c r="C30">
        <v>538</v>
      </c>
    </row>
    <row r="31" spans="1:3" x14ac:dyDescent="0.3">
      <c r="A31">
        <v>374</v>
      </c>
      <c r="B31">
        <v>395</v>
      </c>
      <c r="C31">
        <v>537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2EBD-C7B9-46A7-B19E-5E330A098FA7}">
  <dimension ref="B2:L9"/>
  <sheetViews>
    <sheetView workbookViewId="0">
      <selection activeCell="D16" sqref="D16"/>
    </sheetView>
  </sheetViews>
  <sheetFormatPr defaultRowHeight="14.4" x14ac:dyDescent="0.3"/>
  <cols>
    <col min="3" max="3" width="13.5546875" bestFit="1" customWidth="1"/>
    <col min="4" max="5" width="6.5546875" bestFit="1" customWidth="1"/>
    <col min="6" max="6" width="7.5546875" bestFit="1" customWidth="1"/>
    <col min="7" max="8" width="4.5546875" bestFit="1" customWidth="1"/>
    <col min="9" max="9" width="7.5546875" bestFit="1" customWidth="1"/>
  </cols>
  <sheetData>
    <row r="2" spans="2:12" x14ac:dyDescent="0.3">
      <c r="D2" s="25" t="s">
        <v>16</v>
      </c>
      <c r="E2" s="25"/>
      <c r="F2" s="25"/>
      <c r="G2" s="25" t="s">
        <v>17</v>
      </c>
      <c r="H2" s="25"/>
      <c r="I2" s="25"/>
      <c r="J2" s="25"/>
      <c r="K2" s="25"/>
      <c r="L2" s="25"/>
    </row>
    <row r="3" spans="2:12" x14ac:dyDescent="0.3">
      <c r="B3" t="s">
        <v>9</v>
      </c>
      <c r="C3" t="s">
        <v>10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</row>
    <row r="4" spans="2:12" x14ac:dyDescent="0.3">
      <c r="B4" t="s">
        <v>11</v>
      </c>
      <c r="C4" t="s">
        <v>13</v>
      </c>
      <c r="D4" s="1">
        <f>MIN(dim_grey_floor[])</f>
        <v>360</v>
      </c>
      <c r="E4" s="1">
        <f>MAX(dim_grey_floor[])</f>
        <v>489</v>
      </c>
      <c r="F4" s="1">
        <f>AVERAGE(dim_grey_floor[])</f>
        <v>413.03333333333336</v>
      </c>
      <c r="G4" s="1">
        <f>(D4/1024)*5</f>
        <v>1.7578125</v>
      </c>
      <c r="H4" s="1">
        <f>(E4/1024)*5</f>
        <v>2.3876953125</v>
      </c>
      <c r="I4" s="1">
        <f>(F4/1024)*5</f>
        <v>2.016764322916667</v>
      </c>
    </row>
    <row r="5" spans="2:12" x14ac:dyDescent="0.3">
      <c r="B5" t="s">
        <v>11</v>
      </c>
      <c r="C5" t="s">
        <v>14</v>
      </c>
      <c r="D5" s="1">
        <f>MIN(dim_black_tape[])</f>
        <v>838</v>
      </c>
      <c r="E5" s="1">
        <f>MAX(dim_black_tape[])</f>
        <v>899</v>
      </c>
      <c r="F5" s="1">
        <f>AVERAGE(dim_black_tape[])</f>
        <v>865.23456790123453</v>
      </c>
      <c r="G5" s="1">
        <f t="shared" ref="G5:G9" si="0">(D5/1024)*5</f>
        <v>4.091796875</v>
      </c>
      <c r="H5" s="1">
        <f t="shared" ref="H5:H9" si="1">(E5/1024)*5</f>
        <v>4.3896484375</v>
      </c>
      <c r="I5" s="1">
        <f t="shared" ref="I5:I9" si="2">(F5/1024)*5</f>
        <v>4.2247781635802468</v>
      </c>
    </row>
    <row r="6" spans="2:12" x14ac:dyDescent="0.3">
      <c r="B6" t="s">
        <v>11</v>
      </c>
      <c r="C6" t="s">
        <v>15</v>
      </c>
      <c r="D6" s="1">
        <f>MIN(dim_dirty_black_tape[])</f>
        <v>802</v>
      </c>
      <c r="E6" s="1">
        <f>MAX(dim_dirty_black_tape[])</f>
        <v>965</v>
      </c>
      <c r="F6" s="1">
        <f>AVERAGE(dim_dirty_black_tape[])</f>
        <v>905.73333333333335</v>
      </c>
      <c r="G6" s="1">
        <f t="shared" si="0"/>
        <v>3.916015625</v>
      </c>
      <c r="H6" s="1">
        <f t="shared" si="1"/>
        <v>4.7119140625</v>
      </c>
      <c r="I6" s="1">
        <f t="shared" si="2"/>
        <v>4.422526041666667</v>
      </c>
    </row>
    <row r="7" spans="2:12" x14ac:dyDescent="0.3">
      <c r="B7" t="s">
        <v>12</v>
      </c>
      <c r="C7" t="s">
        <v>13</v>
      </c>
      <c r="D7" s="1">
        <f>MIN(bright_grey_floor[])</f>
        <v>373</v>
      </c>
      <c r="E7" s="1">
        <f>MAX(bright_grey_floor[])</f>
        <v>541</v>
      </c>
      <c r="F7" s="1">
        <f>AVERAGE(bright_grey_floor[])</f>
        <v>436.38888888888891</v>
      </c>
      <c r="G7" s="1">
        <f t="shared" si="0"/>
        <v>1.8212890625</v>
      </c>
      <c r="H7" s="1">
        <f t="shared" si="1"/>
        <v>2.6416015625</v>
      </c>
      <c r="I7" s="1">
        <f t="shared" si="2"/>
        <v>2.1308051215277777</v>
      </c>
    </row>
    <row r="8" spans="2:12" x14ac:dyDescent="0.3">
      <c r="B8" t="s">
        <v>12</v>
      </c>
      <c r="C8" t="s">
        <v>14</v>
      </c>
      <c r="D8" s="1">
        <f>MIN(bright_black_tape[])</f>
        <v>826</v>
      </c>
      <c r="E8" s="1">
        <f>MAX(bright_black_tape[])</f>
        <v>882</v>
      </c>
      <c r="F8" s="1">
        <f>AVERAGE(bright_black_tape[])</f>
        <v>855.26436781609198</v>
      </c>
      <c r="G8" s="1">
        <f t="shared" si="0"/>
        <v>4.033203125</v>
      </c>
      <c r="H8" s="1">
        <f t="shared" si="1"/>
        <v>4.306640625</v>
      </c>
      <c r="I8" s="1">
        <f t="shared" si="2"/>
        <v>4.1760955459770113</v>
      </c>
    </row>
    <row r="9" spans="2:12" x14ac:dyDescent="0.3">
      <c r="B9" t="s">
        <v>12</v>
      </c>
      <c r="C9" t="s">
        <v>15</v>
      </c>
      <c r="D9" s="1">
        <f>MIN(bright_dirty_black_tape[])</f>
        <v>710</v>
      </c>
      <c r="E9" s="1">
        <f>MAX(bright_dirty_black_tape[])</f>
        <v>946</v>
      </c>
      <c r="F9" s="1">
        <f>AVERAGE(bright_dirty_black_tape[])</f>
        <v>818.13333333333333</v>
      </c>
      <c r="G9" s="1">
        <f t="shared" si="0"/>
        <v>3.466796875</v>
      </c>
      <c r="H9" s="1">
        <f t="shared" si="1"/>
        <v>4.619140625</v>
      </c>
      <c r="I9" s="1">
        <f t="shared" si="2"/>
        <v>3.9947916666666665</v>
      </c>
    </row>
  </sheetData>
  <mergeCells count="3">
    <mergeCell ref="D2:F2"/>
    <mergeCell ref="G2:I2"/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E6D-8512-401D-8570-598B22DB4C33}">
  <dimension ref="A1:H32"/>
  <sheetViews>
    <sheetView workbookViewId="0">
      <selection activeCell="D24" sqref="D24"/>
    </sheetView>
  </sheetViews>
  <sheetFormatPr defaultRowHeight="14.4" x14ac:dyDescent="0.3"/>
  <cols>
    <col min="1" max="1" width="15.77734375" customWidth="1"/>
    <col min="2" max="3" width="14.44140625" bestFit="1" customWidth="1"/>
    <col min="4" max="4" width="22.6640625" customWidth="1"/>
    <col min="5" max="5" width="23.44140625" bestFit="1" customWidth="1"/>
    <col min="6" max="6" width="17.77734375" customWidth="1"/>
    <col min="7" max="7" width="6.6640625" customWidth="1"/>
    <col min="8" max="8" width="7.44140625" customWidth="1"/>
  </cols>
  <sheetData>
    <row r="1" spans="1:8" x14ac:dyDescent="0.3">
      <c r="A1" s="26" t="s">
        <v>30</v>
      </c>
      <c r="B1" s="26"/>
      <c r="C1" s="26"/>
      <c r="D1" s="26"/>
      <c r="E1" s="26"/>
      <c r="F1" s="26"/>
      <c r="G1" s="26"/>
      <c r="H1" s="26"/>
    </row>
    <row r="2" spans="1:8" x14ac:dyDescent="0.3">
      <c r="A2" s="7" t="s">
        <v>21</v>
      </c>
      <c r="B2" s="8" t="s">
        <v>9</v>
      </c>
      <c r="C2" s="8" t="s">
        <v>10</v>
      </c>
      <c r="D2" s="8" t="s">
        <v>25</v>
      </c>
      <c r="E2" s="8" t="s">
        <v>18</v>
      </c>
      <c r="F2" s="8" t="s">
        <v>19</v>
      </c>
      <c r="G2" s="8" t="s">
        <v>4</v>
      </c>
      <c r="H2" s="9" t="s">
        <v>5</v>
      </c>
    </row>
    <row r="3" spans="1:8" x14ac:dyDescent="0.3">
      <c r="A3" s="10" t="s">
        <v>24</v>
      </c>
      <c r="B3" s="11" t="s">
        <v>11</v>
      </c>
      <c r="C3" s="2" t="s">
        <v>20</v>
      </c>
      <c r="D3" s="4">
        <f>AVERAGE(dim_grey_floor[Left])</f>
        <v>362</v>
      </c>
      <c r="E3" s="4">
        <f>_xlfn.STDEV.P(dim_grey_floor[Left])</f>
        <v>0.96609178307929588</v>
      </c>
      <c r="F3" s="4">
        <f>(D3/1024)*5</f>
        <v>1.767578125</v>
      </c>
      <c r="G3" s="4">
        <f>MIN(dim_grey_floor[Left])</f>
        <v>360</v>
      </c>
      <c r="H3" s="6">
        <f>MAX(dim_grey_floor[Left])</f>
        <v>365</v>
      </c>
    </row>
    <row r="4" spans="1:8" x14ac:dyDescent="0.3">
      <c r="A4" s="17" t="s">
        <v>24</v>
      </c>
      <c r="B4" s="11" t="s">
        <v>11</v>
      </c>
      <c r="C4" s="2" t="s">
        <v>22</v>
      </c>
      <c r="D4" s="4">
        <f>AVERAGE(dim_black_tape[Left])</f>
        <v>846.55555555555554</v>
      </c>
      <c r="E4" s="4">
        <f>_xlfn.STDEV.P(dim_black_tape[Left])</f>
        <v>2.8458329944145997</v>
      </c>
      <c r="F4" s="4">
        <f t="shared" ref="F4:F20" si="0">(D4/1024)*5</f>
        <v>4.1335720486111107</v>
      </c>
      <c r="G4" s="4">
        <f>MIN(dim_black_tape[Left])</f>
        <v>838</v>
      </c>
      <c r="H4" s="6">
        <f>MAX(dim_black_tape[Left])</f>
        <v>852</v>
      </c>
    </row>
    <row r="5" spans="1:8" x14ac:dyDescent="0.3">
      <c r="A5" s="17" t="s">
        <v>24</v>
      </c>
      <c r="B5" s="11" t="s">
        <v>11</v>
      </c>
      <c r="C5" s="2" t="s">
        <v>23</v>
      </c>
      <c r="D5" s="4">
        <f>AVERAGE(dim_dirty_black_tape[Left])</f>
        <v>833.7</v>
      </c>
      <c r="E5" s="4">
        <f>_xlfn.STDEV.P(dim_dirty_black_tape[Left])</f>
        <v>8.8134367114461512</v>
      </c>
      <c r="F5" s="4">
        <f t="shared" si="0"/>
        <v>4.07080078125</v>
      </c>
      <c r="G5" s="4">
        <f>MIN(dim_dirty_black_tape[Left])</f>
        <v>802</v>
      </c>
      <c r="H5" s="6">
        <f>MAX(dim_dirty_black_tape[Left])</f>
        <v>840</v>
      </c>
    </row>
    <row r="6" spans="1:8" x14ac:dyDescent="0.3">
      <c r="A6" s="17" t="s">
        <v>24</v>
      </c>
      <c r="B6" s="11" t="s">
        <v>12</v>
      </c>
      <c r="C6" s="2" t="s">
        <v>20</v>
      </c>
      <c r="D6" s="4">
        <f>AVERAGE(bright_grey_floor[Left])</f>
        <v>374.9</v>
      </c>
      <c r="E6" s="4">
        <f>_xlfn.STDEV.P(bright_grey_floor[Left])</f>
        <v>1.5779733838059502</v>
      </c>
      <c r="F6" s="4">
        <f t="shared" si="0"/>
        <v>1.83056640625</v>
      </c>
      <c r="G6" s="4">
        <f>MIN(bright_grey_floor[Left])</f>
        <v>373</v>
      </c>
      <c r="H6" s="6">
        <f>MAX(bright_grey_floor[Left])</f>
        <v>382</v>
      </c>
    </row>
    <row r="7" spans="1:8" x14ac:dyDescent="0.3">
      <c r="A7" s="17" t="s">
        <v>24</v>
      </c>
      <c r="B7" s="11" t="s">
        <v>12</v>
      </c>
      <c r="C7" s="2" t="s">
        <v>22</v>
      </c>
      <c r="D7" s="4">
        <f>AVERAGE(bright_black_tape[Left])</f>
        <v>828.72413793103453</v>
      </c>
      <c r="E7" s="4">
        <f>_xlfn.STDEV.P(bright_black_tape[Left])</f>
        <v>1.0470501000475154</v>
      </c>
      <c r="F7" s="4">
        <f t="shared" si="0"/>
        <v>4.0465045797413799</v>
      </c>
      <c r="G7" s="4">
        <f>MIN(bright_black_tape[Left])</f>
        <v>826</v>
      </c>
      <c r="H7" s="6">
        <f>MAX(bright_black_tape[Left])</f>
        <v>831</v>
      </c>
    </row>
    <row r="8" spans="1:8" x14ac:dyDescent="0.3">
      <c r="A8" s="17" t="s">
        <v>24</v>
      </c>
      <c r="B8" s="11" t="s">
        <v>12</v>
      </c>
      <c r="C8" s="2" t="s">
        <v>23</v>
      </c>
      <c r="D8" s="4">
        <f>AVERAGE(bright_dirty_black_tape[Left])</f>
        <v>795.63333333333333</v>
      </c>
      <c r="E8" s="4">
        <f>_xlfn.STDEV.P(bright_dirty_black_tape[Left])</f>
        <v>3.219558285783247</v>
      </c>
      <c r="F8" s="4">
        <f t="shared" si="0"/>
        <v>3.8849283854166665</v>
      </c>
      <c r="G8" s="4">
        <f>MIN(bright_dirty_black_tape[Left])</f>
        <v>784</v>
      </c>
      <c r="H8" s="6">
        <f>MAX(bright_dirty_black_tape[Left])</f>
        <v>799</v>
      </c>
    </row>
    <row r="9" spans="1:8" x14ac:dyDescent="0.3">
      <c r="A9" s="10" t="s">
        <v>26</v>
      </c>
      <c r="B9" s="11" t="s">
        <v>11</v>
      </c>
      <c r="C9" s="2" t="s">
        <v>20</v>
      </c>
      <c r="D9" s="4">
        <f>AVERAGE(dim_grey_floor[Middle])</f>
        <v>390</v>
      </c>
      <c r="E9" s="4">
        <f>_xlfn.STDEV.P(dim_grey_floor[Middle])</f>
        <v>0.89442719099991586</v>
      </c>
      <c r="F9" s="4">
        <f t="shared" si="0"/>
        <v>1.904296875</v>
      </c>
      <c r="G9" s="4">
        <f>MIN(dim_grey_floor[Middle])</f>
        <v>389</v>
      </c>
      <c r="H9" s="6">
        <f>MAX(dim_grey_floor[Middle])</f>
        <v>393</v>
      </c>
    </row>
    <row r="10" spans="1:8" x14ac:dyDescent="0.3">
      <c r="A10" s="10" t="s">
        <v>26</v>
      </c>
      <c r="B10" s="11" t="s">
        <v>11</v>
      </c>
      <c r="C10" s="2" t="s">
        <v>22</v>
      </c>
      <c r="D10" s="4">
        <f>AVERAGE(dim_black_tape[Middle])</f>
        <v>855.48148148148152</v>
      </c>
      <c r="E10" s="4">
        <f>_xlfn.STDEV.P(dim_black_tape[Middle])</f>
        <v>2.8201703438224413</v>
      </c>
      <c r="F10" s="4">
        <f t="shared" si="0"/>
        <v>4.1771556712962967</v>
      </c>
      <c r="G10" s="4">
        <f>MIN(dim_black_tape[Middle])</f>
        <v>847</v>
      </c>
      <c r="H10" s="6">
        <f>MAX(dim_black_tape[Middle])</f>
        <v>861</v>
      </c>
    </row>
    <row r="11" spans="1:8" x14ac:dyDescent="0.3">
      <c r="A11" s="10" t="s">
        <v>26</v>
      </c>
      <c r="B11" s="11" t="s">
        <v>11</v>
      </c>
      <c r="C11" s="2" t="s">
        <v>23</v>
      </c>
      <c r="D11" s="4">
        <f>AVERAGE(dim_dirty_black_tape[Middle])</f>
        <v>925.06666666666672</v>
      </c>
      <c r="E11" s="4">
        <f>_xlfn.STDEV.P(dim_dirty_black_tape[Middle])</f>
        <v>8.6792216752937517</v>
      </c>
      <c r="F11" s="4">
        <f t="shared" si="0"/>
        <v>4.5169270833333339</v>
      </c>
      <c r="G11" s="4">
        <f>MIN(dim_dirty_black_tape[Middle])</f>
        <v>895</v>
      </c>
      <c r="H11" s="6">
        <f>MAX(dim_dirty_black_tape[Middle])</f>
        <v>931</v>
      </c>
    </row>
    <row r="12" spans="1:8" x14ac:dyDescent="0.3">
      <c r="A12" s="10" t="s">
        <v>26</v>
      </c>
      <c r="B12" s="11" t="s">
        <v>12</v>
      </c>
      <c r="C12" s="2" t="s">
        <v>20</v>
      </c>
      <c r="D12" s="4">
        <f>AVERAGE(bright_grey_floor[Middle])</f>
        <v>396.3</v>
      </c>
      <c r="E12" s="4">
        <f>_xlfn.STDEV.P(bright_grey_floor[Middle])</f>
        <v>1.1298967504452191</v>
      </c>
      <c r="F12" s="4">
        <f t="shared" si="0"/>
        <v>1.93505859375</v>
      </c>
      <c r="G12" s="4">
        <f>MIN(bright_grey_floor[Middle])</f>
        <v>395</v>
      </c>
      <c r="H12" s="6">
        <f>MAX(bright_grey_floor[Middle])</f>
        <v>400</v>
      </c>
    </row>
    <row r="13" spans="1:8" x14ac:dyDescent="0.3">
      <c r="A13" s="10" t="s">
        <v>26</v>
      </c>
      <c r="B13" s="11" t="s">
        <v>12</v>
      </c>
      <c r="C13" s="2" t="s">
        <v>22</v>
      </c>
      <c r="D13" s="4">
        <f>AVERAGE(bright_black_tape[Middle])</f>
        <v>858.24137931034488</v>
      </c>
      <c r="E13" s="4">
        <f>_xlfn.STDEV.P(bright_black_tape[Middle])</f>
        <v>0.81601100456546438</v>
      </c>
      <c r="F13" s="4">
        <f t="shared" si="0"/>
        <v>4.1906317349137936</v>
      </c>
      <c r="G13" s="4">
        <f>MIN(bright_black_tape[Middle])</f>
        <v>857</v>
      </c>
      <c r="H13" s="6">
        <f>MAX(bright_black_tape[Middle])</f>
        <v>860</v>
      </c>
    </row>
    <row r="14" spans="1:8" x14ac:dyDescent="0.3">
      <c r="A14" s="10" t="s">
        <v>26</v>
      </c>
      <c r="B14" s="11" t="s">
        <v>12</v>
      </c>
      <c r="C14" s="2" t="s">
        <v>23</v>
      </c>
      <c r="D14" s="4">
        <f>AVERAGE(bright_dirty_black_tape[Middle])</f>
        <v>715.43333333333328</v>
      </c>
      <c r="E14" s="4">
        <f>_xlfn.STDEV.P(bright_dirty_black_tape[Middle])</f>
        <v>1.8381754238616301</v>
      </c>
      <c r="F14" s="4">
        <f t="shared" si="0"/>
        <v>3.4933268229166665</v>
      </c>
      <c r="G14" s="4">
        <f>MIN(bright_dirty_black_tape[Middle])</f>
        <v>710</v>
      </c>
      <c r="H14" s="6">
        <f>MAX(bright_dirty_black_tape[Middle])</f>
        <v>717</v>
      </c>
    </row>
    <row r="15" spans="1:8" x14ac:dyDescent="0.3">
      <c r="A15" s="10" t="s">
        <v>2</v>
      </c>
      <c r="B15" s="11" t="s">
        <v>11</v>
      </c>
      <c r="C15" s="2" t="s">
        <v>20</v>
      </c>
      <c r="D15" s="4">
        <f>AVERAGE(dim_grey_floor[Right])</f>
        <v>487.1</v>
      </c>
      <c r="E15" s="4">
        <f>_xlfn.STDEV.P(dim_grey_floor[Right])</f>
        <v>0.78951461882180085</v>
      </c>
      <c r="F15" s="4">
        <f t="shared" si="0"/>
        <v>2.37841796875</v>
      </c>
      <c r="G15" s="4">
        <f>MIN(dim_grey_floor[Right])</f>
        <v>486</v>
      </c>
      <c r="H15" s="6">
        <f>MAX(dim_grey_floor[Right])</f>
        <v>489</v>
      </c>
    </row>
    <row r="16" spans="1:8" x14ac:dyDescent="0.3">
      <c r="A16" s="10" t="s">
        <v>2</v>
      </c>
      <c r="B16" s="11" t="s">
        <v>11</v>
      </c>
      <c r="C16" s="2" t="s">
        <v>22</v>
      </c>
      <c r="D16" s="4">
        <f>AVERAGE(dim_black_tape[Right])</f>
        <v>893.66666666666663</v>
      </c>
      <c r="E16" s="4">
        <f>_xlfn.STDEV.P(dim_black_tape[Right])</f>
        <v>2.6943012562182544</v>
      </c>
      <c r="F16" s="4">
        <f t="shared" si="0"/>
        <v>4.363606770833333</v>
      </c>
      <c r="G16" s="4">
        <f>MIN(dim_black_tape[Right])</f>
        <v>885</v>
      </c>
      <c r="H16" s="6">
        <f>MAX(dim_black_tape[Right])</f>
        <v>899</v>
      </c>
    </row>
    <row r="17" spans="1:8" x14ac:dyDescent="0.3">
      <c r="A17" s="10" t="s">
        <v>2</v>
      </c>
      <c r="B17" s="11" t="s">
        <v>11</v>
      </c>
      <c r="C17" s="2" t="s">
        <v>23</v>
      </c>
      <c r="D17" s="4">
        <f>AVERAGE(dim_dirty_black_tape[Right])</f>
        <v>958.43333333333328</v>
      </c>
      <c r="E17" s="4">
        <f>_xlfn.STDEV.P(dim_dirty_black_tape[Right])</f>
        <v>8.7433149065760833</v>
      </c>
      <c r="F17" s="4">
        <f t="shared" si="0"/>
        <v>4.6798502604166661</v>
      </c>
      <c r="G17" s="4">
        <f>MIN(dim_dirty_black_tape[Right])</f>
        <v>928</v>
      </c>
      <c r="H17" s="6">
        <f>MAX(dim_dirty_black_tape[Right])</f>
        <v>965</v>
      </c>
    </row>
    <row r="18" spans="1:8" x14ac:dyDescent="0.3">
      <c r="A18" s="10" t="s">
        <v>2</v>
      </c>
      <c r="B18" s="11" t="s">
        <v>12</v>
      </c>
      <c r="C18" s="2" t="s">
        <v>20</v>
      </c>
      <c r="D18" s="4">
        <f>AVERAGE(bright_grey_floor[Right])</f>
        <v>537.9666666666667</v>
      </c>
      <c r="E18" s="4">
        <f>_xlfn.STDEV.P(bright_grey_floor[Right])</f>
        <v>1.0159833769418776</v>
      </c>
      <c r="F18" s="4">
        <f t="shared" si="0"/>
        <v>2.6267903645833335</v>
      </c>
      <c r="G18" s="4">
        <f>MIN(bright_grey_floor[Right])</f>
        <v>537</v>
      </c>
      <c r="H18" s="6">
        <f>MAX(bright_grey_floor[Right])</f>
        <v>541</v>
      </c>
    </row>
    <row r="19" spans="1:8" x14ac:dyDescent="0.3">
      <c r="A19" s="10" t="s">
        <v>2</v>
      </c>
      <c r="B19" s="11" t="s">
        <v>12</v>
      </c>
      <c r="C19" s="2" t="s">
        <v>22</v>
      </c>
      <c r="D19" s="4">
        <f>AVERAGE(bright_black_tape[Right])</f>
        <v>878.82758620689651</v>
      </c>
      <c r="E19" s="4">
        <f>_xlfn.STDEV.P(bright_black_tape[Right])</f>
        <v>1.2883821856737521</v>
      </c>
      <c r="F19" s="4">
        <f t="shared" si="0"/>
        <v>4.2911503232758621</v>
      </c>
      <c r="G19" s="4">
        <f>MIN(bright_black_tape[Right])</f>
        <v>874</v>
      </c>
      <c r="H19" s="6">
        <f>MAX(bright_black_tape[Right])</f>
        <v>882</v>
      </c>
    </row>
    <row r="20" spans="1:8" x14ac:dyDescent="0.3">
      <c r="A20" s="10" t="s">
        <v>2</v>
      </c>
      <c r="B20" s="11" t="s">
        <v>12</v>
      </c>
      <c r="C20" s="12" t="s">
        <v>23</v>
      </c>
      <c r="D20" s="13">
        <f>AVERAGE(bright_dirty_black_tape[Right])</f>
        <v>943.33333333333337</v>
      </c>
      <c r="E20" s="13">
        <f>_xlfn.STDEV.P(bright_dirty_black_tape[Right])</f>
        <v>2.1653842358548965</v>
      </c>
      <c r="F20" s="13">
        <f t="shared" si="0"/>
        <v>4.606119791666667</v>
      </c>
      <c r="G20" s="13">
        <f>MIN(bright_dirty_black_tape[Right])</f>
        <v>936</v>
      </c>
      <c r="H20" s="14">
        <f>MAX(bright_dirty_black_tape[Right])</f>
        <v>946</v>
      </c>
    </row>
    <row r="26" spans="1:8" x14ac:dyDescent="0.3">
      <c r="C26" s="2" t="s">
        <v>9</v>
      </c>
      <c r="D26" s="2" t="s">
        <v>10</v>
      </c>
      <c r="E26" s="2" t="s">
        <v>32</v>
      </c>
    </row>
    <row r="27" spans="1:8" x14ac:dyDescent="0.3">
      <c r="C27" s="2" t="s">
        <v>11</v>
      </c>
      <c r="D27" s="2" t="s">
        <v>27</v>
      </c>
      <c r="E27" s="4">
        <f>AVERAGE(E3,E9,E15)</f>
        <v>0.88334453096700427</v>
      </c>
      <c r="F27" s="1"/>
      <c r="G27" s="1"/>
    </row>
    <row r="28" spans="1:8" x14ac:dyDescent="0.3">
      <c r="C28" s="2" t="s">
        <v>11</v>
      </c>
      <c r="D28" s="2" t="s">
        <v>28</v>
      </c>
      <c r="E28" s="4">
        <f>AVERAGE(E4,E10,E16)</f>
        <v>2.7867681981517651</v>
      </c>
      <c r="F28" s="1"/>
      <c r="G28" s="1"/>
    </row>
    <row r="29" spans="1:8" x14ac:dyDescent="0.3">
      <c r="C29" s="2" t="s">
        <v>11</v>
      </c>
      <c r="D29" s="2" t="s">
        <v>29</v>
      </c>
      <c r="E29" s="4">
        <f>AVERAGE(E5,E11,E17)</f>
        <v>8.7453244311053293</v>
      </c>
      <c r="F29" s="1"/>
      <c r="G29" s="1"/>
    </row>
    <row r="30" spans="1:8" x14ac:dyDescent="0.3">
      <c r="C30" s="2" t="s">
        <v>12</v>
      </c>
      <c r="D30" s="2" t="s">
        <v>27</v>
      </c>
      <c r="E30" s="4">
        <f t="shared" ref="E30:E32" si="1">AVERAGE(E6,E12,E18)</f>
        <v>1.2412845037310156</v>
      </c>
      <c r="F30" s="1"/>
      <c r="G30" s="1"/>
    </row>
    <row r="31" spans="1:8" x14ac:dyDescent="0.3">
      <c r="C31" s="2" t="s">
        <v>12</v>
      </c>
      <c r="D31" s="2" t="s">
        <v>28</v>
      </c>
      <c r="E31" s="4">
        <f t="shared" si="1"/>
        <v>1.050481096762244</v>
      </c>
      <c r="F31" s="1"/>
      <c r="G31" s="1"/>
    </row>
    <row r="32" spans="1:8" x14ac:dyDescent="0.3">
      <c r="C32" s="2" t="s">
        <v>12</v>
      </c>
      <c r="D32" s="2" t="s">
        <v>29</v>
      </c>
      <c r="E32" s="4">
        <f t="shared" si="1"/>
        <v>2.4077059818332578</v>
      </c>
      <c r="F32" s="1"/>
      <c r="G32" s="1"/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0229-CA9E-4377-8DBA-E63F17D12CD2}">
  <dimension ref="A1:H19"/>
  <sheetViews>
    <sheetView workbookViewId="0">
      <selection activeCell="D3" sqref="D3"/>
    </sheetView>
  </sheetViews>
  <sheetFormatPr defaultRowHeight="14.4" x14ac:dyDescent="0.3"/>
  <cols>
    <col min="1" max="1" width="16.21875" bestFit="1" customWidth="1"/>
    <col min="2" max="2" width="9.88671875" bestFit="1" customWidth="1"/>
    <col min="3" max="3" width="14.44140625" bestFit="1" customWidth="1"/>
    <col min="4" max="4" width="23.21875" bestFit="1" customWidth="1"/>
    <col min="5" max="5" width="19.44140625" bestFit="1" customWidth="1"/>
    <col min="6" max="6" width="18.21875" bestFit="1" customWidth="1"/>
    <col min="7" max="7" width="6.5546875" bestFit="1" customWidth="1"/>
    <col min="8" max="8" width="6.88671875" bestFit="1" customWidth="1"/>
  </cols>
  <sheetData>
    <row r="1" spans="1:8" x14ac:dyDescent="0.3">
      <c r="A1" t="s">
        <v>21</v>
      </c>
      <c r="B1" t="s">
        <v>9</v>
      </c>
      <c r="C1" t="s">
        <v>10</v>
      </c>
      <c r="D1" t="s">
        <v>25</v>
      </c>
      <c r="E1" t="s">
        <v>18</v>
      </c>
      <c r="F1" t="s">
        <v>19</v>
      </c>
      <c r="G1" t="s">
        <v>4</v>
      </c>
      <c r="H1" t="s">
        <v>5</v>
      </c>
    </row>
    <row r="2" spans="1:8" x14ac:dyDescent="0.3">
      <c r="A2" t="s">
        <v>24</v>
      </c>
      <c r="B2" t="s">
        <v>11</v>
      </c>
      <c r="C2" t="s">
        <v>20</v>
      </c>
      <c r="D2">
        <v>362</v>
      </c>
      <c r="E2">
        <v>0.96609178307929588</v>
      </c>
      <c r="F2">
        <v>1.767578125</v>
      </c>
      <c r="G2">
        <v>360</v>
      </c>
      <c r="H2">
        <v>365</v>
      </c>
    </row>
    <row r="3" spans="1:8" x14ac:dyDescent="0.3">
      <c r="A3" t="s">
        <v>24</v>
      </c>
      <c r="B3" t="s">
        <v>11</v>
      </c>
      <c r="C3" t="s">
        <v>22</v>
      </c>
      <c r="D3">
        <v>846.55555555555554</v>
      </c>
      <c r="E3">
        <v>2.8458329944145997</v>
      </c>
      <c r="F3">
        <v>4.1335720486111107</v>
      </c>
      <c r="G3">
        <v>838</v>
      </c>
      <c r="H3">
        <v>852</v>
      </c>
    </row>
    <row r="4" spans="1:8" x14ac:dyDescent="0.3">
      <c r="A4" t="s">
        <v>24</v>
      </c>
      <c r="B4" t="s">
        <v>11</v>
      </c>
      <c r="C4" t="s">
        <v>23</v>
      </c>
      <c r="D4">
        <v>833.7</v>
      </c>
      <c r="E4">
        <v>8.8134367114461512</v>
      </c>
      <c r="F4">
        <v>4.07080078125</v>
      </c>
      <c r="G4">
        <v>802</v>
      </c>
      <c r="H4">
        <v>840</v>
      </c>
    </row>
    <row r="5" spans="1:8" x14ac:dyDescent="0.3">
      <c r="A5" t="s">
        <v>24</v>
      </c>
      <c r="B5" t="s">
        <v>12</v>
      </c>
      <c r="C5" t="s">
        <v>20</v>
      </c>
      <c r="D5">
        <v>374.9</v>
      </c>
      <c r="E5">
        <v>1.5779733838059502</v>
      </c>
      <c r="F5">
        <v>1.83056640625</v>
      </c>
      <c r="G5">
        <v>373</v>
      </c>
      <c r="H5">
        <v>382</v>
      </c>
    </row>
    <row r="6" spans="1:8" x14ac:dyDescent="0.3">
      <c r="A6" t="s">
        <v>24</v>
      </c>
      <c r="B6" t="s">
        <v>12</v>
      </c>
      <c r="C6" t="s">
        <v>22</v>
      </c>
      <c r="D6">
        <v>828.72413793103453</v>
      </c>
      <c r="E6">
        <v>1.0470501000475154</v>
      </c>
      <c r="F6">
        <v>4.0465045797413799</v>
      </c>
      <c r="G6">
        <v>826</v>
      </c>
      <c r="H6">
        <v>831</v>
      </c>
    </row>
    <row r="7" spans="1:8" x14ac:dyDescent="0.3">
      <c r="A7" t="s">
        <v>24</v>
      </c>
      <c r="B7" t="s">
        <v>12</v>
      </c>
      <c r="C7" t="s">
        <v>23</v>
      </c>
      <c r="D7">
        <v>795.63333333333333</v>
      </c>
      <c r="E7">
        <v>3.219558285783247</v>
      </c>
      <c r="F7">
        <v>3.8849283854166665</v>
      </c>
      <c r="G7">
        <v>784</v>
      </c>
      <c r="H7">
        <v>799</v>
      </c>
    </row>
    <row r="8" spans="1:8" x14ac:dyDescent="0.3">
      <c r="A8" t="s">
        <v>26</v>
      </c>
      <c r="B8" t="s">
        <v>11</v>
      </c>
      <c r="C8" t="s">
        <v>20</v>
      </c>
      <c r="D8">
        <v>390</v>
      </c>
      <c r="E8">
        <v>0.89442719099991586</v>
      </c>
      <c r="F8">
        <v>1.904296875</v>
      </c>
      <c r="G8">
        <v>389</v>
      </c>
      <c r="H8">
        <v>393</v>
      </c>
    </row>
    <row r="9" spans="1:8" x14ac:dyDescent="0.3">
      <c r="A9" t="s">
        <v>26</v>
      </c>
      <c r="B9" t="s">
        <v>11</v>
      </c>
      <c r="C9" t="s">
        <v>22</v>
      </c>
      <c r="D9">
        <v>855.48148148148152</v>
      </c>
      <c r="E9">
        <v>2.8201703438224413</v>
      </c>
      <c r="F9">
        <v>4.1771556712962967</v>
      </c>
      <c r="G9">
        <v>847</v>
      </c>
      <c r="H9">
        <v>861</v>
      </c>
    </row>
    <row r="10" spans="1:8" x14ac:dyDescent="0.3">
      <c r="A10" t="s">
        <v>26</v>
      </c>
      <c r="B10" t="s">
        <v>11</v>
      </c>
      <c r="C10" t="s">
        <v>23</v>
      </c>
      <c r="D10">
        <v>925.06666666666672</v>
      </c>
      <c r="E10">
        <v>8.6792216752937517</v>
      </c>
      <c r="F10">
        <v>4.5169270833333339</v>
      </c>
      <c r="G10">
        <v>895</v>
      </c>
      <c r="H10">
        <v>931</v>
      </c>
    </row>
    <row r="11" spans="1:8" x14ac:dyDescent="0.3">
      <c r="A11" t="s">
        <v>26</v>
      </c>
      <c r="B11" t="s">
        <v>12</v>
      </c>
      <c r="C11" t="s">
        <v>20</v>
      </c>
      <c r="D11">
        <v>396.3</v>
      </c>
      <c r="E11">
        <v>1.1298967504452191</v>
      </c>
      <c r="F11">
        <v>1.93505859375</v>
      </c>
      <c r="G11">
        <v>395</v>
      </c>
      <c r="H11">
        <v>400</v>
      </c>
    </row>
    <row r="12" spans="1:8" x14ac:dyDescent="0.3">
      <c r="A12" t="s">
        <v>26</v>
      </c>
      <c r="B12" t="s">
        <v>12</v>
      </c>
      <c r="C12" t="s">
        <v>22</v>
      </c>
      <c r="D12">
        <v>858.24137931034488</v>
      </c>
      <c r="E12">
        <v>0.81601100456546438</v>
      </c>
      <c r="F12">
        <v>4.1906317349137936</v>
      </c>
      <c r="G12">
        <v>857</v>
      </c>
      <c r="H12">
        <v>860</v>
      </c>
    </row>
    <row r="13" spans="1:8" x14ac:dyDescent="0.3">
      <c r="A13" t="s">
        <v>26</v>
      </c>
      <c r="B13" t="s">
        <v>12</v>
      </c>
      <c r="C13" t="s">
        <v>23</v>
      </c>
      <c r="D13">
        <v>715.43333333333328</v>
      </c>
      <c r="E13">
        <v>1.8381754238616301</v>
      </c>
      <c r="F13">
        <v>3.4933268229166665</v>
      </c>
      <c r="G13">
        <v>710</v>
      </c>
      <c r="H13">
        <v>717</v>
      </c>
    </row>
    <row r="14" spans="1:8" x14ac:dyDescent="0.3">
      <c r="A14" t="s">
        <v>2</v>
      </c>
      <c r="B14" t="s">
        <v>11</v>
      </c>
      <c r="C14" t="s">
        <v>20</v>
      </c>
      <c r="D14">
        <v>487.1</v>
      </c>
      <c r="E14">
        <v>0.78951461882180085</v>
      </c>
      <c r="F14">
        <v>2.37841796875</v>
      </c>
      <c r="G14">
        <v>486</v>
      </c>
      <c r="H14">
        <v>489</v>
      </c>
    </row>
    <row r="15" spans="1:8" x14ac:dyDescent="0.3">
      <c r="A15" t="s">
        <v>2</v>
      </c>
      <c r="B15" t="s">
        <v>11</v>
      </c>
      <c r="C15" t="s">
        <v>22</v>
      </c>
      <c r="D15">
        <v>893.66666666666663</v>
      </c>
      <c r="E15">
        <v>2.6943012562182544</v>
      </c>
      <c r="F15">
        <v>4.363606770833333</v>
      </c>
      <c r="G15">
        <v>885</v>
      </c>
      <c r="H15">
        <v>899</v>
      </c>
    </row>
    <row r="16" spans="1:8" x14ac:dyDescent="0.3">
      <c r="A16" t="s">
        <v>2</v>
      </c>
      <c r="B16" t="s">
        <v>11</v>
      </c>
      <c r="C16" t="s">
        <v>23</v>
      </c>
      <c r="D16">
        <v>958.43333333333328</v>
      </c>
      <c r="E16">
        <v>8.7433149065760833</v>
      </c>
      <c r="F16">
        <v>4.6798502604166661</v>
      </c>
      <c r="G16">
        <v>928</v>
      </c>
      <c r="H16">
        <v>965</v>
      </c>
    </row>
    <row r="17" spans="1:8" x14ac:dyDescent="0.3">
      <c r="A17" t="s">
        <v>2</v>
      </c>
      <c r="B17" t="s">
        <v>12</v>
      </c>
      <c r="C17" t="s">
        <v>20</v>
      </c>
      <c r="D17">
        <v>537.9666666666667</v>
      </c>
      <c r="E17">
        <v>1.0159833769418776</v>
      </c>
      <c r="F17">
        <v>2.6267903645833335</v>
      </c>
      <c r="G17">
        <v>537</v>
      </c>
      <c r="H17">
        <v>541</v>
      </c>
    </row>
    <row r="18" spans="1:8" x14ac:dyDescent="0.3">
      <c r="A18" t="s">
        <v>2</v>
      </c>
      <c r="B18" t="s">
        <v>12</v>
      </c>
      <c r="C18" t="s">
        <v>22</v>
      </c>
      <c r="D18">
        <v>878.82758620689651</v>
      </c>
      <c r="E18">
        <v>1.2883821856737521</v>
      </c>
      <c r="F18">
        <v>4.2911503232758621</v>
      </c>
      <c r="G18">
        <v>874</v>
      </c>
      <c r="H18">
        <v>882</v>
      </c>
    </row>
    <row r="19" spans="1:8" x14ac:dyDescent="0.3">
      <c r="A19" t="s">
        <v>2</v>
      </c>
      <c r="B19" t="s">
        <v>12</v>
      </c>
      <c r="C19" t="s">
        <v>23</v>
      </c>
      <c r="D19">
        <v>943.33333333333337</v>
      </c>
      <c r="E19">
        <v>2.1653842358548965</v>
      </c>
      <c r="F19">
        <v>4.606119791666667</v>
      </c>
      <c r="G19">
        <v>936</v>
      </c>
      <c r="H19">
        <v>946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e q t r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e q t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r a 1 p W O J G d M A I A A E 0 O A A A T A B w A R m 9 y b X V s Y X M v U 2 V j d G l v b j E u b S C i G A A o o B Q A A A A A A A A A A A A A A A A A A A A A A A A A A A D t l t 9 r 2 z A Q x 9 8 D + R 8 O 9 y U B N 5 B 0 G / u B H 0 K a s c H a d b h d G X U f z v b F F Z F 1 4 y R n C a H / + + Q 4 J V m 7 v n T r S 1 K / W N Z J J 3 0 / X 5 2 w p c w p N h A 3 7 / 6 H d q v d s j c o l M N B k K s S U o 3 Z F B z + p A A i 0 O T a L f B P z J V k 5 H t G d t Y 7 5 q w q y b j O R 6 W p N 2 L j / I f t B K P 3 y Y U l s c m Q h H U O Z y g Z m + S r o W N R M 4 J D + E S i 2 B 1 e o n N w Y X y f W O U W y a Y J d 7 l t 0 r c O f h B K E o 9 P Y J A M J a + U Y U i r o l g k M R n L A p n f O m b O Z 7 V Y C 0 o c W a d M A T k 6 T L y e Z K O n l 9 l Z 0 A 2 v j k m r U v k 5 U R A G I Y x Y V 6 W x 0 V E I Y 5 N x 7 m d H / c H r Q Q j f K n Y U u 4 W m a N P s n b K h 6 2 7 Y Y D k I R j d o C k / v f N E Q O 8 f U D z o X N H b C U j b Z 6 6 D t N A z D 5 T J o e v t + 9 c / G v X n V q + O 3 I d w F B o 8 F j v 4 M 3 H b b L W X + u p O H x u Z K P N 5 d s / e + q j 0 3 u R B a w E Q z y 2 7 Y u 9 G z x 8 a m o o o b t 1 O l u 5 Y k z G W S a U K z 7 8 W 7 B r J 7 l / S 2 0 4 2 6 F 6 d r I L t 0 U 2 9 7 / H J j + x B N J v 4 H G 3 g C u i Z T g 0 K T g 6 1 k g t k j R T 2 e Z 6 R 7 o 0 r E u 3 L J M k 2 Z p 5 3 u 8 u o U S 4 q C l c 6 3 w f X t 1 f o c X P 8 b k i / r j X m F z o f A 0 d y t l M f r T d 7 v H / q T g w V 5 I a i 5 A C H M t 6 a b q k x J V g N P l H n I 8 w T n T 2 Q p + G t 1 y j y 9 s k R Z P J 3 e u / 9 H b 1 0 W Z + x r y Z f D A 1 j P R z d 2 / i S h 5 J D T T O H 2 4 l u D v r N 2 d b Y O N m m 7 z 2 L T b 1 B L A Q I t A B Q A A g A I A H q r a 1 p L Q M D j p A A A A P Y A A A A S A A A A A A A A A A A A A A A A A A A A A A B D b 2 5 m a W c v U G F j a 2 F n Z S 5 4 b W x Q S w E C L Q A U A A I A C A B 6 q 2 t a D 8 r p q 6 Q A A A D p A A A A E w A A A A A A A A A A A A A A A A D w A A A A W 0 N v b n R l b n R f V H l w Z X N d L n h t b F B L A Q I t A B Q A A g A I A H q r a 1 p W O J G d M A I A A E 0 O A A A T A A A A A A A A A A A A A A A A A O E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J A A A A A A A A / k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S U y M G J s Y W N r J T I w d G F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N 2 U 1 N m Z k L W F k M T U t N D E z Z i 0 5 Z m Z l L W Y 4 Z G Y w Z G Y w Y j c x M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a W 1 f Y m x h Y 2 t f d G F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N j o 0 M T o x N S 4 4 M z g 1 O D A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j a y B 0 Y X B l L 0 F 1 d G 9 S Z W 1 v d m V k Q 2 9 s d W 1 u c z E u e 0 N v b H V t b j E s M H 0 m c X V v d D s s J n F 1 b 3 Q 7 U 2 V j d G l v b j E v Y m x h Y 2 s g d G F w Z S 9 B d X R v U m V t b 3 Z l Z E N v b H V t b n M x L n t D b 2 x 1 b W 4 y L D F 9 J n F 1 b 3 Q 7 L C Z x d W 9 0 O 1 N l Y 3 R p b 2 4 x L 2 J s Y W N r I H R h c G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F j a y B 0 Y X B l L 0 F 1 d G 9 S Z W 1 v d m V k Q 2 9 s d W 1 u c z E u e 0 N v b H V t b j E s M H 0 m c X V v d D s s J n F 1 b 3 Q 7 U 2 V j d G l v b j E v Y m x h Y 2 s g d G F w Z S 9 B d X R v U m V t b 3 Z l Z E N v b H V t b n M x L n t D b 2 x 1 b W 4 y L D F 9 J n F 1 b 3 Q 7 L C Z x d W 9 0 O 1 N l Y 3 R p b 2 4 x L 2 J s Y W N r I H R h c G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J T I w Y m x h Y 2 s l M j B 0 Y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J s Y W N r J T I w d G F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S U y M G R p c n R 5 J T I w Y m x h Y 2 s l M j B 0 Y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c 4 M G I x M T g t M j I 4 Y y 0 0 O T U y L T k 2 Y W M t O W N l M G I z N T l i M z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k a W 1 f Z G l y d H l f Y m x h Y 2 t f d G F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N j o 0 N D o 1 M i 4 4 N D Q z N T U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0 e S B i b G F j a y B 0 Y X B l L 0 F 1 d G 9 S Z W 1 v d m V k Q 2 9 s d W 1 u c z E u e 0 N v b H V t b j E s M H 0 m c X V v d D s s J n F 1 b 3 Q 7 U 2 V j d G l v b j E v Z G l y d H k g Y m x h Y 2 s g d G F w Z S 9 B d X R v U m V t b 3 Z l Z E N v b H V t b n M x L n t D b 2 x 1 b W 4 y L D F 9 J n F 1 b 3 Q 7 L C Z x d W 9 0 O 1 N l Y 3 R p b 2 4 x L 2 R p c n R 5 I G J s Y W N r I H R h c G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X J 0 e S B i b G F j a y B 0 Y X B l L 0 F 1 d G 9 S Z W 1 v d m V k Q 2 9 s d W 1 u c z E u e 0 N v b H V t b j E s M H 0 m c X V v d D s s J n F 1 b 3 Q 7 U 2 V j d G l v b j E v Z G l y d H k g Y m x h Y 2 s g d G F w Z S 9 B d X R v U m V t b 3 Z l Z E N v b H V t b n M x L n t D b 2 x 1 b W 4 y L D F 9 J n F 1 b 3 Q 7 L C Z x d W 9 0 O 1 N l Y 3 R p b 2 4 x L 2 R p c n R 5 I G J s Y W N r I H R h c G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J T I w Z G l y d H k l M j B i b G F j a y U y M H R h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J T I w Z G l y d H k l M j B i b G F j a y U y M H R h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n c m V 5 J T I w Z m x v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j M 0 Y W V j O S 1 m Y j h k L T R i O G I t Y j k 3 M C 0 1 Z T g 1 Y 2 Y x N m J j O G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l t X 2 d y Z X l f Z m x v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Y 6 N D U 6 M j g u N D c w O T I x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e S B m b G 9 v c i 9 B d X R v U m V t b 3 Z l Z E N v b H V t b n M x L n t D b 2 x 1 b W 4 x L D B 9 J n F 1 b 3 Q 7 L C Z x d W 9 0 O 1 N l Y 3 R p b 2 4 x L 2 d y Z X k g Z m x v b 3 I v Q X V 0 b 1 J l b W 9 2 Z W R D b 2 x 1 b W 5 z M S 5 7 Q 2 9 s d W 1 u M i w x f S Z x d W 9 0 O y w m c X V v d D t T Z W N 0 a W 9 u M S 9 n c m V 5 I G Z s b 2 9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3 J l e S B m b G 9 v c i 9 B d X R v U m V t b 3 Z l Z E N v b H V t b n M x L n t D b 2 x 1 b W 4 x L D B 9 J n F 1 b 3 Q 7 L C Z x d W 9 0 O 1 N l Y 3 R p b 2 4 x L 2 d y Z X k g Z m x v b 3 I v Q X V 0 b 1 J l b W 9 2 Z W R D b 2 x 1 b W 5 z M S 5 7 Q 2 9 s d W 1 u M i w x f S Z x d W 9 0 O y w m c X V v d D t T Z W N 0 a W 9 u M S 9 n c m V 5 I G Z s b 2 9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S U y M G d y Z X k l M j B m b G 9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0 l M j B n c m V 5 J T I w Z m x v b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l n a H Q l M j B i b G F j a y U y M H R h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z k 3 O T B m M S 0 4 N z J j L T Q 0 N W I t Y m N m O C 0 x M D h m Z m N k O D Y 1 M j g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y a W d o d F 9 i b G F j a 1 9 0 Y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A 3 O j M 0 O j Q 1 L j Q w N z g y M j Z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I H R h c G U v Q X V 0 b 1 J l b W 9 2 Z W R D b 2 x 1 b W 5 z M S 5 7 Q 2 9 s d W 1 u M S w w f S Z x d W 9 0 O y w m c X V v d D t T Z W N 0 a W 9 u M S 9 j b G V h b i B 0 Y X B l L 0 F 1 d G 9 S Z W 1 v d m V k Q 2 9 s d W 1 u c z E u e 0 N v b H V t b j I s M X 0 m c X V v d D s s J n F 1 b 3 Q 7 U 2 V j d G l v b j E v Y 2 x l Y W 4 g d G F w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Z W F u I H R h c G U v Q X V 0 b 1 J l b W 9 2 Z W R D b 2 x 1 b W 5 z M S 5 7 Q 2 9 s d W 1 u M S w w f S Z x d W 9 0 O y w m c X V v d D t T Z W N 0 a W 9 u M S 9 j b G V h b i B 0 Y X B l L 0 F 1 d G 9 S Z W 1 v d m V k Q 2 9 s d W 1 u c z E u e 0 N v b H V t b j I s M X 0 m c X V v d D s s J n F 1 b 3 Q 7 U 2 V j d G l v b j E v Y 2 x l Y W 4 g d G F w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l n a H Q l M j B i b G F j a y U y M H R h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2 h 0 J T I w Y m x h Y 2 s l M j B 0 Y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p Z 2 h 0 J T I w Z G l y d H k l M j B i b G F j a y U y M H R h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D J k O D Y 5 N C 0 5 N D E 3 L T Q 0 M m I t Y T k 0 Y S 0 x Y j M 2 M 2 Q w N m E 1 O T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y a W d o d F 9 k a X J 0 e V 9 i b G F j a 1 9 0 Y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A 3 O j M 1 O j M w L j I z N z M 5 N D Z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n R 5 I H R h c G U v Q X V 0 b 1 J l b W 9 2 Z W R D b 2 x 1 b W 5 z M S 5 7 Q 2 9 s d W 1 u M S w w f S Z x d W 9 0 O y w m c X V v d D t T Z W N 0 a W 9 u M S 9 k a X J 0 e S B 0 Y X B l L 0 F 1 d G 9 S Z W 1 v d m V k Q 2 9 s d W 1 u c z E u e 0 N v b H V t b j I s M X 0 m c X V v d D s s J n F 1 b 3 Q 7 U 2 V j d G l v b j E v Z G l y d H k g d G F w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p c n R 5 I H R h c G U v Q X V 0 b 1 J l b W 9 2 Z W R D b 2 x 1 b W 5 z M S 5 7 Q 2 9 s d W 1 u M S w w f S Z x d W 9 0 O y w m c X V v d D t T Z W N 0 a W 9 u M S 9 k a X J 0 e S B 0 Y X B l L 0 F 1 d G 9 S Z W 1 v d m V k Q 2 9 s d W 1 u c z E u e 0 N v b H V t b j I s M X 0 m c X V v d D s s J n F 1 b 3 Q 7 U 2 V j d G l v b j E v Z G l y d H k g d G F w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l n a H Q l M j B k a X J 0 e S U y M G J s Y W N r J T I w d G F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l n a H Q l M j B k a X J 0 e S U y M G J s Y W N r J T I w d G F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d o d C U y M G d y Z X k l M j B m b G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3 M W V i N 2 Q x L T A w M T Q t N D R h N y 1 i N j A y L T F m O W Y 3 Z T Z i N m R j Y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c m l n a H R f Z 3 J l e V 9 m b G 9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N z o z N j o 0 M y 4 0 M T Q y N z g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V 5 I G Z s b 2 9 y I C g y K S 9 B d X R v U m V t b 3 Z l Z E N v b H V t b n M x L n t D b 2 x 1 b W 4 x L D B 9 J n F 1 b 3 Q 7 L C Z x d W 9 0 O 1 N l Y 3 R p b 2 4 x L 2 d y Z X k g Z m x v b 3 I g K D I p L 0 F 1 d G 9 S Z W 1 v d m V k Q 2 9 s d W 1 u c z E u e 0 N v b H V t b j I s M X 0 m c X V v d D s s J n F 1 b 3 Q 7 U 2 V j d G l v b j E v Z 3 J l e S B m b G 9 v c i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m V 5 I G Z s b 2 9 y I C g y K S 9 B d X R v U m V t b 3 Z l Z E N v b H V t b n M x L n t D b 2 x 1 b W 4 x L D B 9 J n F 1 b 3 Q 7 L C Z x d W 9 0 O 1 N l Y 3 R p b 2 4 x L 2 d y Z X k g Z m x v b 3 I g K D I p L 0 F 1 d G 9 S Z W 1 v d m V k Q 2 9 s d W 1 u c z E u e 0 N v b H V t b j I s M X 0 m c X V v d D s s J n F 1 b 3 Q 7 U 2 V j d G l v b j E v Z 3 J l e S B m b G 9 v c i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p Z 2 h 0 J T I w Z 3 J l e S U y M G Z s b 2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a W d o d C U y M G d y Z X k l M j B m b G 9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Z m V j d C U y M G 9 m J T I w b G l n a H R p b m c l M j B h b m Q l M j B z d X J m Y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B j Z T A 2 N G Y t N 2 I z Z i 0 0 Y j Y 2 L T g z M D M t Y W Y w Z T U x O T Z l M m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Z m Z l Y 3 R f b 2 Z f b G l n a H R p b m d f Y W 5 k X 3 N 1 c m Z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x N z o y N j o 0 N C 4 w M T Q 0 N j A x W i I g L z 4 8 R W 5 0 c n k g V H l w Z T 0 i R m l s b E N v b H V t b l R 5 c G V z I i B W Y W x 1 Z T 0 i c 0 J n W U Z B d 0 0 9 I i A v P j x F b n R y e S B U e X B l P S J G a W x s Q 2 9 s d W 1 u T m F t Z X M i I F Z h b H V l P S J z W y Z x d W 9 0 O 0 x p Z 2 h 0 a W 5 n J n F 1 b 3 Q 7 L C Z x d W 9 0 O 1 N 1 c m Z h Y 2 U m c X V v d D s s J n F 1 b 3 Q 7 Q X Z l c m F n Z S B h b m F s b 2 c g c m V h Z G l u Z y Z x d W 9 0 O y w m c X V v d D t N a W 4 m c X V v d D s s J n F 1 b 3 Q 7 T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Z m Z W N 0 I G 9 m I G x p Z 2 h 0 a W 5 n I G F u Z C B z d X J m Y W N l L 0 F 1 d G 9 S Z W 1 v d m V k Q 2 9 s d W 1 u c z E u e 0 x p Z 2 h 0 a W 5 n L D B 9 J n F 1 b 3 Q 7 L C Z x d W 9 0 O 1 N l Y 3 R p b 2 4 x L 2 V m Z m V j d C B v Z i B s a W d o d G l u Z y B h b m Q g c 3 V y Z m F j Z S 9 B d X R v U m V t b 3 Z l Z E N v b H V t b n M x L n t T d X J m Y W N l L D F 9 J n F 1 b 3 Q 7 L C Z x d W 9 0 O 1 N l Y 3 R p b 2 4 x L 2 V m Z m V j d C B v Z i B s a W d o d G l u Z y B h b m Q g c 3 V y Z m F j Z S 9 B d X R v U m V t b 3 Z l Z E N v b H V t b n M x L n t B d m V y Y W d l I G F u Y W x v Z y B y Z W F k a W 5 n L D J 9 J n F 1 b 3 Q 7 L C Z x d W 9 0 O 1 N l Y 3 R p b 2 4 x L 2 V m Z m V j d C B v Z i B s a W d o d G l u Z y B h b m Q g c 3 V y Z m F j Z S 9 B d X R v U m V t b 3 Z l Z E N v b H V t b n M x L n t N a W 4 s M 3 0 m c X V v d D s s J n F 1 b 3 Q 7 U 2 V j d G l v b j E v Z W Z m Z W N 0 I G 9 m I G x p Z 2 h 0 a W 5 n I G F u Z C B z d X J m Y W N l L 0 F 1 d G 9 S Z W 1 v d m V k Q 2 9 s d W 1 u c z E u e 0 1 h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Z m Z l Y 3 Q g b 2 Y g b G l n a H R p b m c g Y W 5 k I H N 1 c m Z h Y 2 U v Q X V 0 b 1 J l b W 9 2 Z W R D b 2 x 1 b W 5 z M S 5 7 T G l n a H R p b m c s M H 0 m c X V v d D s s J n F 1 b 3 Q 7 U 2 V j d G l v b j E v Z W Z m Z W N 0 I G 9 m I G x p Z 2 h 0 a W 5 n I G F u Z C B z d X J m Y W N l L 0 F 1 d G 9 S Z W 1 v d m V k Q 2 9 s d W 1 u c z E u e 1 N 1 c m Z h Y 2 U s M X 0 m c X V v d D s s J n F 1 b 3 Q 7 U 2 V j d G l v b j E v Z W Z m Z W N 0 I G 9 m I G x p Z 2 h 0 a W 5 n I G F u Z C B z d X J m Y W N l L 0 F 1 d G 9 S Z W 1 v d m V k Q 2 9 s d W 1 u c z E u e 0 F 2 Z X J h Z 2 U g Y W 5 h b G 9 n I H J l Y W R p b m c s M n 0 m c X V v d D s s J n F 1 b 3 Q 7 U 2 V j d G l v b j E v Z W Z m Z W N 0 I G 9 m I G x p Z 2 h 0 a W 5 n I G F u Z C B z d X J m Y W N l L 0 F 1 d G 9 S Z W 1 v d m V k Q 2 9 s d W 1 u c z E u e 0 1 p b i w z f S Z x d W 9 0 O y w m c X V v d D t T Z W N 0 a W 9 u M S 9 l Z m Z l Y 3 Q g b 2 Y g b G l n a H R p b m c g Y W 5 k I H N 1 c m Z h Y 2 U v Q X V 0 b 1 J l b W 9 2 Z W R D b 2 x 1 b W 5 z M S 5 7 T W F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m Z l Y 3 Q l M j B v Z i U y M G x p Z 2 h 0 a W 5 n J T I w Y W 5 k J T I w c 3 V y Z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m Z l Y 3 Q l M j B v Z i U y M G x p Z 2 h 0 a W 5 n J T I w Y W 5 k J T I w c 3 V y Z m F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y U y M G R h d G E l M j B z d W 1 t Y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V l Z j V k M W Y t N j c 3 O C 0 0 M z Y 1 L W E 3 M D I t M D J j Z m U 1 M G Q 0 N D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X d f Z G F 0 Y V 9 z d W 1 t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x V D E 3 O j I 3 O j U z L j Y y M D Y 0 N T F a I i A v P j x F b n R y e S B U e X B l P S J G a W x s Q 2 9 s d W 1 u V H l w Z X M i I F Z h b H V l P S J z Q m d Z R 0 J R V U Z B d 0 0 9 I i A v P j x F b n R y e S B U e X B l P S J G a W x s Q 2 9 s d W 1 u T m F t Z X M i I F Z h b H V l P S J z W y Z x d W 9 0 O 1 N l b n N v c i B Q b 3 N p d G l v b i Z x d W 9 0 O y w m c X V v d D t M a W d o d G l u Z y Z x d W 9 0 O y w m c X V v d D t T d X J m Y W N l J n F 1 b 3 Q 7 L C Z x d W 9 0 O 0 F 2 Z X J h Z 2 U g Y W 5 h b G 9 n I H J l Y W R p b m c m c X V v d D s s J n F 1 b 3 Q 7 U 3 R h b m R h c m Q g Z G V 2 a W F 0 a W 9 u J n F 1 b 3 Q 7 L C Z x d W 9 0 O 1 Z v b H R h Z 2 U g K G F 2 Z X J h Z 2 U p J n F 1 b 3 Q 7 L C Z x d W 9 0 O 0 1 p b i Z x d W 9 0 O y w m c X V v d D t N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c g Z G F 0 Y S B z d W 1 t Y X J 5 L 0 F 1 d G 9 S Z W 1 v d m V k Q 2 9 s d W 1 u c z E u e 1 N l b n N v c i B Q b 3 N p d G l v b i w w f S Z x d W 9 0 O y w m c X V v d D t T Z W N 0 a W 9 u M S 9 y Y X c g Z G F 0 Y S B z d W 1 t Y X J 5 L 0 F 1 d G 9 S Z W 1 v d m V k Q 2 9 s d W 1 u c z E u e 0 x p Z 2 h 0 a W 5 n L D F 9 J n F 1 b 3 Q 7 L C Z x d W 9 0 O 1 N l Y 3 R p b 2 4 x L 3 J h d y B k Y X R h I H N 1 b W 1 h c n k v Q X V 0 b 1 J l b W 9 2 Z W R D b 2 x 1 b W 5 z M S 5 7 U 3 V y Z m F j Z S w y f S Z x d W 9 0 O y w m c X V v d D t T Z W N 0 a W 9 u M S 9 y Y X c g Z G F 0 Y S B z d W 1 t Y X J 5 L 0 F 1 d G 9 S Z W 1 v d m V k Q 2 9 s d W 1 u c z E u e 0 F 2 Z X J h Z 2 U g Y W 5 h b G 9 n I H J l Y W R p b m c s M 3 0 m c X V v d D s s J n F 1 b 3 Q 7 U 2 V j d G l v b j E v c m F 3 I G R h d G E g c 3 V t b W F y e S 9 B d X R v U m V t b 3 Z l Z E N v b H V t b n M x L n t T d G F u Z G F y Z C B k Z X Z p Y X R p b 2 4 s N H 0 m c X V v d D s s J n F 1 b 3 Q 7 U 2 V j d G l v b j E v c m F 3 I G R h d G E g c 3 V t b W F y e S 9 B d X R v U m V t b 3 Z l Z E N v b H V t b n M x L n t W b 2 x 0 Y W d l I C h h d m V y Y W d l K S w 1 f S Z x d W 9 0 O y w m c X V v d D t T Z W N 0 a W 9 u M S 9 y Y X c g Z G F 0 Y S B z d W 1 t Y X J 5 L 0 F 1 d G 9 S Z W 1 v d m V k Q 2 9 s d W 1 u c z E u e 0 1 p b i w 2 f S Z x d W 9 0 O y w m c X V v d D t T Z W N 0 a W 9 u M S 9 y Y X c g Z G F 0 Y S B z d W 1 t Y X J 5 L 0 F 1 d G 9 S Z W 1 v d m V k Q 2 9 s d W 1 u c z E u e 0 1 h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Y X c g Z G F 0 Y S B z d W 1 t Y X J 5 L 0 F 1 d G 9 S Z W 1 v d m V k Q 2 9 s d W 1 u c z E u e 1 N l b n N v c i B Q b 3 N p d G l v b i w w f S Z x d W 9 0 O y w m c X V v d D t T Z W N 0 a W 9 u M S 9 y Y X c g Z G F 0 Y S B z d W 1 t Y X J 5 L 0 F 1 d G 9 S Z W 1 v d m V k Q 2 9 s d W 1 u c z E u e 0 x p Z 2 h 0 a W 5 n L D F 9 J n F 1 b 3 Q 7 L C Z x d W 9 0 O 1 N l Y 3 R p b 2 4 x L 3 J h d y B k Y X R h I H N 1 b W 1 h c n k v Q X V 0 b 1 J l b W 9 2 Z W R D b 2 x 1 b W 5 z M S 5 7 U 3 V y Z m F j Z S w y f S Z x d W 9 0 O y w m c X V v d D t T Z W N 0 a W 9 u M S 9 y Y X c g Z G F 0 Y S B z d W 1 t Y X J 5 L 0 F 1 d G 9 S Z W 1 v d m V k Q 2 9 s d W 1 u c z E u e 0 F 2 Z X J h Z 2 U g Y W 5 h b G 9 n I H J l Y W R p b m c s M 3 0 m c X V v d D s s J n F 1 b 3 Q 7 U 2 V j d G l v b j E v c m F 3 I G R h d G E g c 3 V t b W F y e S 9 B d X R v U m V t b 3 Z l Z E N v b H V t b n M x L n t T d G F u Z G F y Z C B k Z X Z p Y X R p b 2 4 s N H 0 m c X V v d D s s J n F 1 b 3 Q 7 U 2 V j d G l v b j E v c m F 3 I G R h d G E g c 3 V t b W F y e S 9 B d X R v U m V t b 3 Z l Z E N v b H V t b n M x L n t W b 2 x 0 Y W d l I C h h d m V y Y W d l K S w 1 f S Z x d W 9 0 O y w m c X V v d D t T Z W N 0 a W 9 u M S 9 y Y X c g Z G F 0 Y S B z d W 1 t Y X J 5 L 0 F 1 d G 9 S Z W 1 v d m V k Q 2 9 s d W 1 u c z E u e 0 1 p b i w 2 f S Z x d W 9 0 O y w m c X V v d D t T Z W N 0 a W 9 u M S 9 y Y X c g Z G F 0 Y S B z d W 1 t Y X J 5 L 0 F 1 d G 9 S Z W 1 v d m V k Q 2 9 s d W 1 u c z E u e 0 1 h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3 J T I w Z G F 0 Y S U y M H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J T I w Z G F 0 Y S U y M H N 1 b W 1 h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R N n u g O d E + h 0 p U E f D A N X Q A A A A A C A A A A A A A Q Z g A A A A E A A C A A A A B X 7 I Q + n N 2 f A y / 6 V i d Q D f o 1 J + m C Y C H 7 z l f 6 D Q k u B 2 I H 5 g A A A A A O g A A A A A I A A C A A A A C s j x e w w j 0 u h x x Y M L b B e p e I 9 E k o E f i e n Q s 2 n t W x v b d R X F A A A A C 6 Y I v H F X 8 k h v f U X i M f t 7 q v V 8 l g I p / O N R h D R 1 Y 4 k a O p U E 0 h 2 2 K B H I x y U t H G U 9 a n I + B w t a g w M M y p C a O k n 6 G s 5 9 R N O N 5 0 o k 4 l E K L v V L b 4 x q Q m J U A A A A A O U o + e H G F r U s l U R v C J p / c G 1 m R B T 0 5 J s x M A D l q A t k C G W p K d 5 + 8 I O Q V 4 0 a m u R d 8 v N 9 S h 8 y p f K m 1 Y M t Y X a 1 P x t + e Z < / D a t a M a s h u p > 
</file>

<file path=customXml/itemProps1.xml><?xml version="1.0" encoding="utf-8"?>
<ds:datastoreItem xmlns:ds="http://schemas.openxmlformats.org/officeDocument/2006/customXml" ds:itemID="{B107DA7C-BAA7-4337-BE41-C613846C6E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black tape, dim</vt:lpstr>
      <vt:lpstr>dirty black tape, dim</vt:lpstr>
      <vt:lpstr>grey floor, dim</vt:lpstr>
      <vt:lpstr>dirty tape, bri</vt:lpstr>
      <vt:lpstr>clean tape, bright</vt:lpstr>
      <vt:lpstr>grey floor, bright</vt:lpstr>
      <vt:lpstr>Final results</vt:lpstr>
      <vt:lpstr>raw data summary</vt:lpstr>
      <vt:lpstr>raw data summary (2)</vt:lpstr>
      <vt:lpstr>effect of lighting and surface</vt:lpstr>
      <vt:lpstr>effect of light and surface</vt:lpstr>
      <vt:lpstr>sensor precision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Aerold Parcon</dc:creator>
  <cp:lastModifiedBy>Parcon, Aerold</cp:lastModifiedBy>
  <dcterms:created xsi:type="dcterms:W3CDTF">2015-06-05T18:17:20Z</dcterms:created>
  <dcterms:modified xsi:type="dcterms:W3CDTF">2025-03-12T10:56:26Z</dcterms:modified>
</cp:coreProperties>
</file>