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220" yWindow="-18460" windowWidth="25600" windowHeight="17480" tabRatio="500" activeTab="1"/>
  </bookViews>
  <sheets>
    <sheet name="Sheet1" sheetId="1" r:id="rId1"/>
    <sheet name="fissionga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K26" i="2"/>
  <c r="K27" i="2"/>
  <c r="K28" i="2"/>
  <c r="K29" i="2"/>
  <c r="K30" i="2"/>
  <c r="K31" i="2"/>
  <c r="K32" i="2"/>
  <c r="K33" i="2"/>
  <c r="K34" i="2"/>
  <c r="K25" i="2"/>
  <c r="L8" i="2"/>
  <c r="L9" i="2"/>
  <c r="L10" i="2"/>
  <c r="L11" i="2"/>
  <c r="L12" i="2"/>
  <c r="L13" i="2"/>
  <c r="L14" i="2"/>
  <c r="L15" i="2"/>
  <c r="L16" i="2"/>
  <c r="L17" i="2"/>
  <c r="L7" i="2"/>
  <c r="K8" i="2"/>
  <c r="M8" i="2"/>
  <c r="D8" i="2"/>
  <c r="E8" i="2"/>
  <c r="H8" i="2"/>
  <c r="I8" i="2"/>
  <c r="P8" i="2"/>
  <c r="B8" i="2"/>
  <c r="N8" i="2"/>
  <c r="O8" i="2"/>
  <c r="Q8" i="2"/>
  <c r="B10" i="2"/>
  <c r="N10" i="2"/>
  <c r="B11" i="2"/>
  <c r="N11" i="2"/>
  <c r="B12" i="2"/>
  <c r="N12" i="2"/>
  <c r="B13" i="2"/>
  <c r="N13" i="2"/>
  <c r="B14" i="2"/>
  <c r="N14" i="2"/>
  <c r="B15" i="2"/>
  <c r="N15" i="2"/>
  <c r="B16" i="2"/>
  <c r="N16" i="2"/>
  <c r="B17" i="2"/>
  <c r="N17" i="2"/>
  <c r="B9" i="2"/>
  <c r="N9" i="2"/>
  <c r="D9" i="2"/>
  <c r="D10" i="2"/>
  <c r="D11" i="2"/>
  <c r="D12" i="2"/>
  <c r="D13" i="2"/>
  <c r="D14" i="2"/>
  <c r="D15" i="2"/>
  <c r="D16" i="2"/>
  <c r="D17" i="2"/>
  <c r="E17" i="2"/>
  <c r="F17" i="2"/>
  <c r="H17" i="2"/>
  <c r="I17" i="2"/>
  <c r="K17" i="2"/>
  <c r="M17" i="2"/>
  <c r="P17" i="2"/>
  <c r="F16" i="2"/>
  <c r="E16" i="2"/>
  <c r="H16" i="2"/>
  <c r="I16" i="2"/>
  <c r="K16" i="2"/>
  <c r="M16" i="2"/>
  <c r="P16" i="2"/>
  <c r="F15" i="2"/>
  <c r="E15" i="2"/>
  <c r="H15" i="2"/>
  <c r="I15" i="2"/>
  <c r="K15" i="2"/>
  <c r="M15" i="2"/>
  <c r="P15" i="2"/>
  <c r="F14" i="2"/>
  <c r="E14" i="2"/>
  <c r="H14" i="2"/>
  <c r="I14" i="2"/>
  <c r="K14" i="2"/>
  <c r="M14" i="2"/>
  <c r="P14" i="2"/>
  <c r="F13" i="2"/>
  <c r="E13" i="2"/>
  <c r="H13" i="2"/>
  <c r="I13" i="2"/>
  <c r="K13" i="2"/>
  <c r="M13" i="2"/>
  <c r="P13" i="2"/>
  <c r="F12" i="2"/>
  <c r="E12" i="2"/>
  <c r="H12" i="2"/>
  <c r="I12" i="2"/>
  <c r="K12" i="2"/>
  <c r="M12" i="2"/>
  <c r="P12" i="2"/>
  <c r="F11" i="2"/>
  <c r="E11" i="2"/>
  <c r="H11" i="2"/>
  <c r="I11" i="2"/>
  <c r="K11" i="2"/>
  <c r="M11" i="2"/>
  <c r="P11" i="2"/>
  <c r="F10" i="2"/>
  <c r="E10" i="2"/>
  <c r="H10" i="2"/>
  <c r="I10" i="2"/>
  <c r="K10" i="2"/>
  <c r="M10" i="2"/>
  <c r="P10" i="2"/>
  <c r="F9" i="2"/>
  <c r="E9" i="2"/>
  <c r="H9" i="2"/>
  <c r="I9" i="2"/>
  <c r="K9" i="2"/>
  <c r="M9" i="2"/>
  <c r="P9" i="2"/>
  <c r="F8" i="2"/>
  <c r="S8" i="2"/>
  <c r="O9" i="2"/>
  <c r="Q9" i="2"/>
  <c r="S9" i="2"/>
  <c r="O10" i="2"/>
  <c r="Q10" i="2"/>
  <c r="S10" i="2"/>
  <c r="O11" i="2"/>
  <c r="Q11" i="2"/>
  <c r="S11" i="2"/>
  <c r="O12" i="2"/>
  <c r="Q12" i="2"/>
  <c r="S12" i="2"/>
  <c r="O13" i="2"/>
  <c r="Q13" i="2"/>
  <c r="S13" i="2"/>
  <c r="O14" i="2"/>
  <c r="Q14" i="2"/>
  <c r="S14" i="2"/>
  <c r="O15" i="2"/>
  <c r="Q15" i="2"/>
  <c r="S15" i="2"/>
  <c r="O16" i="2"/>
  <c r="Q16" i="2"/>
  <c r="S16" i="2"/>
  <c r="O17" i="2"/>
  <c r="Q17" i="2"/>
  <c r="S17" i="2"/>
  <c r="R8" i="2"/>
  <c r="R9" i="2"/>
  <c r="R10" i="2"/>
  <c r="R11" i="2"/>
  <c r="R12" i="2"/>
  <c r="R13" i="2"/>
  <c r="R14" i="2"/>
  <c r="R15" i="2"/>
  <c r="R16" i="2"/>
  <c r="R17" i="2"/>
  <c r="T17" i="2"/>
  <c r="T16" i="2"/>
  <c r="T15" i="2"/>
  <c r="T14" i="2"/>
  <c r="T13" i="2"/>
  <c r="T12" i="2"/>
  <c r="T11" i="2"/>
  <c r="T10" i="2"/>
  <c r="T9" i="2"/>
  <c r="T8" i="2"/>
  <c r="F7" i="2"/>
  <c r="E7" i="2"/>
  <c r="H7" i="2"/>
  <c r="I7" i="2"/>
  <c r="K7" i="2"/>
  <c r="M7" i="2"/>
  <c r="P7" i="2"/>
  <c r="B7" i="2"/>
  <c r="G56" i="1"/>
  <c r="H56" i="1"/>
  <c r="I56" i="1"/>
  <c r="J56" i="1"/>
  <c r="K56" i="1"/>
  <c r="L56" i="1"/>
  <c r="M56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M45" i="1"/>
  <c r="J45" i="1"/>
  <c r="G45" i="1"/>
  <c r="D9" i="1"/>
  <c r="G9" i="1"/>
  <c r="E9" i="1"/>
  <c r="F9" i="1"/>
  <c r="L9" i="1"/>
  <c r="M9" i="1"/>
  <c r="O28" i="1"/>
  <c r="D10" i="1"/>
  <c r="G10" i="1"/>
  <c r="N9" i="1"/>
  <c r="E10" i="1"/>
  <c r="F10" i="1"/>
  <c r="L10" i="1"/>
  <c r="M10" i="1"/>
  <c r="N10" i="1"/>
  <c r="D11" i="1"/>
  <c r="G11" i="1"/>
  <c r="E11" i="1"/>
  <c r="F11" i="1"/>
  <c r="L11" i="1"/>
  <c r="M11" i="1"/>
  <c r="N11" i="1"/>
  <c r="D12" i="1"/>
  <c r="G12" i="1"/>
  <c r="E12" i="1"/>
  <c r="F12" i="1"/>
  <c r="L12" i="1"/>
  <c r="M12" i="1"/>
  <c r="N12" i="1"/>
  <c r="D13" i="1"/>
  <c r="G13" i="1"/>
  <c r="E13" i="1"/>
  <c r="F13" i="1"/>
  <c r="L13" i="1"/>
  <c r="M13" i="1"/>
  <c r="N13" i="1"/>
  <c r="D14" i="1"/>
  <c r="G14" i="1"/>
  <c r="E14" i="1"/>
  <c r="F14" i="1"/>
  <c r="L14" i="1"/>
  <c r="M14" i="1"/>
  <c r="N14" i="1"/>
  <c r="D15" i="1"/>
  <c r="G15" i="1"/>
  <c r="E15" i="1"/>
  <c r="F15" i="1"/>
  <c r="L15" i="1"/>
  <c r="M15" i="1"/>
  <c r="N15" i="1"/>
  <c r="D16" i="1"/>
  <c r="G16" i="1"/>
  <c r="E16" i="1"/>
  <c r="F16" i="1"/>
  <c r="L16" i="1"/>
  <c r="M16" i="1"/>
  <c r="N16" i="1"/>
  <c r="D17" i="1"/>
  <c r="G17" i="1"/>
  <c r="E17" i="1"/>
  <c r="F17" i="1"/>
  <c r="L17" i="1"/>
  <c r="M17" i="1"/>
  <c r="N17" i="1"/>
  <c r="D18" i="1"/>
  <c r="G18" i="1"/>
  <c r="E18" i="1"/>
  <c r="F18" i="1"/>
  <c r="L18" i="1"/>
  <c r="M18" i="1"/>
  <c r="D8" i="1"/>
  <c r="E8" i="1"/>
  <c r="N28" i="1"/>
  <c r="N29" i="1"/>
  <c r="N30" i="1"/>
  <c r="N31" i="1"/>
  <c r="N32" i="1"/>
  <c r="N33" i="1"/>
  <c r="N34" i="1"/>
  <c r="N35" i="1"/>
  <c r="N36" i="1"/>
  <c r="N37" i="1"/>
  <c r="O29" i="1"/>
  <c r="O30" i="1"/>
  <c r="O31" i="1"/>
  <c r="O32" i="1"/>
  <c r="O33" i="1"/>
  <c r="O34" i="1"/>
  <c r="O35" i="1"/>
  <c r="O36" i="1"/>
  <c r="O37" i="1"/>
  <c r="J9" i="1"/>
  <c r="K9" i="1"/>
  <c r="P9" i="1"/>
  <c r="J10" i="1"/>
  <c r="K10" i="1"/>
  <c r="P10" i="1"/>
  <c r="J11" i="1"/>
  <c r="K11" i="1"/>
  <c r="P11" i="1"/>
  <c r="J12" i="1"/>
  <c r="K12" i="1"/>
  <c r="P12" i="1"/>
  <c r="J13" i="1"/>
  <c r="K13" i="1"/>
  <c r="P13" i="1"/>
  <c r="J14" i="1"/>
  <c r="K14" i="1"/>
  <c r="P14" i="1"/>
  <c r="J15" i="1"/>
  <c r="K15" i="1"/>
  <c r="P15" i="1"/>
  <c r="J16" i="1"/>
  <c r="K16" i="1"/>
  <c r="P16" i="1"/>
  <c r="J17" i="1"/>
  <c r="K17" i="1"/>
  <c r="P17" i="1"/>
  <c r="J18" i="1"/>
  <c r="K18" i="1"/>
  <c r="N18" i="1"/>
  <c r="P18" i="1"/>
  <c r="G8" i="1"/>
  <c r="P8" i="1"/>
  <c r="F8" i="1"/>
  <c r="L40" i="1"/>
  <c r="L8" i="1"/>
  <c r="J20" i="1"/>
  <c r="H9" i="1"/>
  <c r="H10" i="1"/>
  <c r="H11" i="1"/>
  <c r="H12" i="1"/>
  <c r="H13" i="1"/>
  <c r="H14" i="1"/>
  <c r="H15" i="1"/>
  <c r="H16" i="1"/>
  <c r="H17" i="1"/>
  <c r="H18" i="1"/>
  <c r="H8" i="1"/>
</calcChain>
</file>

<file path=xl/sharedStrings.xml><?xml version="1.0" encoding="utf-8"?>
<sst xmlns="http://schemas.openxmlformats.org/spreadsheetml/2006/main" count="91" uniqueCount="55">
  <si>
    <t>burnup</t>
  </si>
  <si>
    <t>threshold</t>
  </si>
  <si>
    <t>by bu</t>
  </si>
  <si>
    <t>by mid temp</t>
  </si>
  <si>
    <t>by high temp</t>
  </si>
  <si>
    <t>gas_rel</t>
  </si>
  <si>
    <t>gas_gen</t>
  </si>
  <si>
    <t>sum</t>
  </si>
  <si>
    <t>tot_gen</t>
  </si>
  <si>
    <t>frac</t>
  </si>
  <si>
    <t>temp C</t>
  </si>
  <si>
    <t>greater</t>
  </si>
  <si>
    <t>less</t>
  </si>
  <si>
    <t>fsnrate</t>
  </si>
  <si>
    <t>timestep</t>
  </si>
  <si>
    <t>yield</t>
  </si>
  <si>
    <t>gas_res_rate</t>
  </si>
  <si>
    <t>rate frac</t>
  </si>
  <si>
    <t>From BUCK</t>
  </si>
  <si>
    <t>time</t>
  </si>
  <si>
    <t>cen_temp</t>
  </si>
  <si>
    <t>% diff</t>
  </si>
  <si>
    <t>Buck gen</t>
  </si>
  <si>
    <t>Excel gen</t>
  </si>
  <si>
    <t>Buck rel</t>
  </si>
  <si>
    <t>Excel rel</t>
  </si>
  <si>
    <t>#</t>
  </si>
  <si>
    <t>Fission rate</t>
  </si>
  <si>
    <t>fsn/sec</t>
  </si>
  <si>
    <t>d(Bu)</t>
  </si>
  <si>
    <t>fission rate</t>
  </si>
  <si>
    <t>Temp [K]</t>
  </si>
  <si>
    <t>BU</t>
  </si>
  <si>
    <t>BU_free_low</t>
  </si>
  <si>
    <t>BU_free_mid</t>
  </si>
  <si>
    <t>BU_free_high</t>
  </si>
  <si>
    <t>which bu</t>
  </si>
  <si>
    <t>f_burnup</t>
  </si>
  <si>
    <t>f_temp_low</t>
  </si>
  <si>
    <t>f_temp_mid</t>
  </si>
  <si>
    <t>f_temp_hi</t>
  </si>
  <si>
    <t>which f_temp</t>
  </si>
  <si>
    <t>f_rel</t>
  </si>
  <si>
    <t>g_rel</t>
  </si>
  <si>
    <t>g_add</t>
  </si>
  <si>
    <t>g_ratio</t>
  </si>
  <si>
    <t>exceeds?</t>
  </si>
  <si>
    <t>g_gen</t>
  </si>
  <si>
    <t>del(g_gen)</t>
  </si>
  <si>
    <t>dt</t>
  </si>
  <si>
    <t>center_temp</t>
  </si>
  <si>
    <t>BUCK gas_gen</t>
  </si>
  <si>
    <t>EXCEL gas_gen</t>
  </si>
  <si>
    <t>BUCK gas_rel</t>
  </si>
  <si>
    <t>EXCEL gas_rel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</si>
</sst>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"/>
    <numFmt numFmtId="166" formatCode="0.0000E+00"/>
    <numFmt numFmtId="167" formatCode="0.0000E+00;\_x0000_"/>
    <numFmt numFmtId="168" formatCode="0.0000"/>
    <numFmt numFmtId="169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168" fontId="0" fillId="0" borderId="0" xfId="0" applyNumberFormat="1"/>
    <xf numFmtId="169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tot_gen</c:v>
                </c:pt>
              </c:strCache>
            </c:strRef>
          </c:tx>
          <c:marker>
            <c:symbol val="none"/>
          </c:marker>
          <c:xVal>
            <c:numRef>
              <c:f>Sheet1!$C$8:$C$18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Sheet1!$K$8:$K$18</c:f>
              <c:numCache>
                <c:formatCode>0.00E+00</c:formatCode>
                <c:ptCount val="11"/>
                <c:pt idx="0" formatCode="General">
                  <c:v>0.0</c:v>
                </c:pt>
                <c:pt idx="1">
                  <c:v>0.000415144470275656</c:v>
                </c:pt>
                <c:pt idx="2">
                  <c:v>0.000830288940551311</c:v>
                </c:pt>
                <c:pt idx="3">
                  <c:v>0.00124543341082697</c:v>
                </c:pt>
                <c:pt idx="4">
                  <c:v>0.00166057788110262</c:v>
                </c:pt>
                <c:pt idx="5">
                  <c:v>0.00207572235137828</c:v>
                </c:pt>
                <c:pt idx="6">
                  <c:v>0.00249086682165393</c:v>
                </c:pt>
                <c:pt idx="7">
                  <c:v>0.00290601129192959</c:v>
                </c:pt>
                <c:pt idx="8">
                  <c:v>0.00332115576220525</c:v>
                </c:pt>
                <c:pt idx="9">
                  <c:v>0.0037363002324809</c:v>
                </c:pt>
                <c:pt idx="10">
                  <c:v>0.00415144470275656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gas_rel</c:v>
                </c:pt>
              </c:strCache>
            </c:strRef>
          </c:tx>
          <c:marker>
            <c:symbol val="none"/>
          </c:marker>
          <c:xVal>
            <c:numRef>
              <c:f>Sheet1!$C$8:$C$18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Sheet1!$M$8:$M$18</c:f>
              <c:numCache>
                <c:formatCode>0.00E+00</c:formatCode>
                <c:ptCount val="11"/>
                <c:pt idx="0" formatCode="General">
                  <c:v>0.0</c:v>
                </c:pt>
                <c:pt idx="1">
                  <c:v>0.0</c:v>
                </c:pt>
                <c:pt idx="2">
                  <c:v>0.000108019619813403</c:v>
                </c:pt>
                <c:pt idx="3">
                  <c:v>0.00031945797127179</c:v>
                </c:pt>
                <c:pt idx="4">
                  <c:v>0.000472780035946869</c:v>
                </c:pt>
                <c:pt idx="5">
                  <c:v>0.000604038220869064</c:v>
                </c:pt>
                <c:pt idx="6">
                  <c:v>0.000961330564806008</c:v>
                </c:pt>
                <c:pt idx="7">
                  <c:v>0.0011221547022754</c:v>
                </c:pt>
                <c:pt idx="8">
                  <c:v>0.00122432549271047</c:v>
                </c:pt>
                <c:pt idx="9">
                  <c:v>0.00132649628314554</c:v>
                </c:pt>
                <c:pt idx="10">
                  <c:v>0.00142866707358061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51320"/>
        <c:axId val="-2111473384"/>
      </c:scatterChart>
      <c:valAx>
        <c:axId val="-213975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73384"/>
        <c:crosses val="autoZero"/>
        <c:crossBetween val="midCat"/>
      </c:valAx>
      <c:valAx>
        <c:axId val="-211147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5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frac</c:v>
                </c:pt>
              </c:strCache>
            </c:strRef>
          </c:tx>
          <c:marker>
            <c:symbol val="none"/>
          </c:marker>
          <c:xVal>
            <c:numRef>
              <c:f>Sheet1!$C$8:$C$18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Sheet1!$N$8:$N$18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0.130098830103262</c:v>
                </c:pt>
                <c:pt idx="3">
                  <c:v>0.256503453733163</c:v>
                </c:pt>
                <c:pt idx="4">
                  <c:v>0.284708137647204</c:v>
                </c:pt>
                <c:pt idx="5">
                  <c:v>0.29100145328588</c:v>
                </c:pt>
                <c:pt idx="6" formatCode="0.00000">
                  <c:v>0.385942177417452</c:v>
                </c:pt>
                <c:pt idx="7">
                  <c:v>0.386149463834425</c:v>
                </c:pt>
                <c:pt idx="8">
                  <c:v>0.368644405855122</c:v>
                </c:pt>
                <c:pt idx="9">
                  <c:v>0.355029360760108</c:v>
                </c:pt>
                <c:pt idx="10">
                  <c:v>0.344137324684097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41368"/>
        <c:axId val="-2111601608"/>
      </c:scatterChart>
      <c:valAx>
        <c:axId val="-211164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601608"/>
        <c:crosses val="autoZero"/>
        <c:crossBetween val="midCat"/>
      </c:valAx>
      <c:valAx>
        <c:axId val="-2111601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164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723900</xdr:colOff>
      <xdr:row>19</xdr:row>
      <xdr:rowOff>95250</xdr:rowOff>
    </xdr:from>
    <xdr:to>
      <xdr:col>21</xdr:col>
      <xdr:colOff>342900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25</xdr:row>
      <xdr:rowOff>69850</xdr:rowOff>
    </xdr:from>
    <xdr:to>
      <xdr:col>6</xdr:col>
      <xdr:colOff>457200</xdr:colOff>
      <xdr:row>39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pher/Dropbox/OSU/phd/calc/uranus_mode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welling"/>
      <sheetName val="swelling units"/>
      <sheetName val="fissiongas"/>
      <sheetName val="fsngas units"/>
      <sheetName val="creep units"/>
    </sheetNames>
    <sheetDataSet>
      <sheetData sheetId="0"/>
      <sheetData sheetId="1"/>
      <sheetData sheetId="2">
        <row r="6">
          <cell r="Q6" t="str">
            <v>g_rel</v>
          </cell>
        </row>
        <row r="7">
          <cell r="D7">
            <v>0</v>
          </cell>
          <cell r="Q7">
            <v>0</v>
          </cell>
        </row>
        <row r="8">
          <cell r="D8">
            <v>5.0000000000000001E-3</v>
          </cell>
          <cell r="Q8">
            <v>1.3567577350800614E-3</v>
          </cell>
        </row>
        <row r="9">
          <cell r="D9">
            <v>0.01</v>
          </cell>
          <cell r="Q9">
            <v>7.2996944353208035E-3</v>
          </cell>
        </row>
        <row r="10">
          <cell r="D10">
            <v>1.4999999999999999E-2</v>
          </cell>
          <cell r="Q10">
            <v>1.7777408583996294E-2</v>
          </cell>
        </row>
        <row r="11">
          <cell r="D11">
            <v>0.02</v>
          </cell>
          <cell r="Q11">
            <v>3.2739010756800857E-2</v>
          </cell>
        </row>
        <row r="12">
          <cell r="D12">
            <v>2.5000000000000001E-2</v>
          </cell>
          <cell r="Q12">
            <v>5.213411883894091E-2</v>
          </cell>
        </row>
        <row r="13">
          <cell r="D13">
            <v>3.0000000000000002E-2</v>
          </cell>
          <cell r="Q13">
            <v>7.5912853285112186E-2</v>
          </cell>
        </row>
        <row r="14">
          <cell r="D14">
            <v>3.5000000000000003E-2</v>
          </cell>
          <cell r="Q14">
            <v>0.10402583242198742</v>
          </cell>
        </row>
        <row r="15">
          <cell r="D15">
            <v>0.04</v>
          </cell>
          <cell r="Q15">
            <v>0.13642416779284677</v>
          </cell>
        </row>
        <row r="16">
          <cell r="D16">
            <v>4.4999999999999998E-2</v>
          </cell>
          <cell r="Q16">
            <v>0.17305945954397833</v>
          </cell>
        </row>
        <row r="17">
          <cell r="D17">
            <v>4.9999999999999996E-2</v>
          </cell>
          <cell r="Q17">
            <v>0.17419152965793419</v>
          </cell>
        </row>
        <row r="18">
          <cell r="D18">
            <v>5.4999999999999993E-2</v>
          </cell>
          <cell r="Q18">
            <v>0.17543749410839429</v>
          </cell>
        </row>
        <row r="19">
          <cell r="D19">
            <v>5.9999999999999991E-2</v>
          </cell>
          <cell r="Q19">
            <v>0.17679650188311988</v>
          </cell>
        </row>
        <row r="20">
          <cell r="D20">
            <v>6.4999999999999988E-2</v>
          </cell>
          <cell r="Q20">
            <v>0.17826770832858893</v>
          </cell>
        </row>
        <row r="21">
          <cell r="D21">
            <v>6.9999999999999993E-2</v>
          </cell>
          <cell r="Q21">
            <v>0.58064806062490237</v>
          </cell>
        </row>
        <row r="22">
          <cell r="D22">
            <v>7.4999999999999997E-2</v>
          </cell>
          <cell r="Q22">
            <v>0.66510810425642786</v>
          </cell>
        </row>
        <row r="23">
          <cell r="D23">
            <v>0.08</v>
          </cell>
          <cell r="Q23">
            <v>0.75495691038940782</v>
          </cell>
        </row>
        <row r="24">
          <cell r="D24">
            <v>8.5000000000000006E-2</v>
          </cell>
          <cell r="Q24">
            <v>0.85013296228160695</v>
          </cell>
        </row>
        <row r="25">
          <cell r="D25">
            <v>9.0000000000000011E-2</v>
          </cell>
          <cell r="Q25">
            <v>0.95057536163582157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6"/>
  <sheetViews>
    <sheetView topLeftCell="B19" workbookViewId="0">
      <selection activeCell="F45" sqref="F45:M56"/>
    </sheetView>
  </sheetViews>
  <sheetFormatPr baseColWidth="10" defaultRowHeight="15" x14ac:dyDescent="0"/>
  <sheetData>
    <row r="1" spans="3:16">
      <c r="I1" t="s">
        <v>14</v>
      </c>
      <c r="J1">
        <v>10</v>
      </c>
    </row>
    <row r="2" spans="3:16">
      <c r="I2" t="s">
        <v>13</v>
      </c>
      <c r="J2" s="3">
        <v>1E+20</v>
      </c>
    </row>
    <row r="3" spans="3:16">
      <c r="I3" t="s">
        <v>15</v>
      </c>
      <c r="J3">
        <v>0.25</v>
      </c>
    </row>
    <row r="4" spans="3:16">
      <c r="F4" t="s">
        <v>11</v>
      </c>
      <c r="G4">
        <v>1000</v>
      </c>
      <c r="H4">
        <v>2070</v>
      </c>
    </row>
    <row r="5" spans="3:16">
      <c r="F5" t="s">
        <v>12</v>
      </c>
      <c r="G5">
        <v>2070</v>
      </c>
    </row>
    <row r="7" spans="3:16">
      <c r="C7" t="s">
        <v>0</v>
      </c>
      <c r="D7" t="s">
        <v>10</v>
      </c>
      <c r="E7" t="s">
        <v>1</v>
      </c>
      <c r="F7" t="s">
        <v>2</v>
      </c>
      <c r="G7" t="s">
        <v>3</v>
      </c>
      <c r="H7" t="s">
        <v>4</v>
      </c>
      <c r="J7" t="s">
        <v>6</v>
      </c>
      <c r="K7" t="s">
        <v>8</v>
      </c>
      <c r="L7" t="s">
        <v>16</v>
      </c>
      <c r="M7" t="s">
        <v>5</v>
      </c>
      <c r="N7" t="s">
        <v>9</v>
      </c>
      <c r="P7" t="s">
        <v>17</v>
      </c>
    </row>
    <row r="8" spans="3:16">
      <c r="C8">
        <v>0</v>
      </c>
      <c r="D8" s="3">
        <f>J27-273</f>
        <v>1227</v>
      </c>
      <c r="E8" s="6">
        <f>IF(-0.0023*D8+5.3504&lt;0,0,-0.0023*D8+5.3504)</f>
        <v>2.5282999999999998</v>
      </c>
      <c r="F8" s="5">
        <f>IF((1-EXP(-1.5*(100*C8-E8)))&lt;0,0,(1-EXP(-1.5*(100*C8-E8))))</f>
        <v>0</v>
      </c>
      <c r="G8" s="2">
        <f>0.000467*D8-0.467</f>
        <v>0.10600899999999996</v>
      </c>
      <c r="H8" s="2">
        <f>0.741918*LN(0.7675*D8)-4.968477</f>
        <v>0.11196278645816804</v>
      </c>
      <c r="J8" s="5">
        <v>0</v>
      </c>
      <c r="K8" s="5">
        <v>0</v>
      </c>
      <c r="L8">
        <f>F8*G8</f>
        <v>0</v>
      </c>
      <c r="M8" s="5">
        <v>0</v>
      </c>
      <c r="N8" s="2">
        <v>0</v>
      </c>
      <c r="P8" s="2">
        <f>N8/G8</f>
        <v>0</v>
      </c>
    </row>
    <row r="9" spans="3:16">
      <c r="C9">
        <v>0.01</v>
      </c>
      <c r="D9" s="3">
        <f t="shared" ref="D9:D18" si="0">J28-273</f>
        <v>1227</v>
      </c>
      <c r="E9" s="6">
        <f t="shared" ref="E9:E18" si="1">IF(-0.0023*D9+5.3504&lt;0,0,-0.0023*D9+5.3504)</f>
        <v>2.5282999999999998</v>
      </c>
      <c r="F9" s="2">
        <f t="shared" ref="F9:F18" si="2">IF((1-EXP(-1.5*(100*C9-E9)))&lt;0,0,(1-EXP(-1.5*(100*C9-E9))))</f>
        <v>0</v>
      </c>
      <c r="G9" s="2">
        <f t="shared" ref="G9:G18" si="3">0.000467*D9-0.467</f>
        <v>0.10600899999999996</v>
      </c>
      <c r="H9" s="2">
        <f t="shared" ref="H9:H18" si="4">0.741918*LN(0.7675*D9)-4.968477</f>
        <v>0.11196278645816804</v>
      </c>
      <c r="J9" s="3">
        <f>$J$3*$J$2/6.022E+23*$J$1</f>
        <v>4.1514447027565587E-4</v>
      </c>
      <c r="K9" s="3">
        <f t="shared" ref="K9:K18" si="5">K8+J9</f>
        <v>4.1514447027565587E-4</v>
      </c>
      <c r="L9" s="2">
        <f>F9*G9</f>
        <v>0</v>
      </c>
      <c r="M9" s="3">
        <f>IF(G9&gt;N8,L9*K9,G9*J9+M8)</f>
        <v>0</v>
      </c>
      <c r="N9" s="2">
        <f>M9/K9</f>
        <v>0</v>
      </c>
      <c r="P9" s="2">
        <f t="shared" ref="P9:P18" si="6">N9/G9</f>
        <v>0</v>
      </c>
    </row>
    <row r="10" spans="3:16">
      <c r="C10">
        <v>0.02</v>
      </c>
      <c r="D10" s="3">
        <f t="shared" si="0"/>
        <v>1627</v>
      </c>
      <c r="E10" s="6">
        <f t="shared" si="1"/>
        <v>1.6082999999999998</v>
      </c>
      <c r="F10" s="2">
        <f t="shared" si="2"/>
        <v>0.44431294838362989</v>
      </c>
      <c r="G10" s="2">
        <f t="shared" si="3"/>
        <v>0.29280900000000004</v>
      </c>
      <c r="H10" s="2">
        <f t="shared" si="4"/>
        <v>0.32130657045487254</v>
      </c>
      <c r="J10" s="3">
        <f t="shared" ref="J10:J18" si="7">$J$3*$J$2/6.022E+23*$J$1</f>
        <v>4.1514447027565587E-4</v>
      </c>
      <c r="K10" s="3">
        <f t="shared" si="5"/>
        <v>8.3028894055131174E-4</v>
      </c>
      <c r="L10" s="2">
        <f t="shared" ref="L10:L18" si="8">F10*G10</f>
        <v>0.13009883010326231</v>
      </c>
      <c r="M10" s="3">
        <f t="shared" ref="M10:M18" si="9">IF(G10&gt;N9,L10*K10,G10*J10+M9)</f>
        <v>1.0801961981340277E-4</v>
      </c>
      <c r="N10" s="2">
        <f t="shared" ref="N10:N18" si="10">M10/K10</f>
        <v>0.13009883010326231</v>
      </c>
      <c r="P10" s="2">
        <f t="shared" si="6"/>
        <v>0.44431294838362995</v>
      </c>
    </row>
    <row r="11" spans="3:16">
      <c r="C11">
        <v>0.03</v>
      </c>
      <c r="D11" s="3">
        <f t="shared" si="0"/>
        <v>1627</v>
      </c>
      <c r="E11" s="6">
        <f t="shared" si="1"/>
        <v>1.6082999999999998</v>
      </c>
      <c r="F11" s="2">
        <f t="shared" si="2"/>
        <v>0.87600945918043061</v>
      </c>
      <c r="G11" s="2">
        <f t="shared" si="3"/>
        <v>0.29280900000000004</v>
      </c>
      <c r="H11" s="2">
        <f t="shared" si="4"/>
        <v>0.32130657045487254</v>
      </c>
      <c r="J11" s="3">
        <f t="shared" si="7"/>
        <v>4.1514447027565587E-4</v>
      </c>
      <c r="K11" s="3">
        <f t="shared" si="5"/>
        <v>1.2454334108269677E-3</v>
      </c>
      <c r="L11" s="2">
        <f t="shared" si="8"/>
        <v>0.25650345373316275</v>
      </c>
      <c r="M11" s="3">
        <f t="shared" si="9"/>
        <v>3.194579712717902E-4</v>
      </c>
      <c r="N11" s="2">
        <f t="shared" si="10"/>
        <v>0.25650345373316275</v>
      </c>
      <c r="P11" s="2">
        <f t="shared" si="6"/>
        <v>0.87600945918043061</v>
      </c>
    </row>
    <row r="12" spans="3:16">
      <c r="C12">
        <v>0.04</v>
      </c>
      <c r="D12" s="3">
        <f t="shared" si="0"/>
        <v>1627</v>
      </c>
      <c r="E12" s="6">
        <f t="shared" si="1"/>
        <v>1.6082999999999998</v>
      </c>
      <c r="F12" s="2">
        <f t="shared" si="2"/>
        <v>0.97233397077003902</v>
      </c>
      <c r="G12" s="2">
        <f t="shared" si="3"/>
        <v>0.29280900000000004</v>
      </c>
      <c r="H12" s="2">
        <f t="shared" si="4"/>
        <v>0.32130657045487254</v>
      </c>
      <c r="J12" s="3">
        <f t="shared" si="7"/>
        <v>4.1514447027565587E-4</v>
      </c>
      <c r="K12" s="3">
        <f t="shared" si="5"/>
        <v>1.6605778811026235E-3</v>
      </c>
      <c r="L12" s="2">
        <f t="shared" si="8"/>
        <v>0.28470813764720437</v>
      </c>
      <c r="M12" s="3">
        <f t="shared" si="9"/>
        <v>4.727800359468687E-4</v>
      </c>
      <c r="N12" s="2">
        <f t="shared" si="10"/>
        <v>0.28470813764720437</v>
      </c>
      <c r="P12" s="2">
        <f t="shared" si="6"/>
        <v>0.97233397077003891</v>
      </c>
    </row>
    <row r="13" spans="3:16">
      <c r="C13">
        <v>0.05</v>
      </c>
      <c r="D13" s="3">
        <f t="shared" si="0"/>
        <v>1627</v>
      </c>
      <c r="E13" s="6">
        <f t="shared" si="1"/>
        <v>1.6082999999999998</v>
      </c>
      <c r="F13" s="2">
        <f t="shared" si="2"/>
        <v>0.99382687446724771</v>
      </c>
      <c r="G13" s="2">
        <f t="shared" si="3"/>
        <v>0.29280900000000004</v>
      </c>
      <c r="H13" s="2">
        <f t="shared" si="4"/>
        <v>0.32130657045487254</v>
      </c>
      <c r="J13" s="3">
        <f t="shared" si="7"/>
        <v>4.1514447027565587E-4</v>
      </c>
      <c r="K13" s="3">
        <f t="shared" si="5"/>
        <v>2.0757223513782792E-3</v>
      </c>
      <c r="L13" s="2">
        <f t="shared" si="8"/>
        <v>0.2910014532858804</v>
      </c>
      <c r="M13" s="3">
        <f t="shared" si="9"/>
        <v>6.0403822086906413E-4</v>
      </c>
      <c r="N13" s="2">
        <f t="shared" si="10"/>
        <v>0.2910014532858804</v>
      </c>
      <c r="P13" s="2">
        <f t="shared" si="6"/>
        <v>0.99382687446724782</v>
      </c>
    </row>
    <row r="14" spans="3:16">
      <c r="C14">
        <v>0.06</v>
      </c>
      <c r="D14" s="3">
        <f t="shared" si="0"/>
        <v>1827</v>
      </c>
      <c r="E14" s="6">
        <f t="shared" si="1"/>
        <v>1.1482999999999999</v>
      </c>
      <c r="F14" s="2">
        <f t="shared" si="2"/>
        <v>0.99930912386156778</v>
      </c>
      <c r="G14" s="1">
        <f t="shared" si="3"/>
        <v>0.38620899999999997</v>
      </c>
      <c r="H14" s="2">
        <f t="shared" si="4"/>
        <v>0.40732265085999586</v>
      </c>
      <c r="J14" s="3">
        <f t="shared" si="7"/>
        <v>4.1514447027565587E-4</v>
      </c>
      <c r="K14" s="3">
        <f t="shared" si="5"/>
        <v>2.490866821653935E-3</v>
      </c>
      <c r="L14" s="2">
        <f t="shared" si="8"/>
        <v>0.38594217741745218</v>
      </c>
      <c r="M14" s="3">
        <f t="shared" si="9"/>
        <v>9.6133056480600821E-4</v>
      </c>
      <c r="N14" s="1">
        <f t="shared" si="10"/>
        <v>0.38594217741745218</v>
      </c>
      <c r="P14" s="2">
        <f t="shared" si="6"/>
        <v>0.99930912386156778</v>
      </c>
    </row>
    <row r="15" spans="3:16">
      <c r="C15">
        <v>7.0000000000000007E-2</v>
      </c>
      <c r="D15" s="3">
        <f t="shared" si="0"/>
        <v>1827</v>
      </c>
      <c r="E15" s="6">
        <f t="shared" si="1"/>
        <v>1.1482999999999999</v>
      </c>
      <c r="F15" s="2">
        <f t="shared" si="2"/>
        <v>0.99984584469658888</v>
      </c>
      <c r="G15" s="2">
        <f t="shared" si="3"/>
        <v>0.38620899999999997</v>
      </c>
      <c r="H15" s="2">
        <f t="shared" si="4"/>
        <v>0.40732265085999586</v>
      </c>
      <c r="J15" s="3">
        <f t="shared" si="7"/>
        <v>4.1514447027565587E-4</v>
      </c>
      <c r="K15" s="3">
        <f t="shared" si="5"/>
        <v>2.9060112919295908E-3</v>
      </c>
      <c r="L15" s="2">
        <f t="shared" si="8"/>
        <v>0.38614946383442489</v>
      </c>
      <c r="M15" s="3">
        <f t="shared" si="9"/>
        <v>1.1221547022753958E-3</v>
      </c>
      <c r="N15" s="2">
        <f t="shared" si="10"/>
        <v>0.38614946383442489</v>
      </c>
      <c r="P15" s="1">
        <f t="shared" si="6"/>
        <v>0.99984584469658899</v>
      </c>
    </row>
    <row r="16" spans="3:16">
      <c r="C16">
        <v>0.08</v>
      </c>
      <c r="D16" s="3">
        <f t="shared" si="0"/>
        <v>1527</v>
      </c>
      <c r="E16" s="6">
        <f t="shared" si="1"/>
        <v>1.8382999999999998</v>
      </c>
      <c r="F16" s="2">
        <f t="shared" si="2"/>
        <v>0.99990316964227632</v>
      </c>
      <c r="G16" s="2">
        <f t="shared" si="3"/>
        <v>0.24610899999999997</v>
      </c>
      <c r="H16" s="2">
        <f t="shared" si="4"/>
        <v>0.27424463286033518</v>
      </c>
      <c r="J16" s="3">
        <f t="shared" si="7"/>
        <v>4.1514447027565587E-4</v>
      </c>
      <c r="K16" s="3">
        <f t="shared" si="5"/>
        <v>3.3211557622052465E-3</v>
      </c>
      <c r="L16" s="2">
        <f t="shared" si="8"/>
        <v>0.24608516917749096</v>
      </c>
      <c r="M16" s="3">
        <f t="shared" si="9"/>
        <v>1.2243254927104671E-3</v>
      </c>
      <c r="N16" s="2">
        <f t="shared" si="10"/>
        <v>0.36864440585512176</v>
      </c>
      <c r="P16" s="2">
        <f t="shared" si="6"/>
        <v>1.4978907957657859</v>
      </c>
    </row>
    <row r="17" spans="3:16">
      <c r="C17">
        <v>0.09</v>
      </c>
      <c r="D17" s="3">
        <f t="shared" si="0"/>
        <v>1527</v>
      </c>
      <c r="E17" s="6">
        <f t="shared" si="1"/>
        <v>1.8382999999999998</v>
      </c>
      <c r="F17" s="2">
        <f t="shared" si="2"/>
        <v>0.99997839422677393</v>
      </c>
      <c r="G17" s="2">
        <f t="shared" si="3"/>
        <v>0.24610899999999997</v>
      </c>
      <c r="H17" s="2">
        <f t="shared" si="4"/>
        <v>0.27424463286033518</v>
      </c>
      <c r="J17" s="3">
        <f t="shared" si="7"/>
        <v>4.1514447027565587E-4</v>
      </c>
      <c r="K17" s="3">
        <f t="shared" si="5"/>
        <v>3.7363002324809023E-3</v>
      </c>
      <c r="L17" s="2">
        <f t="shared" si="8"/>
        <v>0.24610368262475707</v>
      </c>
      <c r="M17" s="3">
        <f t="shared" si="9"/>
        <v>1.3264962831455384E-3</v>
      </c>
      <c r="N17" s="2">
        <f t="shared" si="10"/>
        <v>0.35502936076010821</v>
      </c>
      <c r="P17" s="2">
        <f t="shared" si="6"/>
        <v>1.4425695962362541</v>
      </c>
    </row>
    <row r="18" spans="3:16">
      <c r="C18">
        <v>0.1</v>
      </c>
      <c r="D18" s="3">
        <f t="shared" si="0"/>
        <v>1527</v>
      </c>
      <c r="E18" s="6">
        <f t="shared" si="1"/>
        <v>1.8382999999999998</v>
      </c>
      <c r="F18" s="2">
        <f t="shared" si="2"/>
        <v>0.99999517910035995</v>
      </c>
      <c r="G18" s="2">
        <f t="shared" si="3"/>
        <v>0.24610899999999997</v>
      </c>
      <c r="H18" s="2">
        <f t="shared" si="4"/>
        <v>0.27424463286033518</v>
      </c>
      <c r="J18" s="3">
        <f t="shared" si="7"/>
        <v>4.1514447027565587E-4</v>
      </c>
      <c r="K18" s="3">
        <f t="shared" si="5"/>
        <v>4.1514447027565585E-3</v>
      </c>
      <c r="L18" s="2">
        <f t="shared" si="8"/>
        <v>0.24610781353321046</v>
      </c>
      <c r="M18" s="3">
        <f t="shared" si="9"/>
        <v>1.4286670735806097E-3</v>
      </c>
      <c r="N18" s="2">
        <f t="shared" si="10"/>
        <v>0.34413732468409736</v>
      </c>
      <c r="P18" s="2">
        <f t="shared" si="6"/>
        <v>1.3983126366126286</v>
      </c>
    </row>
    <row r="19" spans="3:16">
      <c r="J19" s="4"/>
      <c r="K19" s="4"/>
    </row>
    <row r="20" spans="3:16">
      <c r="I20" t="s">
        <v>7</v>
      </c>
      <c r="J20" s="4">
        <f>SUM(J8:J18)</f>
        <v>4.1514447027565585E-3</v>
      </c>
      <c r="L20" s="4"/>
    </row>
    <row r="22" spans="3:16">
      <c r="L22" s="2"/>
    </row>
    <row r="25" spans="3:16">
      <c r="H25" t="s">
        <v>18</v>
      </c>
    </row>
    <row r="26" spans="3:16">
      <c r="H26" t="s">
        <v>19</v>
      </c>
      <c r="I26" t="s">
        <v>0</v>
      </c>
      <c r="J26" t="s">
        <v>20</v>
      </c>
      <c r="K26" t="s">
        <v>6</v>
      </c>
      <c r="L26" t="s">
        <v>5</v>
      </c>
      <c r="N26" t="s">
        <v>21</v>
      </c>
      <c r="O26" t="s">
        <v>21</v>
      </c>
    </row>
    <row r="27" spans="3:16">
      <c r="H27" s="3">
        <v>0</v>
      </c>
      <c r="I27" s="3">
        <v>0</v>
      </c>
      <c r="J27" s="3">
        <v>1500</v>
      </c>
      <c r="K27" s="3">
        <v>0</v>
      </c>
      <c r="L27" s="3">
        <v>0</v>
      </c>
      <c r="N27" s="3">
        <v>0</v>
      </c>
      <c r="O27" s="3">
        <v>0</v>
      </c>
    </row>
    <row r="28" spans="3:16">
      <c r="H28" s="3">
        <v>10</v>
      </c>
      <c r="I28" s="3">
        <v>0.01</v>
      </c>
      <c r="J28" s="3">
        <v>1500</v>
      </c>
      <c r="K28" s="3">
        <v>4.151445E-4</v>
      </c>
      <c r="L28" s="3">
        <v>0</v>
      </c>
      <c r="M28" s="3"/>
      <c r="N28" s="3">
        <f t="shared" ref="N28:N37" si="11">ABS(K28-K9)/K9*100</f>
        <v>7.1600000150140114E-6</v>
      </c>
      <c r="O28" s="3" t="e">
        <f t="shared" ref="O28:O37" si="12">ABS(L28-M9)/M9*100</f>
        <v>#DIV/0!</v>
      </c>
    </row>
    <row r="29" spans="3:16">
      <c r="H29" s="3">
        <v>20</v>
      </c>
      <c r="I29" s="3">
        <v>0.02</v>
      </c>
      <c r="J29" s="3">
        <v>1900</v>
      </c>
      <c r="K29" s="3">
        <v>8.3028889999999997E-4</v>
      </c>
      <c r="L29" s="3">
        <v>1.080196E-4</v>
      </c>
      <c r="M29" s="3"/>
      <c r="N29" s="3">
        <f t="shared" si="11"/>
        <v>4.8839999890930652E-6</v>
      </c>
      <c r="O29" s="3">
        <f t="shared" si="12"/>
        <v>1.8342411138704429E-5</v>
      </c>
    </row>
    <row r="30" spans="3:16">
      <c r="H30" s="3">
        <v>30</v>
      </c>
      <c r="I30" s="3">
        <v>0.03</v>
      </c>
      <c r="J30" s="3">
        <v>1900</v>
      </c>
      <c r="K30" s="3">
        <v>1.245433E-3</v>
      </c>
      <c r="L30" s="3">
        <v>3.19458E-4</v>
      </c>
      <c r="M30" s="3"/>
      <c r="N30" s="3">
        <f t="shared" si="11"/>
        <v>3.2986666660990198E-5</v>
      </c>
      <c r="O30" s="3">
        <f t="shared" si="12"/>
        <v>8.992797923410384E-6</v>
      </c>
    </row>
    <row r="31" spans="3:16">
      <c r="H31" s="3">
        <v>40</v>
      </c>
      <c r="I31" s="3">
        <v>0.04</v>
      </c>
      <c r="J31" s="3">
        <v>1900</v>
      </c>
      <c r="K31" s="3">
        <v>1.660578E-3</v>
      </c>
      <c r="L31" s="3">
        <v>4.7278000000000001E-4</v>
      </c>
      <c r="M31" s="3"/>
      <c r="N31" s="3">
        <f t="shared" si="11"/>
        <v>7.1600000150140114E-6</v>
      </c>
      <c r="O31" s="3">
        <f t="shared" si="12"/>
        <v>7.603296661908648E-6</v>
      </c>
    </row>
    <row r="32" spans="3:16">
      <c r="H32" s="3">
        <v>50</v>
      </c>
      <c r="I32" s="3">
        <v>0.05</v>
      </c>
      <c r="J32" s="3">
        <v>1900</v>
      </c>
      <c r="K32" s="3">
        <v>2.0757219999999999E-3</v>
      </c>
      <c r="L32" s="3">
        <v>6.0403819999999995E-4</v>
      </c>
      <c r="M32" s="3"/>
      <c r="N32" s="3">
        <f t="shared" si="11"/>
        <v>1.6927999985365264E-5</v>
      </c>
      <c r="O32" s="3">
        <f t="shared" si="12"/>
        <v>3.4549244500982559E-6</v>
      </c>
    </row>
    <row r="33" spans="6:15">
      <c r="H33" s="3">
        <v>60</v>
      </c>
      <c r="I33" s="3">
        <v>0.06</v>
      </c>
      <c r="J33" s="3">
        <v>2100</v>
      </c>
      <c r="K33" s="3">
        <v>2.4908669999999999E-3</v>
      </c>
      <c r="L33" s="3">
        <v>9.6133060000000003E-4</v>
      </c>
      <c r="M33" s="3"/>
      <c r="N33" s="3">
        <f t="shared" si="11"/>
        <v>7.1600000193667223E-6</v>
      </c>
      <c r="O33" s="3">
        <f t="shared" si="12"/>
        <v>3.6609666962126621E-6</v>
      </c>
    </row>
    <row r="34" spans="6:15">
      <c r="H34" s="3">
        <v>70</v>
      </c>
      <c r="I34" s="3">
        <v>7.0000000000000007E-2</v>
      </c>
      <c r="J34" s="3">
        <v>2100</v>
      </c>
      <c r="K34" s="3">
        <v>2.906011E-3</v>
      </c>
      <c r="L34" s="3">
        <v>1.1221549999999999E-3</v>
      </c>
      <c r="M34" s="3"/>
      <c r="N34" s="3">
        <f t="shared" si="11"/>
        <v>1.0045714259778501E-5</v>
      </c>
      <c r="O34" s="3">
        <f t="shared" si="12"/>
        <v>2.6531511518079264E-5</v>
      </c>
    </row>
    <row r="35" spans="6:15">
      <c r="H35" s="3">
        <v>80</v>
      </c>
      <c r="I35" s="3">
        <v>0.08</v>
      </c>
      <c r="J35" s="3">
        <v>1800</v>
      </c>
      <c r="K35" s="3">
        <v>3.321156E-3</v>
      </c>
      <c r="L35" s="3">
        <v>1.2243250000000001E-3</v>
      </c>
      <c r="M35" s="3"/>
      <c r="N35" s="3">
        <f t="shared" si="11"/>
        <v>7.1600000280721432E-6</v>
      </c>
      <c r="O35" s="3">
        <f t="shared" si="12"/>
        <v>4.0243421375903294E-5</v>
      </c>
    </row>
    <row r="36" spans="6:15">
      <c r="H36" s="3">
        <v>90</v>
      </c>
      <c r="I36" s="3">
        <v>0.09</v>
      </c>
      <c r="J36" s="3">
        <v>1800</v>
      </c>
      <c r="K36" s="3">
        <v>3.7363000000000001E-3</v>
      </c>
      <c r="L36" s="3">
        <v>1.3264959999999999E-3</v>
      </c>
      <c r="M36" s="3"/>
      <c r="N36" s="3">
        <f t="shared" si="11"/>
        <v>6.2222221900080787E-6</v>
      </c>
      <c r="O36" s="3">
        <f t="shared" si="12"/>
        <v>2.1345369910204955E-5</v>
      </c>
    </row>
    <row r="37" spans="6:15">
      <c r="H37" s="3">
        <v>100</v>
      </c>
      <c r="I37" s="3">
        <v>0.1</v>
      </c>
      <c r="J37" s="3">
        <v>1800</v>
      </c>
      <c r="K37" s="3">
        <v>4.1514450000000001E-3</v>
      </c>
      <c r="L37" s="3">
        <v>1.428667E-3</v>
      </c>
      <c r="M37" s="3"/>
      <c r="N37" s="3">
        <f t="shared" si="11"/>
        <v>7.16000002284889E-6</v>
      </c>
      <c r="O37" s="3">
        <f t="shared" si="12"/>
        <v>5.1502978590904221E-6</v>
      </c>
    </row>
    <row r="38" spans="6:15">
      <c r="H38" s="3"/>
      <c r="I38" s="3"/>
      <c r="J38" s="3"/>
      <c r="K38" s="4"/>
      <c r="L38" s="4"/>
      <c r="M38" s="3"/>
    </row>
    <row r="40" spans="6:15">
      <c r="L40" s="4">
        <f>L37/K37</f>
        <v>0.34413728231977059</v>
      </c>
    </row>
    <row r="45" spans="6:15">
      <c r="F45" t="s">
        <v>26</v>
      </c>
      <c r="G45" t="str">
        <f>I26</f>
        <v>burnup</v>
      </c>
      <c r="H45" t="s">
        <v>22</v>
      </c>
      <c r="I45" t="s">
        <v>23</v>
      </c>
      <c r="J45" t="str">
        <f>N26</f>
        <v>% diff</v>
      </c>
      <c r="K45" t="s">
        <v>24</v>
      </c>
      <c r="L45" t="s">
        <v>25</v>
      </c>
      <c r="M45" t="str">
        <f>O26</f>
        <v>% diff</v>
      </c>
    </row>
    <row r="46" spans="6:15">
      <c r="F46" t="s">
        <v>26</v>
      </c>
      <c r="G46">
        <f t="shared" ref="G46:G55" si="13">I27</f>
        <v>0</v>
      </c>
      <c r="H46">
        <f t="shared" ref="H46:H55" si="14">K27</f>
        <v>0</v>
      </c>
      <c r="I46">
        <f t="shared" ref="I46:I55" si="15">K8</f>
        <v>0</v>
      </c>
      <c r="J46">
        <f t="shared" ref="J46:J55" si="16">N27</f>
        <v>0</v>
      </c>
      <c r="K46">
        <f t="shared" ref="K46:K55" si="17">L27</f>
        <v>0</v>
      </c>
      <c r="L46">
        <f t="shared" ref="L46:L55" si="18">M8</f>
        <v>0</v>
      </c>
      <c r="M46">
        <f t="shared" ref="M46:M55" si="19">O27</f>
        <v>0</v>
      </c>
    </row>
    <row r="47" spans="6:15">
      <c r="F47" t="s">
        <v>26</v>
      </c>
      <c r="G47">
        <f t="shared" si="13"/>
        <v>0.01</v>
      </c>
      <c r="H47" s="4">
        <f t="shared" si="14"/>
        <v>4.151445E-4</v>
      </c>
      <c r="I47" s="4">
        <f t="shared" si="15"/>
        <v>4.1514447027565587E-4</v>
      </c>
      <c r="J47" s="4">
        <f t="shared" si="16"/>
        <v>7.1600000150140114E-6</v>
      </c>
      <c r="K47">
        <f t="shared" si="17"/>
        <v>0</v>
      </c>
      <c r="L47">
        <f t="shared" si="18"/>
        <v>0</v>
      </c>
      <c r="M47">
        <v>0</v>
      </c>
    </row>
    <row r="48" spans="6:15">
      <c r="F48" t="s">
        <v>26</v>
      </c>
      <c r="G48">
        <f t="shared" si="13"/>
        <v>0.02</v>
      </c>
      <c r="H48" s="4">
        <f t="shared" si="14"/>
        <v>8.3028889999999997E-4</v>
      </c>
      <c r="I48" s="4">
        <f t="shared" si="15"/>
        <v>8.3028894055131174E-4</v>
      </c>
      <c r="J48" s="4">
        <f t="shared" si="16"/>
        <v>4.8839999890930652E-6</v>
      </c>
      <c r="K48" s="4">
        <f t="shared" si="17"/>
        <v>1.080196E-4</v>
      </c>
      <c r="L48" s="4">
        <f t="shared" si="18"/>
        <v>1.0801961981340277E-4</v>
      </c>
      <c r="M48" s="7">
        <f t="shared" si="19"/>
        <v>1.8342411138704429E-5</v>
      </c>
    </row>
    <row r="49" spans="6:13">
      <c r="F49" t="s">
        <v>26</v>
      </c>
      <c r="G49">
        <f t="shared" si="13"/>
        <v>0.03</v>
      </c>
      <c r="H49" s="4">
        <f t="shared" si="14"/>
        <v>1.245433E-3</v>
      </c>
      <c r="I49" s="4">
        <f t="shared" si="15"/>
        <v>1.2454334108269677E-3</v>
      </c>
      <c r="J49" s="4">
        <f t="shared" si="16"/>
        <v>3.2986666660990198E-5</v>
      </c>
      <c r="K49" s="4">
        <f t="shared" si="17"/>
        <v>3.19458E-4</v>
      </c>
      <c r="L49" s="4">
        <f t="shared" si="18"/>
        <v>3.194579712717902E-4</v>
      </c>
      <c r="M49" s="7">
        <f t="shared" si="19"/>
        <v>8.992797923410384E-6</v>
      </c>
    </row>
    <row r="50" spans="6:13">
      <c r="F50" t="s">
        <v>26</v>
      </c>
      <c r="G50">
        <f t="shared" si="13"/>
        <v>0.04</v>
      </c>
      <c r="H50" s="4">
        <f t="shared" si="14"/>
        <v>1.660578E-3</v>
      </c>
      <c r="I50" s="4">
        <f t="shared" si="15"/>
        <v>1.6605778811026235E-3</v>
      </c>
      <c r="J50" s="4">
        <f t="shared" si="16"/>
        <v>7.1600000150140114E-6</v>
      </c>
      <c r="K50" s="4">
        <f t="shared" si="17"/>
        <v>4.7278000000000001E-4</v>
      </c>
      <c r="L50" s="4">
        <f t="shared" si="18"/>
        <v>4.727800359468687E-4</v>
      </c>
      <c r="M50" s="7">
        <f t="shared" si="19"/>
        <v>7.603296661908648E-6</v>
      </c>
    </row>
    <row r="51" spans="6:13">
      <c r="F51" t="s">
        <v>26</v>
      </c>
      <c r="G51">
        <f t="shared" si="13"/>
        <v>0.05</v>
      </c>
      <c r="H51" s="4">
        <f t="shared" si="14"/>
        <v>2.0757219999999999E-3</v>
      </c>
      <c r="I51" s="4">
        <f t="shared" si="15"/>
        <v>2.0757223513782792E-3</v>
      </c>
      <c r="J51" s="4">
        <f t="shared" si="16"/>
        <v>1.6927999985365264E-5</v>
      </c>
      <c r="K51" s="4">
        <f t="shared" si="17"/>
        <v>6.0403819999999995E-4</v>
      </c>
      <c r="L51" s="4">
        <f t="shared" si="18"/>
        <v>6.0403822086906413E-4</v>
      </c>
      <c r="M51" s="7">
        <f t="shared" si="19"/>
        <v>3.4549244500982559E-6</v>
      </c>
    </row>
    <row r="52" spans="6:13">
      <c r="F52" t="s">
        <v>26</v>
      </c>
      <c r="G52">
        <f t="shared" si="13"/>
        <v>0.06</v>
      </c>
      <c r="H52" s="4">
        <f t="shared" si="14"/>
        <v>2.4908669999999999E-3</v>
      </c>
      <c r="I52" s="4">
        <f t="shared" si="15"/>
        <v>2.490866821653935E-3</v>
      </c>
      <c r="J52" s="4">
        <f t="shared" si="16"/>
        <v>7.1600000193667223E-6</v>
      </c>
      <c r="K52" s="4">
        <f t="shared" si="17"/>
        <v>9.6133060000000003E-4</v>
      </c>
      <c r="L52" s="4">
        <f t="shared" si="18"/>
        <v>9.6133056480600821E-4</v>
      </c>
      <c r="M52" s="7">
        <f t="shared" si="19"/>
        <v>3.6609666962126621E-6</v>
      </c>
    </row>
    <row r="53" spans="6:13">
      <c r="F53" t="s">
        <v>26</v>
      </c>
      <c r="G53">
        <f t="shared" si="13"/>
        <v>7.0000000000000007E-2</v>
      </c>
      <c r="H53" s="4">
        <f t="shared" si="14"/>
        <v>2.906011E-3</v>
      </c>
      <c r="I53" s="4">
        <f t="shared" si="15"/>
        <v>2.9060112919295908E-3</v>
      </c>
      <c r="J53" s="4">
        <f t="shared" si="16"/>
        <v>1.0045714259778501E-5</v>
      </c>
      <c r="K53" s="4">
        <f t="shared" si="17"/>
        <v>1.1221549999999999E-3</v>
      </c>
      <c r="L53" s="4">
        <f t="shared" si="18"/>
        <v>1.1221547022753958E-3</v>
      </c>
      <c r="M53" s="7">
        <f t="shared" si="19"/>
        <v>2.6531511518079264E-5</v>
      </c>
    </row>
    <row r="54" spans="6:13">
      <c r="F54" t="s">
        <v>26</v>
      </c>
      <c r="G54">
        <f t="shared" si="13"/>
        <v>0.08</v>
      </c>
      <c r="H54" s="4">
        <f t="shared" si="14"/>
        <v>3.321156E-3</v>
      </c>
      <c r="I54" s="4">
        <f t="shared" si="15"/>
        <v>3.3211557622052465E-3</v>
      </c>
      <c r="J54" s="4">
        <f t="shared" si="16"/>
        <v>7.1600000280721432E-6</v>
      </c>
      <c r="K54" s="4">
        <f t="shared" si="17"/>
        <v>1.2243250000000001E-3</v>
      </c>
      <c r="L54" s="4">
        <f t="shared" si="18"/>
        <v>1.2243254927104671E-3</v>
      </c>
      <c r="M54" s="7">
        <f t="shared" si="19"/>
        <v>4.0243421375903294E-5</v>
      </c>
    </row>
    <row r="55" spans="6:13">
      <c r="F55" t="s">
        <v>26</v>
      </c>
      <c r="G55">
        <f t="shared" si="13"/>
        <v>0.09</v>
      </c>
      <c r="H55" s="4">
        <f t="shared" si="14"/>
        <v>3.7363000000000001E-3</v>
      </c>
      <c r="I55" s="4">
        <f t="shared" si="15"/>
        <v>3.7363002324809023E-3</v>
      </c>
      <c r="J55" s="4">
        <f t="shared" si="16"/>
        <v>6.2222221900080787E-6</v>
      </c>
      <c r="K55" s="4">
        <f t="shared" si="17"/>
        <v>1.3264959999999999E-3</v>
      </c>
      <c r="L55" s="4">
        <f t="shared" si="18"/>
        <v>1.3264962831455384E-3</v>
      </c>
      <c r="M55" s="7">
        <f t="shared" si="19"/>
        <v>2.1345369910204955E-5</v>
      </c>
    </row>
    <row r="56" spans="6:13">
      <c r="F56" t="s">
        <v>26</v>
      </c>
      <c r="G56">
        <f>I37</f>
        <v>0.1</v>
      </c>
      <c r="H56" s="4">
        <f>K37</f>
        <v>4.1514450000000001E-3</v>
      </c>
      <c r="I56" s="4">
        <f>K18</f>
        <v>4.1514447027565585E-3</v>
      </c>
      <c r="J56" s="4">
        <f>N37</f>
        <v>7.16000002284889E-6</v>
      </c>
      <c r="K56" s="4">
        <f>L37</f>
        <v>1.428667E-3</v>
      </c>
      <c r="L56" s="4">
        <f>M18</f>
        <v>1.4286670735806097E-3</v>
      </c>
      <c r="M56" s="7">
        <f>O37</f>
        <v>5.1502978590904221E-6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E3" workbookViewId="0">
      <selection activeCell="H23" sqref="H23:H34"/>
    </sheetView>
  </sheetViews>
  <sheetFormatPr baseColWidth="10" defaultRowHeight="15" x14ac:dyDescent="0"/>
  <cols>
    <col min="16" max="16" width="10.83203125" style="8"/>
    <col min="19" max="19" width="10.83203125" style="9"/>
    <col min="20" max="20" width="11.5" bestFit="1" customWidth="1"/>
  </cols>
  <sheetData>
    <row r="1" spans="1:20">
      <c r="C1" t="s">
        <v>27</v>
      </c>
      <c r="D1" s="3">
        <v>1E+20</v>
      </c>
      <c r="E1" t="s">
        <v>28</v>
      </c>
    </row>
    <row r="2" spans="1:20">
      <c r="C2" t="s">
        <v>15</v>
      </c>
      <c r="D2">
        <v>0.25</v>
      </c>
    </row>
    <row r="3" spans="1:20">
      <c r="C3" t="s">
        <v>29</v>
      </c>
      <c r="D3">
        <v>0.01</v>
      </c>
    </row>
    <row r="4" spans="1:20">
      <c r="C4" t="s">
        <v>49</v>
      </c>
      <c r="D4">
        <v>10</v>
      </c>
      <c r="F4">
        <v>1728</v>
      </c>
      <c r="G4">
        <v>2598</v>
      </c>
      <c r="K4">
        <v>1273</v>
      </c>
      <c r="L4">
        <v>2343</v>
      </c>
    </row>
    <row r="5" spans="1:20">
      <c r="E5">
        <v>1728</v>
      </c>
      <c r="F5">
        <v>2598</v>
      </c>
      <c r="J5">
        <v>1273</v>
      </c>
      <c r="K5">
        <v>2343</v>
      </c>
    </row>
    <row r="6" spans="1:20"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48</v>
      </c>
      <c r="O6" t="s">
        <v>47</v>
      </c>
      <c r="P6" s="8" t="s">
        <v>42</v>
      </c>
      <c r="Q6" t="s">
        <v>43</v>
      </c>
      <c r="R6" t="s">
        <v>44</v>
      </c>
      <c r="S6" s="9" t="s">
        <v>45</v>
      </c>
      <c r="T6" t="s">
        <v>46</v>
      </c>
    </row>
    <row r="7" spans="1:20">
      <c r="A7">
        <v>0</v>
      </c>
      <c r="B7" s="3">
        <f>$D$1</f>
        <v>1E+20</v>
      </c>
      <c r="C7">
        <v>1500</v>
      </c>
      <c r="D7">
        <v>0</v>
      </c>
      <c r="E7" s="2">
        <f>2*0.00112</f>
        <v>2.2399999999999998E-3</v>
      </c>
      <c r="F7" s="10">
        <f>(-0.000002576*C7+0.006696)</f>
        <v>2.8319999999999999E-3</v>
      </c>
      <c r="G7">
        <v>0</v>
      </c>
      <c r="H7" s="10">
        <f>IF(C7&lt;$E$5,E7,IF(C7&lt;$F$5,F7,G7))</f>
        <v>2.2399999999999998E-3</v>
      </c>
      <c r="I7" s="10">
        <f>IF(1-EXP(-1.5*(D7-H7))&gt;0,1-EXP(-1.5*(D7-H7)),0)</f>
        <v>0</v>
      </c>
      <c r="J7">
        <v>0</v>
      </c>
      <c r="K7" s="11">
        <f>0.000467*C7-0.594</f>
        <v>0.10650000000000004</v>
      </c>
      <c r="L7" s="2">
        <f>0.7419*LN(0.7675*(C7-273))-4.9685</f>
        <v>0.11181652766655503</v>
      </c>
      <c r="M7" s="2">
        <f>IF(C7&lt;$J$5,J7,IF(C7&lt;$K$5,K7,L7))</f>
        <v>0.10650000000000004</v>
      </c>
      <c r="N7">
        <v>0</v>
      </c>
      <c r="O7">
        <v>0</v>
      </c>
      <c r="P7" s="12">
        <f>I7*M7</f>
        <v>0</v>
      </c>
      <c r="Q7">
        <v>0</v>
      </c>
      <c r="R7">
        <v>0</v>
      </c>
      <c r="S7" s="13">
        <v>0</v>
      </c>
      <c r="T7" s="3"/>
    </row>
    <row r="8" spans="1:20">
      <c r="A8">
        <v>1</v>
      </c>
      <c r="B8" s="3">
        <f t="shared" ref="B8:B17" si="0">$D$1</f>
        <v>1E+20</v>
      </c>
      <c r="C8">
        <v>1500</v>
      </c>
      <c r="D8" s="2">
        <f>D7+$D$3</f>
        <v>0.01</v>
      </c>
      <c r="E8" s="2">
        <f t="shared" ref="E8:E17" si="1">2*0.00112</f>
        <v>2.2399999999999998E-3</v>
      </c>
      <c r="F8" s="10">
        <f t="shared" ref="F8:F17" si="2">(-0.000002576*C8+0.006696)</f>
        <v>2.8319999999999999E-3</v>
      </c>
      <c r="G8">
        <v>0</v>
      </c>
      <c r="H8" s="10">
        <f>IF(C8&lt;$E$5,E8,IF(C8&lt;$F$5,F8,G8))</f>
        <v>2.2399999999999998E-3</v>
      </c>
      <c r="I8" s="10">
        <f t="shared" ref="I8:I17" si="3">IF(1-EXP(-1.5*(D8-H8))&gt;0,1-EXP(-1.5*(D8-H8)),0)</f>
        <v>1.1572517286708273E-2</v>
      </c>
      <c r="J8">
        <v>0</v>
      </c>
      <c r="K8" s="11">
        <f>0.000467*C8-0.594</f>
        <v>0.10650000000000004</v>
      </c>
      <c r="L8" s="2">
        <f t="shared" ref="L8:L17" si="4">0.7419*LN(0.7675*(C8-273))-4.9685</f>
        <v>0.11181652766655503</v>
      </c>
      <c r="M8" s="2">
        <f>IF(C8&lt;$J$5,J8,IF(C8&lt;$K$5,K8,L8))</f>
        <v>0.10650000000000004</v>
      </c>
      <c r="N8" s="3">
        <f t="shared" ref="N8:N17" si="5">B8*$D$2/6.022E+23*10</f>
        <v>4.1514447027565587E-4</v>
      </c>
      <c r="O8" s="3">
        <f t="shared" ref="O8:O17" si="6">O7+N8</f>
        <v>4.1514447027565587E-4</v>
      </c>
      <c r="P8" s="12">
        <f t="shared" ref="P8:P17" si="7">I8*M8</f>
        <v>1.2324730910344315E-3</v>
      </c>
      <c r="Q8" s="3">
        <f>IF(P8&gt;S7,O8*M8*I8,Q7+P8*N8)</f>
        <v>5.1165438850648922E-7</v>
      </c>
      <c r="R8" s="3">
        <f>R7+P8*N8</f>
        <v>5.1165438850648922E-7</v>
      </c>
      <c r="S8" s="13">
        <f>Q8/O8</f>
        <v>1.2324730910344315E-3</v>
      </c>
      <c r="T8" s="3" t="b">
        <f>IF(P8&gt;S7,TRUE,FALSE)</f>
        <v>1</v>
      </c>
    </row>
    <row r="9" spans="1:20">
      <c r="A9">
        <v>2</v>
      </c>
      <c r="B9" s="3">
        <f t="shared" si="0"/>
        <v>1E+20</v>
      </c>
      <c r="C9">
        <v>1900</v>
      </c>
      <c r="D9" s="2">
        <f t="shared" ref="D9:D17" si="8">D8+$D$3</f>
        <v>0.02</v>
      </c>
      <c r="E9" s="2">
        <f t="shared" si="1"/>
        <v>2.2399999999999998E-3</v>
      </c>
      <c r="F9" s="10">
        <f t="shared" si="2"/>
        <v>1.8015999999999996E-3</v>
      </c>
      <c r="G9">
        <v>0</v>
      </c>
      <c r="H9" s="10">
        <f>IF(C9&lt;$E$5,E9,IF(C9&lt;$F$5,F9,G9))</f>
        <v>1.8015999999999996E-3</v>
      </c>
      <c r="I9" s="10">
        <f t="shared" si="3"/>
        <v>2.6928387682177313E-2</v>
      </c>
      <c r="J9">
        <v>0</v>
      </c>
      <c r="K9" s="11">
        <f t="shared" ref="K9:K17" si="9">0.000467*C9-0.594</f>
        <v>0.29330000000000012</v>
      </c>
      <c r="L9" s="2">
        <f t="shared" si="4"/>
        <v>0.32115523268133384</v>
      </c>
      <c r="M9" s="2">
        <f>IF(C9&lt;$J$5,J9,IF(C9&lt;$K$5,K9,L9))</f>
        <v>0.29330000000000012</v>
      </c>
      <c r="N9" s="3">
        <f>B9*$D$2/6.022E+23*10</f>
        <v>4.1514447027565587E-4</v>
      </c>
      <c r="O9" s="3">
        <f t="shared" si="6"/>
        <v>8.3028894055131174E-4</v>
      </c>
      <c r="P9" s="12">
        <f t="shared" si="7"/>
        <v>7.8980961071826086E-3</v>
      </c>
      <c r="Q9" s="3">
        <f>IF(P9&gt;S8,O9*M9*I9,Q8+P9*N9)</f>
        <v>6.557701849205088E-6</v>
      </c>
      <c r="R9" s="3">
        <f>R8+P9*N9</f>
        <v>3.7905053131090327E-6</v>
      </c>
      <c r="S9" s="13">
        <f>Q9/O9</f>
        <v>7.8980961071826086E-3</v>
      </c>
      <c r="T9" s="3" t="b">
        <f>IF(P9&gt;S8,TRUE,FALSE)</f>
        <v>1</v>
      </c>
    </row>
    <row r="10" spans="1:20">
      <c r="A10">
        <v>3</v>
      </c>
      <c r="B10" s="3">
        <f t="shared" si="0"/>
        <v>1E+20</v>
      </c>
      <c r="C10">
        <v>1900</v>
      </c>
      <c r="D10" s="2">
        <f t="shared" si="8"/>
        <v>0.03</v>
      </c>
      <c r="E10" s="2">
        <f t="shared" si="1"/>
        <v>2.2399999999999998E-3</v>
      </c>
      <c r="F10" s="10">
        <f t="shared" si="2"/>
        <v>1.8015999999999996E-3</v>
      </c>
      <c r="G10">
        <v>0</v>
      </c>
      <c r="H10" s="10">
        <f>IF(C10&lt;$E$5,E10,IF(C10&lt;$F$5,F10,G10))</f>
        <v>1.8015999999999996E-3</v>
      </c>
      <c r="I10" s="10">
        <f t="shared" si="3"/>
        <v>4.141553661691022E-2</v>
      </c>
      <c r="J10">
        <v>0</v>
      </c>
      <c r="K10" s="11">
        <f t="shared" si="9"/>
        <v>0.29330000000000012</v>
      </c>
      <c r="L10" s="2">
        <f t="shared" si="4"/>
        <v>0.32115523268133384</v>
      </c>
      <c r="M10" s="2">
        <f>IF(C10&lt;$J$5,J10,IF(C10&lt;$K$5,K10,L10))</f>
        <v>0.29330000000000012</v>
      </c>
      <c r="N10" s="3">
        <f t="shared" si="5"/>
        <v>4.1514447027565587E-4</v>
      </c>
      <c r="O10" s="3">
        <f t="shared" si="6"/>
        <v>1.2454334108269677E-3</v>
      </c>
      <c r="P10" s="12">
        <f t="shared" si="7"/>
        <v>1.2147176889739772E-2</v>
      </c>
      <c r="Q10" s="3">
        <f>IF(P10&gt;S9,O10*M10*I10,Q9+P10*N10)</f>
        <v>1.5128499945707122E-5</v>
      </c>
      <c r="R10" s="3">
        <f>R9+P10*N10</f>
        <v>8.8333386283447387E-6</v>
      </c>
      <c r="S10" s="13">
        <f>Q10/O10</f>
        <v>1.2147176889739772E-2</v>
      </c>
      <c r="T10" s="3" t="b">
        <f>IF(P10&gt;S9,TRUE,FALSE)</f>
        <v>1</v>
      </c>
    </row>
    <row r="11" spans="1:20">
      <c r="A11">
        <v>4</v>
      </c>
      <c r="B11" s="3">
        <f t="shared" si="0"/>
        <v>1E+20</v>
      </c>
      <c r="C11">
        <v>1900</v>
      </c>
      <c r="D11" s="2">
        <f t="shared" si="8"/>
        <v>0.04</v>
      </c>
      <c r="E11" s="2">
        <f t="shared" si="1"/>
        <v>2.2399999999999998E-3</v>
      </c>
      <c r="F11" s="10">
        <f t="shared" si="2"/>
        <v>1.8015999999999996E-3</v>
      </c>
      <c r="G11">
        <v>0</v>
      </c>
      <c r="H11" s="10">
        <f>IF(C11&lt;$E$5,E11,IF(C11&lt;$F$5,F11,G11))</f>
        <v>1.8015999999999996E-3</v>
      </c>
      <c r="I11" s="10">
        <f t="shared" si="3"/>
        <v>5.5687000003323495E-2</v>
      </c>
      <c r="J11">
        <v>0</v>
      </c>
      <c r="K11" s="11">
        <f t="shared" si="9"/>
        <v>0.29330000000000012</v>
      </c>
      <c r="L11" s="2">
        <f t="shared" si="4"/>
        <v>0.32115523268133384</v>
      </c>
      <c r="M11" s="2">
        <f>IF(C11&lt;$J$5,J11,IF(C11&lt;$K$5,K11,L11))</f>
        <v>0.29330000000000012</v>
      </c>
      <c r="N11" s="3">
        <f t="shared" si="5"/>
        <v>4.1514447027565587E-4</v>
      </c>
      <c r="O11" s="3">
        <f t="shared" si="6"/>
        <v>1.6605778811026235E-3</v>
      </c>
      <c r="P11" s="12">
        <f t="shared" si="7"/>
        <v>1.6332997100974786E-2</v>
      </c>
      <c r="Q11" s="3">
        <f>IF(P11&gt;S10,O11*M11*I11,Q10+P11*N11)</f>
        <v>2.7122213717992006E-5</v>
      </c>
      <c r="R11" s="3">
        <f>R10+P11*N11</f>
        <v>1.5613892057842739E-5</v>
      </c>
      <c r="S11" s="13">
        <f>Q11/O11</f>
        <v>1.6332997100974789E-2</v>
      </c>
      <c r="T11" s="3" t="b">
        <f>IF(P11&gt;S10,TRUE,FALSE)</f>
        <v>1</v>
      </c>
    </row>
    <row r="12" spans="1:20">
      <c r="A12">
        <v>5</v>
      </c>
      <c r="B12" s="3">
        <f t="shared" si="0"/>
        <v>1E+20</v>
      </c>
      <c r="C12">
        <v>1900</v>
      </c>
      <c r="D12" s="2">
        <f t="shared" si="8"/>
        <v>0.05</v>
      </c>
      <c r="E12" s="2">
        <f t="shared" si="1"/>
        <v>2.2399999999999998E-3</v>
      </c>
      <c r="F12" s="10">
        <f t="shared" si="2"/>
        <v>1.8015999999999996E-3</v>
      </c>
      <c r="G12">
        <v>0</v>
      </c>
      <c r="H12" s="10">
        <f>IF(C12&lt;$E$5,E12,IF(C12&lt;$F$5,F12,G12))</f>
        <v>1.8015999999999996E-3</v>
      </c>
      <c r="I12" s="10">
        <f t="shared" si="3"/>
        <v>6.974598898088713E-2</v>
      </c>
      <c r="J12">
        <v>0</v>
      </c>
      <c r="K12" s="11">
        <f t="shared" si="9"/>
        <v>0.29330000000000012</v>
      </c>
      <c r="L12" s="2">
        <f t="shared" si="4"/>
        <v>0.32115523268133384</v>
      </c>
      <c r="M12" s="2">
        <f>IF(C12&lt;$J$5,J12,IF(C12&lt;$K$5,K12,L12))</f>
        <v>0.29330000000000012</v>
      </c>
      <c r="N12" s="3">
        <f t="shared" si="5"/>
        <v>4.1514447027565587E-4</v>
      </c>
      <c r="O12" s="3">
        <f t="shared" si="6"/>
        <v>2.0757223513782792E-3</v>
      </c>
      <c r="P12" s="12">
        <f t="shared" si="7"/>
        <v>2.0456498568094204E-2</v>
      </c>
      <c r="Q12" s="3">
        <f>IF(P12&gt;S11,O12*M12*I12,Q11+P12*N12)</f>
        <v>4.2462011308730896E-5</v>
      </c>
      <c r="R12" s="3">
        <f>R11+P12*N12</f>
        <v>2.4106294319588919E-5</v>
      </c>
      <c r="S12" s="13">
        <f>Q12/O12</f>
        <v>2.04564985680942E-2</v>
      </c>
      <c r="T12" s="3" t="b">
        <f>IF(P12&gt;S11,TRUE,FALSE)</f>
        <v>1</v>
      </c>
    </row>
    <row r="13" spans="1:20">
      <c r="A13">
        <v>6</v>
      </c>
      <c r="B13" s="3">
        <f t="shared" si="0"/>
        <v>1E+20</v>
      </c>
      <c r="C13">
        <v>2100</v>
      </c>
      <c r="D13" s="2">
        <f t="shared" si="8"/>
        <v>6.0000000000000005E-2</v>
      </c>
      <c r="E13" s="2">
        <f t="shared" si="1"/>
        <v>2.2399999999999998E-3</v>
      </c>
      <c r="F13" s="10">
        <f t="shared" si="2"/>
        <v>1.2864E-3</v>
      </c>
      <c r="G13">
        <v>0</v>
      </c>
      <c r="H13" s="10">
        <f>IF(C13&lt;$E$5,E13,IF(C13&lt;$F$5,F13,G13))</f>
        <v>1.2864E-3</v>
      </c>
      <c r="I13" s="10">
        <f t="shared" si="3"/>
        <v>8.4303590573120202E-2</v>
      </c>
      <c r="J13">
        <v>0</v>
      </c>
      <c r="K13" s="11">
        <f t="shared" si="9"/>
        <v>0.38670000000000004</v>
      </c>
      <c r="L13" s="2">
        <f t="shared" si="4"/>
        <v>0.40716922621237295</v>
      </c>
      <c r="M13" s="2">
        <f>IF(C13&lt;$J$5,J13,IF(C13&lt;$K$5,K13,L13))</f>
        <v>0.38670000000000004</v>
      </c>
      <c r="N13" s="3">
        <f t="shared" si="5"/>
        <v>4.1514447027565587E-4</v>
      </c>
      <c r="O13" s="3">
        <f t="shared" si="6"/>
        <v>2.490866821653935E-3</v>
      </c>
      <c r="P13" s="12">
        <f t="shared" si="7"/>
        <v>3.2600198474625586E-2</v>
      </c>
      <c r="Q13" s="3">
        <f>IF(P13&gt;S12,O13*M13*I13,Q12+P13*N13)</f>
        <v>8.1202752759778094E-5</v>
      </c>
      <c r="R13" s="3">
        <f>R12+P13*N13</f>
        <v>3.7640086446218604E-5</v>
      </c>
      <c r="S13" s="13">
        <f>Q13/O13</f>
        <v>3.2600198474625586E-2</v>
      </c>
      <c r="T13" s="3" t="b">
        <f>IF(P13&gt;S12,TRUE,FALSE)</f>
        <v>1</v>
      </c>
    </row>
    <row r="14" spans="1:20">
      <c r="A14">
        <v>7</v>
      </c>
      <c r="B14" s="3">
        <f t="shared" si="0"/>
        <v>1E+20</v>
      </c>
      <c r="C14">
        <v>2100</v>
      </c>
      <c r="D14" s="2">
        <f t="shared" si="8"/>
        <v>7.0000000000000007E-2</v>
      </c>
      <c r="E14" s="2">
        <f t="shared" si="1"/>
        <v>2.2399999999999998E-3</v>
      </c>
      <c r="F14" s="10">
        <f t="shared" si="2"/>
        <v>1.2864E-3</v>
      </c>
      <c r="G14">
        <v>0</v>
      </c>
      <c r="H14" s="10">
        <f>IF(C14&lt;$E$5,E14,IF(C14&lt;$F$5,F14,G14))</f>
        <v>1.2864E-3</v>
      </c>
      <c r="I14" s="10">
        <f t="shared" si="3"/>
        <v>9.7936534021926258E-2</v>
      </c>
      <c r="J14">
        <v>0</v>
      </c>
      <c r="K14" s="11">
        <f t="shared" si="9"/>
        <v>0.38670000000000004</v>
      </c>
      <c r="L14" s="2">
        <f t="shared" si="4"/>
        <v>0.40716922621237295</v>
      </c>
      <c r="M14" s="2">
        <f>IF(C14&lt;$J$5,J14,IF(C14&lt;$K$5,K14,L14))</f>
        <v>0.38670000000000004</v>
      </c>
      <c r="N14" s="3">
        <f t="shared" si="5"/>
        <v>4.1514447027565587E-4</v>
      </c>
      <c r="O14" s="3">
        <f t="shared" si="6"/>
        <v>2.9060112919295908E-3</v>
      </c>
      <c r="P14" s="12">
        <f t="shared" si="7"/>
        <v>3.787205770627889E-2</v>
      </c>
      <c r="Q14" s="3">
        <f>IF(P14&gt;S13,O14*M14*I14,Q13+P14*N14)</f>
        <v>1.1005662734305553E-4</v>
      </c>
      <c r="R14" s="3">
        <f>R13+P14*N14</f>
        <v>5.3362461780940826E-5</v>
      </c>
      <c r="S14" s="13">
        <f>Q14/O14</f>
        <v>3.787205770627889E-2</v>
      </c>
      <c r="T14" s="3" t="b">
        <f>IF(P14&gt;S13,TRUE,FALSE)</f>
        <v>1</v>
      </c>
    </row>
    <row r="15" spans="1:20">
      <c r="A15">
        <v>8</v>
      </c>
      <c r="B15" s="3">
        <f t="shared" si="0"/>
        <v>1E+20</v>
      </c>
      <c r="C15">
        <v>1800</v>
      </c>
      <c r="D15" s="2">
        <f t="shared" si="8"/>
        <v>0.08</v>
      </c>
      <c r="E15" s="2">
        <f t="shared" si="1"/>
        <v>2.2399999999999998E-3</v>
      </c>
      <c r="F15" s="10">
        <f t="shared" si="2"/>
        <v>2.0591999999999997E-3</v>
      </c>
      <c r="G15">
        <v>0</v>
      </c>
      <c r="H15" s="10">
        <f>IF(C15&lt;$E$5,E15,IF(C15&lt;$F$5,F15,G15))</f>
        <v>2.0591999999999997E-3</v>
      </c>
      <c r="I15" s="10">
        <f t="shared" si="3"/>
        <v>0.11033580816394661</v>
      </c>
      <c r="J15">
        <v>0</v>
      </c>
      <c r="K15" s="11">
        <f t="shared" si="9"/>
        <v>0.24660000000000004</v>
      </c>
      <c r="L15" s="2">
        <f t="shared" si="4"/>
        <v>0.27409443687723378</v>
      </c>
      <c r="M15" s="2">
        <f>IF(C15&lt;$J$5,J15,IF(C15&lt;$K$5,K15,L15))</f>
        <v>0.24660000000000004</v>
      </c>
      <c r="N15" s="3">
        <f t="shared" si="5"/>
        <v>4.1514447027565587E-4</v>
      </c>
      <c r="O15" s="3">
        <f t="shared" si="6"/>
        <v>3.3211557622052465E-3</v>
      </c>
      <c r="P15" s="12">
        <f t="shared" si="7"/>
        <v>2.7208810293229239E-2</v>
      </c>
      <c r="Q15" s="3">
        <f>IF(P15&gt;S14,O15*M15*I15,Q14+P15*N15)</f>
        <v>1.21352214479069E-4</v>
      </c>
      <c r="R15" s="3">
        <f>R14+P15*N15</f>
        <v>6.4658048916954299E-5</v>
      </c>
      <c r="S15" s="13">
        <f>Q15/O15</f>
        <v>3.6539151779647686E-2</v>
      </c>
      <c r="T15" s="3" t="b">
        <f>IF(P15&gt;S14,TRUE,FALSE)</f>
        <v>0</v>
      </c>
    </row>
    <row r="16" spans="1:20">
      <c r="A16">
        <v>9</v>
      </c>
      <c r="B16" s="3">
        <f t="shared" si="0"/>
        <v>1E+20</v>
      </c>
      <c r="C16">
        <v>1800</v>
      </c>
      <c r="D16" s="2">
        <f t="shared" si="8"/>
        <v>0.09</v>
      </c>
      <c r="E16" s="2">
        <f t="shared" si="1"/>
        <v>2.2399999999999998E-3</v>
      </c>
      <c r="F16" s="10">
        <f t="shared" si="2"/>
        <v>2.0591999999999997E-3</v>
      </c>
      <c r="G16">
        <v>0</v>
      </c>
      <c r="H16" s="10">
        <f>IF(C16&lt;$E$5,E16,IF(C16&lt;$F$5,F16,G16))</f>
        <v>2.0591999999999997E-3</v>
      </c>
      <c r="I16" s="10">
        <f t="shared" si="3"/>
        <v>0.12358118238499427</v>
      </c>
      <c r="J16">
        <v>0</v>
      </c>
      <c r="K16" s="11">
        <f t="shared" si="9"/>
        <v>0.24660000000000004</v>
      </c>
      <c r="L16" s="2">
        <f t="shared" si="4"/>
        <v>0.27409443687723378</v>
      </c>
      <c r="M16" s="2">
        <f>IF(C16&lt;$J$5,J16,IF(C16&lt;$K$5,K16,L16))</f>
        <v>0.24660000000000004</v>
      </c>
      <c r="N16" s="3">
        <f t="shared" si="5"/>
        <v>4.1514447027565587E-4</v>
      </c>
      <c r="O16" s="3">
        <f t="shared" si="6"/>
        <v>3.7363002324809023E-3</v>
      </c>
      <c r="P16" s="12">
        <f t="shared" si="7"/>
        <v>3.0475119576139593E-2</v>
      </c>
      <c r="Q16" s="3">
        <f>IF(P16&gt;S15,O16*M16*I16,Q15+P16*N16)</f>
        <v>1.3400379185209274E-4</v>
      </c>
      <c r="R16" s="3">
        <f>R15+P16*N16</f>
        <v>7.7309626289978037E-5</v>
      </c>
      <c r="S16" s="13">
        <f>Q16/O16</f>
        <v>3.5865370423702345E-2</v>
      </c>
      <c r="T16" s="3" t="b">
        <f>IF(P16&gt;S15,TRUE,FALSE)</f>
        <v>0</v>
      </c>
    </row>
    <row r="17" spans="1:20">
      <c r="A17">
        <v>10</v>
      </c>
      <c r="B17" s="3">
        <f t="shared" si="0"/>
        <v>1E+20</v>
      </c>
      <c r="C17">
        <v>1800</v>
      </c>
      <c r="D17" s="2">
        <f t="shared" si="8"/>
        <v>9.9999999999999992E-2</v>
      </c>
      <c r="E17" s="2">
        <f t="shared" si="1"/>
        <v>2.2399999999999998E-3</v>
      </c>
      <c r="F17" s="10">
        <f t="shared" si="2"/>
        <v>2.0591999999999997E-3</v>
      </c>
      <c r="G17">
        <v>0</v>
      </c>
      <c r="H17" s="10">
        <f>IF(C17&lt;$E$5,E17,IF(C17&lt;$F$5,F17,G17))</f>
        <v>2.0591999999999997E-3</v>
      </c>
      <c r="I17" s="10">
        <f t="shared" si="3"/>
        <v>0.13662935867465886</v>
      </c>
      <c r="J17">
        <v>0</v>
      </c>
      <c r="K17" s="11">
        <f t="shared" si="9"/>
        <v>0.24660000000000004</v>
      </c>
      <c r="L17" s="2">
        <f t="shared" si="4"/>
        <v>0.27409443687723378</v>
      </c>
      <c r="M17" s="2">
        <f>IF(C17&lt;$J$5,J17,IF(C17&lt;$K$5,K17,L17))</f>
        <v>0.24660000000000004</v>
      </c>
      <c r="N17" s="3">
        <f t="shared" si="5"/>
        <v>4.1514447027565587E-4</v>
      </c>
      <c r="O17" s="3">
        <f t="shared" si="6"/>
        <v>4.1514447027565585E-3</v>
      </c>
      <c r="P17" s="12">
        <f t="shared" si="7"/>
        <v>3.3692799849170882E-2</v>
      </c>
      <c r="Q17" s="3">
        <f>IF(P17&gt;S16,O17*M17*I17,Q16+P17*N17)</f>
        <v>1.4799117139758047E-4</v>
      </c>
      <c r="R17" s="3">
        <f>R16+P17*N17</f>
        <v>9.1297005835465781E-5</v>
      </c>
      <c r="S17" s="13">
        <f>Q17/O17</f>
        <v>3.5648113366249193E-2</v>
      </c>
      <c r="T17" s="3" t="b">
        <f>IF(P17&gt;S16,TRUE,FALSE)</f>
        <v>0</v>
      </c>
    </row>
    <row r="23" spans="1:20">
      <c r="C23" t="s">
        <v>26</v>
      </c>
      <c r="D23" t="s">
        <v>0</v>
      </c>
      <c r="E23" t="s">
        <v>50</v>
      </c>
      <c r="F23" t="s">
        <v>51</v>
      </c>
      <c r="G23" t="s">
        <v>52</v>
      </c>
      <c r="H23" t="s">
        <v>21</v>
      </c>
      <c r="I23" t="s">
        <v>53</v>
      </c>
      <c r="J23" t="s">
        <v>54</v>
      </c>
      <c r="K23" t="s">
        <v>21</v>
      </c>
    </row>
    <row r="24" spans="1:20">
      <c r="C24" t="s">
        <v>26</v>
      </c>
      <c r="D24" s="3">
        <v>0</v>
      </c>
      <c r="E24" s="3">
        <v>1500</v>
      </c>
      <c r="F24" s="3">
        <v>0</v>
      </c>
      <c r="G24">
        <v>0</v>
      </c>
      <c r="H24" s="5">
        <v>0</v>
      </c>
      <c r="I24" s="3">
        <v>0</v>
      </c>
      <c r="J24">
        <v>0</v>
      </c>
      <c r="K24" s="5">
        <v>0</v>
      </c>
    </row>
    <row r="25" spans="1:20">
      <c r="C25" t="s">
        <v>26</v>
      </c>
      <c r="D25" s="3">
        <v>0.01</v>
      </c>
      <c r="E25" s="3">
        <v>1500</v>
      </c>
      <c r="F25" s="3">
        <v>4.151445E-4</v>
      </c>
      <c r="G25">
        <v>4.1514447027565587E-4</v>
      </c>
      <c r="H25" s="3">
        <f>ABS(G25-F25)/G25*100</f>
        <v>7.1600000150140114E-6</v>
      </c>
      <c r="I25" s="3">
        <v>5.1165439999999998E-7</v>
      </c>
      <c r="J25">
        <v>5.1165438850648922E-7</v>
      </c>
      <c r="K25" s="3">
        <f>ABS(J25-I25)/J25*100</f>
        <v>2.2463426527109356E-6</v>
      </c>
    </row>
    <row r="26" spans="1:20">
      <c r="C26" t="s">
        <v>26</v>
      </c>
      <c r="D26" s="3">
        <v>0.02</v>
      </c>
      <c r="E26" s="3">
        <v>1900</v>
      </c>
      <c r="F26" s="3">
        <v>8.3028889999999997E-4</v>
      </c>
      <c r="G26">
        <v>8.3028894055131174E-4</v>
      </c>
      <c r="H26" s="3">
        <f t="shared" ref="H26:H34" si="10">ABS(G26-F26)/G26*100</f>
        <v>4.8839999890930652E-6</v>
      </c>
      <c r="I26" s="3">
        <v>6.5577020000000004E-6</v>
      </c>
      <c r="J26">
        <v>6.557701849205088E-6</v>
      </c>
      <c r="K26" s="3">
        <f t="shared" ref="K26:K34" si="11">ABS(J26-I26)/J26*100</f>
        <v>2.299508514496421E-6</v>
      </c>
    </row>
    <row r="27" spans="1:20">
      <c r="C27" t="s">
        <v>26</v>
      </c>
      <c r="D27" s="3">
        <v>0.03</v>
      </c>
      <c r="E27" s="3">
        <v>1900</v>
      </c>
      <c r="F27" s="3">
        <v>1.245433E-3</v>
      </c>
      <c r="G27">
        <v>1.2454334108269677E-3</v>
      </c>
      <c r="H27" s="3">
        <f t="shared" si="10"/>
        <v>3.2986666660990198E-5</v>
      </c>
      <c r="I27" s="3">
        <v>1.5128499999999999E-5</v>
      </c>
      <c r="J27">
        <v>1.5128499945707122E-5</v>
      </c>
      <c r="K27" s="3">
        <f t="shared" si="11"/>
        <v>3.5887812731331191E-7</v>
      </c>
    </row>
    <row r="28" spans="1:20">
      <c r="C28" t="s">
        <v>26</v>
      </c>
      <c r="D28" s="3">
        <v>0.04</v>
      </c>
      <c r="E28" s="3">
        <v>1900</v>
      </c>
      <c r="F28" s="3">
        <v>1.660578E-3</v>
      </c>
      <c r="G28">
        <v>1.6605778811026235E-3</v>
      </c>
      <c r="H28" s="3">
        <f t="shared" si="10"/>
        <v>7.1600000150140114E-6</v>
      </c>
      <c r="I28" s="3">
        <v>2.712221E-5</v>
      </c>
      <c r="J28">
        <v>2.7122213717992006E-5</v>
      </c>
      <c r="K28" s="3">
        <f t="shared" si="11"/>
        <v>1.3708291087548286E-5</v>
      </c>
    </row>
    <row r="29" spans="1:20">
      <c r="C29" t="s">
        <v>26</v>
      </c>
      <c r="D29" s="3">
        <v>0.05</v>
      </c>
      <c r="E29" s="3">
        <v>1900</v>
      </c>
      <c r="F29" s="3">
        <v>2.0757219999999999E-3</v>
      </c>
      <c r="G29" s="4">
        <v>2.0757223513782792E-3</v>
      </c>
      <c r="H29" s="3">
        <f t="shared" si="10"/>
        <v>1.6927999985365264E-5</v>
      </c>
      <c r="I29" s="3">
        <v>4.2462010000000002E-5</v>
      </c>
      <c r="J29">
        <v>4.2462011308730896E-5</v>
      </c>
      <c r="K29" s="3">
        <f t="shared" si="11"/>
        <v>3.0821217702958268E-6</v>
      </c>
    </row>
    <row r="30" spans="1:20">
      <c r="C30" t="s">
        <v>26</v>
      </c>
      <c r="D30" s="3">
        <v>0.06</v>
      </c>
      <c r="E30" s="3">
        <v>2100</v>
      </c>
      <c r="F30" s="3">
        <v>2.4908669999999999E-3</v>
      </c>
      <c r="G30" s="4">
        <v>2.490866821653935E-3</v>
      </c>
      <c r="H30" s="3">
        <f t="shared" si="10"/>
        <v>7.1600000193667223E-6</v>
      </c>
      <c r="I30" s="3">
        <v>8.1202749999999998E-5</v>
      </c>
      <c r="J30" s="4">
        <v>8.1202752759778094E-5</v>
      </c>
      <c r="K30" s="3">
        <f t="shared" si="11"/>
        <v>3.3986262816253398E-6</v>
      </c>
    </row>
    <row r="31" spans="1:20">
      <c r="C31" t="s">
        <v>26</v>
      </c>
      <c r="D31" s="3">
        <v>7.0000000000000007E-2</v>
      </c>
      <c r="E31" s="3">
        <v>2100</v>
      </c>
      <c r="F31" s="3">
        <v>2.906011E-3</v>
      </c>
      <c r="G31" s="4">
        <v>2.9060112919295908E-3</v>
      </c>
      <c r="H31" s="3">
        <f t="shared" si="10"/>
        <v>1.0045714259778501E-5</v>
      </c>
      <c r="I31" s="3">
        <v>1.1005660000000001E-4</v>
      </c>
      <c r="J31" s="4">
        <v>1.1005662734305553E-4</v>
      </c>
      <c r="K31" s="3">
        <f t="shared" si="11"/>
        <v>2.4844533388962011E-5</v>
      </c>
    </row>
    <row r="32" spans="1:20">
      <c r="C32" t="s">
        <v>26</v>
      </c>
      <c r="D32" s="3">
        <v>0.08</v>
      </c>
      <c r="E32" s="3">
        <v>1800</v>
      </c>
      <c r="F32" s="3">
        <v>3.321156E-3</v>
      </c>
      <c r="G32" s="4">
        <v>3.3211557622052465E-3</v>
      </c>
      <c r="H32" s="3">
        <f t="shared" si="10"/>
        <v>7.1600000280721432E-6</v>
      </c>
      <c r="I32" s="3">
        <v>1.213522E-4</v>
      </c>
      <c r="J32" s="4">
        <v>1.21352214479069E-4</v>
      </c>
      <c r="K32" s="3">
        <f t="shared" si="11"/>
        <v>1.1931441928066385E-5</v>
      </c>
    </row>
    <row r="33" spans="3:11">
      <c r="C33" t="s">
        <v>26</v>
      </c>
      <c r="D33" s="3">
        <v>0.09</v>
      </c>
      <c r="E33" s="3">
        <v>1800</v>
      </c>
      <c r="F33" s="3">
        <v>3.7363000000000001E-3</v>
      </c>
      <c r="G33" s="4">
        <v>3.7363002324809023E-3</v>
      </c>
      <c r="H33" s="3">
        <f t="shared" si="10"/>
        <v>6.2222221900080787E-6</v>
      </c>
      <c r="I33" s="3">
        <v>1.340038E-4</v>
      </c>
      <c r="J33" s="4">
        <v>1.3400379185209274E-4</v>
      </c>
      <c r="K33" s="3">
        <f t="shared" si="11"/>
        <v>6.0803557492449218E-6</v>
      </c>
    </row>
    <row r="34" spans="3:11">
      <c r="C34" t="s">
        <v>26</v>
      </c>
      <c r="D34" s="3">
        <v>0.1</v>
      </c>
      <c r="E34" s="3">
        <v>1800</v>
      </c>
      <c r="F34" s="3">
        <v>4.1514450000000001E-3</v>
      </c>
      <c r="G34" s="4">
        <v>4.1514447027565585E-3</v>
      </c>
      <c r="H34" s="3">
        <f t="shared" si="10"/>
        <v>7.16000002284889E-6</v>
      </c>
      <c r="I34" s="3">
        <v>1.479912E-4</v>
      </c>
      <c r="J34" s="4">
        <v>1.4799117139758047E-4</v>
      </c>
      <c r="K34" s="3">
        <f t="shared" si="11"/>
        <v>1.9327112058187321E-5</v>
      </c>
    </row>
    <row r="35" spans="3:11">
      <c r="F35" s="4"/>
      <c r="G35" s="4"/>
      <c r="H35" s="4"/>
      <c r="I35" s="4"/>
      <c r="J35" s="4"/>
      <c r="K35" s="7"/>
    </row>
    <row r="36" spans="3:11">
      <c r="F36" s="4"/>
      <c r="G36" s="4"/>
      <c r="H36" s="4"/>
      <c r="I36" s="4"/>
      <c r="J36" s="4"/>
      <c r="K36" s="7"/>
    </row>
    <row r="37" spans="3:11">
      <c r="F37" s="4"/>
      <c r="G37" s="4"/>
      <c r="H37" s="4"/>
      <c r="I37" s="4"/>
      <c r="J37" s="4"/>
      <c r="K37" s="7"/>
    </row>
    <row r="38" spans="3:11">
      <c r="F38" s="4"/>
      <c r="G38" s="4"/>
      <c r="H38" s="4"/>
      <c r="I38" s="4"/>
      <c r="J38" s="4"/>
      <c r="K38" s="7"/>
    </row>
    <row r="41" spans="3:11">
      <c r="G41" t="s">
        <v>19</v>
      </c>
      <c r="H41" t="s">
        <v>0</v>
      </c>
      <c r="I41" t="s">
        <v>50</v>
      </c>
      <c r="J41" t="s">
        <v>6</v>
      </c>
      <c r="K41" t="s">
        <v>5</v>
      </c>
    </row>
    <row r="42" spans="3:11">
      <c r="G42" s="3">
        <v>0</v>
      </c>
      <c r="H42" s="3">
        <v>0</v>
      </c>
      <c r="I42" s="3">
        <v>1500</v>
      </c>
      <c r="J42" s="3">
        <v>0</v>
      </c>
      <c r="K42" s="3">
        <v>0</v>
      </c>
    </row>
    <row r="43" spans="3:11">
      <c r="G43" s="3">
        <v>10</v>
      </c>
      <c r="H43" s="3">
        <v>0.01</v>
      </c>
      <c r="I43" s="3">
        <v>1500</v>
      </c>
      <c r="J43" s="3">
        <v>4.151445E-4</v>
      </c>
      <c r="K43" s="3">
        <v>5.1165439999999998E-7</v>
      </c>
    </row>
    <row r="44" spans="3:11">
      <c r="G44" s="3">
        <v>20</v>
      </c>
      <c r="H44" s="3">
        <v>0.02</v>
      </c>
      <c r="I44" s="3">
        <v>1900</v>
      </c>
      <c r="J44" s="3">
        <v>8.3028889999999997E-4</v>
      </c>
      <c r="K44" s="3">
        <v>6.5577020000000004E-6</v>
      </c>
    </row>
    <row r="45" spans="3:11">
      <c r="G45" s="3">
        <v>30</v>
      </c>
      <c r="H45" s="3">
        <v>0.03</v>
      </c>
      <c r="I45" s="3">
        <v>1900</v>
      </c>
      <c r="J45" s="3">
        <v>1.245433E-3</v>
      </c>
      <c r="K45" s="3">
        <v>1.5128499999999999E-5</v>
      </c>
    </row>
    <row r="46" spans="3:11">
      <c r="G46" s="3">
        <v>40</v>
      </c>
      <c r="H46" s="3">
        <v>0.04</v>
      </c>
      <c r="I46" s="3">
        <v>1900</v>
      </c>
      <c r="J46" s="3">
        <v>1.660578E-3</v>
      </c>
      <c r="K46" s="3">
        <v>2.712221E-5</v>
      </c>
    </row>
    <row r="47" spans="3:11">
      <c r="G47" s="3">
        <v>50</v>
      </c>
      <c r="H47" s="3">
        <v>0.05</v>
      </c>
      <c r="I47" s="3">
        <v>1900</v>
      </c>
      <c r="J47" s="3">
        <v>2.0757219999999999E-3</v>
      </c>
      <c r="K47" s="3">
        <v>4.2462010000000002E-5</v>
      </c>
    </row>
    <row r="48" spans="3:11">
      <c r="G48" s="3">
        <v>60</v>
      </c>
      <c r="H48" s="3">
        <v>0.06</v>
      </c>
      <c r="I48" s="3">
        <v>2100</v>
      </c>
      <c r="J48" s="3">
        <v>2.4908669999999999E-3</v>
      </c>
      <c r="K48" s="3">
        <v>8.1202749999999998E-5</v>
      </c>
    </row>
    <row r="49" spans="7:11">
      <c r="G49" s="3">
        <v>70</v>
      </c>
      <c r="H49" s="3">
        <v>7.0000000000000007E-2</v>
      </c>
      <c r="I49" s="3">
        <v>2100</v>
      </c>
      <c r="J49" s="3">
        <v>2.906011E-3</v>
      </c>
      <c r="K49" s="3">
        <v>1.1005660000000001E-4</v>
      </c>
    </row>
    <row r="50" spans="7:11">
      <c r="G50" s="3">
        <v>80</v>
      </c>
      <c r="H50" s="3">
        <v>0.08</v>
      </c>
      <c r="I50" s="3">
        <v>1800</v>
      </c>
      <c r="J50" s="3">
        <v>3.321156E-3</v>
      </c>
      <c r="K50" s="3">
        <v>1.213522E-4</v>
      </c>
    </row>
    <row r="51" spans="7:11">
      <c r="G51" s="3">
        <v>90</v>
      </c>
      <c r="H51" s="3">
        <v>0.09</v>
      </c>
      <c r="I51" s="3">
        <v>1800</v>
      </c>
      <c r="J51" s="3">
        <v>3.7363000000000001E-3</v>
      </c>
      <c r="K51" s="3">
        <v>1.340038E-4</v>
      </c>
    </row>
    <row r="52" spans="7:11">
      <c r="G52" s="3">
        <v>100</v>
      </c>
      <c r="H52" s="3">
        <v>0.1</v>
      </c>
      <c r="I52" s="3">
        <v>1800</v>
      </c>
      <c r="J52" s="3">
        <v>4.1514450000000001E-3</v>
      </c>
      <c r="K52" s="3">
        <v>1.479912E-4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fissiongas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2014-11-05T00:00:32Z</dcterms:created>
  <dcterms:modified xsi:type="dcterms:W3CDTF">2014-12-05T21:11:10Z</dcterms:modified>
</cp:coreProperties>
</file>