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angelo\07_cornell\02_project_and_courses\courses\CHEME5660_FinancialMayhemScientistEngineers\project\"/>
    </mc:Choice>
  </mc:AlternateContent>
  <xr:revisionPtr revIDLastSave="0" documentId="13_ncr:1_{4239FED7-F994-41A8-A8AE-8EC0ED3FDDB3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input" sheetId="1" r:id="rId1"/>
    <sheet name="costcalculation" sheetId="2" r:id="rId2"/>
    <sheet name="simulation8pa" sheetId="10" r:id="rId3"/>
    <sheet name="simulation10pa" sheetId="11" r:id="rId4"/>
    <sheet name="simulation12pa" sheetId="12" r:id="rId5"/>
    <sheet name="simulation14pa" sheetId="13" r:id="rId6"/>
    <sheet name="summary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" i="10" l="1"/>
  <c r="V7" i="10"/>
  <c r="A5" i="14"/>
  <c r="A4" i="14"/>
  <c r="A3" i="14"/>
  <c r="A2" i="14"/>
  <c r="Y22" i="13"/>
  <c r="Q22" i="13"/>
  <c r="S18" i="13"/>
  <c r="P8" i="13"/>
  <c r="B7" i="13"/>
  <c r="S18" i="12"/>
  <c r="P8" i="12"/>
  <c r="B7" i="12"/>
  <c r="Q22" i="12" s="1"/>
  <c r="S18" i="11"/>
  <c r="P8" i="11"/>
  <c r="B7" i="11"/>
  <c r="Y22" i="11" s="1"/>
  <c r="Y22" i="12" l="1"/>
  <c r="Q22" i="11"/>
  <c r="Y22" i="10"/>
  <c r="P8" i="10"/>
  <c r="S18" i="10"/>
  <c r="B7" i="10"/>
  <c r="Q22" i="10" s="1"/>
  <c r="C14" i="2" l="1"/>
  <c r="C11" i="2"/>
  <c r="C10" i="2"/>
  <c r="C12" i="2" s="1"/>
  <c r="C15" i="2" l="1"/>
  <c r="C17" i="2" s="1"/>
  <c r="C8" i="13" l="1"/>
  <c r="C8" i="11"/>
  <c r="C8" i="12"/>
  <c r="C8" i="10"/>
  <c r="C9" i="10" l="1"/>
  <c r="K8" i="10"/>
  <c r="D8" i="10"/>
  <c r="AA8" i="10"/>
  <c r="F7" i="10"/>
  <c r="F7" i="12"/>
  <c r="S7" i="12" s="1"/>
  <c r="C4" i="14" s="1"/>
  <c r="AA8" i="12"/>
  <c r="D8" i="12"/>
  <c r="C9" i="12"/>
  <c r="K8" i="12"/>
  <c r="F7" i="11"/>
  <c r="S7" i="11" s="1"/>
  <c r="C3" i="14" s="1"/>
  <c r="C9" i="11"/>
  <c r="AA8" i="11"/>
  <c r="D8" i="11"/>
  <c r="K8" i="11"/>
  <c r="F7" i="13"/>
  <c r="S7" i="13" s="1"/>
  <c r="C5" i="14" s="1"/>
  <c r="AA8" i="13"/>
  <c r="C9" i="13"/>
  <c r="K8" i="13"/>
  <c r="D8" i="13"/>
  <c r="G7" i="12" l="1"/>
  <c r="H7" i="12" s="1"/>
  <c r="AB8" i="12"/>
  <c r="G7" i="11"/>
  <c r="H7" i="11" s="1"/>
  <c r="AB8" i="11"/>
  <c r="S7" i="10"/>
  <c r="C2" i="14" s="1"/>
  <c r="AB8" i="13"/>
  <c r="G7" i="13"/>
  <c r="H7" i="13" s="1"/>
  <c r="K9" i="11"/>
  <c r="C10" i="11"/>
  <c r="D9" i="11"/>
  <c r="AB9" i="11" s="1"/>
  <c r="AA9" i="11"/>
  <c r="G7" i="10"/>
  <c r="H7" i="10" s="1"/>
  <c r="AB8" i="10"/>
  <c r="C10" i="13"/>
  <c r="AA9" i="13"/>
  <c r="K9" i="13"/>
  <c r="D9" i="13"/>
  <c r="C10" i="12"/>
  <c r="AA9" i="12"/>
  <c r="D9" i="12"/>
  <c r="AB9" i="12" s="1"/>
  <c r="K9" i="12"/>
  <c r="C10" i="10"/>
  <c r="AA9" i="10"/>
  <c r="K9" i="10"/>
  <c r="D9" i="10"/>
  <c r="AB9" i="10" s="1"/>
  <c r="J14" i="10" l="1"/>
  <c r="J17" i="10"/>
  <c r="J10" i="10"/>
  <c r="J15" i="10"/>
  <c r="J8" i="10"/>
  <c r="L8" i="10" s="1"/>
  <c r="J16" i="10"/>
  <c r="J9" i="10"/>
  <c r="L9" i="10" s="1"/>
  <c r="J12" i="10"/>
  <c r="J13" i="10"/>
  <c r="J11" i="10"/>
  <c r="C11" i="10"/>
  <c r="AA10" i="10"/>
  <c r="K10" i="10"/>
  <c r="D10" i="10"/>
  <c r="AB10" i="10" s="1"/>
  <c r="D10" i="13"/>
  <c r="AA10" i="13"/>
  <c r="K10" i="13"/>
  <c r="C11" i="13"/>
  <c r="D10" i="12"/>
  <c r="AB10" i="12" s="1"/>
  <c r="AA10" i="12"/>
  <c r="K10" i="12"/>
  <c r="C11" i="12"/>
  <c r="AB9" i="13"/>
  <c r="AA10" i="11"/>
  <c r="K10" i="11"/>
  <c r="C11" i="11"/>
  <c r="D10" i="11"/>
  <c r="AB10" i="11" s="1"/>
  <c r="J10" i="11"/>
  <c r="L10" i="11" s="1"/>
  <c r="J15" i="11"/>
  <c r="J8" i="11"/>
  <c r="L8" i="11" s="1"/>
  <c r="J14" i="11"/>
  <c r="J17" i="11"/>
  <c r="J11" i="11"/>
  <c r="J16" i="11"/>
  <c r="J12" i="11"/>
  <c r="J13" i="11"/>
  <c r="J9" i="11"/>
  <c r="L9" i="11" s="1"/>
  <c r="J10" i="13"/>
  <c r="L10" i="13" s="1"/>
  <c r="O10" i="13" s="1"/>
  <c r="J13" i="13"/>
  <c r="J12" i="13"/>
  <c r="J11" i="13"/>
  <c r="J17" i="13"/>
  <c r="J9" i="13"/>
  <c r="L9" i="13" s="1"/>
  <c r="O9" i="13" s="1"/>
  <c r="J16" i="13"/>
  <c r="J8" i="13"/>
  <c r="L8" i="13" s="1"/>
  <c r="J15" i="13"/>
  <c r="J14" i="13"/>
  <c r="J10" i="12"/>
  <c r="J15" i="12"/>
  <c r="J17" i="12"/>
  <c r="J9" i="12"/>
  <c r="L9" i="12" s="1"/>
  <c r="J8" i="12"/>
  <c r="L8" i="12" s="1"/>
  <c r="J12" i="12"/>
  <c r="J13" i="12"/>
  <c r="J14" i="12"/>
  <c r="J11" i="12"/>
  <c r="J16" i="12"/>
  <c r="M8" i="12" l="1"/>
  <c r="O8" i="12"/>
  <c r="Q8" i="12" s="1"/>
  <c r="P9" i="12" s="1"/>
  <c r="O10" i="11"/>
  <c r="M10" i="11"/>
  <c r="O8" i="10"/>
  <c r="Q8" i="10" s="1"/>
  <c r="P9" i="10" s="1"/>
  <c r="M8" i="10"/>
  <c r="O8" i="13"/>
  <c r="Q8" i="13" s="1"/>
  <c r="P9" i="13" s="1"/>
  <c r="Q9" i="13" s="1"/>
  <c r="P10" i="13" s="1"/>
  <c r="Q10" i="13" s="1"/>
  <c r="P11" i="13" s="1"/>
  <c r="M8" i="13"/>
  <c r="M9" i="11"/>
  <c r="O9" i="11"/>
  <c r="C12" i="12"/>
  <c r="AA11" i="12"/>
  <c r="K11" i="12"/>
  <c r="L11" i="12" s="1"/>
  <c r="D11" i="12"/>
  <c r="AB11" i="12" s="1"/>
  <c r="M9" i="12"/>
  <c r="O9" i="12"/>
  <c r="Q9" i="12" s="1"/>
  <c r="P10" i="12" s="1"/>
  <c r="D11" i="11"/>
  <c r="AB11" i="11" s="1"/>
  <c r="K11" i="11"/>
  <c r="AA11" i="11"/>
  <c r="C12" i="11"/>
  <c r="C12" i="10"/>
  <c r="AA11" i="10"/>
  <c r="K11" i="10"/>
  <c r="L11" i="10" s="1"/>
  <c r="D11" i="10"/>
  <c r="AB11" i="10" s="1"/>
  <c r="L10" i="10"/>
  <c r="AB10" i="13"/>
  <c r="M10" i="13"/>
  <c r="L11" i="11"/>
  <c r="D11" i="13"/>
  <c r="C12" i="13"/>
  <c r="K11" i="13"/>
  <c r="L11" i="13" s="1"/>
  <c r="O11" i="13" s="1"/>
  <c r="AA11" i="13"/>
  <c r="M9" i="10"/>
  <c r="O9" i="10"/>
  <c r="L10" i="12"/>
  <c r="O8" i="11"/>
  <c r="Q8" i="11" s="1"/>
  <c r="P9" i="11" s="1"/>
  <c r="M8" i="11"/>
  <c r="M9" i="13"/>
  <c r="O11" i="10" l="1"/>
  <c r="M11" i="10"/>
  <c r="O10" i="12"/>
  <c r="Q10" i="12" s="1"/>
  <c r="P11" i="12" s="1"/>
  <c r="M10" i="12"/>
  <c r="C13" i="13"/>
  <c r="AA12" i="13"/>
  <c r="D12" i="13"/>
  <c r="K12" i="13"/>
  <c r="L12" i="13" s="1"/>
  <c r="O12" i="13" s="1"/>
  <c r="AB11" i="13"/>
  <c r="M11" i="13"/>
  <c r="C13" i="10"/>
  <c r="AA12" i="10"/>
  <c r="D12" i="10"/>
  <c r="AB12" i="10" s="1"/>
  <c r="K12" i="10"/>
  <c r="L12" i="10" s="1"/>
  <c r="Q9" i="10"/>
  <c r="P10" i="10" s="1"/>
  <c r="Q10" i="10" s="1"/>
  <c r="P11" i="10" s="1"/>
  <c r="Q11" i="10" s="1"/>
  <c r="P12" i="10" s="1"/>
  <c r="M11" i="11"/>
  <c r="O11" i="11"/>
  <c r="D12" i="11"/>
  <c r="AB12" i="11" s="1"/>
  <c r="C13" i="11"/>
  <c r="K12" i="11"/>
  <c r="L12" i="11" s="1"/>
  <c r="AA12" i="11"/>
  <c r="M11" i="12"/>
  <c r="O11" i="12"/>
  <c r="Q11" i="12" s="1"/>
  <c r="P12" i="12" s="1"/>
  <c r="M10" i="10"/>
  <c r="O10" i="10"/>
  <c r="K12" i="12"/>
  <c r="L12" i="12" s="1"/>
  <c r="C13" i="12"/>
  <c r="D12" i="12"/>
  <c r="AB12" i="12" s="1"/>
  <c r="AA12" i="12"/>
  <c r="Q9" i="11"/>
  <c r="P10" i="11" s="1"/>
  <c r="Q10" i="11" s="1"/>
  <c r="P11" i="11" s="1"/>
  <c r="Q11" i="13"/>
  <c r="P12" i="13" s="1"/>
  <c r="AB12" i="13" l="1"/>
  <c r="M12" i="13"/>
  <c r="M12" i="10"/>
  <c r="O12" i="10"/>
  <c r="Q12" i="10"/>
  <c r="P13" i="10" s="1"/>
  <c r="AA13" i="13"/>
  <c r="K13" i="13"/>
  <c r="L13" i="13" s="1"/>
  <c r="O13" i="13" s="1"/>
  <c r="Q13" i="13" s="1"/>
  <c r="P14" i="13" s="1"/>
  <c r="D13" i="13"/>
  <c r="C14" i="13"/>
  <c r="Q12" i="13"/>
  <c r="P13" i="13" s="1"/>
  <c r="O12" i="11"/>
  <c r="M12" i="11"/>
  <c r="C14" i="12"/>
  <c r="D13" i="12"/>
  <c r="AB13" i="12" s="1"/>
  <c r="K13" i="12"/>
  <c r="L13" i="12" s="1"/>
  <c r="AA13" i="12"/>
  <c r="D13" i="11"/>
  <c r="AB13" i="11" s="1"/>
  <c r="K13" i="11"/>
  <c r="L13" i="11" s="1"/>
  <c r="AA13" i="11"/>
  <c r="C14" i="11"/>
  <c r="C14" i="10"/>
  <c r="AA13" i="10"/>
  <c r="K13" i="10"/>
  <c r="L13" i="10" s="1"/>
  <c r="D13" i="10"/>
  <c r="AB13" i="10" s="1"/>
  <c r="O12" i="12"/>
  <c r="Q12" i="12" s="1"/>
  <c r="P13" i="12" s="1"/>
  <c r="M12" i="12"/>
  <c r="Q11" i="11"/>
  <c r="P12" i="11" s="1"/>
  <c r="AB13" i="13" l="1"/>
  <c r="M13" i="13"/>
  <c r="O13" i="10"/>
  <c r="M13" i="10"/>
  <c r="M13" i="12"/>
  <c r="O13" i="12"/>
  <c r="Q13" i="12" s="1"/>
  <c r="P14" i="12" s="1"/>
  <c r="C15" i="10"/>
  <c r="AA14" i="10"/>
  <c r="D14" i="10"/>
  <c r="AB14" i="10" s="1"/>
  <c r="K14" i="10"/>
  <c r="L14" i="10" s="1"/>
  <c r="C15" i="12"/>
  <c r="AA14" i="12"/>
  <c r="K14" i="12"/>
  <c r="L14" i="12" s="1"/>
  <c r="D14" i="12"/>
  <c r="AB14" i="12" s="1"/>
  <c r="Q13" i="10"/>
  <c r="P14" i="10" s="1"/>
  <c r="K14" i="11"/>
  <c r="L14" i="11" s="1"/>
  <c r="D14" i="11"/>
  <c r="AB14" i="11" s="1"/>
  <c r="AA14" i="11"/>
  <c r="C15" i="11"/>
  <c r="Q12" i="11"/>
  <c r="P13" i="11" s="1"/>
  <c r="O13" i="11"/>
  <c r="M13" i="11"/>
  <c r="AA14" i="13"/>
  <c r="K14" i="13"/>
  <c r="L14" i="13" s="1"/>
  <c r="O14" i="13" s="1"/>
  <c r="Q14" i="13" s="1"/>
  <c r="P15" i="13" s="1"/>
  <c r="D14" i="13"/>
  <c r="C15" i="13"/>
  <c r="M14" i="11" l="1"/>
  <c r="O14" i="11"/>
  <c r="Q14" i="11" s="1"/>
  <c r="P15" i="11" s="1"/>
  <c r="Q13" i="11"/>
  <c r="P14" i="11" s="1"/>
  <c r="O14" i="12"/>
  <c r="Q14" i="12" s="1"/>
  <c r="P15" i="12" s="1"/>
  <c r="M14" i="12"/>
  <c r="C16" i="10"/>
  <c r="AA15" i="10"/>
  <c r="D15" i="10"/>
  <c r="AB15" i="10" s="1"/>
  <c r="K15" i="10"/>
  <c r="L15" i="10" s="1"/>
  <c r="AA15" i="11"/>
  <c r="D15" i="11"/>
  <c r="AB15" i="11" s="1"/>
  <c r="K15" i="11"/>
  <c r="L15" i="11" s="1"/>
  <c r="C16" i="11"/>
  <c r="K15" i="12"/>
  <c r="L15" i="12" s="1"/>
  <c r="C16" i="12"/>
  <c r="AA15" i="12"/>
  <c r="D15" i="12"/>
  <c r="AB15" i="12" s="1"/>
  <c r="M14" i="10"/>
  <c r="O14" i="10"/>
  <c r="Q14" i="10" s="1"/>
  <c r="P15" i="10" s="1"/>
  <c r="D15" i="13"/>
  <c r="C16" i="13"/>
  <c r="AA15" i="13"/>
  <c r="K15" i="13"/>
  <c r="L15" i="13" s="1"/>
  <c r="O15" i="13" s="1"/>
  <c r="Q15" i="13" s="1"/>
  <c r="P16" i="13" s="1"/>
  <c r="AB14" i="13"/>
  <c r="M14" i="13"/>
  <c r="M15" i="12" l="1"/>
  <c r="O15" i="12"/>
  <c r="Q15" i="12" s="1"/>
  <c r="P16" i="12" s="1"/>
  <c r="AA16" i="13"/>
  <c r="D16" i="13"/>
  <c r="K16" i="13"/>
  <c r="L16" i="13" s="1"/>
  <c r="O16" i="13" s="1"/>
  <c r="Q16" i="13" s="1"/>
  <c r="P17" i="13" s="1"/>
  <c r="C17" i="13"/>
  <c r="AA16" i="11"/>
  <c r="C17" i="11"/>
  <c r="K16" i="11"/>
  <c r="L16" i="11" s="1"/>
  <c r="D16" i="11"/>
  <c r="AB16" i="11" s="1"/>
  <c r="C17" i="10"/>
  <c r="AA16" i="10"/>
  <c r="K16" i="10"/>
  <c r="L16" i="10" s="1"/>
  <c r="D16" i="10"/>
  <c r="AB16" i="10" s="1"/>
  <c r="O15" i="11"/>
  <c r="Q15" i="11" s="1"/>
  <c r="P16" i="11" s="1"/>
  <c r="M15" i="11"/>
  <c r="AB15" i="13"/>
  <c r="M15" i="13"/>
  <c r="D16" i="12"/>
  <c r="AB16" i="12" s="1"/>
  <c r="K16" i="12"/>
  <c r="L16" i="12" s="1"/>
  <c r="AA16" i="12"/>
  <c r="C17" i="12"/>
  <c r="M15" i="10"/>
  <c r="O15" i="10"/>
  <c r="Q15" i="10" s="1"/>
  <c r="P16" i="10" s="1"/>
  <c r="AA17" i="12" l="1"/>
  <c r="K17" i="12"/>
  <c r="L17" i="12" s="1"/>
  <c r="D17" i="12"/>
  <c r="AB17" i="12" s="1"/>
  <c r="D17" i="13"/>
  <c r="AA17" i="13"/>
  <c r="K17" i="13"/>
  <c r="L17" i="13" s="1"/>
  <c r="O17" i="13" s="1"/>
  <c r="Q17" i="13" s="1"/>
  <c r="Q23" i="13" s="1"/>
  <c r="T7" i="13" s="1"/>
  <c r="U7" i="13" s="1"/>
  <c r="AB16" i="13"/>
  <c r="M16" i="13"/>
  <c r="M16" i="12"/>
  <c r="O16" i="12"/>
  <c r="Q16" i="12" s="1"/>
  <c r="P17" i="12" s="1"/>
  <c r="AA17" i="10"/>
  <c r="K17" i="10"/>
  <c r="L17" i="10" s="1"/>
  <c r="D17" i="10"/>
  <c r="AB17" i="10" s="1"/>
  <c r="O16" i="11"/>
  <c r="Q16" i="11" s="1"/>
  <c r="P17" i="11" s="1"/>
  <c r="M16" i="11"/>
  <c r="M16" i="10"/>
  <c r="O16" i="10"/>
  <c r="Q16" i="10" s="1"/>
  <c r="P17" i="10" s="1"/>
  <c r="K17" i="11"/>
  <c r="L17" i="11" s="1"/>
  <c r="D17" i="11"/>
  <c r="AB17" i="11" s="1"/>
  <c r="AA17" i="11"/>
  <c r="V7" i="13" l="1"/>
  <c r="X7" i="13" s="1"/>
  <c r="U8" i="13"/>
  <c r="U9" i="13" s="1"/>
  <c r="U10" i="13" s="1"/>
  <c r="U11" i="13" s="1"/>
  <c r="U12" i="13" s="1"/>
  <c r="U13" i="13" s="1"/>
  <c r="U14" i="13" s="1"/>
  <c r="U15" i="13" s="1"/>
  <c r="U16" i="13" s="1"/>
  <c r="U17" i="13" s="1"/>
  <c r="AB17" i="13"/>
  <c r="M17" i="13"/>
  <c r="M17" i="11"/>
  <c r="O17" i="11"/>
  <c r="Q17" i="11" s="1"/>
  <c r="Q23" i="11" s="1"/>
  <c r="T7" i="11" s="1"/>
  <c r="U7" i="11" s="1"/>
  <c r="O17" i="12"/>
  <c r="Q17" i="12" s="1"/>
  <c r="Q23" i="12" s="1"/>
  <c r="T7" i="12" s="1"/>
  <c r="U7" i="12" s="1"/>
  <c r="M17" i="12"/>
  <c r="M17" i="10"/>
  <c r="O17" i="10"/>
  <c r="Q17" i="10" s="1"/>
  <c r="Q23" i="10" s="1"/>
  <c r="T7" i="10" s="1"/>
  <c r="U7" i="10" s="1"/>
  <c r="X7" i="10" l="1"/>
  <c r="U8" i="10"/>
  <c r="U9" i="10" s="1"/>
  <c r="U10" i="10" s="1"/>
  <c r="U11" i="10" s="1"/>
  <c r="U12" i="10" s="1"/>
  <c r="U13" i="10" s="1"/>
  <c r="U14" i="10" s="1"/>
  <c r="U15" i="10" s="1"/>
  <c r="U16" i="10" s="1"/>
  <c r="V7" i="11"/>
  <c r="X7" i="11" s="1"/>
  <c r="U8" i="11"/>
  <c r="U9" i="11" s="1"/>
  <c r="U10" i="11" s="1"/>
  <c r="U11" i="11" s="1"/>
  <c r="U12" i="11" s="1"/>
  <c r="U13" i="11" s="1"/>
  <c r="U14" i="11" s="1"/>
  <c r="U15" i="11" s="1"/>
  <c r="U16" i="11" s="1"/>
  <c r="U17" i="11" s="1"/>
  <c r="U8" i="12"/>
  <c r="U9" i="12" s="1"/>
  <c r="U10" i="12" s="1"/>
  <c r="U11" i="12" s="1"/>
  <c r="U12" i="12" s="1"/>
  <c r="U13" i="12" s="1"/>
  <c r="U14" i="12" s="1"/>
  <c r="U15" i="12" s="1"/>
  <c r="U16" i="12" s="1"/>
  <c r="U17" i="12" s="1"/>
  <c r="V7" i="12"/>
  <c r="X7" i="12" s="1"/>
  <c r="B5" i="14"/>
  <c r="Y7" i="13"/>
  <c r="Z8" i="13" s="1"/>
  <c r="Y24" i="13"/>
  <c r="B4" i="14" l="1"/>
  <c r="Y7" i="12"/>
  <c r="Z8" i="12" s="1"/>
  <c r="Y24" i="12"/>
  <c r="AD8" i="13"/>
  <c r="Y8" i="13" s="1"/>
  <c r="Z9" i="13" s="1"/>
  <c r="AD9" i="13" s="1"/>
  <c r="Y9" i="13" s="1"/>
  <c r="AC8" i="13"/>
  <c r="B3" i="14"/>
  <c r="Y7" i="11"/>
  <c r="Z8" i="11" s="1"/>
  <c r="Y24" i="11"/>
  <c r="B2" i="14"/>
  <c r="Y24" i="10"/>
  <c r="Y7" i="10"/>
  <c r="Z8" i="10" s="1"/>
  <c r="AC8" i="11" l="1"/>
  <c r="AD8" i="11"/>
  <c r="Y8" i="11" s="1"/>
  <c r="Z9" i="11" s="1"/>
  <c r="AC9" i="13"/>
  <c r="AD8" i="10"/>
  <c r="Y8" i="10" s="1"/>
  <c r="Z9" i="10" s="1"/>
  <c r="AC9" i="10" s="1"/>
  <c r="AC8" i="10"/>
  <c r="AC8" i="12"/>
  <c r="AD8" i="12"/>
  <c r="Y8" i="12" s="1"/>
  <c r="Z9" i="12" s="1"/>
  <c r="Z10" i="13"/>
  <c r="AC9" i="11" l="1"/>
  <c r="AD9" i="11"/>
  <c r="Y9" i="11" s="1"/>
  <c r="Z10" i="11" s="1"/>
  <c r="AD10" i="11" s="1"/>
  <c r="Y10" i="11" s="1"/>
  <c r="AC9" i="12"/>
  <c r="AD9" i="12"/>
  <c r="Y9" i="12" s="1"/>
  <c r="Z10" i="12" s="1"/>
  <c r="AC10" i="12" s="1"/>
  <c r="AD9" i="10"/>
  <c r="Y9" i="10" s="1"/>
  <c r="Z10" i="10" s="1"/>
  <c r="AD10" i="13"/>
  <c r="Y10" i="13" s="1"/>
  <c r="AC10" i="13"/>
  <c r="AC10" i="10"/>
  <c r="AD10" i="10"/>
  <c r="Y10" i="10" s="1"/>
  <c r="Z11" i="10" s="1"/>
  <c r="AD10" i="12" l="1"/>
  <c r="Y10" i="12" s="1"/>
  <c r="Z11" i="12" s="1"/>
  <c r="AC10" i="11"/>
  <c r="Z11" i="13"/>
  <c r="Z11" i="11"/>
  <c r="AD11" i="10"/>
  <c r="Y11" i="10" s="1"/>
  <c r="Z12" i="10" s="1"/>
  <c r="AC12" i="10" s="1"/>
  <c r="AC11" i="10"/>
  <c r="AD11" i="13" l="1"/>
  <c r="Y11" i="13" s="1"/>
  <c r="AC11" i="13"/>
  <c r="AD11" i="12"/>
  <c r="Y11" i="12" s="1"/>
  <c r="AC11" i="12"/>
  <c r="AD11" i="11"/>
  <c r="Y11" i="11" s="1"/>
  <c r="AC11" i="11"/>
  <c r="AD12" i="10"/>
  <c r="Y12" i="10" s="1"/>
  <c r="Z13" i="10" s="1"/>
  <c r="Z12" i="13" l="1"/>
  <c r="Z12" i="12"/>
  <c r="Z12" i="11"/>
  <c r="AC13" i="10"/>
  <c r="AD13" i="10"/>
  <c r="Y13" i="10" s="1"/>
  <c r="AD12" i="13" l="1"/>
  <c r="Y12" i="13" s="1"/>
  <c r="AC12" i="13"/>
  <c r="AD12" i="12"/>
  <c r="Y12" i="12" s="1"/>
  <c r="AC12" i="12"/>
  <c r="AD12" i="11"/>
  <c r="Y12" i="11" s="1"/>
  <c r="AC12" i="11"/>
  <c r="Z14" i="10"/>
  <c r="Z13" i="13" l="1"/>
  <c r="Z13" i="12"/>
  <c r="Z13" i="11"/>
  <c r="AD14" i="10"/>
  <c r="Y14" i="10" s="1"/>
  <c r="AC14" i="10"/>
  <c r="AD13" i="13" l="1"/>
  <c r="Y13" i="13" s="1"/>
  <c r="AC13" i="13"/>
  <c r="AD13" i="12"/>
  <c r="Y13" i="12" s="1"/>
  <c r="AC13" i="12"/>
  <c r="AD13" i="11"/>
  <c r="Y13" i="11" s="1"/>
  <c r="AC13" i="11"/>
  <c r="Z15" i="10"/>
  <c r="Z14" i="13" l="1"/>
  <c r="Z14" i="12"/>
  <c r="Z14" i="11"/>
  <c r="AC15" i="10"/>
  <c r="AD15" i="10"/>
  <c r="Y15" i="10" s="1"/>
  <c r="AD14" i="13" l="1"/>
  <c r="Y14" i="13" s="1"/>
  <c r="AC14" i="13"/>
  <c r="AD14" i="12"/>
  <c r="Y14" i="12" s="1"/>
  <c r="AC14" i="12"/>
  <c r="AD14" i="11"/>
  <c r="Y14" i="11" s="1"/>
  <c r="AC14" i="11"/>
  <c r="Z16" i="10"/>
  <c r="Z15" i="13" l="1"/>
  <c r="Z15" i="12"/>
  <c r="Z15" i="11"/>
  <c r="AC16" i="10"/>
  <c r="AD16" i="10"/>
  <c r="Y16" i="10" s="1"/>
  <c r="AD15" i="13" l="1"/>
  <c r="Y15" i="13" s="1"/>
  <c r="AC15" i="13"/>
  <c r="AD15" i="12"/>
  <c r="Y15" i="12" s="1"/>
  <c r="AC15" i="12"/>
  <c r="AD15" i="11"/>
  <c r="Y15" i="11" s="1"/>
  <c r="AC15" i="11"/>
  <c r="Z17" i="10"/>
  <c r="Z16" i="13" l="1"/>
  <c r="Z16" i="12"/>
  <c r="Z16" i="11"/>
  <c r="AC17" i="10"/>
  <c r="AD17" i="10"/>
  <c r="Y17" i="10" s="1"/>
  <c r="Y23" i="10" s="1"/>
  <c r="Y25" i="10" s="1"/>
  <c r="Y26" i="10" s="1"/>
  <c r="AD16" i="13" l="1"/>
  <c r="Y16" i="13" s="1"/>
  <c r="AC16" i="13"/>
  <c r="AD16" i="12"/>
  <c r="Y16" i="12" s="1"/>
  <c r="AC16" i="12"/>
  <c r="AD16" i="11"/>
  <c r="Y16" i="11" s="1"/>
  <c r="AC16" i="11"/>
  <c r="Z17" i="13" l="1"/>
  <c r="Z17" i="12"/>
  <c r="Z17" i="11"/>
  <c r="AD17" i="13" l="1"/>
  <c r="Y17" i="13" s="1"/>
  <c r="Y23" i="13" s="1"/>
  <c r="Y25" i="13" s="1"/>
  <c r="Y26" i="13" s="1"/>
  <c r="AC17" i="13"/>
  <c r="AD17" i="12"/>
  <c r="Y17" i="12" s="1"/>
  <c r="Y23" i="12" s="1"/>
  <c r="Y25" i="12" s="1"/>
  <c r="Y26" i="12" s="1"/>
  <c r="AC17" i="12"/>
  <c r="AD17" i="11"/>
  <c r="Y17" i="11" s="1"/>
  <c r="Y23" i="11" s="1"/>
  <c r="Y25" i="11" s="1"/>
  <c r="Y26" i="11" s="1"/>
  <c r="AC17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tc={373492E0-BC93-43C6-9ADE-A605444493E9}</author>
  </authors>
  <commentList>
    <comment ref="U7" authorId="0" shapeId="0" xr:uid="{373492E0-BC93-43C6-9ADE-A605444493E9}">
      <text>
        <t>[Threaded comment]
Your version of Excel allows you to read this threaded comment; however, any edits to it will get removed if the file is opened in a newer version of Excel. Learn more: https://go.microsoft.com/fwlink/?linkid=870924
Comment:
    Amount = SutainAmount / [(1+I/100)^n - 1]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tc={12F671A7-AFD6-405E-8D6E-A44A59E17473}</author>
  </authors>
  <commentList>
    <comment ref="U7" authorId="0" shapeId="0" xr:uid="{12F671A7-AFD6-405E-8D6E-A44A59E17473}">
      <text>
        <t>[Threaded comment]
Your version of Excel allows you to read this threaded comment; however, any edits to it will get removed if the file is opened in a newer version of Excel. Learn more: https://go.microsoft.com/fwlink/?linkid=870924
Comment:
    Amount = SutainAmount / [(1+I/100)^n - 1]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tc={8C106DAB-5DD9-4C60-A2A6-45468F3F20FF}</author>
  </authors>
  <commentList>
    <comment ref="U7" authorId="0" shapeId="0" xr:uid="{8C106DAB-5DD9-4C60-A2A6-45468F3F20FF}">
      <text>
        <t>[Threaded comment]
Your version of Excel allows you to read this threaded comment; however, any edits to it will get removed if the file is opened in a newer version of Excel. Learn more: https://go.microsoft.com/fwlink/?linkid=870924
Comment:
    Amount = SutainAmount / [(1+I/100)^n - 1]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tc={D1460575-3393-4C8D-A3A5-4AD4392D36F6}</author>
  </authors>
  <commentList>
    <comment ref="U7" authorId="0" shapeId="0" xr:uid="{D1460575-3393-4C8D-A3A5-4AD4392D36F6}">
      <text>
        <t>[Threaded comment]
Your version of Excel allows you to read this threaded comment; however, any edits to it will get removed if the file is opened in a newer version of Excel. Learn more: https://go.microsoft.com/fwlink/?linkid=870924
Comment:
    Amount = SutainAmount / [(1+I/100)^n - 1]</t>
      </text>
    </comment>
  </commentList>
</comments>
</file>

<file path=xl/sharedStrings.xml><?xml version="1.0" encoding="utf-8"?>
<sst xmlns="http://schemas.openxmlformats.org/spreadsheetml/2006/main" count="199" uniqueCount="71">
  <si>
    <t>years</t>
  </si>
  <si>
    <t>Kampala, Uganda</t>
  </si>
  <si>
    <t>Foundation</t>
  </si>
  <si>
    <t xml:space="preserve">Bill and Melinda Gates Foundation </t>
  </si>
  <si>
    <t>Location</t>
  </si>
  <si>
    <t>Period</t>
  </si>
  <si>
    <t>No. of Clinics</t>
  </si>
  <si>
    <t>Each Clinic</t>
  </si>
  <si>
    <t>Doctors</t>
  </si>
  <si>
    <t>Physician Assitants</t>
  </si>
  <si>
    <t>Median Local Annual Wage</t>
  </si>
  <si>
    <t>Supply &amp; Utility Cost for each Clinic</t>
  </si>
  <si>
    <t>USD/month</t>
  </si>
  <si>
    <t>Initial Total Capital Expense (Building &amp; Equipment)</t>
  </si>
  <si>
    <t>USD</t>
  </si>
  <si>
    <t>Annual Operating Expense (Utilities People and Supplies)</t>
  </si>
  <si>
    <t>Estimated by you</t>
  </si>
  <si>
    <t>Project Start Date</t>
  </si>
  <si>
    <t>January 3 2023</t>
  </si>
  <si>
    <t>Continous Discounting Rate</t>
  </si>
  <si>
    <t>Salary</t>
  </si>
  <si>
    <t>Capital Cost</t>
  </si>
  <si>
    <t>Building &amp; Equipment</t>
  </si>
  <si>
    <t>Annual Operating Cost @ 1 Clinic</t>
  </si>
  <si>
    <t>%</t>
  </si>
  <si>
    <t>Salary Doctor</t>
  </si>
  <si>
    <t>https://worldsalaries.com/average-doctor-salary-in-kampala/uganda/</t>
  </si>
  <si>
    <t>https://worldsalaries.com/average-physician-assistant-salary-in-kampala/uganda/</t>
  </si>
  <si>
    <t>For 1 Clinic</t>
  </si>
  <si>
    <t>Doctor</t>
  </si>
  <si>
    <t>Salary Physician Assitant</t>
  </si>
  <si>
    <t>Physician Assitant</t>
  </si>
  <si>
    <t>Annual Salary</t>
  </si>
  <si>
    <t>Supply &amp; Utility Cost @ Monthly</t>
  </si>
  <si>
    <t>Annual Supply &amp; Utility Cost</t>
  </si>
  <si>
    <t>Total Clinics</t>
  </si>
  <si>
    <t>Annual Operating Cost @ 15 Clinic</t>
  </si>
  <si>
    <t>year</t>
  </si>
  <si>
    <t>Operating Cost</t>
  </si>
  <si>
    <t>Minus</t>
  </si>
  <si>
    <t>Grant Amount</t>
  </si>
  <si>
    <t>Reinvestment</t>
  </si>
  <si>
    <t>Total Sum for Operating Cost</t>
  </si>
  <si>
    <t>Total Sum for Reinvestment</t>
  </si>
  <si>
    <t>Grant Amount 1 / Portfolio 1</t>
  </si>
  <si>
    <t>Simulated Operating Cost</t>
  </si>
  <si>
    <t>Simulated Reinvestment</t>
  </si>
  <si>
    <t>Total Annual Interest from Grant Amount 1</t>
  </si>
  <si>
    <t>Is Simulation meeting Annual Needs</t>
  </si>
  <si>
    <t>PORTFOLIO 1</t>
  </si>
  <si>
    <t>Amount Available Annually via Reinvestment</t>
  </si>
  <si>
    <t>Interest Earned Annually</t>
  </si>
  <si>
    <t>Accumulated Amount</t>
  </si>
  <si>
    <t>Remaining</t>
  </si>
  <si>
    <t>Amount Needed to Self Sustain Post 10 years</t>
  </si>
  <si>
    <t>Deducting the Reinvestment Balance Amount / Self Sustain Amount</t>
  </si>
  <si>
    <t>Generating Self Sustain Amount</t>
  </si>
  <si>
    <t>Grant Amount 2</t>
  </si>
  <si>
    <t>Self Sustain Post 10 Years</t>
  </si>
  <si>
    <t>Total Grant Amount</t>
  </si>
  <si>
    <t>Amount Remaining</t>
  </si>
  <si>
    <t>Reinvestment Crieteria</t>
  </si>
  <si>
    <t>Interest Amount Balance</t>
  </si>
  <si>
    <t>Principal Amount</t>
  </si>
  <si>
    <t>Simulation</t>
  </si>
  <si>
    <t>Self Sustain Amount</t>
  </si>
  <si>
    <t>20 % annual reinvestment</t>
  </si>
  <si>
    <t>Discount</t>
  </si>
  <si>
    <t>Self Sustain Amount (Amount Left in Hand)</t>
  </si>
  <si>
    <t>Annual Operating Cost</t>
  </si>
  <si>
    <t>Minimum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</si>
</sst>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164" fontId="0" fillId="0" borderId="0" xfId="1" applyNumberFormat="1" applyFont="1"/>
    <xf numFmtId="0" fontId="0" fillId="2" borderId="0" xfId="0" applyFill="1" applyAlignment="1">
      <alignment horizontal="center"/>
    </xf>
    <xf numFmtId="9" fontId="0" fillId="0" borderId="0" xfId="0" applyNumberFormat="1"/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4" fillId="0" borderId="0" xfId="2" applyAlignment="1">
      <alignment vertical="top"/>
    </xf>
    <xf numFmtId="0" fontId="2" fillId="0" borderId="0" xfId="0" applyFont="1" applyAlignment="1">
      <alignment horizontal="right" vertical="top"/>
    </xf>
    <xf numFmtId="0" fontId="0" fillId="0" borderId="1" xfId="0" applyBorder="1" applyAlignment="1">
      <alignment horizontal="right" vertical="top"/>
    </xf>
    <xf numFmtId="43" fontId="0" fillId="0" borderId="1" xfId="0" applyNumberFormat="1" applyBorder="1" applyAlignment="1">
      <alignment horizontal="left" vertical="top"/>
    </xf>
    <xf numFmtId="43" fontId="0" fillId="0" borderId="1" xfId="0" applyNumberFormat="1" applyBorder="1" applyAlignment="1">
      <alignment horizontal="right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right" vertical="top" wrapText="1"/>
    </xf>
    <xf numFmtId="43" fontId="0" fillId="0" borderId="0" xfId="0" applyNumberFormat="1"/>
    <xf numFmtId="43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3" xfId="0" applyBorder="1"/>
    <xf numFmtId="0" fontId="2" fillId="0" borderId="3" xfId="0" applyFont="1" applyBorder="1" applyAlignment="1">
      <alignment horizontal="right" vertical="top" wrapText="1"/>
    </xf>
    <xf numFmtId="43" fontId="0" fillId="0" borderId="2" xfId="0" applyNumberFormat="1" applyBorder="1" applyAlignment="1">
      <alignment horizontal="right"/>
    </xf>
    <xf numFmtId="43" fontId="0" fillId="0" borderId="3" xfId="0" applyNumberFormat="1" applyBorder="1" applyAlignment="1">
      <alignment horizontal="right"/>
    </xf>
    <xf numFmtId="0" fontId="0" fillId="0" borderId="2" xfId="0" applyBorder="1"/>
    <xf numFmtId="43" fontId="0" fillId="0" borderId="3" xfId="0" applyNumberFormat="1" applyBorder="1"/>
    <xf numFmtId="0" fontId="2" fillId="0" borderId="2" xfId="0" applyFont="1" applyBorder="1" applyAlignment="1">
      <alignment horizontal="right" vertical="top" wrapText="1"/>
    </xf>
    <xf numFmtId="0" fontId="0" fillId="0" borderId="0" xfId="0" applyAlignment="1">
      <alignment horizontal="left" vertical="top"/>
    </xf>
    <xf numFmtId="43" fontId="0" fillId="7" borderId="0" xfId="0" applyNumberFormat="1" applyFill="1"/>
    <xf numFmtId="43" fontId="0" fillId="0" borderId="2" xfId="0" applyNumberFormat="1" applyBorder="1"/>
    <xf numFmtId="43" fontId="0" fillId="7" borderId="3" xfId="0" applyNumberFormat="1" applyFill="1" applyBorder="1"/>
    <xf numFmtId="0" fontId="2" fillId="0" borderId="3" xfId="0" applyFont="1" applyBorder="1" applyAlignment="1">
      <alignment horizontal="right" vertical="top"/>
    </xf>
    <xf numFmtId="43" fontId="0" fillId="8" borderId="3" xfId="0" applyNumberFormat="1" applyFill="1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43" fontId="0" fillId="6" borderId="0" xfId="0" applyNumberFormat="1" applyFill="1" applyAlignment="1">
      <alignment horizontal="right"/>
    </xf>
    <xf numFmtId="43" fontId="0" fillId="5" borderId="0" xfId="0" applyNumberFormat="1" applyFill="1"/>
    <xf numFmtId="43" fontId="0" fillId="4" borderId="0" xfId="0" applyNumberFormat="1" applyFill="1"/>
    <xf numFmtId="43" fontId="0" fillId="0" borderId="3" xfId="0" applyNumberFormat="1" applyBorder="1" applyAlignment="1">
      <alignment horizontal="center"/>
    </xf>
    <xf numFmtId="43" fontId="0" fillId="9" borderId="0" xfId="0" applyNumberFormat="1" applyFill="1" applyAlignment="1">
      <alignment horizontal="center" vertical="center"/>
    </xf>
    <xf numFmtId="43" fontId="0" fillId="2" borderId="2" xfId="0" applyNumberFormat="1" applyFill="1" applyBorder="1"/>
    <xf numFmtId="0" fontId="2" fillId="0" borderId="7" xfId="0" applyFont="1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43" fontId="2" fillId="3" borderId="12" xfId="1" applyFont="1" applyFill="1" applyBorder="1" applyAlignment="1">
      <alignment vertical="top"/>
    </xf>
    <xf numFmtId="43" fontId="2" fillId="3" borderId="0" xfId="1" applyFont="1" applyFill="1" applyBorder="1" applyAlignment="1">
      <alignment vertical="top"/>
    </xf>
    <xf numFmtId="0" fontId="2" fillId="0" borderId="13" xfId="0" applyFont="1" applyBorder="1" applyAlignment="1">
      <alignment vertical="top"/>
    </xf>
    <xf numFmtId="0" fontId="0" fillId="0" borderId="14" xfId="0" applyBorder="1" applyAlignment="1">
      <alignment vertical="top"/>
    </xf>
    <xf numFmtId="43" fontId="0" fillId="0" borderId="15" xfId="1" applyFont="1" applyBorder="1" applyAlignment="1">
      <alignment vertical="top"/>
    </xf>
    <xf numFmtId="0" fontId="0" fillId="0" borderId="16" xfId="0" applyBorder="1" applyAlignment="1">
      <alignment vertical="top"/>
    </xf>
    <xf numFmtId="43" fontId="0" fillId="0" borderId="17" xfId="1" applyFont="1" applyBorder="1" applyAlignment="1">
      <alignment vertical="top"/>
    </xf>
    <xf numFmtId="43" fontId="2" fillId="0" borderId="17" xfId="1" applyFont="1" applyBorder="1" applyAlignment="1">
      <alignment vertical="top"/>
    </xf>
    <xf numFmtId="0" fontId="0" fillId="0" borderId="17" xfId="0" applyBorder="1" applyAlignment="1">
      <alignment vertical="top"/>
    </xf>
    <xf numFmtId="43" fontId="2" fillId="3" borderId="12" xfId="0" applyNumberFormat="1" applyFont="1" applyFill="1" applyBorder="1" applyAlignment="1">
      <alignment vertical="top"/>
    </xf>
    <xf numFmtId="0" fontId="3" fillId="0" borderId="7" xfId="0" applyFont="1" applyBorder="1" applyAlignment="1">
      <alignment vertical="top"/>
    </xf>
    <xf numFmtId="43" fontId="0" fillId="0" borderId="9" xfId="1" applyFont="1" applyBorder="1" applyAlignment="1">
      <alignment vertical="top"/>
    </xf>
    <xf numFmtId="43" fontId="2" fillId="0" borderId="12" xfId="1" applyFont="1" applyBorder="1" applyAlignment="1">
      <alignment vertical="top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7</xdr:row>
      <xdr:rowOff>15240</xdr:rowOff>
    </xdr:from>
    <xdr:to>
      <xdr:col>7</xdr:col>
      <xdr:colOff>716280</xdr:colOff>
      <xdr:row>19</xdr:row>
      <xdr:rowOff>7620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D79BF094-6CC6-447E-BF25-CC262916CC49}"/>
            </a:ext>
          </a:extLst>
        </xdr:cNvPr>
        <xdr:cNvSpPr/>
      </xdr:nvSpPr>
      <xdr:spPr>
        <a:xfrm>
          <a:off x="5440680" y="1661160"/>
          <a:ext cx="335280" cy="2186940"/>
        </a:xfrm>
        <a:prstGeom prst="downArrow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815340</xdr:colOff>
      <xdr:row>19</xdr:row>
      <xdr:rowOff>0</xdr:rowOff>
    </xdr:from>
    <xdr:to>
      <xdr:col>9</xdr:col>
      <xdr:colOff>7620</xdr:colOff>
      <xdr:row>27</xdr:row>
      <xdr:rowOff>45720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9E21296-2DCD-E743-4A3E-DB588C6C091A}"/>
            </a:ext>
          </a:extLst>
        </xdr:cNvPr>
        <xdr:cNvSpPr/>
      </xdr:nvSpPr>
      <xdr:spPr>
        <a:xfrm>
          <a:off x="4975860" y="3840480"/>
          <a:ext cx="1280160" cy="1508760"/>
        </a:xfrm>
        <a:prstGeom prst="roundRect">
          <a:avLst>
            <a:gd name="adj" fmla="val 4546"/>
          </a:avLst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This</a:t>
          </a:r>
          <a:r>
            <a:rPr lang="en-IN" sz="1100" baseline="0"/>
            <a:t> grant amount will be given back to the foundation at the end of 10 years as we are not using this amount but just its interest</a:t>
          </a:r>
          <a:endParaRPr lang="en-IN" sz="1100"/>
        </a:p>
      </xdr:txBody>
    </xdr:sp>
    <xdr:clientData/>
  </xdr:twoCellAnchor>
  <xdr:twoCellAnchor>
    <xdr:from>
      <xdr:col>16</xdr:col>
      <xdr:colOff>259080</xdr:colOff>
      <xdr:row>17</xdr:row>
      <xdr:rowOff>0</xdr:rowOff>
    </xdr:from>
    <xdr:to>
      <xdr:col>16</xdr:col>
      <xdr:colOff>594360</xdr:colOff>
      <xdr:row>20</xdr:row>
      <xdr:rowOff>137160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3B1606F1-E108-47C4-AF62-02F77F1990F3}"/>
            </a:ext>
          </a:extLst>
        </xdr:cNvPr>
        <xdr:cNvSpPr/>
      </xdr:nvSpPr>
      <xdr:spPr>
        <a:xfrm>
          <a:off x="14325600" y="3368040"/>
          <a:ext cx="335280" cy="685800"/>
        </a:xfrm>
        <a:prstGeom prst="downArrow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266700</xdr:colOff>
      <xdr:row>23</xdr:row>
      <xdr:rowOff>0</xdr:rowOff>
    </xdr:from>
    <xdr:to>
      <xdr:col>16</xdr:col>
      <xdr:colOff>601980</xdr:colOff>
      <xdr:row>26</xdr:row>
      <xdr:rowOff>137160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54C2AACE-52A1-4AEE-9A02-5641A42F5E71}"/>
            </a:ext>
          </a:extLst>
        </xdr:cNvPr>
        <xdr:cNvSpPr/>
      </xdr:nvSpPr>
      <xdr:spPr>
        <a:xfrm>
          <a:off x="14333220" y="4465320"/>
          <a:ext cx="335280" cy="685800"/>
        </a:xfrm>
        <a:prstGeom prst="downArrow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731520</xdr:colOff>
      <xdr:row>26</xdr:row>
      <xdr:rowOff>144780</xdr:rowOff>
    </xdr:from>
    <xdr:to>
      <xdr:col>17</xdr:col>
      <xdr:colOff>182880</xdr:colOff>
      <xdr:row>30</xdr:row>
      <xdr:rowOff>76200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6B989DAB-C8F3-4879-9B71-C9A50B593014}"/>
            </a:ext>
          </a:extLst>
        </xdr:cNvPr>
        <xdr:cNvSpPr/>
      </xdr:nvSpPr>
      <xdr:spPr>
        <a:xfrm>
          <a:off x="13837920" y="5158740"/>
          <a:ext cx="1280160" cy="662940"/>
        </a:xfrm>
        <a:prstGeom prst="roundRect">
          <a:avLst>
            <a:gd name="adj" fmla="val 4546"/>
          </a:avLst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This</a:t>
          </a:r>
          <a:r>
            <a:rPr lang="en-IN" sz="1100" baseline="0"/>
            <a:t> amount will be used for self sustaining</a:t>
          </a:r>
          <a:endParaRPr lang="en-IN" sz="1100"/>
        </a:p>
      </xdr:txBody>
    </xdr:sp>
    <xdr:clientData/>
  </xdr:twoCellAnchor>
  <xdr:twoCellAnchor>
    <xdr:from>
      <xdr:col>21</xdr:col>
      <xdr:colOff>350520</xdr:colOff>
      <xdr:row>7</xdr:row>
      <xdr:rowOff>15240</xdr:rowOff>
    </xdr:from>
    <xdr:to>
      <xdr:col>21</xdr:col>
      <xdr:colOff>640080</xdr:colOff>
      <xdr:row>19</xdr:row>
      <xdr:rowOff>0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BAE3ADDC-6997-4488-BDE8-FAADB6F5965B}"/>
            </a:ext>
          </a:extLst>
        </xdr:cNvPr>
        <xdr:cNvSpPr/>
      </xdr:nvSpPr>
      <xdr:spPr>
        <a:xfrm>
          <a:off x="20596860" y="1668780"/>
          <a:ext cx="289560" cy="2179320"/>
        </a:xfrm>
        <a:prstGeom prst="downArrow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1264920</xdr:colOff>
      <xdr:row>19</xdr:row>
      <xdr:rowOff>7620</xdr:rowOff>
    </xdr:from>
    <xdr:to>
      <xdr:col>21</xdr:col>
      <xdr:colOff>982980</xdr:colOff>
      <xdr:row>28</xdr:row>
      <xdr:rowOff>22860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157ED15D-D621-4021-96EB-6FBD57AD5D8F}"/>
            </a:ext>
          </a:extLst>
        </xdr:cNvPr>
        <xdr:cNvSpPr/>
      </xdr:nvSpPr>
      <xdr:spPr>
        <a:xfrm>
          <a:off x="20231100" y="3855720"/>
          <a:ext cx="998220" cy="1661160"/>
        </a:xfrm>
        <a:prstGeom prst="roundRect">
          <a:avLst>
            <a:gd name="adj" fmla="val 4546"/>
          </a:avLst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This is the second part of the grant amount that will be taken in order to fullfil self sustain criteria</a:t>
          </a:r>
        </a:p>
      </xdr:txBody>
    </xdr:sp>
    <xdr:clientData/>
  </xdr:twoCellAnchor>
  <xdr:twoCellAnchor>
    <xdr:from>
      <xdr:col>24</xdr:col>
      <xdr:colOff>312420</xdr:colOff>
      <xdr:row>17</xdr:row>
      <xdr:rowOff>22860</xdr:rowOff>
    </xdr:from>
    <xdr:to>
      <xdr:col>24</xdr:col>
      <xdr:colOff>601980</xdr:colOff>
      <xdr:row>21</xdr:row>
      <xdr:rowOff>15240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55935635-3178-4F35-8A03-BEEE82C7BB16}"/>
            </a:ext>
          </a:extLst>
        </xdr:cNvPr>
        <xdr:cNvSpPr/>
      </xdr:nvSpPr>
      <xdr:spPr>
        <a:xfrm>
          <a:off x="23629620" y="3505200"/>
          <a:ext cx="289560" cy="723900"/>
        </a:xfrm>
        <a:prstGeom prst="downArrow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7</xdr:row>
      <xdr:rowOff>15240</xdr:rowOff>
    </xdr:from>
    <xdr:to>
      <xdr:col>7</xdr:col>
      <xdr:colOff>716280</xdr:colOff>
      <xdr:row>19</xdr:row>
      <xdr:rowOff>7620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5C615826-7C01-4E29-9E81-67DB365482A0}"/>
            </a:ext>
          </a:extLst>
        </xdr:cNvPr>
        <xdr:cNvSpPr/>
      </xdr:nvSpPr>
      <xdr:spPr>
        <a:xfrm>
          <a:off x="5440680" y="1668780"/>
          <a:ext cx="335280" cy="2186940"/>
        </a:xfrm>
        <a:prstGeom prst="downArrow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815340</xdr:colOff>
      <xdr:row>19</xdr:row>
      <xdr:rowOff>0</xdr:rowOff>
    </xdr:from>
    <xdr:to>
      <xdr:col>9</xdr:col>
      <xdr:colOff>7620</xdr:colOff>
      <xdr:row>27</xdr:row>
      <xdr:rowOff>45720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FD5F338-1F7D-4D80-9311-5584819004E5}"/>
            </a:ext>
          </a:extLst>
        </xdr:cNvPr>
        <xdr:cNvSpPr/>
      </xdr:nvSpPr>
      <xdr:spPr>
        <a:xfrm>
          <a:off x="4975860" y="3848100"/>
          <a:ext cx="1280160" cy="1508760"/>
        </a:xfrm>
        <a:prstGeom prst="roundRect">
          <a:avLst>
            <a:gd name="adj" fmla="val 4546"/>
          </a:avLst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This</a:t>
          </a:r>
          <a:r>
            <a:rPr lang="en-IN" sz="1100" baseline="0"/>
            <a:t> grant amount will be given back to the foundation at the end of 10 years as we are not using this amount but just its interest</a:t>
          </a:r>
          <a:endParaRPr lang="en-IN" sz="1100"/>
        </a:p>
      </xdr:txBody>
    </xdr:sp>
    <xdr:clientData/>
  </xdr:twoCellAnchor>
  <xdr:twoCellAnchor>
    <xdr:from>
      <xdr:col>16</xdr:col>
      <xdr:colOff>259080</xdr:colOff>
      <xdr:row>17</xdr:row>
      <xdr:rowOff>0</xdr:rowOff>
    </xdr:from>
    <xdr:to>
      <xdr:col>16</xdr:col>
      <xdr:colOff>594360</xdr:colOff>
      <xdr:row>20</xdr:row>
      <xdr:rowOff>137160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786E7862-BF49-47B8-BAA2-810156F4ACFE}"/>
            </a:ext>
          </a:extLst>
        </xdr:cNvPr>
        <xdr:cNvSpPr/>
      </xdr:nvSpPr>
      <xdr:spPr>
        <a:xfrm>
          <a:off x="14135100" y="3482340"/>
          <a:ext cx="335280" cy="685800"/>
        </a:xfrm>
        <a:prstGeom prst="downArrow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266700</xdr:colOff>
      <xdr:row>23</xdr:row>
      <xdr:rowOff>0</xdr:rowOff>
    </xdr:from>
    <xdr:to>
      <xdr:col>16</xdr:col>
      <xdr:colOff>601980</xdr:colOff>
      <xdr:row>26</xdr:row>
      <xdr:rowOff>137160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FDF7FD3B-F591-4A8C-9A64-03C589761287}"/>
            </a:ext>
          </a:extLst>
        </xdr:cNvPr>
        <xdr:cNvSpPr/>
      </xdr:nvSpPr>
      <xdr:spPr>
        <a:xfrm>
          <a:off x="14142720" y="4579620"/>
          <a:ext cx="335280" cy="685800"/>
        </a:xfrm>
        <a:prstGeom prst="downArrow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731520</xdr:colOff>
      <xdr:row>26</xdr:row>
      <xdr:rowOff>144780</xdr:rowOff>
    </xdr:from>
    <xdr:to>
      <xdr:col>17</xdr:col>
      <xdr:colOff>182880</xdr:colOff>
      <xdr:row>30</xdr:row>
      <xdr:rowOff>76200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7DEB11F-4611-4BE0-AD11-2DC3AA442048}"/>
            </a:ext>
          </a:extLst>
        </xdr:cNvPr>
        <xdr:cNvSpPr/>
      </xdr:nvSpPr>
      <xdr:spPr>
        <a:xfrm>
          <a:off x="13647420" y="5273040"/>
          <a:ext cx="1280160" cy="662940"/>
        </a:xfrm>
        <a:prstGeom prst="roundRect">
          <a:avLst>
            <a:gd name="adj" fmla="val 4546"/>
          </a:avLst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This</a:t>
          </a:r>
          <a:r>
            <a:rPr lang="en-IN" sz="1100" baseline="0"/>
            <a:t> amount will be used for self sustaining</a:t>
          </a:r>
          <a:endParaRPr lang="en-IN" sz="1100"/>
        </a:p>
      </xdr:txBody>
    </xdr:sp>
    <xdr:clientData/>
  </xdr:twoCellAnchor>
  <xdr:twoCellAnchor>
    <xdr:from>
      <xdr:col>21</xdr:col>
      <xdr:colOff>350520</xdr:colOff>
      <xdr:row>7</xdr:row>
      <xdr:rowOff>15240</xdr:rowOff>
    </xdr:from>
    <xdr:to>
      <xdr:col>21</xdr:col>
      <xdr:colOff>640080</xdr:colOff>
      <xdr:row>19</xdr:row>
      <xdr:rowOff>0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6C7964D0-BE99-46BC-BD0F-92B51BBA9420}"/>
            </a:ext>
          </a:extLst>
        </xdr:cNvPr>
        <xdr:cNvSpPr/>
      </xdr:nvSpPr>
      <xdr:spPr>
        <a:xfrm>
          <a:off x="19895820" y="1668780"/>
          <a:ext cx="289560" cy="2179320"/>
        </a:xfrm>
        <a:prstGeom prst="downArrow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1264920</xdr:colOff>
      <xdr:row>19</xdr:row>
      <xdr:rowOff>7620</xdr:rowOff>
    </xdr:from>
    <xdr:to>
      <xdr:col>21</xdr:col>
      <xdr:colOff>982980</xdr:colOff>
      <xdr:row>28</xdr:row>
      <xdr:rowOff>22860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8D3D2F3E-15C6-4A5F-8E90-8B62B381C0A0}"/>
            </a:ext>
          </a:extLst>
        </xdr:cNvPr>
        <xdr:cNvSpPr/>
      </xdr:nvSpPr>
      <xdr:spPr>
        <a:xfrm>
          <a:off x="19530060" y="3855720"/>
          <a:ext cx="998220" cy="1661160"/>
        </a:xfrm>
        <a:prstGeom prst="roundRect">
          <a:avLst>
            <a:gd name="adj" fmla="val 4546"/>
          </a:avLst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This is the second part of the grant amount that will be taken in order to fullfil self sustain criteria</a:t>
          </a:r>
        </a:p>
      </xdr:txBody>
    </xdr:sp>
    <xdr:clientData/>
  </xdr:twoCellAnchor>
  <xdr:twoCellAnchor>
    <xdr:from>
      <xdr:col>24</xdr:col>
      <xdr:colOff>312420</xdr:colOff>
      <xdr:row>17</xdr:row>
      <xdr:rowOff>22860</xdr:rowOff>
    </xdr:from>
    <xdr:to>
      <xdr:col>24</xdr:col>
      <xdr:colOff>601980</xdr:colOff>
      <xdr:row>21</xdr:row>
      <xdr:rowOff>15240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AEDA926D-55F9-4433-ADA9-1A17D3FBEAD0}"/>
            </a:ext>
          </a:extLst>
        </xdr:cNvPr>
        <xdr:cNvSpPr/>
      </xdr:nvSpPr>
      <xdr:spPr>
        <a:xfrm>
          <a:off x="22258020" y="3505200"/>
          <a:ext cx="289560" cy="723900"/>
        </a:xfrm>
        <a:prstGeom prst="downArrow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7</xdr:row>
      <xdr:rowOff>15240</xdr:rowOff>
    </xdr:from>
    <xdr:to>
      <xdr:col>7</xdr:col>
      <xdr:colOff>716280</xdr:colOff>
      <xdr:row>19</xdr:row>
      <xdr:rowOff>7620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399C2B60-4A2F-4580-B93C-63D6F5B2CE5D}"/>
            </a:ext>
          </a:extLst>
        </xdr:cNvPr>
        <xdr:cNvSpPr/>
      </xdr:nvSpPr>
      <xdr:spPr>
        <a:xfrm>
          <a:off x="5562600" y="1668780"/>
          <a:ext cx="335280" cy="2186940"/>
        </a:xfrm>
        <a:prstGeom prst="downArrow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815340</xdr:colOff>
      <xdr:row>19</xdr:row>
      <xdr:rowOff>0</xdr:rowOff>
    </xdr:from>
    <xdr:to>
      <xdr:col>9</xdr:col>
      <xdr:colOff>7620</xdr:colOff>
      <xdr:row>27</xdr:row>
      <xdr:rowOff>45720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D219619-2BFD-4542-8AD3-7D2C605EC482}"/>
            </a:ext>
          </a:extLst>
        </xdr:cNvPr>
        <xdr:cNvSpPr/>
      </xdr:nvSpPr>
      <xdr:spPr>
        <a:xfrm>
          <a:off x="5090160" y="3848100"/>
          <a:ext cx="1242060" cy="1508760"/>
        </a:xfrm>
        <a:prstGeom prst="roundRect">
          <a:avLst>
            <a:gd name="adj" fmla="val 4546"/>
          </a:avLst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This</a:t>
          </a:r>
          <a:r>
            <a:rPr lang="en-IN" sz="1100" baseline="0"/>
            <a:t> grant amount will be given back to the foundation at the end of 10 years as we are not using this amount but just its interest</a:t>
          </a:r>
          <a:endParaRPr lang="en-IN" sz="1100"/>
        </a:p>
      </xdr:txBody>
    </xdr:sp>
    <xdr:clientData/>
  </xdr:twoCellAnchor>
  <xdr:twoCellAnchor>
    <xdr:from>
      <xdr:col>16</xdr:col>
      <xdr:colOff>259080</xdr:colOff>
      <xdr:row>17</xdr:row>
      <xdr:rowOff>0</xdr:rowOff>
    </xdr:from>
    <xdr:to>
      <xdr:col>16</xdr:col>
      <xdr:colOff>594360</xdr:colOff>
      <xdr:row>20</xdr:row>
      <xdr:rowOff>137160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772F4767-AB00-49CA-84C0-47D2D3EA1843}"/>
            </a:ext>
          </a:extLst>
        </xdr:cNvPr>
        <xdr:cNvSpPr/>
      </xdr:nvSpPr>
      <xdr:spPr>
        <a:xfrm>
          <a:off x="13563600" y="3482340"/>
          <a:ext cx="335280" cy="685800"/>
        </a:xfrm>
        <a:prstGeom prst="downArrow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266700</xdr:colOff>
      <xdr:row>23</xdr:row>
      <xdr:rowOff>0</xdr:rowOff>
    </xdr:from>
    <xdr:to>
      <xdr:col>16</xdr:col>
      <xdr:colOff>601980</xdr:colOff>
      <xdr:row>26</xdr:row>
      <xdr:rowOff>137160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3D183FD0-2CF5-4FD2-BEA8-CF63D5A3D270}"/>
            </a:ext>
          </a:extLst>
        </xdr:cNvPr>
        <xdr:cNvSpPr/>
      </xdr:nvSpPr>
      <xdr:spPr>
        <a:xfrm>
          <a:off x="13571220" y="4579620"/>
          <a:ext cx="335280" cy="685800"/>
        </a:xfrm>
        <a:prstGeom prst="downArrow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731520</xdr:colOff>
      <xdr:row>26</xdr:row>
      <xdr:rowOff>144780</xdr:rowOff>
    </xdr:from>
    <xdr:to>
      <xdr:col>17</xdr:col>
      <xdr:colOff>182880</xdr:colOff>
      <xdr:row>30</xdr:row>
      <xdr:rowOff>76200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3B96E4A-E5AE-4CF0-A753-5446B0B3CA87}"/>
            </a:ext>
          </a:extLst>
        </xdr:cNvPr>
        <xdr:cNvSpPr/>
      </xdr:nvSpPr>
      <xdr:spPr>
        <a:xfrm>
          <a:off x="13083540" y="5273040"/>
          <a:ext cx="1386840" cy="662940"/>
        </a:xfrm>
        <a:prstGeom prst="roundRect">
          <a:avLst>
            <a:gd name="adj" fmla="val 4546"/>
          </a:avLst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This</a:t>
          </a:r>
          <a:r>
            <a:rPr lang="en-IN" sz="1100" baseline="0"/>
            <a:t> amount will be used for self sustaining</a:t>
          </a:r>
          <a:endParaRPr lang="en-IN" sz="1100"/>
        </a:p>
      </xdr:txBody>
    </xdr:sp>
    <xdr:clientData/>
  </xdr:twoCellAnchor>
  <xdr:twoCellAnchor>
    <xdr:from>
      <xdr:col>21</xdr:col>
      <xdr:colOff>350520</xdr:colOff>
      <xdr:row>7</xdr:row>
      <xdr:rowOff>15240</xdr:rowOff>
    </xdr:from>
    <xdr:to>
      <xdr:col>21</xdr:col>
      <xdr:colOff>640080</xdr:colOff>
      <xdr:row>19</xdr:row>
      <xdr:rowOff>0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959CAE59-4028-4608-8CC3-703B0EDB704A}"/>
            </a:ext>
          </a:extLst>
        </xdr:cNvPr>
        <xdr:cNvSpPr/>
      </xdr:nvSpPr>
      <xdr:spPr>
        <a:xfrm>
          <a:off x="19743420" y="1668780"/>
          <a:ext cx="289560" cy="2179320"/>
        </a:xfrm>
        <a:prstGeom prst="downArrow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1264920</xdr:colOff>
      <xdr:row>19</xdr:row>
      <xdr:rowOff>7620</xdr:rowOff>
    </xdr:from>
    <xdr:to>
      <xdr:col>21</xdr:col>
      <xdr:colOff>982980</xdr:colOff>
      <xdr:row>28</xdr:row>
      <xdr:rowOff>22860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8CF78C71-FCF0-47CF-B058-00917ED68685}"/>
            </a:ext>
          </a:extLst>
        </xdr:cNvPr>
        <xdr:cNvSpPr/>
      </xdr:nvSpPr>
      <xdr:spPr>
        <a:xfrm>
          <a:off x="19392900" y="3855720"/>
          <a:ext cx="982980" cy="1661160"/>
        </a:xfrm>
        <a:prstGeom prst="roundRect">
          <a:avLst>
            <a:gd name="adj" fmla="val 4546"/>
          </a:avLst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This is the second part of the grant amount that will be taken in order to fullfil self sustain criteria</a:t>
          </a:r>
        </a:p>
      </xdr:txBody>
    </xdr:sp>
    <xdr:clientData/>
  </xdr:twoCellAnchor>
  <xdr:twoCellAnchor>
    <xdr:from>
      <xdr:col>24</xdr:col>
      <xdr:colOff>312420</xdr:colOff>
      <xdr:row>17</xdr:row>
      <xdr:rowOff>22860</xdr:rowOff>
    </xdr:from>
    <xdr:to>
      <xdr:col>24</xdr:col>
      <xdr:colOff>601980</xdr:colOff>
      <xdr:row>21</xdr:row>
      <xdr:rowOff>15240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3E322329-C870-4FA0-97C9-08FC372E245F}"/>
            </a:ext>
          </a:extLst>
        </xdr:cNvPr>
        <xdr:cNvSpPr/>
      </xdr:nvSpPr>
      <xdr:spPr>
        <a:xfrm>
          <a:off x="22120860" y="3505200"/>
          <a:ext cx="289560" cy="723900"/>
        </a:xfrm>
        <a:prstGeom prst="downArrow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7</xdr:row>
      <xdr:rowOff>15240</xdr:rowOff>
    </xdr:from>
    <xdr:to>
      <xdr:col>7</xdr:col>
      <xdr:colOff>716280</xdr:colOff>
      <xdr:row>19</xdr:row>
      <xdr:rowOff>7620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22A123FC-0FB3-43A5-83B9-F7A73033D853}"/>
            </a:ext>
          </a:extLst>
        </xdr:cNvPr>
        <xdr:cNvSpPr/>
      </xdr:nvSpPr>
      <xdr:spPr>
        <a:xfrm>
          <a:off x="5562600" y="1668780"/>
          <a:ext cx="335280" cy="2186940"/>
        </a:xfrm>
        <a:prstGeom prst="downArrow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815340</xdr:colOff>
      <xdr:row>19</xdr:row>
      <xdr:rowOff>0</xdr:rowOff>
    </xdr:from>
    <xdr:to>
      <xdr:col>9</xdr:col>
      <xdr:colOff>7620</xdr:colOff>
      <xdr:row>27</xdr:row>
      <xdr:rowOff>45720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E20893CF-F83C-49C1-8F3C-8CBFEABF7732}"/>
            </a:ext>
          </a:extLst>
        </xdr:cNvPr>
        <xdr:cNvSpPr/>
      </xdr:nvSpPr>
      <xdr:spPr>
        <a:xfrm>
          <a:off x="5090160" y="3848100"/>
          <a:ext cx="1242060" cy="1508760"/>
        </a:xfrm>
        <a:prstGeom prst="roundRect">
          <a:avLst>
            <a:gd name="adj" fmla="val 4546"/>
          </a:avLst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This</a:t>
          </a:r>
          <a:r>
            <a:rPr lang="en-IN" sz="1100" baseline="0"/>
            <a:t> grant amount will be given back to the foundation at the end of 10 years as we are not using this amount but just its interest</a:t>
          </a:r>
          <a:endParaRPr lang="en-IN" sz="1100"/>
        </a:p>
      </xdr:txBody>
    </xdr:sp>
    <xdr:clientData/>
  </xdr:twoCellAnchor>
  <xdr:twoCellAnchor>
    <xdr:from>
      <xdr:col>16</xdr:col>
      <xdr:colOff>259080</xdr:colOff>
      <xdr:row>17</xdr:row>
      <xdr:rowOff>0</xdr:rowOff>
    </xdr:from>
    <xdr:to>
      <xdr:col>16</xdr:col>
      <xdr:colOff>594360</xdr:colOff>
      <xdr:row>20</xdr:row>
      <xdr:rowOff>137160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73514D9D-8839-4CA4-B280-89F63D24CE34}"/>
            </a:ext>
          </a:extLst>
        </xdr:cNvPr>
        <xdr:cNvSpPr/>
      </xdr:nvSpPr>
      <xdr:spPr>
        <a:xfrm>
          <a:off x="13563600" y="3482340"/>
          <a:ext cx="335280" cy="685800"/>
        </a:xfrm>
        <a:prstGeom prst="downArrow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266700</xdr:colOff>
      <xdr:row>23</xdr:row>
      <xdr:rowOff>0</xdr:rowOff>
    </xdr:from>
    <xdr:to>
      <xdr:col>16</xdr:col>
      <xdr:colOff>601980</xdr:colOff>
      <xdr:row>26</xdr:row>
      <xdr:rowOff>137160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CD7976BA-F9DA-4F61-A903-B0C7E17F3BD3}"/>
            </a:ext>
          </a:extLst>
        </xdr:cNvPr>
        <xdr:cNvSpPr/>
      </xdr:nvSpPr>
      <xdr:spPr>
        <a:xfrm>
          <a:off x="13571220" y="4579620"/>
          <a:ext cx="335280" cy="685800"/>
        </a:xfrm>
        <a:prstGeom prst="downArrow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731520</xdr:colOff>
      <xdr:row>26</xdr:row>
      <xdr:rowOff>144780</xdr:rowOff>
    </xdr:from>
    <xdr:to>
      <xdr:col>17</xdr:col>
      <xdr:colOff>182880</xdr:colOff>
      <xdr:row>30</xdr:row>
      <xdr:rowOff>76200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4E148E1-7081-4B5D-A114-1B4130CEDD59}"/>
            </a:ext>
          </a:extLst>
        </xdr:cNvPr>
        <xdr:cNvSpPr/>
      </xdr:nvSpPr>
      <xdr:spPr>
        <a:xfrm>
          <a:off x="13083540" y="5273040"/>
          <a:ext cx="1386840" cy="662940"/>
        </a:xfrm>
        <a:prstGeom prst="roundRect">
          <a:avLst>
            <a:gd name="adj" fmla="val 4546"/>
          </a:avLst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This</a:t>
          </a:r>
          <a:r>
            <a:rPr lang="en-IN" sz="1100" baseline="0"/>
            <a:t> amount will be used for self sustaining</a:t>
          </a:r>
          <a:endParaRPr lang="en-IN" sz="1100"/>
        </a:p>
      </xdr:txBody>
    </xdr:sp>
    <xdr:clientData/>
  </xdr:twoCellAnchor>
  <xdr:twoCellAnchor>
    <xdr:from>
      <xdr:col>21</xdr:col>
      <xdr:colOff>350520</xdr:colOff>
      <xdr:row>7</xdr:row>
      <xdr:rowOff>15240</xdr:rowOff>
    </xdr:from>
    <xdr:to>
      <xdr:col>21</xdr:col>
      <xdr:colOff>640080</xdr:colOff>
      <xdr:row>19</xdr:row>
      <xdr:rowOff>0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75330E2C-AC61-48C1-925C-15B3B24F966D}"/>
            </a:ext>
          </a:extLst>
        </xdr:cNvPr>
        <xdr:cNvSpPr/>
      </xdr:nvSpPr>
      <xdr:spPr>
        <a:xfrm>
          <a:off x="19743420" y="1668780"/>
          <a:ext cx="289560" cy="2179320"/>
        </a:xfrm>
        <a:prstGeom prst="downArrow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1264920</xdr:colOff>
      <xdr:row>19</xdr:row>
      <xdr:rowOff>7620</xdr:rowOff>
    </xdr:from>
    <xdr:to>
      <xdr:col>21</xdr:col>
      <xdr:colOff>982980</xdr:colOff>
      <xdr:row>28</xdr:row>
      <xdr:rowOff>22860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59DAD671-35B2-40AC-94EF-58D1D911E409}"/>
            </a:ext>
          </a:extLst>
        </xdr:cNvPr>
        <xdr:cNvSpPr/>
      </xdr:nvSpPr>
      <xdr:spPr>
        <a:xfrm>
          <a:off x="19392900" y="3855720"/>
          <a:ext cx="982980" cy="1661160"/>
        </a:xfrm>
        <a:prstGeom prst="roundRect">
          <a:avLst>
            <a:gd name="adj" fmla="val 4546"/>
          </a:avLst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This is the second part of the grant amount that will be taken in order to fullfil self sustain criteria</a:t>
          </a:r>
        </a:p>
      </xdr:txBody>
    </xdr:sp>
    <xdr:clientData/>
  </xdr:twoCellAnchor>
  <xdr:twoCellAnchor>
    <xdr:from>
      <xdr:col>24</xdr:col>
      <xdr:colOff>312420</xdr:colOff>
      <xdr:row>17</xdr:row>
      <xdr:rowOff>22860</xdr:rowOff>
    </xdr:from>
    <xdr:to>
      <xdr:col>24</xdr:col>
      <xdr:colOff>601980</xdr:colOff>
      <xdr:row>21</xdr:row>
      <xdr:rowOff>15240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AECDDB55-487A-4D68-A17A-68C4B8FE4FE3}"/>
            </a:ext>
          </a:extLst>
        </xdr:cNvPr>
        <xdr:cNvSpPr/>
      </xdr:nvSpPr>
      <xdr:spPr>
        <a:xfrm>
          <a:off x="22120860" y="3505200"/>
          <a:ext cx="289560" cy="723900"/>
        </a:xfrm>
        <a:prstGeom prst="downArrow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gelo Francis" id="{B244C24E-FDB6-4BF1-97F7-EB4147E01AF4}" userId="e7459e70cb78e14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7" dT="2023-12-09T11:13:38.77" personId="{B244C24E-FDB6-4BF1-97F7-EB4147E01AF4}" id="{373492E0-BC93-43C6-9ADE-A605444493E9}">
    <text>Amount = SutainAmount / [(1+I/100)^n - 1]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7" dT="2023-12-09T11:13:38.77" personId="{B244C24E-FDB6-4BF1-97F7-EB4147E01AF4}" id="{12F671A7-AFD6-405E-8D6E-A44A59E17473}">
    <text>Amount = SutainAmount / [(1+I/100)^n - 1]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U7" dT="2023-12-09T11:13:38.77" personId="{B244C24E-FDB6-4BF1-97F7-EB4147E01AF4}" id="{8C106DAB-5DD9-4C60-A2A6-45468F3F20FF}">
    <text>Amount = SutainAmount / [(1+I/100)^n - 1]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U7" dT="2023-12-09T11:13:38.77" personId="{B244C24E-FDB6-4BF1-97F7-EB4147E01AF4}" id="{D1460575-3393-4C8D-A3A5-4AD4392D36F6}">
    <text>Amount = SutainAmount / [(1+I/100)^n - 1]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orldsalaries.com/average-physician-assistant-salary-in-kampala/uganda/" TargetMode="External"/><Relationship Id="rId1" Type="http://schemas.openxmlformats.org/officeDocument/2006/relationships/hyperlink" Target="https://worldsalaries.com/average-doctor-salary-in-kampala/uganda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A28" sqref="A28"/>
    </sheetView>
  </sheetViews>
  <sheetFormatPr defaultRowHeight="14.4" x14ac:dyDescent="0.3"/>
  <cols>
    <col min="1" max="1" width="47.33203125" bestFit="1" customWidth="1"/>
    <col min="2" max="2" width="29.6640625" bestFit="1" customWidth="1"/>
  </cols>
  <sheetData>
    <row r="1" spans="1:3" x14ac:dyDescent="0.3">
      <c r="A1" t="s">
        <v>2</v>
      </c>
      <c r="B1" t="s">
        <v>3</v>
      </c>
    </row>
    <row r="2" spans="1:3" x14ac:dyDescent="0.3">
      <c r="A2" t="s">
        <v>4</v>
      </c>
      <c r="B2" t="s">
        <v>1</v>
      </c>
    </row>
    <row r="3" spans="1:3" x14ac:dyDescent="0.3">
      <c r="A3" t="s">
        <v>5</v>
      </c>
      <c r="B3">
        <v>10</v>
      </c>
      <c r="C3" t="s">
        <v>0</v>
      </c>
    </row>
    <row r="4" spans="1:3" x14ac:dyDescent="0.3">
      <c r="A4" t="s">
        <v>6</v>
      </c>
      <c r="B4">
        <v>15</v>
      </c>
    </row>
    <row r="6" spans="1:3" x14ac:dyDescent="0.3">
      <c r="A6" t="s">
        <v>7</v>
      </c>
    </row>
    <row r="7" spans="1:3" x14ac:dyDescent="0.3">
      <c r="A7" t="s">
        <v>8</v>
      </c>
      <c r="B7">
        <v>2</v>
      </c>
    </row>
    <row r="8" spans="1:3" x14ac:dyDescent="0.3">
      <c r="A8" t="s">
        <v>9</v>
      </c>
      <c r="B8">
        <v>3</v>
      </c>
    </row>
    <row r="9" spans="1:3" x14ac:dyDescent="0.3">
      <c r="A9" t="s">
        <v>20</v>
      </c>
      <c r="B9" t="s">
        <v>10</v>
      </c>
    </row>
    <row r="11" spans="1:3" x14ac:dyDescent="0.3">
      <c r="A11" t="s">
        <v>11</v>
      </c>
      <c r="B11" s="1">
        <v>10000</v>
      </c>
      <c r="C11" t="s">
        <v>12</v>
      </c>
    </row>
    <row r="12" spans="1:3" x14ac:dyDescent="0.3">
      <c r="A12" t="s">
        <v>13</v>
      </c>
      <c r="B12" s="1">
        <v>5000000</v>
      </c>
      <c r="C12" t="s">
        <v>14</v>
      </c>
    </row>
    <row r="13" spans="1:3" x14ac:dyDescent="0.3">
      <c r="A13" t="s">
        <v>15</v>
      </c>
      <c r="B13" s="2" t="s">
        <v>16</v>
      </c>
    </row>
    <row r="14" spans="1:3" x14ac:dyDescent="0.3">
      <c r="A14" t="s">
        <v>17</v>
      </c>
      <c r="B14" t="s">
        <v>18</v>
      </c>
    </row>
    <row r="15" spans="1:3" x14ac:dyDescent="0.3">
      <c r="A15" t="s">
        <v>19</v>
      </c>
      <c r="B15" s="3">
        <v>0.05</v>
      </c>
    </row>
    <row r="18" spans="1:1" x14ac:dyDescent="0.3">
      <c r="A18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B1E3-45A3-413B-8FE1-2283D2BBBE99}">
  <dimension ref="A1:D17"/>
  <sheetViews>
    <sheetView topLeftCell="A4" zoomScale="145" zoomScaleNormal="145" workbookViewId="0">
      <selection activeCell="B18" sqref="B18"/>
    </sheetView>
  </sheetViews>
  <sheetFormatPr defaultRowHeight="14.4" x14ac:dyDescent="0.3"/>
  <cols>
    <col min="1" max="1" width="29.77734375" style="6" bestFit="1" customWidth="1"/>
    <col min="2" max="2" width="19.21875" style="6" bestFit="1" customWidth="1"/>
    <col min="3" max="3" width="13.33203125" style="6" bestFit="1" customWidth="1"/>
    <col min="4" max="16384" width="8.88671875" style="6"/>
  </cols>
  <sheetData>
    <row r="1" spans="1:4" ht="15" thickBot="1" x14ac:dyDescent="0.35">
      <c r="C1" s="9" t="s">
        <v>14</v>
      </c>
    </row>
    <row r="2" spans="1:4" x14ac:dyDescent="0.3">
      <c r="A2" s="40" t="s">
        <v>21</v>
      </c>
      <c r="B2" s="41"/>
      <c r="C2" s="42"/>
    </row>
    <row r="3" spans="1:4" ht="15" thickBot="1" x14ac:dyDescent="0.35">
      <c r="A3" s="43"/>
      <c r="B3" s="44" t="s">
        <v>22</v>
      </c>
      <c r="C3" s="45">
        <v>5000000</v>
      </c>
    </row>
    <row r="4" spans="1:4" ht="15" thickBot="1" x14ac:dyDescent="0.35">
      <c r="C4" s="46"/>
    </row>
    <row r="5" spans="1:4" ht="15" thickBot="1" x14ac:dyDescent="0.35">
      <c r="A5" s="47" t="s">
        <v>69</v>
      </c>
      <c r="B5" s="48"/>
      <c r="C5" s="49"/>
    </row>
    <row r="6" spans="1:4" x14ac:dyDescent="0.3">
      <c r="A6" s="55" t="s">
        <v>23</v>
      </c>
      <c r="B6" s="41"/>
      <c r="C6" s="56"/>
    </row>
    <row r="7" spans="1:4" x14ac:dyDescent="0.3">
      <c r="A7" s="50" t="s">
        <v>25</v>
      </c>
      <c r="C7" s="51">
        <v>23528.91</v>
      </c>
      <c r="D7" s="8" t="s">
        <v>26</v>
      </c>
    </row>
    <row r="8" spans="1:4" x14ac:dyDescent="0.3">
      <c r="A8" s="50" t="s">
        <v>30</v>
      </c>
      <c r="C8" s="51">
        <v>15211.26</v>
      </c>
      <c r="D8" s="8" t="s">
        <v>27</v>
      </c>
    </row>
    <row r="9" spans="1:4" x14ac:dyDescent="0.3">
      <c r="A9" s="50" t="s">
        <v>28</v>
      </c>
      <c r="C9" s="51"/>
    </row>
    <row r="10" spans="1:4" x14ac:dyDescent="0.3">
      <c r="A10" s="50" t="s">
        <v>29</v>
      </c>
      <c r="B10" s="6">
        <v>2</v>
      </c>
      <c r="C10" s="51">
        <f>B10*C7</f>
        <v>47057.82</v>
      </c>
    </row>
    <row r="11" spans="1:4" x14ac:dyDescent="0.3">
      <c r="A11" s="50" t="s">
        <v>31</v>
      </c>
      <c r="B11" s="6">
        <v>3</v>
      </c>
      <c r="C11" s="51">
        <f>B11*C8</f>
        <v>45633.78</v>
      </c>
    </row>
    <row r="12" spans="1:4" x14ac:dyDescent="0.3">
      <c r="A12" s="50" t="s">
        <v>32</v>
      </c>
      <c r="C12" s="52">
        <f>SUM(C10:C11)</f>
        <v>92691.6</v>
      </c>
    </row>
    <row r="13" spans="1:4" x14ac:dyDescent="0.3">
      <c r="A13" s="50" t="s">
        <v>33</v>
      </c>
      <c r="C13" s="51">
        <v>10000</v>
      </c>
    </row>
    <row r="14" spans="1:4" x14ac:dyDescent="0.3">
      <c r="A14" s="50" t="s">
        <v>34</v>
      </c>
      <c r="C14" s="52">
        <f>C13*12</f>
        <v>120000</v>
      </c>
    </row>
    <row r="15" spans="1:4" ht="15" thickBot="1" x14ac:dyDescent="0.35">
      <c r="A15" s="43" t="s">
        <v>23</v>
      </c>
      <c r="B15" s="44"/>
      <c r="C15" s="57">
        <f>C14+C12</f>
        <v>212691.6</v>
      </c>
    </row>
    <row r="16" spans="1:4" x14ac:dyDescent="0.3">
      <c r="A16" s="50" t="s">
        <v>35</v>
      </c>
      <c r="C16" s="53">
        <v>15</v>
      </c>
    </row>
    <row r="17" spans="1:3" ht="15" thickBot="1" x14ac:dyDescent="0.35">
      <c r="A17" s="43" t="s">
        <v>36</v>
      </c>
      <c r="B17" s="44"/>
      <c r="C17" s="54">
        <f>C15*C16</f>
        <v>3190374</v>
      </c>
    </row>
  </sheetData>
  <hyperlinks>
    <hyperlink ref="D7" r:id="rId1" xr:uid="{63C5C554-48FC-4867-8444-1A12435C483C}"/>
    <hyperlink ref="D8" r:id="rId2" xr:uid="{1EE7CAAF-9948-408C-8639-A9E28963AF67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ADA5-3ECB-46F4-A897-5342F12EFE69}">
  <dimension ref="A1:AF26"/>
  <sheetViews>
    <sheetView zoomScale="85" zoomScaleNormal="85" workbookViewId="0">
      <pane xSplit="4" ySplit="6" topLeftCell="T7" activePane="bottomRight" state="frozen"/>
      <selection pane="topRight" activeCell="E1" sqref="E1"/>
      <selection pane="bottomLeft" activeCell="A7" sqref="A7"/>
      <selection pane="bottomRight" activeCell="X6" sqref="X6:AD17"/>
    </sheetView>
  </sheetViews>
  <sheetFormatPr defaultRowHeight="14.4" x14ac:dyDescent="0.3"/>
  <cols>
    <col min="1" max="1" width="4.6640625" bestFit="1" customWidth="1"/>
    <col min="2" max="2" width="15.109375" bestFit="1" customWidth="1"/>
    <col min="3" max="3" width="13.6640625" bestFit="1" customWidth="1"/>
    <col min="4" max="4" width="13.6640625" customWidth="1"/>
    <col min="5" max="5" width="2.44140625" customWidth="1"/>
    <col min="6" max="6" width="14.33203125" bestFit="1" customWidth="1"/>
    <col min="7" max="7" width="13.109375" customWidth="1"/>
    <col min="8" max="8" width="15.21875" bestFit="1" customWidth="1"/>
    <col min="9" max="9" width="2.109375" customWidth="1"/>
    <col min="10" max="10" width="19.33203125" customWidth="1"/>
    <col min="11" max="12" width="15.21875" customWidth="1"/>
    <col min="13" max="13" width="14.77734375" customWidth="1"/>
    <col min="14" max="14" width="4.6640625" customWidth="1"/>
    <col min="15" max="15" width="23.44140625" customWidth="1"/>
    <col min="16" max="16" width="14" bestFit="1" customWidth="1"/>
    <col min="17" max="17" width="13.21875" bestFit="1" customWidth="1"/>
    <col min="18" max="18" width="5.21875" customWidth="1"/>
    <col min="19" max="19" width="21" customWidth="1"/>
    <col min="20" max="20" width="25.109375" bestFit="1" customWidth="1"/>
    <col min="21" max="21" width="15.44140625" bestFit="1" customWidth="1"/>
    <col min="22" max="22" width="15.5546875" bestFit="1" customWidth="1"/>
    <col min="23" max="23" width="5.33203125" customWidth="1"/>
    <col min="24" max="25" width="15.109375" customWidth="1"/>
    <col min="26" max="26" width="15.21875" bestFit="1" customWidth="1"/>
    <col min="27" max="27" width="13.21875" bestFit="1" customWidth="1"/>
    <col min="28" max="28" width="13.109375" customWidth="1"/>
    <col min="29" max="30" width="13.6640625" bestFit="1" customWidth="1"/>
    <col min="31" max="31" width="13.6640625" customWidth="1"/>
    <col min="32" max="32" width="12.5546875" bestFit="1" customWidth="1"/>
  </cols>
  <sheetData>
    <row r="1" spans="1:32" x14ac:dyDescent="0.3">
      <c r="B1" s="31" t="s">
        <v>70</v>
      </c>
    </row>
    <row r="2" spans="1:32" x14ac:dyDescent="0.3">
      <c r="B2" s="32" t="s">
        <v>24</v>
      </c>
      <c r="F2" s="58" t="s">
        <v>49</v>
      </c>
      <c r="G2" s="59"/>
      <c r="H2" s="59"/>
      <c r="I2" s="59"/>
      <c r="J2" s="59"/>
      <c r="K2" s="59"/>
      <c r="L2" s="59"/>
      <c r="M2" s="60"/>
      <c r="O2" s="61" t="s">
        <v>41</v>
      </c>
      <c r="P2" s="62"/>
      <c r="Q2" s="63"/>
      <c r="S2" s="64" t="s">
        <v>58</v>
      </c>
      <c r="T2" s="65"/>
      <c r="U2" s="65"/>
      <c r="V2" s="66"/>
      <c r="X2" s="67" t="s">
        <v>64</v>
      </c>
      <c r="Y2" s="68"/>
      <c r="Z2" s="68"/>
      <c r="AA2" s="68"/>
      <c r="AB2" s="68"/>
      <c r="AC2" s="68"/>
      <c r="AD2" s="69"/>
    </row>
    <row r="3" spans="1:32" ht="15" thickBot="1" x14ac:dyDescent="0.35">
      <c r="B3" s="33">
        <v>8</v>
      </c>
      <c r="F3" s="22"/>
      <c r="M3" s="18"/>
      <c r="O3" s="22"/>
      <c r="Q3" s="18"/>
      <c r="S3" s="22"/>
      <c r="V3" s="18"/>
      <c r="X3" s="22"/>
      <c r="AD3" s="18"/>
    </row>
    <row r="4" spans="1:32" x14ac:dyDescent="0.3">
      <c r="F4" s="22"/>
      <c r="M4" s="18"/>
      <c r="O4" s="22"/>
      <c r="Q4" s="18"/>
      <c r="S4" s="22"/>
      <c r="V4" s="18"/>
      <c r="X4" s="22"/>
      <c r="AD4" s="18"/>
    </row>
    <row r="5" spans="1:32" x14ac:dyDescent="0.3">
      <c r="D5">
        <v>20</v>
      </c>
      <c r="F5" s="22"/>
      <c r="M5" s="18"/>
      <c r="O5" s="22"/>
      <c r="Q5" s="18"/>
      <c r="S5" s="22"/>
      <c r="V5" s="18"/>
      <c r="X5" s="22"/>
      <c r="AD5" s="18"/>
    </row>
    <row r="6" spans="1:32" s="6" customFormat="1" ht="43.2" x14ac:dyDescent="0.3">
      <c r="A6" s="5" t="s">
        <v>37</v>
      </c>
      <c r="B6" s="13" t="s">
        <v>21</v>
      </c>
      <c r="C6" s="13" t="s">
        <v>38</v>
      </c>
      <c r="D6" s="13" t="s">
        <v>41</v>
      </c>
      <c r="F6" s="24" t="s">
        <v>42</v>
      </c>
      <c r="G6" s="14" t="s">
        <v>43</v>
      </c>
      <c r="H6" s="14" t="s">
        <v>44</v>
      </c>
      <c r="I6" s="14"/>
      <c r="J6" s="14" t="s">
        <v>47</v>
      </c>
      <c r="K6" s="14" t="s">
        <v>45</v>
      </c>
      <c r="L6" s="14" t="s">
        <v>46</v>
      </c>
      <c r="M6" s="19" t="s">
        <v>48</v>
      </c>
      <c r="N6" s="14"/>
      <c r="O6" s="24" t="s">
        <v>50</v>
      </c>
      <c r="P6" s="14" t="s">
        <v>51</v>
      </c>
      <c r="Q6" s="19" t="s">
        <v>52</v>
      </c>
      <c r="R6" s="14"/>
      <c r="S6" s="24" t="s">
        <v>54</v>
      </c>
      <c r="T6" s="14" t="s">
        <v>55</v>
      </c>
      <c r="U6" s="14" t="s">
        <v>56</v>
      </c>
      <c r="V6" s="29" t="s">
        <v>57</v>
      </c>
      <c r="W6" s="9"/>
      <c r="X6" s="24" t="s">
        <v>59</v>
      </c>
      <c r="Y6" s="14" t="s">
        <v>63</v>
      </c>
      <c r="Z6" s="14" t="s">
        <v>51</v>
      </c>
      <c r="AA6" s="14" t="s">
        <v>38</v>
      </c>
      <c r="AB6" s="14" t="s">
        <v>61</v>
      </c>
      <c r="AC6" s="14" t="s">
        <v>60</v>
      </c>
      <c r="AD6" s="19" t="s">
        <v>62</v>
      </c>
      <c r="AE6" s="7"/>
      <c r="AF6" s="7"/>
    </row>
    <row r="7" spans="1:32" x14ac:dyDescent="0.3">
      <c r="A7" s="4">
        <v>0</v>
      </c>
      <c r="B7" s="12">
        <f>costcalculation!C3</f>
        <v>5000000</v>
      </c>
      <c r="C7" s="10"/>
      <c r="D7" s="10"/>
      <c r="F7" s="20">
        <f>C8/(B3/100)</f>
        <v>39879675</v>
      </c>
      <c r="G7" s="16">
        <f>D8/(B3/100)</f>
        <v>7975935</v>
      </c>
      <c r="H7" s="34">
        <f>F7+G7</f>
        <v>47855610</v>
      </c>
      <c r="I7" s="16"/>
      <c r="J7" s="16"/>
      <c r="K7" s="16"/>
      <c r="L7" s="16"/>
      <c r="M7" s="21"/>
      <c r="N7" s="16"/>
      <c r="O7" s="22"/>
      <c r="Q7" s="18"/>
      <c r="S7" s="27">
        <f>F7</f>
        <v>39879675</v>
      </c>
      <c r="T7" s="15">
        <f>S7-Q23</f>
        <v>35636164.551877081</v>
      </c>
      <c r="U7" s="15">
        <f>T7/(((1+B3/100)^10)-1)</f>
        <v>30749327.72676146</v>
      </c>
      <c r="V7" s="30">
        <f>U7</f>
        <v>30749327.72676146</v>
      </c>
      <c r="X7" s="39">
        <f>H7+V7</f>
        <v>78604937.72676146</v>
      </c>
      <c r="Y7" s="15">
        <f>X7</f>
        <v>78604937.72676146</v>
      </c>
      <c r="AC7" s="15"/>
      <c r="AD7" s="23"/>
      <c r="AE7" s="15"/>
      <c r="AF7" s="15"/>
    </row>
    <row r="8" spans="1:32" x14ac:dyDescent="0.3">
      <c r="A8" s="4">
        <v>1</v>
      </c>
      <c r="B8" s="10"/>
      <c r="C8" s="12">
        <f>costcalculation!C17</f>
        <v>3190374</v>
      </c>
      <c r="D8" s="12">
        <f>C8*D$5/100</f>
        <v>638074.80000000005</v>
      </c>
      <c r="F8" s="22"/>
      <c r="J8" s="15">
        <f t="shared" ref="J8:J17" si="0">H$7*B$3/100</f>
        <v>3828448.8</v>
      </c>
      <c r="K8" s="15">
        <f>C8</f>
        <v>3190374</v>
      </c>
      <c r="L8" s="15">
        <f>J8-K8</f>
        <v>638074.79999999981</v>
      </c>
      <c r="M8" s="23" t="b">
        <f>L8=D8</f>
        <v>1</v>
      </c>
      <c r="N8" s="15"/>
      <c r="O8" s="27">
        <f>L8</f>
        <v>638074.79999999981</v>
      </c>
      <c r="P8" s="15">
        <f>O7*B$3/100</f>
        <v>0</v>
      </c>
      <c r="Q8" s="23">
        <f>O8+P8+Q7</f>
        <v>638074.79999999981</v>
      </c>
      <c r="R8" s="15"/>
      <c r="S8" s="27"/>
      <c r="T8" s="15"/>
      <c r="U8" s="15">
        <f>U7*(1+B$3/100)</f>
        <v>33209273.944902379</v>
      </c>
      <c r="V8" s="23"/>
      <c r="X8" s="27"/>
      <c r="Y8" s="15">
        <f>Y7+AD8</f>
        <v>81702958.744902372</v>
      </c>
      <c r="Z8" s="15">
        <f>Y7*(B$3/100)</f>
        <v>6288395.0181409167</v>
      </c>
      <c r="AA8" s="15">
        <f>C8</f>
        <v>3190374</v>
      </c>
      <c r="AB8" s="15">
        <f>D8</f>
        <v>638074.80000000005</v>
      </c>
      <c r="AC8" s="15">
        <f>Z8-AA8-AB8</f>
        <v>2459946.2181409169</v>
      </c>
      <c r="AD8" s="23">
        <f>Z8-AA8</f>
        <v>3098021.0181409167</v>
      </c>
      <c r="AE8" s="15"/>
      <c r="AF8" s="15"/>
    </row>
    <row r="9" spans="1:32" x14ac:dyDescent="0.3">
      <c r="A9" s="4">
        <v>2</v>
      </c>
      <c r="B9" s="10"/>
      <c r="C9" s="12">
        <f>C8</f>
        <v>3190374</v>
      </c>
      <c r="D9" s="12">
        <f t="shared" ref="D9:D17" si="1">C9*D$5/100</f>
        <v>638074.80000000005</v>
      </c>
      <c r="F9" s="22"/>
      <c r="J9" s="15">
        <f t="shared" si="0"/>
        <v>3828448.8</v>
      </c>
      <c r="K9" s="15">
        <f t="shared" ref="K9:K17" si="2">C9</f>
        <v>3190374</v>
      </c>
      <c r="L9" s="15">
        <f t="shared" ref="L9:L17" si="3">J9-K9</f>
        <v>638074.79999999981</v>
      </c>
      <c r="M9" s="23" t="b">
        <f t="shared" ref="M9:M17" si="4">L9=D9</f>
        <v>1</v>
      </c>
      <c r="N9" s="15"/>
      <c r="O9" s="27">
        <f t="shared" ref="O9:O17" si="5">L9</f>
        <v>638074.79999999981</v>
      </c>
      <c r="P9" s="15">
        <f t="shared" ref="P9:P17" si="6">Q8*B$3/100</f>
        <v>51045.983999999982</v>
      </c>
      <c r="Q9" s="23">
        <f t="shared" ref="Q9:Q16" si="7">O9+P9+Q8</f>
        <v>1327195.5839999996</v>
      </c>
      <c r="R9" s="15"/>
      <c r="S9" s="27"/>
      <c r="T9" s="15"/>
      <c r="U9" s="15">
        <f t="shared" ref="U9:U16" si="8">U8*(1+B$3/100)</f>
        <v>35866015.860494569</v>
      </c>
      <c r="V9" s="23"/>
      <c r="W9" s="15"/>
      <c r="X9" s="27"/>
      <c r="Y9" s="15">
        <f t="shared" ref="Y9:Y17" si="9">Y8+AD9</f>
        <v>85048821.44449456</v>
      </c>
      <c r="Z9" s="15">
        <f t="shared" ref="Z9:Z17" si="10">Y8*(B$3/100)</f>
        <v>6536236.6995921899</v>
      </c>
      <c r="AA9" s="15">
        <f t="shared" ref="AA9:AA17" si="11">C9</f>
        <v>3190374</v>
      </c>
      <c r="AB9" s="15">
        <f t="shared" ref="AB9:AB17" si="12">D9</f>
        <v>638074.80000000005</v>
      </c>
      <c r="AC9" s="15">
        <f t="shared" ref="AC9:AC17" si="13">Z9-AA9-AB9</f>
        <v>2707787.89959219</v>
      </c>
      <c r="AD9" s="23">
        <f t="shared" ref="AD9:AD17" si="14">Z9-AA9</f>
        <v>3345862.6995921899</v>
      </c>
      <c r="AE9" s="15"/>
      <c r="AF9" s="15"/>
    </row>
    <row r="10" spans="1:32" x14ac:dyDescent="0.3">
      <c r="A10" s="4">
        <v>3</v>
      </c>
      <c r="B10" s="10"/>
      <c r="C10" s="12">
        <f t="shared" ref="C10:C17" si="15">C9</f>
        <v>3190374</v>
      </c>
      <c r="D10" s="12">
        <f t="shared" si="1"/>
        <v>638074.80000000005</v>
      </c>
      <c r="F10" s="22"/>
      <c r="J10" s="15">
        <f t="shared" si="0"/>
        <v>3828448.8</v>
      </c>
      <c r="K10" s="15">
        <f t="shared" si="2"/>
        <v>3190374</v>
      </c>
      <c r="L10" s="15">
        <f t="shared" si="3"/>
        <v>638074.79999999981</v>
      </c>
      <c r="M10" s="23" t="b">
        <f t="shared" si="4"/>
        <v>1</v>
      </c>
      <c r="N10" s="15"/>
      <c r="O10" s="27">
        <f t="shared" si="5"/>
        <v>638074.79999999981</v>
      </c>
      <c r="P10" s="15">
        <f t="shared" si="6"/>
        <v>106175.64671999996</v>
      </c>
      <c r="Q10" s="23">
        <f t="shared" si="7"/>
        <v>2071446.0307199992</v>
      </c>
      <c r="R10" s="15"/>
      <c r="S10" s="27"/>
      <c r="T10" s="15"/>
      <c r="U10" s="15">
        <f t="shared" si="8"/>
        <v>38735297.129334137</v>
      </c>
      <c r="V10" s="23"/>
      <c r="W10" s="15"/>
      <c r="X10" s="27"/>
      <c r="Y10" s="15">
        <f t="shared" si="9"/>
        <v>88662353.160054117</v>
      </c>
      <c r="Z10" s="15">
        <f t="shared" si="10"/>
        <v>6803905.7155595645</v>
      </c>
      <c r="AA10" s="15">
        <f t="shared" si="11"/>
        <v>3190374</v>
      </c>
      <c r="AB10" s="15">
        <f t="shared" si="12"/>
        <v>638074.80000000005</v>
      </c>
      <c r="AC10" s="15">
        <f t="shared" si="13"/>
        <v>2975456.9155595647</v>
      </c>
      <c r="AD10" s="23">
        <f t="shared" si="14"/>
        <v>3613531.7155595645</v>
      </c>
      <c r="AE10" s="15"/>
      <c r="AF10" s="15"/>
    </row>
    <row r="11" spans="1:32" x14ac:dyDescent="0.3">
      <c r="A11" s="4">
        <v>4</v>
      </c>
      <c r="B11" s="10"/>
      <c r="C11" s="12">
        <f t="shared" si="15"/>
        <v>3190374</v>
      </c>
      <c r="D11" s="12">
        <f t="shared" si="1"/>
        <v>638074.80000000005</v>
      </c>
      <c r="F11" s="22"/>
      <c r="J11" s="15">
        <f t="shared" si="0"/>
        <v>3828448.8</v>
      </c>
      <c r="K11" s="15">
        <f t="shared" si="2"/>
        <v>3190374</v>
      </c>
      <c r="L11" s="15">
        <f t="shared" si="3"/>
        <v>638074.79999999981</v>
      </c>
      <c r="M11" s="23" t="b">
        <f t="shared" si="4"/>
        <v>1</v>
      </c>
      <c r="N11" s="15"/>
      <c r="O11" s="27">
        <f t="shared" si="5"/>
        <v>638074.79999999981</v>
      </c>
      <c r="P11" s="15">
        <f t="shared" si="6"/>
        <v>165715.68245759993</v>
      </c>
      <c r="Q11" s="23">
        <f t="shared" si="7"/>
        <v>2875236.5131775988</v>
      </c>
      <c r="R11" s="15"/>
      <c r="S11" s="27"/>
      <c r="T11" s="15"/>
      <c r="U11" s="15">
        <f t="shared" si="8"/>
        <v>41834120.899680868</v>
      </c>
      <c r="V11" s="23"/>
      <c r="W11" s="15"/>
      <c r="X11" s="27"/>
      <c r="Y11" s="15">
        <f t="shared" si="9"/>
        <v>92564967.412858441</v>
      </c>
      <c r="Z11" s="15">
        <f t="shared" si="10"/>
        <v>7092988.2528043296</v>
      </c>
      <c r="AA11" s="15">
        <f t="shared" si="11"/>
        <v>3190374</v>
      </c>
      <c r="AB11" s="15">
        <f t="shared" si="12"/>
        <v>638074.80000000005</v>
      </c>
      <c r="AC11" s="15">
        <f t="shared" si="13"/>
        <v>3264539.4528043298</v>
      </c>
      <c r="AD11" s="23">
        <f t="shared" si="14"/>
        <v>3902614.2528043296</v>
      </c>
      <c r="AE11" s="15"/>
      <c r="AF11" s="15"/>
    </row>
    <row r="12" spans="1:32" x14ac:dyDescent="0.3">
      <c r="A12" s="4">
        <v>5</v>
      </c>
      <c r="B12" s="10"/>
      <c r="C12" s="12">
        <f t="shared" si="15"/>
        <v>3190374</v>
      </c>
      <c r="D12" s="12">
        <f t="shared" si="1"/>
        <v>638074.80000000005</v>
      </c>
      <c r="F12" s="22"/>
      <c r="J12" s="15">
        <f t="shared" si="0"/>
        <v>3828448.8</v>
      </c>
      <c r="K12" s="15">
        <f t="shared" si="2"/>
        <v>3190374</v>
      </c>
      <c r="L12" s="15">
        <f t="shared" si="3"/>
        <v>638074.79999999981</v>
      </c>
      <c r="M12" s="23" t="b">
        <f t="shared" si="4"/>
        <v>1</v>
      </c>
      <c r="N12" s="15"/>
      <c r="O12" s="27">
        <f t="shared" si="5"/>
        <v>638074.79999999981</v>
      </c>
      <c r="P12" s="15">
        <f t="shared" si="6"/>
        <v>230018.92105420789</v>
      </c>
      <c r="Q12" s="23">
        <f t="shared" si="7"/>
        <v>3743330.2342318064</v>
      </c>
      <c r="R12" s="15"/>
      <c r="S12" s="27"/>
      <c r="T12" s="15"/>
      <c r="U12" s="15">
        <f t="shared" si="8"/>
        <v>45180850.57165534</v>
      </c>
      <c r="V12" s="23"/>
      <c r="W12" s="15"/>
      <c r="X12" s="27"/>
      <c r="Y12" s="15">
        <f t="shared" si="9"/>
        <v>96779790.805887118</v>
      </c>
      <c r="Z12" s="15">
        <f t="shared" si="10"/>
        <v>7405197.3930286756</v>
      </c>
      <c r="AA12" s="15">
        <f t="shared" si="11"/>
        <v>3190374</v>
      </c>
      <c r="AB12" s="15">
        <f t="shared" si="12"/>
        <v>638074.80000000005</v>
      </c>
      <c r="AC12" s="15">
        <f t="shared" si="13"/>
        <v>3576748.5930286758</v>
      </c>
      <c r="AD12" s="23">
        <f t="shared" si="14"/>
        <v>4214823.3930286756</v>
      </c>
      <c r="AE12" s="15"/>
      <c r="AF12" s="15"/>
    </row>
    <row r="13" spans="1:32" x14ac:dyDescent="0.3">
      <c r="A13" s="4">
        <v>6</v>
      </c>
      <c r="B13" s="10"/>
      <c r="C13" s="12">
        <f t="shared" si="15"/>
        <v>3190374</v>
      </c>
      <c r="D13" s="12">
        <f t="shared" si="1"/>
        <v>638074.80000000005</v>
      </c>
      <c r="F13" s="22"/>
      <c r="J13" s="15">
        <f t="shared" si="0"/>
        <v>3828448.8</v>
      </c>
      <c r="K13" s="15">
        <f t="shared" si="2"/>
        <v>3190374</v>
      </c>
      <c r="L13" s="15">
        <f t="shared" si="3"/>
        <v>638074.79999999981</v>
      </c>
      <c r="M13" s="23" t="b">
        <f t="shared" si="4"/>
        <v>1</v>
      </c>
      <c r="N13" s="15"/>
      <c r="O13" s="27">
        <f t="shared" si="5"/>
        <v>638074.79999999981</v>
      </c>
      <c r="P13" s="15">
        <f t="shared" si="6"/>
        <v>299466.41873854451</v>
      </c>
      <c r="Q13" s="23">
        <f t="shared" si="7"/>
        <v>4680871.4529703502</v>
      </c>
      <c r="R13" s="15"/>
      <c r="S13" s="27"/>
      <c r="T13" s="15"/>
      <c r="U13" s="15">
        <f t="shared" si="8"/>
        <v>48795318.617387772</v>
      </c>
      <c r="V13" s="23"/>
      <c r="W13" s="15"/>
      <c r="X13" s="27"/>
      <c r="Y13" s="15">
        <f t="shared" si="9"/>
        <v>101331800.07035808</v>
      </c>
      <c r="Z13" s="15">
        <f t="shared" si="10"/>
        <v>7742383.2644709693</v>
      </c>
      <c r="AA13" s="15">
        <f t="shared" si="11"/>
        <v>3190374</v>
      </c>
      <c r="AB13" s="15">
        <f t="shared" si="12"/>
        <v>638074.80000000005</v>
      </c>
      <c r="AC13" s="15">
        <f t="shared" si="13"/>
        <v>3913934.4644709695</v>
      </c>
      <c r="AD13" s="23">
        <f t="shared" si="14"/>
        <v>4552009.2644709693</v>
      </c>
      <c r="AE13" s="15"/>
      <c r="AF13" s="15"/>
    </row>
    <row r="14" spans="1:32" x14ac:dyDescent="0.3">
      <c r="A14" s="4">
        <v>7</v>
      </c>
      <c r="B14" s="10"/>
      <c r="C14" s="12">
        <f t="shared" si="15"/>
        <v>3190374</v>
      </c>
      <c r="D14" s="12">
        <f t="shared" si="1"/>
        <v>638074.80000000005</v>
      </c>
      <c r="F14" s="22"/>
      <c r="J14" s="15">
        <f t="shared" si="0"/>
        <v>3828448.8</v>
      </c>
      <c r="K14" s="15">
        <f t="shared" si="2"/>
        <v>3190374</v>
      </c>
      <c r="L14" s="15">
        <f t="shared" si="3"/>
        <v>638074.79999999981</v>
      </c>
      <c r="M14" s="23" t="b">
        <f t="shared" si="4"/>
        <v>1</v>
      </c>
      <c r="N14" s="15"/>
      <c r="O14" s="27">
        <f t="shared" si="5"/>
        <v>638074.79999999981</v>
      </c>
      <c r="P14" s="15">
        <f t="shared" si="6"/>
        <v>374469.71623762802</v>
      </c>
      <c r="Q14" s="23">
        <f t="shared" si="7"/>
        <v>5693415.9692079779</v>
      </c>
      <c r="R14" s="15"/>
      <c r="S14" s="27"/>
      <c r="T14" s="15"/>
      <c r="U14" s="15">
        <f t="shared" si="8"/>
        <v>52698944.1067788</v>
      </c>
      <c r="V14" s="23"/>
      <c r="W14" s="15"/>
      <c r="X14" s="27"/>
      <c r="Y14" s="15">
        <f t="shared" si="9"/>
        <v>106247970.07598673</v>
      </c>
      <c r="Z14" s="15">
        <f t="shared" si="10"/>
        <v>8106544.0056286464</v>
      </c>
      <c r="AA14" s="15">
        <f t="shared" si="11"/>
        <v>3190374</v>
      </c>
      <c r="AB14" s="15">
        <f t="shared" si="12"/>
        <v>638074.80000000005</v>
      </c>
      <c r="AC14" s="15">
        <f t="shared" si="13"/>
        <v>4278095.2056286465</v>
      </c>
      <c r="AD14" s="23">
        <f t="shared" si="14"/>
        <v>4916170.0056286464</v>
      </c>
      <c r="AE14" s="15"/>
      <c r="AF14" s="15"/>
    </row>
    <row r="15" spans="1:32" x14ac:dyDescent="0.3">
      <c r="A15" s="4">
        <v>8</v>
      </c>
      <c r="B15" s="10"/>
      <c r="C15" s="12">
        <f t="shared" si="15"/>
        <v>3190374</v>
      </c>
      <c r="D15" s="12">
        <f t="shared" si="1"/>
        <v>638074.80000000005</v>
      </c>
      <c r="F15" s="22"/>
      <c r="J15" s="15">
        <f t="shared" si="0"/>
        <v>3828448.8</v>
      </c>
      <c r="K15" s="15">
        <f t="shared" si="2"/>
        <v>3190374</v>
      </c>
      <c r="L15" s="15">
        <f t="shared" si="3"/>
        <v>638074.79999999981</v>
      </c>
      <c r="M15" s="23" t="b">
        <f t="shared" si="4"/>
        <v>1</v>
      </c>
      <c r="N15" s="15"/>
      <c r="O15" s="27">
        <f t="shared" si="5"/>
        <v>638074.79999999981</v>
      </c>
      <c r="P15" s="15">
        <f t="shared" si="6"/>
        <v>455473.27753663826</v>
      </c>
      <c r="Q15" s="23">
        <f t="shared" si="7"/>
        <v>6786964.0467446158</v>
      </c>
      <c r="R15" s="15"/>
      <c r="S15" s="27"/>
      <c r="T15" s="15"/>
      <c r="U15" s="15">
        <f t="shared" si="8"/>
        <v>56914859.63532111</v>
      </c>
      <c r="V15" s="23"/>
      <c r="W15" s="15"/>
      <c r="X15" s="27"/>
      <c r="Y15" s="15">
        <f t="shared" si="9"/>
        <v>111557433.68206567</v>
      </c>
      <c r="Z15" s="15">
        <f t="shared" si="10"/>
        <v>8499837.6060789376</v>
      </c>
      <c r="AA15" s="15">
        <f t="shared" si="11"/>
        <v>3190374</v>
      </c>
      <c r="AB15" s="15">
        <f t="shared" si="12"/>
        <v>638074.80000000005</v>
      </c>
      <c r="AC15" s="15">
        <f t="shared" si="13"/>
        <v>4671388.8060789378</v>
      </c>
      <c r="AD15" s="23">
        <f t="shared" si="14"/>
        <v>5309463.6060789376</v>
      </c>
      <c r="AE15" s="15"/>
      <c r="AF15" s="15"/>
    </row>
    <row r="16" spans="1:32" x14ac:dyDescent="0.3">
      <c r="A16" s="4">
        <v>9</v>
      </c>
      <c r="B16" s="10"/>
      <c r="C16" s="12">
        <f t="shared" si="15"/>
        <v>3190374</v>
      </c>
      <c r="D16" s="12">
        <f t="shared" si="1"/>
        <v>638074.80000000005</v>
      </c>
      <c r="F16" s="22"/>
      <c r="J16" s="15">
        <f t="shared" si="0"/>
        <v>3828448.8</v>
      </c>
      <c r="K16" s="15">
        <f t="shared" si="2"/>
        <v>3190374</v>
      </c>
      <c r="L16" s="15">
        <f t="shared" si="3"/>
        <v>638074.79999999981</v>
      </c>
      <c r="M16" s="23" t="b">
        <f t="shared" si="4"/>
        <v>1</v>
      </c>
      <c r="N16" s="15"/>
      <c r="O16" s="27">
        <f t="shared" si="5"/>
        <v>638074.79999999981</v>
      </c>
      <c r="P16" s="15">
        <f t="shared" si="6"/>
        <v>542957.12373956922</v>
      </c>
      <c r="Q16" s="23">
        <f t="shared" si="7"/>
        <v>7967995.970484185</v>
      </c>
      <c r="R16" s="15"/>
      <c r="S16" s="27"/>
      <c r="T16" s="15"/>
      <c r="U16" s="15">
        <f t="shared" si="8"/>
        <v>61468048.406146802</v>
      </c>
      <c r="V16" s="23"/>
      <c r="W16" s="15"/>
      <c r="X16" s="27"/>
      <c r="Y16" s="15">
        <f t="shared" si="9"/>
        <v>117291654.37663092</v>
      </c>
      <c r="Z16" s="15">
        <f t="shared" si="10"/>
        <v>8924594.6945652533</v>
      </c>
      <c r="AA16" s="15">
        <f t="shared" si="11"/>
        <v>3190374</v>
      </c>
      <c r="AB16" s="15">
        <f t="shared" si="12"/>
        <v>638074.80000000005</v>
      </c>
      <c r="AC16" s="15">
        <f t="shared" si="13"/>
        <v>5096145.8945652535</v>
      </c>
      <c r="AD16" s="23">
        <f t="shared" si="14"/>
        <v>5734220.6945652533</v>
      </c>
      <c r="AE16" s="15"/>
      <c r="AF16" s="15"/>
    </row>
    <row r="17" spans="1:32" x14ac:dyDescent="0.3">
      <c r="A17" s="4">
        <v>10</v>
      </c>
      <c r="B17" s="10"/>
      <c r="C17" s="12">
        <f t="shared" si="15"/>
        <v>3190374</v>
      </c>
      <c r="D17" s="12">
        <f t="shared" si="1"/>
        <v>638074.80000000005</v>
      </c>
      <c r="F17" s="22"/>
      <c r="J17" s="15">
        <f t="shared" si="0"/>
        <v>3828448.8</v>
      </c>
      <c r="K17" s="15">
        <f t="shared" si="2"/>
        <v>3190374</v>
      </c>
      <c r="L17" s="15">
        <f t="shared" si="3"/>
        <v>638074.79999999981</v>
      </c>
      <c r="M17" s="23" t="b">
        <f t="shared" si="4"/>
        <v>1</v>
      </c>
      <c r="N17" s="15"/>
      <c r="O17" s="27">
        <f t="shared" si="5"/>
        <v>638074.79999999981</v>
      </c>
      <c r="P17" s="15">
        <f t="shared" si="6"/>
        <v>637439.67763873481</v>
      </c>
      <c r="Q17" s="28">
        <f>O17+P17+Q16</f>
        <v>9243510.4481229186</v>
      </c>
      <c r="R17" s="15"/>
      <c r="S17" s="27"/>
      <c r="T17" s="15"/>
      <c r="U17" s="15">
        <f>U16*(1+B$3/100)</f>
        <v>66385492.278638549</v>
      </c>
      <c r="V17" s="23"/>
      <c r="W17" s="15"/>
      <c r="X17" s="27"/>
      <c r="Y17" s="35">
        <f t="shared" si="9"/>
        <v>123484612.72676139</v>
      </c>
      <c r="Z17" s="15">
        <f t="shared" si="10"/>
        <v>9383332.3501304742</v>
      </c>
      <c r="AA17" s="15">
        <f t="shared" si="11"/>
        <v>3190374</v>
      </c>
      <c r="AB17" s="15">
        <f t="shared" si="12"/>
        <v>638074.80000000005</v>
      </c>
      <c r="AC17" s="15">
        <f t="shared" si="13"/>
        <v>5554883.5501304744</v>
      </c>
      <c r="AD17" s="23">
        <f t="shared" si="14"/>
        <v>6192958.3501304742</v>
      </c>
      <c r="AE17" s="15"/>
      <c r="AF17" s="15"/>
    </row>
    <row r="18" spans="1:32" x14ac:dyDescent="0.3">
      <c r="A18" s="25"/>
      <c r="B18" s="25"/>
      <c r="C18" s="25"/>
      <c r="D18" s="25"/>
      <c r="F18" s="22"/>
      <c r="M18" s="18"/>
      <c r="O18" s="27"/>
      <c r="Q18" s="18"/>
      <c r="S18" s="27">
        <f>D18</f>
        <v>0</v>
      </c>
      <c r="V18" s="18"/>
      <c r="X18" s="22"/>
      <c r="Z18" s="15"/>
      <c r="AD18" s="18"/>
      <c r="AE18" s="15"/>
    </row>
    <row r="19" spans="1:32" x14ac:dyDescent="0.3">
      <c r="O19" s="15"/>
    </row>
    <row r="20" spans="1:32" x14ac:dyDescent="0.3">
      <c r="O20" s="15"/>
    </row>
    <row r="21" spans="1:32" x14ac:dyDescent="0.3">
      <c r="O21" s="15"/>
    </row>
    <row r="22" spans="1:32" x14ac:dyDescent="0.3">
      <c r="O22" s="15"/>
      <c r="P22" t="s">
        <v>39</v>
      </c>
      <c r="Q22" s="15">
        <f>B7</f>
        <v>5000000</v>
      </c>
      <c r="R22" t="s">
        <v>21</v>
      </c>
      <c r="X22" s="15" t="s">
        <v>39</v>
      </c>
      <c r="Y22" s="15">
        <f>B7</f>
        <v>5000000</v>
      </c>
      <c r="Z22" t="s">
        <v>21</v>
      </c>
    </row>
    <row r="23" spans="1:32" x14ac:dyDescent="0.3">
      <c r="Q23" s="26">
        <f>Q17-Q22</f>
        <v>4243510.4481229186</v>
      </c>
      <c r="R23" t="s">
        <v>53</v>
      </c>
      <c r="Y23" s="15">
        <f>Y17-Y22</f>
        <v>118484612.72676139</v>
      </c>
    </row>
    <row r="24" spans="1:32" x14ac:dyDescent="0.3">
      <c r="F24" s="15"/>
      <c r="X24" s="15" t="s">
        <v>39</v>
      </c>
      <c r="Y24" s="15">
        <f>X7</f>
        <v>78604937.72676146</v>
      </c>
      <c r="Z24" t="s">
        <v>59</v>
      </c>
    </row>
    <row r="25" spans="1:32" x14ac:dyDescent="0.3">
      <c r="Y25" s="36">
        <f>Y23-Y24</f>
        <v>39879674.999999925</v>
      </c>
      <c r="Z25" t="s">
        <v>65</v>
      </c>
    </row>
    <row r="26" spans="1:32" x14ac:dyDescent="0.3">
      <c r="Y26" s="38" t="str">
        <f>IF(ABS(Y25-S7)&lt;0.001,"TRUE","FALSE")</f>
        <v>TRUE</v>
      </c>
    </row>
  </sheetData>
  <mergeCells count="4">
    <mergeCell ref="F2:M2"/>
    <mergeCell ref="O2:Q2"/>
    <mergeCell ref="S2:V2"/>
    <mergeCell ref="X2:AD2"/>
  </mergeCells>
  <conditionalFormatting sqref="M8:M17">
    <cfRule type="cellIs" dxfId="12" priority="5" operator="equal">
      <formula>FALSE</formula>
    </cfRule>
    <cfRule type="cellIs" dxfId="11" priority="6" operator="equal">
      <formula>TRUE</formula>
    </cfRule>
  </conditionalFormatting>
  <conditionalFormatting sqref="Y26">
    <cfRule type="cellIs" dxfId="10" priority="1" operator="equal">
      <formula>FALSE</formula>
    </cfRule>
    <cfRule type="cellIs" dxfId="9" priority="2" operator="equal">
      <formula>TRUE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39FE-C042-4069-A409-6CE4A2855873}">
  <dimension ref="A1:AF26"/>
  <sheetViews>
    <sheetView zoomScale="85" zoomScaleNormal="85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B1" sqref="B1"/>
    </sheetView>
  </sheetViews>
  <sheetFormatPr defaultRowHeight="14.4" x14ac:dyDescent="0.3"/>
  <cols>
    <col min="1" max="1" width="4.77734375" bestFit="1" customWidth="1"/>
    <col min="2" max="2" width="13.21875" bestFit="1" customWidth="1"/>
    <col min="3" max="3" width="14.33203125" bestFit="1" customWidth="1"/>
    <col min="4" max="4" width="13.21875" bestFit="1" customWidth="1"/>
    <col min="5" max="5" width="2.44140625" customWidth="1"/>
    <col min="6" max="6" width="14.33203125" bestFit="1" customWidth="1"/>
    <col min="7" max="7" width="13.21875" bestFit="1" customWidth="1"/>
    <col min="8" max="8" width="14.5546875" bestFit="1" customWidth="1"/>
    <col min="9" max="9" width="2.109375" customWidth="1"/>
    <col min="10" max="10" width="19.21875" bestFit="1" customWidth="1"/>
    <col min="11" max="11" width="14.33203125" bestFit="1" customWidth="1"/>
    <col min="12" max="12" width="13.21875" bestFit="1" customWidth="1"/>
    <col min="13" max="13" width="19.33203125" bestFit="1" customWidth="1"/>
    <col min="14" max="14" width="4.6640625" customWidth="1"/>
    <col min="15" max="15" width="17.109375" bestFit="1" customWidth="1"/>
    <col min="16" max="16" width="13.88671875" bestFit="1" customWidth="1"/>
    <col min="17" max="17" width="14.33203125" bestFit="1" customWidth="1"/>
    <col min="18" max="18" width="11.21875" bestFit="1" customWidth="1"/>
    <col min="19" max="19" width="20.88671875" bestFit="1" customWidth="1"/>
    <col min="20" max="20" width="26.88671875" bestFit="1" customWidth="1"/>
    <col min="21" max="21" width="15.44140625" bestFit="1" customWidth="1"/>
    <col min="22" max="22" width="15.5546875" bestFit="1" customWidth="1"/>
    <col min="23" max="23" width="5.33203125" customWidth="1"/>
    <col min="24" max="25" width="14.33203125" bestFit="1" customWidth="1"/>
    <col min="26" max="26" width="18" bestFit="1" customWidth="1"/>
    <col min="27" max="27" width="13.21875" bestFit="1" customWidth="1"/>
    <col min="28" max="28" width="12.5546875" bestFit="1" customWidth="1"/>
    <col min="29" max="30" width="13.21875" bestFit="1" customWidth="1"/>
    <col min="31" max="31" width="13.6640625" customWidth="1"/>
    <col min="32" max="32" width="12.5546875" bestFit="1" customWidth="1"/>
  </cols>
  <sheetData>
    <row r="1" spans="1:32" x14ac:dyDescent="0.3">
      <c r="B1" s="31" t="s">
        <v>70</v>
      </c>
    </row>
    <row r="2" spans="1:32" x14ac:dyDescent="0.3">
      <c r="B2" s="32" t="s">
        <v>24</v>
      </c>
      <c r="F2" s="58" t="s">
        <v>49</v>
      </c>
      <c r="G2" s="59"/>
      <c r="H2" s="59"/>
      <c r="I2" s="59"/>
      <c r="J2" s="59"/>
      <c r="K2" s="59"/>
      <c r="L2" s="59"/>
      <c r="M2" s="60"/>
      <c r="O2" s="61" t="s">
        <v>41</v>
      </c>
      <c r="P2" s="62"/>
      <c r="Q2" s="63"/>
      <c r="S2" s="64" t="s">
        <v>58</v>
      </c>
      <c r="T2" s="65"/>
      <c r="U2" s="65"/>
      <c r="V2" s="66"/>
      <c r="X2" s="67" t="s">
        <v>64</v>
      </c>
      <c r="Y2" s="68"/>
      <c r="Z2" s="68"/>
      <c r="AA2" s="68"/>
      <c r="AB2" s="68"/>
      <c r="AC2" s="68"/>
      <c r="AD2" s="69"/>
    </row>
    <row r="3" spans="1:32" ht="15" thickBot="1" x14ac:dyDescent="0.35">
      <c r="B3" s="33">
        <v>10</v>
      </c>
      <c r="F3" s="22"/>
      <c r="M3" s="18"/>
      <c r="O3" s="22"/>
      <c r="Q3" s="18"/>
      <c r="S3" s="22"/>
      <c r="V3" s="18"/>
      <c r="X3" s="22"/>
      <c r="AD3" s="18"/>
    </row>
    <row r="4" spans="1:32" x14ac:dyDescent="0.3">
      <c r="F4" s="22"/>
      <c r="M4" s="18"/>
      <c r="O4" s="22"/>
      <c r="Q4" s="18"/>
      <c r="S4" s="22"/>
      <c r="V4" s="18"/>
      <c r="X4" s="22"/>
      <c r="AD4" s="18"/>
    </row>
    <row r="5" spans="1:32" x14ac:dyDescent="0.3">
      <c r="D5">
        <v>20</v>
      </c>
      <c r="F5" s="22"/>
      <c r="M5" s="18"/>
      <c r="O5" s="22"/>
      <c r="Q5" s="18"/>
      <c r="S5" s="22"/>
      <c r="V5" s="18"/>
      <c r="X5" s="22"/>
      <c r="AD5" s="18"/>
    </row>
    <row r="6" spans="1:32" s="6" customFormat="1" ht="43.2" x14ac:dyDescent="0.3">
      <c r="A6" s="5" t="s">
        <v>37</v>
      </c>
      <c r="B6" s="13" t="s">
        <v>21</v>
      </c>
      <c r="C6" s="13" t="s">
        <v>38</v>
      </c>
      <c r="D6" s="13" t="s">
        <v>41</v>
      </c>
      <c r="F6" s="24" t="s">
        <v>42</v>
      </c>
      <c r="G6" s="14" t="s">
        <v>43</v>
      </c>
      <c r="H6" s="14" t="s">
        <v>44</v>
      </c>
      <c r="I6" s="14"/>
      <c r="J6" s="14" t="s">
        <v>47</v>
      </c>
      <c r="K6" s="14" t="s">
        <v>45</v>
      </c>
      <c r="L6" s="14" t="s">
        <v>46</v>
      </c>
      <c r="M6" s="19" t="s">
        <v>48</v>
      </c>
      <c r="N6" s="14"/>
      <c r="O6" s="24" t="s">
        <v>50</v>
      </c>
      <c r="P6" s="14" t="s">
        <v>51</v>
      </c>
      <c r="Q6" s="19" t="s">
        <v>52</v>
      </c>
      <c r="R6" s="14"/>
      <c r="S6" s="24" t="s">
        <v>54</v>
      </c>
      <c r="T6" s="14" t="s">
        <v>55</v>
      </c>
      <c r="U6" s="14" t="s">
        <v>56</v>
      </c>
      <c r="V6" s="29" t="s">
        <v>57</v>
      </c>
      <c r="W6" s="9"/>
      <c r="X6" s="24" t="s">
        <v>59</v>
      </c>
      <c r="Y6" s="14" t="s">
        <v>63</v>
      </c>
      <c r="Z6" s="14" t="s">
        <v>51</v>
      </c>
      <c r="AA6" s="14" t="s">
        <v>38</v>
      </c>
      <c r="AB6" s="14" t="s">
        <v>61</v>
      </c>
      <c r="AC6" s="14" t="s">
        <v>60</v>
      </c>
      <c r="AD6" s="19" t="s">
        <v>62</v>
      </c>
      <c r="AE6" s="7"/>
      <c r="AF6" s="7"/>
    </row>
    <row r="7" spans="1:32" x14ac:dyDescent="0.3">
      <c r="A7" s="4">
        <v>0</v>
      </c>
      <c r="B7" s="12">
        <f>costcalculation!C3</f>
        <v>5000000</v>
      </c>
      <c r="C7" s="10"/>
      <c r="D7" s="10"/>
      <c r="F7" s="20">
        <f>C8/(B3/100)</f>
        <v>31903740</v>
      </c>
      <c r="G7" s="16">
        <f>D8/(B3/100)</f>
        <v>6380748</v>
      </c>
      <c r="H7" s="34">
        <f>F7+G7</f>
        <v>38284488</v>
      </c>
      <c r="I7" s="16"/>
      <c r="J7" s="16"/>
      <c r="K7" s="16"/>
      <c r="L7" s="16"/>
      <c r="M7" s="21"/>
      <c r="N7" s="16"/>
      <c r="O7" s="22"/>
      <c r="Q7" s="18"/>
      <c r="S7" s="27">
        <f>F7</f>
        <v>31903740</v>
      </c>
      <c r="T7" s="15">
        <f>S7-Q23</f>
        <v>26734470.985201851</v>
      </c>
      <c r="U7" s="15">
        <f>T7/(((1+B3/100)^10)-1)</f>
        <v>16774649.389415372</v>
      </c>
      <c r="V7" s="30">
        <f>U7</f>
        <v>16774649.389415372</v>
      </c>
      <c r="X7" s="39">
        <f>H7+V7</f>
        <v>55059137.389415368</v>
      </c>
      <c r="Y7" s="15">
        <f>X7</f>
        <v>55059137.389415368</v>
      </c>
      <c r="AC7" s="15"/>
      <c r="AD7" s="23"/>
      <c r="AE7" s="15"/>
      <c r="AF7" s="15"/>
    </row>
    <row r="8" spans="1:32" x14ac:dyDescent="0.3">
      <c r="A8" s="4">
        <v>1</v>
      </c>
      <c r="B8" s="10"/>
      <c r="C8" s="12">
        <f>costcalculation!C17</f>
        <v>3190374</v>
      </c>
      <c r="D8" s="12">
        <f>C8*D$5/100</f>
        <v>638074.80000000005</v>
      </c>
      <c r="F8" s="22"/>
      <c r="J8" s="15">
        <f t="shared" ref="J8:J17" si="0">H$7*B$3/100</f>
        <v>3828448.8</v>
      </c>
      <c r="K8" s="15">
        <f>C8</f>
        <v>3190374</v>
      </c>
      <c r="L8" s="15">
        <f>J8-K8</f>
        <v>638074.79999999981</v>
      </c>
      <c r="M8" s="23" t="b">
        <f>L8=D8</f>
        <v>1</v>
      </c>
      <c r="N8" s="15"/>
      <c r="O8" s="27">
        <f>L8</f>
        <v>638074.79999999981</v>
      </c>
      <c r="P8" s="15">
        <f>O7*B$3/100</f>
        <v>0</v>
      </c>
      <c r="Q8" s="23">
        <f>O8+P8+Q7</f>
        <v>638074.79999999981</v>
      </c>
      <c r="R8" s="15"/>
      <c r="S8" s="27"/>
      <c r="T8" s="15"/>
      <c r="U8" s="15">
        <f>U7*(1+B$3/100)</f>
        <v>18452114.32835691</v>
      </c>
      <c r="V8" s="23"/>
      <c r="X8" s="27"/>
      <c r="Y8" s="15">
        <f>Y7+AD8</f>
        <v>57374677.128356904</v>
      </c>
      <c r="Z8" s="15">
        <f>Y7*(B$3/100)</f>
        <v>5505913.7389415372</v>
      </c>
      <c r="AA8" s="15">
        <f>C8</f>
        <v>3190374</v>
      </c>
      <c r="AB8" s="15">
        <f>D8</f>
        <v>638074.80000000005</v>
      </c>
      <c r="AC8" s="15">
        <f>Z8-AA8-AB8</f>
        <v>1677464.9389415372</v>
      </c>
      <c r="AD8" s="23">
        <f>Z8-AA8</f>
        <v>2315539.7389415372</v>
      </c>
      <c r="AE8" s="15"/>
      <c r="AF8" s="15"/>
    </row>
    <row r="9" spans="1:32" x14ac:dyDescent="0.3">
      <c r="A9" s="4">
        <v>2</v>
      </c>
      <c r="B9" s="10"/>
      <c r="C9" s="12">
        <f>C8</f>
        <v>3190374</v>
      </c>
      <c r="D9" s="12">
        <f t="shared" ref="D9:D17" si="1">C9*D$5/100</f>
        <v>638074.80000000005</v>
      </c>
      <c r="F9" s="22"/>
      <c r="J9" s="15">
        <f t="shared" si="0"/>
        <v>3828448.8</v>
      </c>
      <c r="K9" s="15">
        <f t="shared" ref="K9:K17" si="2">C9</f>
        <v>3190374</v>
      </c>
      <c r="L9" s="15">
        <f t="shared" ref="L9:L17" si="3">J9-K9</f>
        <v>638074.79999999981</v>
      </c>
      <c r="M9" s="23" t="b">
        <f t="shared" ref="M9:M17" si="4">L9=D9</f>
        <v>1</v>
      </c>
      <c r="N9" s="15"/>
      <c r="O9" s="27">
        <f t="shared" ref="O9:O17" si="5">L9</f>
        <v>638074.79999999981</v>
      </c>
      <c r="P9" s="15">
        <f t="shared" ref="P9:P17" si="6">Q8*B$3/100</f>
        <v>63807.479999999981</v>
      </c>
      <c r="Q9" s="23">
        <f t="shared" ref="Q9:Q16" si="7">O9+P9+Q8</f>
        <v>1339957.0799999996</v>
      </c>
      <c r="R9" s="15"/>
      <c r="S9" s="27"/>
      <c r="T9" s="15"/>
      <c r="U9" s="15">
        <f t="shared" ref="U9:U17" si="8">U8*(1+B$3/100)</f>
        <v>20297325.761192605</v>
      </c>
      <c r="V9" s="23"/>
      <c r="W9" s="15"/>
      <c r="X9" s="27"/>
      <c r="Y9" s="15">
        <f t="shared" ref="Y9:Y17" si="9">Y8+AD9</f>
        <v>59921770.841192596</v>
      </c>
      <c r="Z9" s="15">
        <f t="shared" ref="Z9:Z17" si="10">Y8*(B$3/100)</f>
        <v>5737467.7128356909</v>
      </c>
      <c r="AA9" s="15">
        <f t="shared" ref="AA9:AB17" si="11">C9</f>
        <v>3190374</v>
      </c>
      <c r="AB9" s="15">
        <f t="shared" si="11"/>
        <v>638074.80000000005</v>
      </c>
      <c r="AC9" s="15">
        <f t="shared" ref="AC9:AC17" si="12">Z9-AA9-AB9</f>
        <v>1909018.9128356909</v>
      </c>
      <c r="AD9" s="23">
        <f t="shared" ref="AD9:AD17" si="13">Z9-AA9</f>
        <v>2547093.7128356909</v>
      </c>
      <c r="AE9" s="15"/>
      <c r="AF9" s="15"/>
    </row>
    <row r="10" spans="1:32" x14ac:dyDescent="0.3">
      <c r="A10" s="4">
        <v>3</v>
      </c>
      <c r="B10" s="10"/>
      <c r="C10" s="12">
        <f t="shared" ref="C10:C17" si="14">C9</f>
        <v>3190374</v>
      </c>
      <c r="D10" s="12">
        <f t="shared" si="1"/>
        <v>638074.80000000005</v>
      </c>
      <c r="F10" s="22"/>
      <c r="J10" s="15">
        <f t="shared" si="0"/>
        <v>3828448.8</v>
      </c>
      <c r="K10" s="15">
        <f t="shared" si="2"/>
        <v>3190374</v>
      </c>
      <c r="L10" s="15">
        <f t="shared" si="3"/>
        <v>638074.79999999981</v>
      </c>
      <c r="M10" s="23" t="b">
        <f t="shared" si="4"/>
        <v>1</v>
      </c>
      <c r="N10" s="15"/>
      <c r="O10" s="27">
        <f t="shared" si="5"/>
        <v>638074.79999999981</v>
      </c>
      <c r="P10" s="15">
        <f t="shared" si="6"/>
        <v>133995.70799999998</v>
      </c>
      <c r="Q10" s="23">
        <f t="shared" si="7"/>
        <v>2112027.5879999995</v>
      </c>
      <c r="R10" s="15"/>
      <c r="S10" s="27"/>
      <c r="T10" s="15"/>
      <c r="U10" s="15">
        <f t="shared" si="8"/>
        <v>22327058.337311868</v>
      </c>
      <c r="V10" s="23"/>
      <c r="W10" s="15"/>
      <c r="X10" s="27"/>
      <c r="Y10" s="15">
        <f t="shared" si="9"/>
        <v>62723573.925311856</v>
      </c>
      <c r="Z10" s="15">
        <f t="shared" si="10"/>
        <v>5992177.0841192603</v>
      </c>
      <c r="AA10" s="15">
        <f t="shared" si="11"/>
        <v>3190374</v>
      </c>
      <c r="AB10" s="15">
        <f t="shared" si="11"/>
        <v>638074.80000000005</v>
      </c>
      <c r="AC10" s="15">
        <f t="shared" si="12"/>
        <v>2163728.2841192605</v>
      </c>
      <c r="AD10" s="23">
        <f t="shared" si="13"/>
        <v>2801803.0841192603</v>
      </c>
      <c r="AE10" s="15"/>
      <c r="AF10" s="15"/>
    </row>
    <row r="11" spans="1:32" x14ac:dyDescent="0.3">
      <c r="A11" s="4">
        <v>4</v>
      </c>
      <c r="B11" s="10"/>
      <c r="C11" s="12">
        <f t="shared" si="14"/>
        <v>3190374</v>
      </c>
      <c r="D11" s="12">
        <f t="shared" si="1"/>
        <v>638074.80000000005</v>
      </c>
      <c r="F11" s="22"/>
      <c r="J11" s="15">
        <f t="shared" si="0"/>
        <v>3828448.8</v>
      </c>
      <c r="K11" s="15">
        <f t="shared" si="2"/>
        <v>3190374</v>
      </c>
      <c r="L11" s="15">
        <f t="shared" si="3"/>
        <v>638074.79999999981</v>
      </c>
      <c r="M11" s="23" t="b">
        <f t="shared" si="4"/>
        <v>1</v>
      </c>
      <c r="N11" s="15"/>
      <c r="O11" s="27">
        <f t="shared" si="5"/>
        <v>638074.79999999981</v>
      </c>
      <c r="P11" s="15">
        <f t="shared" si="6"/>
        <v>211202.75879999995</v>
      </c>
      <c r="Q11" s="23">
        <f t="shared" si="7"/>
        <v>2961305.1467999993</v>
      </c>
      <c r="R11" s="15"/>
      <c r="S11" s="27"/>
      <c r="T11" s="15"/>
      <c r="U11" s="15">
        <f t="shared" si="8"/>
        <v>24559764.171043057</v>
      </c>
      <c r="V11" s="23"/>
      <c r="W11" s="15"/>
      <c r="X11" s="27"/>
      <c r="Y11" s="15">
        <f t="shared" si="9"/>
        <v>65805557.317843042</v>
      </c>
      <c r="Z11" s="15">
        <f t="shared" si="10"/>
        <v>6272357.3925311863</v>
      </c>
      <c r="AA11" s="15">
        <f t="shared" si="11"/>
        <v>3190374</v>
      </c>
      <c r="AB11" s="15">
        <f t="shared" si="11"/>
        <v>638074.80000000005</v>
      </c>
      <c r="AC11" s="15">
        <f t="shared" si="12"/>
        <v>2443908.5925311865</v>
      </c>
      <c r="AD11" s="23">
        <f t="shared" si="13"/>
        <v>3081983.3925311863</v>
      </c>
      <c r="AE11" s="15"/>
      <c r="AF11" s="15"/>
    </row>
    <row r="12" spans="1:32" x14ac:dyDescent="0.3">
      <c r="A12" s="4">
        <v>5</v>
      </c>
      <c r="B12" s="10"/>
      <c r="C12" s="12">
        <f t="shared" si="14"/>
        <v>3190374</v>
      </c>
      <c r="D12" s="12">
        <f t="shared" si="1"/>
        <v>638074.80000000005</v>
      </c>
      <c r="F12" s="22"/>
      <c r="J12" s="15">
        <f t="shared" si="0"/>
        <v>3828448.8</v>
      </c>
      <c r="K12" s="15">
        <f t="shared" si="2"/>
        <v>3190374</v>
      </c>
      <c r="L12" s="15">
        <f t="shared" si="3"/>
        <v>638074.79999999981</v>
      </c>
      <c r="M12" s="23" t="b">
        <f t="shared" si="4"/>
        <v>1</v>
      </c>
      <c r="N12" s="15"/>
      <c r="O12" s="27">
        <f t="shared" si="5"/>
        <v>638074.79999999981</v>
      </c>
      <c r="P12" s="15">
        <f t="shared" si="6"/>
        <v>296130.51467999996</v>
      </c>
      <c r="Q12" s="23">
        <f t="shared" si="7"/>
        <v>3895510.4614799991</v>
      </c>
      <c r="R12" s="15"/>
      <c r="S12" s="27"/>
      <c r="T12" s="15"/>
      <c r="U12" s="15">
        <f t="shared" si="8"/>
        <v>27015740.588147365</v>
      </c>
      <c r="V12" s="23"/>
      <c r="W12" s="15"/>
      <c r="X12" s="27"/>
      <c r="Y12" s="15">
        <f t="shared" si="9"/>
        <v>69195739.049627349</v>
      </c>
      <c r="Z12" s="15">
        <f t="shared" si="10"/>
        <v>6580555.7317843046</v>
      </c>
      <c r="AA12" s="15">
        <f t="shared" si="11"/>
        <v>3190374</v>
      </c>
      <c r="AB12" s="15">
        <f t="shared" si="11"/>
        <v>638074.80000000005</v>
      </c>
      <c r="AC12" s="15">
        <f t="shared" si="12"/>
        <v>2752106.9317843048</v>
      </c>
      <c r="AD12" s="23">
        <f t="shared" si="13"/>
        <v>3390181.7317843046</v>
      </c>
      <c r="AE12" s="15"/>
      <c r="AF12" s="15"/>
    </row>
    <row r="13" spans="1:32" x14ac:dyDescent="0.3">
      <c r="A13" s="4">
        <v>6</v>
      </c>
      <c r="B13" s="10"/>
      <c r="C13" s="12">
        <f t="shared" si="14"/>
        <v>3190374</v>
      </c>
      <c r="D13" s="12">
        <f t="shared" si="1"/>
        <v>638074.80000000005</v>
      </c>
      <c r="F13" s="22"/>
      <c r="J13" s="15">
        <f t="shared" si="0"/>
        <v>3828448.8</v>
      </c>
      <c r="K13" s="15">
        <f t="shared" si="2"/>
        <v>3190374</v>
      </c>
      <c r="L13" s="15">
        <f t="shared" si="3"/>
        <v>638074.79999999981</v>
      </c>
      <c r="M13" s="23" t="b">
        <f t="shared" si="4"/>
        <v>1</v>
      </c>
      <c r="N13" s="15"/>
      <c r="O13" s="27">
        <f t="shared" si="5"/>
        <v>638074.79999999981</v>
      </c>
      <c r="P13" s="15">
        <f t="shared" si="6"/>
        <v>389551.04614799994</v>
      </c>
      <c r="Q13" s="23">
        <f t="shared" si="7"/>
        <v>4923136.3076279992</v>
      </c>
      <c r="R13" s="15"/>
      <c r="S13" s="27"/>
      <c r="T13" s="15"/>
      <c r="U13" s="15">
        <f t="shared" si="8"/>
        <v>29717314.646962103</v>
      </c>
      <c r="V13" s="23"/>
      <c r="W13" s="15"/>
      <c r="X13" s="27"/>
      <c r="Y13" s="15">
        <f t="shared" si="9"/>
        <v>72924938.954590082</v>
      </c>
      <c r="Z13" s="15">
        <f t="shared" si="10"/>
        <v>6919573.9049627353</v>
      </c>
      <c r="AA13" s="15">
        <f t="shared" si="11"/>
        <v>3190374</v>
      </c>
      <c r="AB13" s="15">
        <f t="shared" si="11"/>
        <v>638074.80000000005</v>
      </c>
      <c r="AC13" s="15">
        <f t="shared" si="12"/>
        <v>3091125.1049627354</v>
      </c>
      <c r="AD13" s="23">
        <f t="shared" si="13"/>
        <v>3729199.9049627353</v>
      </c>
      <c r="AE13" s="15"/>
      <c r="AF13" s="15"/>
    </row>
    <row r="14" spans="1:32" x14ac:dyDescent="0.3">
      <c r="A14" s="4">
        <v>7</v>
      </c>
      <c r="B14" s="10"/>
      <c r="C14" s="12">
        <f t="shared" si="14"/>
        <v>3190374</v>
      </c>
      <c r="D14" s="12">
        <f t="shared" si="1"/>
        <v>638074.80000000005</v>
      </c>
      <c r="F14" s="22"/>
      <c r="J14" s="15">
        <f t="shared" si="0"/>
        <v>3828448.8</v>
      </c>
      <c r="K14" s="15">
        <f t="shared" si="2"/>
        <v>3190374</v>
      </c>
      <c r="L14" s="15">
        <f t="shared" si="3"/>
        <v>638074.79999999981</v>
      </c>
      <c r="M14" s="23" t="b">
        <f t="shared" si="4"/>
        <v>1</v>
      </c>
      <c r="N14" s="15"/>
      <c r="O14" s="27">
        <f t="shared" si="5"/>
        <v>638074.79999999981</v>
      </c>
      <c r="P14" s="15">
        <f t="shared" si="6"/>
        <v>492313.63076279988</v>
      </c>
      <c r="Q14" s="23">
        <f t="shared" si="7"/>
        <v>6053524.7383907987</v>
      </c>
      <c r="R14" s="15"/>
      <c r="S14" s="27"/>
      <c r="T14" s="15"/>
      <c r="U14" s="15">
        <f t="shared" si="8"/>
        <v>32689046.111658316</v>
      </c>
      <c r="V14" s="23"/>
      <c r="W14" s="15"/>
      <c r="X14" s="27"/>
      <c r="Y14" s="15">
        <f t="shared" si="9"/>
        <v>77027058.850049093</v>
      </c>
      <c r="Z14" s="15">
        <f t="shared" si="10"/>
        <v>7292493.8954590084</v>
      </c>
      <c r="AA14" s="15">
        <f t="shared" si="11"/>
        <v>3190374</v>
      </c>
      <c r="AB14" s="15">
        <f t="shared" si="11"/>
        <v>638074.80000000005</v>
      </c>
      <c r="AC14" s="15">
        <f t="shared" si="12"/>
        <v>3464045.0954590086</v>
      </c>
      <c r="AD14" s="23">
        <f t="shared" si="13"/>
        <v>4102119.8954590084</v>
      </c>
      <c r="AE14" s="15"/>
      <c r="AF14" s="15"/>
    </row>
    <row r="15" spans="1:32" x14ac:dyDescent="0.3">
      <c r="A15" s="4">
        <v>8</v>
      </c>
      <c r="B15" s="10"/>
      <c r="C15" s="12">
        <f t="shared" si="14"/>
        <v>3190374</v>
      </c>
      <c r="D15" s="12">
        <f t="shared" si="1"/>
        <v>638074.80000000005</v>
      </c>
      <c r="F15" s="22"/>
      <c r="J15" s="15">
        <f t="shared" si="0"/>
        <v>3828448.8</v>
      </c>
      <c r="K15" s="15">
        <f t="shared" si="2"/>
        <v>3190374</v>
      </c>
      <c r="L15" s="15">
        <f t="shared" si="3"/>
        <v>638074.79999999981</v>
      </c>
      <c r="M15" s="23" t="b">
        <f t="shared" si="4"/>
        <v>1</v>
      </c>
      <c r="N15" s="15"/>
      <c r="O15" s="27">
        <f t="shared" si="5"/>
        <v>638074.79999999981</v>
      </c>
      <c r="P15" s="15">
        <f t="shared" si="6"/>
        <v>605352.47383907984</v>
      </c>
      <c r="Q15" s="23">
        <f t="shared" si="7"/>
        <v>7296952.0122298785</v>
      </c>
      <c r="R15" s="15"/>
      <c r="S15" s="27"/>
      <c r="T15" s="15"/>
      <c r="U15" s="15">
        <f t="shared" si="8"/>
        <v>35957950.722824149</v>
      </c>
      <c r="V15" s="23"/>
      <c r="W15" s="15"/>
      <c r="X15" s="27"/>
      <c r="Y15" s="15">
        <f t="shared" si="9"/>
        <v>81539390.735054001</v>
      </c>
      <c r="Z15" s="15">
        <f t="shared" si="10"/>
        <v>7702705.8850049097</v>
      </c>
      <c r="AA15" s="15">
        <f t="shared" si="11"/>
        <v>3190374</v>
      </c>
      <c r="AB15" s="15">
        <f t="shared" si="11"/>
        <v>638074.80000000005</v>
      </c>
      <c r="AC15" s="15">
        <f t="shared" si="12"/>
        <v>3874257.0850049099</v>
      </c>
      <c r="AD15" s="23">
        <f t="shared" si="13"/>
        <v>4512331.8850049097</v>
      </c>
      <c r="AE15" s="15"/>
      <c r="AF15" s="15"/>
    </row>
    <row r="16" spans="1:32" x14ac:dyDescent="0.3">
      <c r="A16" s="4">
        <v>9</v>
      </c>
      <c r="B16" s="10"/>
      <c r="C16" s="12">
        <f t="shared" si="14"/>
        <v>3190374</v>
      </c>
      <c r="D16" s="12">
        <f t="shared" si="1"/>
        <v>638074.80000000005</v>
      </c>
      <c r="F16" s="22"/>
      <c r="J16" s="15">
        <f t="shared" si="0"/>
        <v>3828448.8</v>
      </c>
      <c r="K16" s="15">
        <f t="shared" si="2"/>
        <v>3190374</v>
      </c>
      <c r="L16" s="15">
        <f t="shared" si="3"/>
        <v>638074.79999999981</v>
      </c>
      <c r="M16" s="23" t="b">
        <f t="shared" si="4"/>
        <v>1</v>
      </c>
      <c r="N16" s="15"/>
      <c r="O16" s="27">
        <f t="shared" si="5"/>
        <v>638074.79999999981</v>
      </c>
      <c r="P16" s="15">
        <f t="shared" si="6"/>
        <v>729695.20122298773</v>
      </c>
      <c r="Q16" s="23">
        <f t="shared" si="7"/>
        <v>8664722.0134528652</v>
      </c>
      <c r="R16" s="15"/>
      <c r="S16" s="27"/>
      <c r="T16" s="15"/>
      <c r="U16" s="15">
        <f t="shared" si="8"/>
        <v>39553745.795106567</v>
      </c>
      <c r="V16" s="23"/>
      <c r="W16" s="15"/>
      <c r="X16" s="27"/>
      <c r="Y16" s="15">
        <f t="shared" si="9"/>
        <v>86502955.808559403</v>
      </c>
      <c r="Z16" s="15">
        <f t="shared" si="10"/>
        <v>8153939.0735054007</v>
      </c>
      <c r="AA16" s="15">
        <f t="shared" si="11"/>
        <v>3190374</v>
      </c>
      <c r="AB16" s="15">
        <f t="shared" si="11"/>
        <v>638074.80000000005</v>
      </c>
      <c r="AC16" s="15">
        <f t="shared" si="12"/>
        <v>4325490.2735054009</v>
      </c>
      <c r="AD16" s="23">
        <f t="shared" si="13"/>
        <v>4963565.0735054007</v>
      </c>
      <c r="AE16" s="15"/>
      <c r="AF16" s="15"/>
    </row>
    <row r="17" spans="1:32" x14ac:dyDescent="0.3">
      <c r="A17" s="4">
        <v>10</v>
      </c>
      <c r="B17" s="10"/>
      <c r="C17" s="12">
        <f t="shared" si="14"/>
        <v>3190374</v>
      </c>
      <c r="D17" s="12">
        <f t="shared" si="1"/>
        <v>638074.80000000005</v>
      </c>
      <c r="F17" s="22"/>
      <c r="J17" s="15">
        <f t="shared" si="0"/>
        <v>3828448.8</v>
      </c>
      <c r="K17" s="15">
        <f t="shared" si="2"/>
        <v>3190374</v>
      </c>
      <c r="L17" s="15">
        <f t="shared" si="3"/>
        <v>638074.79999999981</v>
      </c>
      <c r="M17" s="23" t="b">
        <f t="shared" si="4"/>
        <v>1</v>
      </c>
      <c r="N17" s="15"/>
      <c r="O17" s="27">
        <f t="shared" si="5"/>
        <v>638074.79999999981</v>
      </c>
      <c r="P17" s="15">
        <f t="shared" si="6"/>
        <v>866472.20134528656</v>
      </c>
      <c r="Q17" s="28">
        <f>O17+P17+Q16</f>
        <v>10169269.014798151</v>
      </c>
      <c r="R17" s="15"/>
      <c r="S17" s="27"/>
      <c r="T17" s="15"/>
      <c r="U17" s="15">
        <f t="shared" si="8"/>
        <v>43509120.374617226</v>
      </c>
      <c r="V17" s="23"/>
      <c r="W17" s="15"/>
      <c r="X17" s="27"/>
      <c r="Y17" s="35">
        <f t="shared" si="9"/>
        <v>91962877.389415339</v>
      </c>
      <c r="Z17" s="15">
        <f t="shared" si="10"/>
        <v>8650295.5808559414</v>
      </c>
      <c r="AA17" s="15">
        <f t="shared" si="11"/>
        <v>3190374</v>
      </c>
      <c r="AB17" s="15">
        <f t="shared" si="11"/>
        <v>638074.80000000005</v>
      </c>
      <c r="AC17" s="15">
        <f t="shared" si="12"/>
        <v>4821846.7808559416</v>
      </c>
      <c r="AD17" s="23">
        <f t="shared" si="13"/>
        <v>5459921.5808559414</v>
      </c>
      <c r="AE17" s="15"/>
      <c r="AF17" s="15"/>
    </row>
    <row r="18" spans="1:32" x14ac:dyDescent="0.3">
      <c r="A18" s="25"/>
      <c r="B18" s="25"/>
      <c r="C18" s="25"/>
      <c r="D18" s="25"/>
      <c r="F18" s="22"/>
      <c r="M18" s="18"/>
      <c r="O18" s="27"/>
      <c r="Q18" s="18"/>
      <c r="S18" s="27">
        <f>D18</f>
        <v>0</v>
      </c>
      <c r="V18" s="18"/>
      <c r="X18" s="22"/>
      <c r="Z18" s="15"/>
      <c r="AD18" s="18"/>
      <c r="AE18" s="15"/>
    </row>
    <row r="19" spans="1:32" x14ac:dyDescent="0.3">
      <c r="O19" s="15"/>
    </row>
    <row r="20" spans="1:32" x14ac:dyDescent="0.3">
      <c r="O20" s="15"/>
    </row>
    <row r="21" spans="1:32" x14ac:dyDescent="0.3">
      <c r="O21" s="15"/>
    </row>
    <row r="22" spans="1:32" x14ac:dyDescent="0.3">
      <c r="O22" s="15"/>
      <c r="P22" t="s">
        <v>39</v>
      </c>
      <c r="Q22" s="15">
        <f>B7</f>
        <v>5000000</v>
      </c>
      <c r="R22" t="s">
        <v>21</v>
      </c>
      <c r="X22" s="15" t="s">
        <v>39</v>
      </c>
      <c r="Y22" s="15">
        <f>B7</f>
        <v>5000000</v>
      </c>
      <c r="Z22" t="s">
        <v>21</v>
      </c>
    </row>
    <row r="23" spans="1:32" x14ac:dyDescent="0.3">
      <c r="Q23" s="26">
        <f>Q17-Q22</f>
        <v>5169269.0147981513</v>
      </c>
      <c r="R23" t="s">
        <v>53</v>
      </c>
      <c r="Y23" s="15">
        <f>Y17-Y22</f>
        <v>86962877.389415339</v>
      </c>
    </row>
    <row r="24" spans="1:32" x14ac:dyDescent="0.3">
      <c r="F24" s="15"/>
      <c r="X24" s="15" t="s">
        <v>39</v>
      </c>
      <c r="Y24" s="15">
        <f>X7</f>
        <v>55059137.389415368</v>
      </c>
      <c r="Z24" t="s">
        <v>59</v>
      </c>
    </row>
    <row r="25" spans="1:32" x14ac:dyDescent="0.3">
      <c r="Y25" s="36">
        <f>Y23-Y24</f>
        <v>31903739.99999997</v>
      </c>
      <c r="Z25" t="s">
        <v>65</v>
      </c>
    </row>
    <row r="26" spans="1:32" x14ac:dyDescent="0.3">
      <c r="Y26" s="38" t="str">
        <f>IF(ABS(Y25-S7)&lt;0.001,"TRUE","FALSE")</f>
        <v>TRUE</v>
      </c>
    </row>
  </sheetData>
  <mergeCells count="4">
    <mergeCell ref="F2:M2"/>
    <mergeCell ref="O2:Q2"/>
    <mergeCell ref="S2:V2"/>
    <mergeCell ref="X2:AD2"/>
  </mergeCells>
  <conditionalFormatting sqref="M8:M17">
    <cfRule type="cellIs" dxfId="8" priority="3" operator="equal">
      <formula>FALSE</formula>
    </cfRule>
    <cfRule type="cellIs" dxfId="7" priority="4" operator="equal">
      <formula>TRUE</formula>
    </cfRule>
  </conditionalFormatting>
  <conditionalFormatting sqref="Y26">
    <cfRule type="cellIs" dxfId="6" priority="1" operator="equal">
      <formula>FALSE</formula>
    </cfRule>
    <cfRule type="cellIs" dxfId="5" priority="2" operator="equal">
      <formula>TRUE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93C11-471A-4905-BE5B-DC469779BDB2}">
  <dimension ref="A1:AF26"/>
  <sheetViews>
    <sheetView tabSelected="1" zoomScale="85" zoomScaleNormal="85" workbookViewId="0">
      <pane xSplit="4" ySplit="6" topLeftCell="T7" activePane="bottomRight" state="frozen"/>
      <selection pane="topRight" activeCell="E1" sqref="E1"/>
      <selection pane="bottomLeft" activeCell="A7" sqref="A7"/>
      <selection pane="bottomRight" activeCell="AE20" sqref="AE20"/>
    </sheetView>
  </sheetViews>
  <sheetFormatPr defaultRowHeight="14.4" x14ac:dyDescent="0.3"/>
  <cols>
    <col min="1" max="1" width="4.77734375" bestFit="1" customWidth="1"/>
    <col min="2" max="2" width="13.21875" bestFit="1" customWidth="1"/>
    <col min="3" max="3" width="14.33203125" bestFit="1" customWidth="1"/>
    <col min="4" max="4" width="13.21875" bestFit="1" customWidth="1"/>
    <col min="5" max="5" width="2.44140625" customWidth="1"/>
    <col min="6" max="6" width="14.33203125" bestFit="1" customWidth="1"/>
    <col min="7" max="7" width="13.21875" bestFit="1" customWidth="1"/>
    <col min="8" max="8" width="14.5546875" bestFit="1" customWidth="1"/>
    <col min="9" max="9" width="2.109375" customWidth="1"/>
    <col min="10" max="10" width="19.21875" bestFit="1" customWidth="1"/>
    <col min="11" max="11" width="14.33203125" bestFit="1" customWidth="1"/>
    <col min="12" max="12" width="13.21875" bestFit="1" customWidth="1"/>
    <col min="13" max="13" width="19.33203125" bestFit="1" customWidth="1"/>
    <col min="14" max="14" width="4.6640625" customWidth="1"/>
    <col min="15" max="15" width="17.109375" bestFit="1" customWidth="1"/>
    <col min="16" max="16" width="13.88671875" bestFit="1" customWidth="1"/>
    <col min="17" max="17" width="14.33203125" bestFit="1" customWidth="1"/>
    <col min="18" max="18" width="11.21875" bestFit="1" customWidth="1"/>
    <col min="19" max="19" width="20.88671875" bestFit="1" customWidth="1"/>
    <col min="20" max="20" width="26.88671875" bestFit="1" customWidth="1"/>
    <col min="21" max="21" width="15.44140625" bestFit="1" customWidth="1"/>
    <col min="22" max="22" width="15.5546875" bestFit="1" customWidth="1"/>
    <col min="23" max="23" width="5.33203125" customWidth="1"/>
    <col min="24" max="25" width="14.33203125" bestFit="1" customWidth="1"/>
    <col min="26" max="26" width="18" bestFit="1" customWidth="1"/>
    <col min="27" max="27" width="13.21875" bestFit="1" customWidth="1"/>
    <col min="28" max="28" width="12.5546875" bestFit="1" customWidth="1"/>
    <col min="29" max="30" width="13.21875" bestFit="1" customWidth="1"/>
    <col min="31" max="31" width="13.6640625" customWidth="1"/>
    <col min="32" max="32" width="12.5546875" bestFit="1" customWidth="1"/>
  </cols>
  <sheetData>
    <row r="1" spans="1:32" x14ac:dyDescent="0.3">
      <c r="B1" s="31" t="s">
        <v>70</v>
      </c>
    </row>
    <row r="2" spans="1:32" x14ac:dyDescent="0.3">
      <c r="B2" s="32" t="s">
        <v>24</v>
      </c>
      <c r="F2" s="58" t="s">
        <v>49</v>
      </c>
      <c r="G2" s="59"/>
      <c r="H2" s="59"/>
      <c r="I2" s="59"/>
      <c r="J2" s="59"/>
      <c r="K2" s="59"/>
      <c r="L2" s="59"/>
      <c r="M2" s="60"/>
      <c r="O2" s="61" t="s">
        <v>41</v>
      </c>
      <c r="P2" s="62"/>
      <c r="Q2" s="63"/>
      <c r="S2" s="64" t="s">
        <v>58</v>
      </c>
      <c r="T2" s="65"/>
      <c r="U2" s="65"/>
      <c r="V2" s="66"/>
      <c r="X2" s="67" t="s">
        <v>64</v>
      </c>
      <c r="Y2" s="68"/>
      <c r="Z2" s="68"/>
      <c r="AA2" s="68"/>
      <c r="AB2" s="68"/>
      <c r="AC2" s="68"/>
      <c r="AD2" s="69"/>
    </row>
    <row r="3" spans="1:32" ht="15" thickBot="1" x14ac:dyDescent="0.35">
      <c r="B3" s="33">
        <v>12</v>
      </c>
      <c r="F3" s="22"/>
      <c r="M3" s="18"/>
      <c r="O3" s="22"/>
      <c r="Q3" s="18"/>
      <c r="S3" s="22"/>
      <c r="V3" s="18"/>
      <c r="X3" s="22"/>
      <c r="AD3" s="18"/>
    </row>
    <row r="4" spans="1:32" x14ac:dyDescent="0.3">
      <c r="F4" s="22"/>
      <c r="M4" s="18"/>
      <c r="O4" s="22"/>
      <c r="Q4" s="18"/>
      <c r="S4" s="22"/>
      <c r="V4" s="18"/>
      <c r="X4" s="22"/>
      <c r="AD4" s="18"/>
    </row>
    <row r="5" spans="1:32" x14ac:dyDescent="0.3">
      <c r="D5">
        <v>20</v>
      </c>
      <c r="F5" s="22"/>
      <c r="M5" s="18"/>
      <c r="O5" s="22"/>
      <c r="Q5" s="18"/>
      <c r="S5" s="22"/>
      <c r="V5" s="18"/>
      <c r="X5" s="22"/>
      <c r="AD5" s="18"/>
    </row>
    <row r="6" spans="1:32" s="6" customFormat="1" ht="43.2" x14ac:dyDescent="0.3">
      <c r="A6" s="5" t="s">
        <v>37</v>
      </c>
      <c r="B6" s="13" t="s">
        <v>21</v>
      </c>
      <c r="C6" s="13" t="s">
        <v>38</v>
      </c>
      <c r="D6" s="13" t="s">
        <v>41</v>
      </c>
      <c r="F6" s="24" t="s">
        <v>42</v>
      </c>
      <c r="G6" s="14" t="s">
        <v>43</v>
      </c>
      <c r="H6" s="14" t="s">
        <v>44</v>
      </c>
      <c r="I6" s="14"/>
      <c r="J6" s="14" t="s">
        <v>47</v>
      </c>
      <c r="K6" s="14" t="s">
        <v>45</v>
      </c>
      <c r="L6" s="14" t="s">
        <v>46</v>
      </c>
      <c r="M6" s="19" t="s">
        <v>48</v>
      </c>
      <c r="N6" s="14"/>
      <c r="O6" s="24" t="s">
        <v>50</v>
      </c>
      <c r="P6" s="14" t="s">
        <v>51</v>
      </c>
      <c r="Q6" s="19" t="s">
        <v>52</v>
      </c>
      <c r="R6" s="14"/>
      <c r="S6" s="24" t="s">
        <v>54</v>
      </c>
      <c r="T6" s="14" t="s">
        <v>55</v>
      </c>
      <c r="U6" s="14" t="s">
        <v>56</v>
      </c>
      <c r="V6" s="29" t="s">
        <v>57</v>
      </c>
      <c r="W6" s="9"/>
      <c r="X6" s="24" t="s">
        <v>59</v>
      </c>
      <c r="Y6" s="14" t="s">
        <v>63</v>
      </c>
      <c r="Z6" s="14" t="s">
        <v>51</v>
      </c>
      <c r="AA6" s="14" t="s">
        <v>38</v>
      </c>
      <c r="AB6" s="14" t="s">
        <v>61</v>
      </c>
      <c r="AC6" s="14" t="s">
        <v>60</v>
      </c>
      <c r="AD6" s="19" t="s">
        <v>62</v>
      </c>
      <c r="AE6" s="7"/>
      <c r="AF6" s="7"/>
    </row>
    <row r="7" spans="1:32" x14ac:dyDescent="0.3">
      <c r="A7" s="4">
        <v>0</v>
      </c>
      <c r="B7" s="12">
        <f>costcalculation!C3</f>
        <v>5000000</v>
      </c>
      <c r="C7" s="10"/>
      <c r="D7" s="10"/>
      <c r="F7" s="20">
        <f>C8/(B3/100)</f>
        <v>26586450</v>
      </c>
      <c r="G7" s="16">
        <f>D8/(B3/100)</f>
        <v>5317290.0000000009</v>
      </c>
      <c r="H7" s="34">
        <f>F7+G7</f>
        <v>31903740</v>
      </c>
      <c r="I7" s="16"/>
      <c r="J7" s="16"/>
      <c r="K7" s="16"/>
      <c r="L7" s="16"/>
      <c r="M7" s="21"/>
      <c r="N7" s="16"/>
      <c r="O7" s="22"/>
      <c r="Q7" s="18"/>
      <c r="S7" s="27">
        <f>F7</f>
        <v>26586450</v>
      </c>
      <c r="T7" s="15">
        <f>S7-Q23</f>
        <v>20389044.380253419</v>
      </c>
      <c r="U7" s="15">
        <f>T7/(((1+B3/100)^10)-1)</f>
        <v>9682105.433555888</v>
      </c>
      <c r="V7" s="30">
        <f>U7</f>
        <v>9682105.433555888</v>
      </c>
      <c r="X7" s="39">
        <f>H7+V7</f>
        <v>41585845.433555886</v>
      </c>
      <c r="Y7" s="15">
        <f>X7</f>
        <v>41585845.433555886</v>
      </c>
      <c r="AC7" s="15"/>
      <c r="AD7" s="23"/>
      <c r="AE7" s="15"/>
      <c r="AF7" s="15"/>
    </row>
    <row r="8" spans="1:32" x14ac:dyDescent="0.3">
      <c r="A8" s="4">
        <v>1</v>
      </c>
      <c r="B8" s="10"/>
      <c r="C8" s="12">
        <f>costcalculation!C17</f>
        <v>3190374</v>
      </c>
      <c r="D8" s="12">
        <f>C8*D$5/100</f>
        <v>638074.80000000005</v>
      </c>
      <c r="F8" s="22"/>
      <c r="J8" s="15">
        <f t="shared" ref="J8:J17" si="0">H$7*B$3/100</f>
        <v>3828448.8</v>
      </c>
      <c r="K8" s="15">
        <f>C8</f>
        <v>3190374</v>
      </c>
      <c r="L8" s="15">
        <f>J8-K8</f>
        <v>638074.79999999981</v>
      </c>
      <c r="M8" s="23" t="b">
        <f>L8=D8</f>
        <v>1</v>
      </c>
      <c r="N8" s="15"/>
      <c r="O8" s="27">
        <f>L8</f>
        <v>638074.79999999981</v>
      </c>
      <c r="P8" s="15">
        <f>O7*B$3/100</f>
        <v>0</v>
      </c>
      <c r="Q8" s="23">
        <f>O8+P8+Q7</f>
        <v>638074.79999999981</v>
      </c>
      <c r="R8" s="15"/>
      <c r="S8" s="27"/>
      <c r="T8" s="15"/>
      <c r="U8" s="15">
        <f>U7*(1+B$3/100)</f>
        <v>10843958.085582595</v>
      </c>
      <c r="V8" s="23"/>
      <c r="X8" s="27"/>
      <c r="Y8" s="15">
        <f>Y7+AD8</f>
        <v>43385772.885582596</v>
      </c>
      <c r="Z8" s="15">
        <f>Y7*(B$3/100)</f>
        <v>4990301.4520267062</v>
      </c>
      <c r="AA8" s="15">
        <f>C8</f>
        <v>3190374</v>
      </c>
      <c r="AB8" s="15">
        <f>D8</f>
        <v>638074.80000000005</v>
      </c>
      <c r="AC8" s="15">
        <f>Z8-AA8-AB8</f>
        <v>1161852.6520267061</v>
      </c>
      <c r="AD8" s="23">
        <f>Z8-AA8</f>
        <v>1799927.4520267062</v>
      </c>
      <c r="AE8" s="15"/>
      <c r="AF8" s="15"/>
    </row>
    <row r="9" spans="1:32" x14ac:dyDescent="0.3">
      <c r="A9" s="4">
        <v>2</v>
      </c>
      <c r="B9" s="10"/>
      <c r="C9" s="12">
        <f>C8</f>
        <v>3190374</v>
      </c>
      <c r="D9" s="12">
        <f t="shared" ref="D9:D17" si="1">C9*D$5/100</f>
        <v>638074.80000000005</v>
      </c>
      <c r="F9" s="22"/>
      <c r="J9" s="15">
        <f t="shared" si="0"/>
        <v>3828448.8</v>
      </c>
      <c r="K9" s="15">
        <f t="shared" ref="K9:K17" si="2">C9</f>
        <v>3190374</v>
      </c>
      <c r="L9" s="15">
        <f t="shared" ref="L9:L17" si="3">J9-K9</f>
        <v>638074.79999999981</v>
      </c>
      <c r="M9" s="23" t="b">
        <f t="shared" ref="M9:M17" si="4">L9=D9</f>
        <v>1</v>
      </c>
      <c r="N9" s="15"/>
      <c r="O9" s="27">
        <f t="shared" ref="O9:O17" si="5">L9</f>
        <v>638074.79999999981</v>
      </c>
      <c r="P9" s="15">
        <f t="shared" ref="P9:P17" si="6">Q8*B$3/100</f>
        <v>76568.975999999981</v>
      </c>
      <c r="Q9" s="23">
        <f t="shared" ref="Q9:Q16" si="7">O9+P9+Q8</f>
        <v>1352718.5759999997</v>
      </c>
      <c r="R9" s="15"/>
      <c r="S9" s="27"/>
      <c r="T9" s="15"/>
      <c r="U9" s="15">
        <f t="shared" ref="U9:U17" si="8">U8*(1+B$3/100)</f>
        <v>12145233.055852508</v>
      </c>
      <c r="V9" s="23"/>
      <c r="W9" s="15"/>
      <c r="X9" s="27"/>
      <c r="Y9" s="15">
        <f t="shared" ref="Y9:Y17" si="9">Y8+AD9</f>
        <v>45401691.631852508</v>
      </c>
      <c r="Z9" s="15">
        <f t="shared" ref="Z9:Z17" si="10">Y8*(B$3/100)</f>
        <v>5206292.7462699115</v>
      </c>
      <c r="AA9" s="15">
        <f t="shared" ref="AA9:AB17" si="11">C9</f>
        <v>3190374</v>
      </c>
      <c r="AB9" s="15">
        <f t="shared" si="11"/>
        <v>638074.80000000005</v>
      </c>
      <c r="AC9" s="15">
        <f t="shared" ref="AC9:AC17" si="12">Z9-AA9-AB9</f>
        <v>1377843.9462699115</v>
      </c>
      <c r="AD9" s="23">
        <f t="shared" ref="AD9:AD17" si="13">Z9-AA9</f>
        <v>2015918.7462699115</v>
      </c>
      <c r="AE9" s="15"/>
      <c r="AF9" s="15"/>
    </row>
    <row r="10" spans="1:32" x14ac:dyDescent="0.3">
      <c r="A10" s="4">
        <v>3</v>
      </c>
      <c r="B10" s="10"/>
      <c r="C10" s="12">
        <f t="shared" ref="C10:C17" si="14">C9</f>
        <v>3190374</v>
      </c>
      <c r="D10" s="12">
        <f t="shared" si="1"/>
        <v>638074.80000000005</v>
      </c>
      <c r="F10" s="22"/>
      <c r="J10" s="15">
        <f t="shared" si="0"/>
        <v>3828448.8</v>
      </c>
      <c r="K10" s="15">
        <f t="shared" si="2"/>
        <v>3190374</v>
      </c>
      <c r="L10" s="15">
        <f t="shared" si="3"/>
        <v>638074.79999999981</v>
      </c>
      <c r="M10" s="23" t="b">
        <f t="shared" si="4"/>
        <v>1</v>
      </c>
      <c r="N10" s="15"/>
      <c r="O10" s="27">
        <f t="shared" si="5"/>
        <v>638074.79999999981</v>
      </c>
      <c r="P10" s="15">
        <f t="shared" si="6"/>
        <v>162326.22911999997</v>
      </c>
      <c r="Q10" s="23">
        <f t="shared" si="7"/>
        <v>2153119.6051199995</v>
      </c>
      <c r="R10" s="15"/>
      <c r="S10" s="27"/>
      <c r="T10" s="15"/>
      <c r="U10" s="15">
        <f t="shared" si="8"/>
        <v>13602661.022554811</v>
      </c>
      <c r="V10" s="23"/>
      <c r="W10" s="15"/>
      <c r="X10" s="27"/>
      <c r="Y10" s="15">
        <f t="shared" si="9"/>
        <v>47659520.627674811</v>
      </c>
      <c r="Z10" s="15">
        <f t="shared" si="10"/>
        <v>5448202.9958223011</v>
      </c>
      <c r="AA10" s="15">
        <f t="shared" si="11"/>
        <v>3190374</v>
      </c>
      <c r="AB10" s="15">
        <f t="shared" si="11"/>
        <v>638074.80000000005</v>
      </c>
      <c r="AC10" s="15">
        <f t="shared" si="12"/>
        <v>1619754.1958223011</v>
      </c>
      <c r="AD10" s="23">
        <f t="shared" si="13"/>
        <v>2257828.9958223011</v>
      </c>
      <c r="AE10" s="15"/>
      <c r="AF10" s="15"/>
    </row>
    <row r="11" spans="1:32" x14ac:dyDescent="0.3">
      <c r="A11" s="4">
        <v>4</v>
      </c>
      <c r="B11" s="10"/>
      <c r="C11" s="12">
        <f t="shared" si="14"/>
        <v>3190374</v>
      </c>
      <c r="D11" s="12">
        <f t="shared" si="1"/>
        <v>638074.80000000005</v>
      </c>
      <c r="F11" s="22"/>
      <c r="J11" s="15">
        <f t="shared" si="0"/>
        <v>3828448.8</v>
      </c>
      <c r="K11" s="15">
        <f t="shared" si="2"/>
        <v>3190374</v>
      </c>
      <c r="L11" s="15">
        <f t="shared" si="3"/>
        <v>638074.79999999981</v>
      </c>
      <c r="M11" s="23" t="b">
        <f t="shared" si="4"/>
        <v>1</v>
      </c>
      <c r="N11" s="15"/>
      <c r="O11" s="27">
        <f t="shared" si="5"/>
        <v>638074.79999999981</v>
      </c>
      <c r="P11" s="15">
        <f t="shared" si="6"/>
        <v>258374.35261439995</v>
      </c>
      <c r="Q11" s="23">
        <f t="shared" si="7"/>
        <v>3049568.7577343993</v>
      </c>
      <c r="R11" s="15"/>
      <c r="S11" s="27"/>
      <c r="T11" s="15"/>
      <c r="U11" s="15">
        <f t="shared" si="8"/>
        <v>15234980.345261389</v>
      </c>
      <c r="V11" s="23"/>
      <c r="W11" s="15"/>
      <c r="X11" s="27"/>
      <c r="Y11" s="15">
        <f t="shared" si="9"/>
        <v>50188289.102995791</v>
      </c>
      <c r="Z11" s="15">
        <f t="shared" si="10"/>
        <v>5719142.4753209772</v>
      </c>
      <c r="AA11" s="15">
        <f t="shared" si="11"/>
        <v>3190374</v>
      </c>
      <c r="AB11" s="15">
        <f t="shared" si="11"/>
        <v>638074.80000000005</v>
      </c>
      <c r="AC11" s="15">
        <f t="shared" si="12"/>
        <v>1890693.6753209771</v>
      </c>
      <c r="AD11" s="23">
        <f t="shared" si="13"/>
        <v>2528768.4753209772</v>
      </c>
      <c r="AE11" s="15"/>
      <c r="AF11" s="15"/>
    </row>
    <row r="12" spans="1:32" x14ac:dyDescent="0.3">
      <c r="A12" s="4">
        <v>5</v>
      </c>
      <c r="B12" s="10"/>
      <c r="C12" s="12">
        <f t="shared" si="14"/>
        <v>3190374</v>
      </c>
      <c r="D12" s="12">
        <f t="shared" si="1"/>
        <v>638074.80000000005</v>
      </c>
      <c r="F12" s="22"/>
      <c r="J12" s="15">
        <f t="shared" si="0"/>
        <v>3828448.8</v>
      </c>
      <c r="K12" s="15">
        <f t="shared" si="2"/>
        <v>3190374</v>
      </c>
      <c r="L12" s="15">
        <f t="shared" si="3"/>
        <v>638074.79999999981</v>
      </c>
      <c r="M12" s="23" t="b">
        <f t="shared" si="4"/>
        <v>1</v>
      </c>
      <c r="N12" s="15"/>
      <c r="O12" s="27">
        <f t="shared" si="5"/>
        <v>638074.79999999981</v>
      </c>
      <c r="P12" s="15">
        <f t="shared" si="6"/>
        <v>365948.25092812791</v>
      </c>
      <c r="Q12" s="23">
        <f t="shared" si="7"/>
        <v>4053591.8086625272</v>
      </c>
      <c r="R12" s="15"/>
      <c r="S12" s="27"/>
      <c r="T12" s="15"/>
      <c r="U12" s="15">
        <f t="shared" si="8"/>
        <v>17063177.986692756</v>
      </c>
      <c r="V12" s="23"/>
      <c r="W12" s="15"/>
      <c r="X12" s="27"/>
      <c r="Y12" s="15">
        <f t="shared" si="9"/>
        <v>53020509.795355283</v>
      </c>
      <c r="Z12" s="15">
        <f t="shared" si="10"/>
        <v>6022594.692359495</v>
      </c>
      <c r="AA12" s="15">
        <f t="shared" si="11"/>
        <v>3190374</v>
      </c>
      <c r="AB12" s="15">
        <f t="shared" si="11"/>
        <v>638074.80000000005</v>
      </c>
      <c r="AC12" s="15">
        <f t="shared" si="12"/>
        <v>2194145.8923594952</v>
      </c>
      <c r="AD12" s="23">
        <f t="shared" si="13"/>
        <v>2832220.692359495</v>
      </c>
      <c r="AE12" s="15"/>
      <c r="AF12" s="15"/>
    </row>
    <row r="13" spans="1:32" x14ac:dyDescent="0.3">
      <c r="A13" s="4">
        <v>6</v>
      </c>
      <c r="B13" s="10"/>
      <c r="C13" s="12">
        <f t="shared" si="14"/>
        <v>3190374</v>
      </c>
      <c r="D13" s="12">
        <f t="shared" si="1"/>
        <v>638074.80000000005</v>
      </c>
      <c r="F13" s="22"/>
      <c r="J13" s="15">
        <f t="shared" si="0"/>
        <v>3828448.8</v>
      </c>
      <c r="K13" s="15">
        <f t="shared" si="2"/>
        <v>3190374</v>
      </c>
      <c r="L13" s="15">
        <f t="shared" si="3"/>
        <v>638074.79999999981</v>
      </c>
      <c r="M13" s="23" t="b">
        <f t="shared" si="4"/>
        <v>1</v>
      </c>
      <c r="N13" s="15"/>
      <c r="O13" s="27">
        <f t="shared" si="5"/>
        <v>638074.79999999981</v>
      </c>
      <c r="P13" s="15">
        <f t="shared" si="6"/>
        <v>486431.01703950332</v>
      </c>
      <c r="Q13" s="23">
        <f t="shared" si="7"/>
        <v>5178097.625702031</v>
      </c>
      <c r="R13" s="15"/>
      <c r="S13" s="27"/>
      <c r="T13" s="15"/>
      <c r="U13" s="15">
        <f t="shared" si="8"/>
        <v>19110759.345095888</v>
      </c>
      <c r="V13" s="23"/>
      <c r="W13" s="15"/>
      <c r="X13" s="27"/>
      <c r="Y13" s="15">
        <f t="shared" si="9"/>
        <v>56192596.970797919</v>
      </c>
      <c r="Z13" s="15">
        <f t="shared" si="10"/>
        <v>6362461.1754426342</v>
      </c>
      <c r="AA13" s="15">
        <f t="shared" si="11"/>
        <v>3190374</v>
      </c>
      <c r="AB13" s="15">
        <f t="shared" si="11"/>
        <v>638074.80000000005</v>
      </c>
      <c r="AC13" s="15">
        <f t="shared" si="12"/>
        <v>2534012.3754426343</v>
      </c>
      <c r="AD13" s="23">
        <f t="shared" si="13"/>
        <v>3172087.1754426342</v>
      </c>
      <c r="AE13" s="15"/>
      <c r="AF13" s="15"/>
    </row>
    <row r="14" spans="1:32" x14ac:dyDescent="0.3">
      <c r="A14" s="4">
        <v>7</v>
      </c>
      <c r="B14" s="10"/>
      <c r="C14" s="12">
        <f t="shared" si="14"/>
        <v>3190374</v>
      </c>
      <c r="D14" s="12">
        <f t="shared" si="1"/>
        <v>638074.80000000005</v>
      </c>
      <c r="F14" s="22"/>
      <c r="J14" s="15">
        <f t="shared" si="0"/>
        <v>3828448.8</v>
      </c>
      <c r="K14" s="15">
        <f t="shared" si="2"/>
        <v>3190374</v>
      </c>
      <c r="L14" s="15">
        <f t="shared" si="3"/>
        <v>638074.79999999981</v>
      </c>
      <c r="M14" s="23" t="b">
        <f t="shared" si="4"/>
        <v>1</v>
      </c>
      <c r="N14" s="15"/>
      <c r="O14" s="27">
        <f t="shared" si="5"/>
        <v>638074.79999999981</v>
      </c>
      <c r="P14" s="15">
        <f t="shared" si="6"/>
        <v>621371.71508424368</v>
      </c>
      <c r="Q14" s="23">
        <f t="shared" si="7"/>
        <v>6437544.1407862743</v>
      </c>
      <c r="R14" s="15"/>
      <c r="S14" s="27"/>
      <c r="T14" s="15"/>
      <c r="U14" s="15">
        <f t="shared" si="8"/>
        <v>21404050.466507398</v>
      </c>
      <c r="V14" s="23"/>
      <c r="W14" s="15"/>
      <c r="X14" s="27"/>
      <c r="Y14" s="15">
        <f t="shared" si="9"/>
        <v>59745334.607293665</v>
      </c>
      <c r="Z14" s="15">
        <f t="shared" si="10"/>
        <v>6743111.6364957504</v>
      </c>
      <c r="AA14" s="15">
        <f t="shared" si="11"/>
        <v>3190374</v>
      </c>
      <c r="AB14" s="15">
        <f t="shared" si="11"/>
        <v>638074.80000000005</v>
      </c>
      <c r="AC14" s="15">
        <f t="shared" si="12"/>
        <v>2914662.8364957506</v>
      </c>
      <c r="AD14" s="23">
        <f t="shared" si="13"/>
        <v>3552737.6364957504</v>
      </c>
      <c r="AE14" s="15"/>
      <c r="AF14" s="15"/>
    </row>
    <row r="15" spans="1:32" x14ac:dyDescent="0.3">
      <c r="A15" s="4">
        <v>8</v>
      </c>
      <c r="B15" s="10"/>
      <c r="C15" s="12">
        <f t="shared" si="14"/>
        <v>3190374</v>
      </c>
      <c r="D15" s="12">
        <f t="shared" si="1"/>
        <v>638074.80000000005</v>
      </c>
      <c r="F15" s="22"/>
      <c r="J15" s="15">
        <f t="shared" si="0"/>
        <v>3828448.8</v>
      </c>
      <c r="K15" s="15">
        <f t="shared" si="2"/>
        <v>3190374</v>
      </c>
      <c r="L15" s="15">
        <f t="shared" si="3"/>
        <v>638074.79999999981</v>
      </c>
      <c r="M15" s="23" t="b">
        <f t="shared" si="4"/>
        <v>1</v>
      </c>
      <c r="N15" s="15"/>
      <c r="O15" s="27">
        <f t="shared" si="5"/>
        <v>638074.79999999981</v>
      </c>
      <c r="P15" s="15">
        <f t="shared" si="6"/>
        <v>772505.29689435288</v>
      </c>
      <c r="Q15" s="23">
        <f t="shared" si="7"/>
        <v>7848124.237680627</v>
      </c>
      <c r="R15" s="15"/>
      <c r="S15" s="27"/>
      <c r="T15" s="15"/>
      <c r="U15" s="15">
        <f t="shared" si="8"/>
        <v>23972536.522488289</v>
      </c>
      <c r="V15" s="23"/>
      <c r="W15" s="15"/>
      <c r="X15" s="27"/>
      <c r="Y15" s="15">
        <f t="shared" si="9"/>
        <v>63724400.760168903</v>
      </c>
      <c r="Z15" s="15">
        <f t="shared" si="10"/>
        <v>7169440.15287524</v>
      </c>
      <c r="AA15" s="15">
        <f t="shared" si="11"/>
        <v>3190374</v>
      </c>
      <c r="AB15" s="15">
        <f t="shared" si="11"/>
        <v>638074.80000000005</v>
      </c>
      <c r="AC15" s="15">
        <f t="shared" si="12"/>
        <v>3340991.3528752401</v>
      </c>
      <c r="AD15" s="23">
        <f t="shared" si="13"/>
        <v>3979066.15287524</v>
      </c>
      <c r="AE15" s="15"/>
      <c r="AF15" s="15"/>
    </row>
    <row r="16" spans="1:32" x14ac:dyDescent="0.3">
      <c r="A16" s="4">
        <v>9</v>
      </c>
      <c r="B16" s="10"/>
      <c r="C16" s="12">
        <f t="shared" si="14"/>
        <v>3190374</v>
      </c>
      <c r="D16" s="12">
        <f t="shared" si="1"/>
        <v>638074.80000000005</v>
      </c>
      <c r="F16" s="22"/>
      <c r="J16" s="15">
        <f t="shared" si="0"/>
        <v>3828448.8</v>
      </c>
      <c r="K16" s="15">
        <f t="shared" si="2"/>
        <v>3190374</v>
      </c>
      <c r="L16" s="15">
        <f t="shared" si="3"/>
        <v>638074.79999999981</v>
      </c>
      <c r="M16" s="23" t="b">
        <f t="shared" si="4"/>
        <v>1</v>
      </c>
      <c r="N16" s="15"/>
      <c r="O16" s="27">
        <f t="shared" si="5"/>
        <v>638074.79999999981</v>
      </c>
      <c r="P16" s="15">
        <f t="shared" si="6"/>
        <v>941774.90852167516</v>
      </c>
      <c r="Q16" s="23">
        <f t="shared" si="7"/>
        <v>9427973.9462023024</v>
      </c>
      <c r="R16" s="15"/>
      <c r="S16" s="27"/>
      <c r="T16" s="15"/>
      <c r="U16" s="15">
        <f t="shared" si="8"/>
        <v>26849240.905186884</v>
      </c>
      <c r="V16" s="23"/>
      <c r="W16" s="15"/>
      <c r="X16" s="27"/>
      <c r="Y16" s="15">
        <f t="shared" si="9"/>
        <v>68180954.85138917</v>
      </c>
      <c r="Z16" s="15">
        <f t="shared" si="10"/>
        <v>7646928.091220268</v>
      </c>
      <c r="AA16" s="15">
        <f t="shared" si="11"/>
        <v>3190374</v>
      </c>
      <c r="AB16" s="15">
        <f t="shared" si="11"/>
        <v>638074.80000000005</v>
      </c>
      <c r="AC16" s="15">
        <f t="shared" si="12"/>
        <v>3818479.2912202682</v>
      </c>
      <c r="AD16" s="23">
        <f t="shared" si="13"/>
        <v>4456554.091220268</v>
      </c>
      <c r="AE16" s="15"/>
      <c r="AF16" s="15"/>
    </row>
    <row r="17" spans="1:32" x14ac:dyDescent="0.3">
      <c r="A17" s="4">
        <v>10</v>
      </c>
      <c r="B17" s="10"/>
      <c r="C17" s="12">
        <f t="shared" si="14"/>
        <v>3190374</v>
      </c>
      <c r="D17" s="12">
        <f t="shared" si="1"/>
        <v>638074.80000000005</v>
      </c>
      <c r="F17" s="22"/>
      <c r="J17" s="15">
        <f t="shared" si="0"/>
        <v>3828448.8</v>
      </c>
      <c r="K17" s="15">
        <f t="shared" si="2"/>
        <v>3190374</v>
      </c>
      <c r="L17" s="15">
        <f t="shared" si="3"/>
        <v>638074.79999999981</v>
      </c>
      <c r="M17" s="23" t="b">
        <f t="shared" si="4"/>
        <v>1</v>
      </c>
      <c r="N17" s="15"/>
      <c r="O17" s="27">
        <f t="shared" si="5"/>
        <v>638074.79999999981</v>
      </c>
      <c r="P17" s="15">
        <f t="shared" si="6"/>
        <v>1131356.8735442765</v>
      </c>
      <c r="Q17" s="28">
        <f>O17+P17+Q16</f>
        <v>11197405.619746579</v>
      </c>
      <c r="R17" s="15"/>
      <c r="S17" s="27"/>
      <c r="T17" s="15"/>
      <c r="U17" s="15">
        <f t="shared" si="8"/>
        <v>30071149.813809313</v>
      </c>
      <c r="V17" s="23"/>
      <c r="W17" s="15"/>
      <c r="X17" s="27"/>
      <c r="Y17" s="35">
        <f t="shared" si="9"/>
        <v>73172295.433555871</v>
      </c>
      <c r="Z17" s="15">
        <f t="shared" si="10"/>
        <v>8181714.5821666997</v>
      </c>
      <c r="AA17" s="15">
        <f t="shared" si="11"/>
        <v>3190374</v>
      </c>
      <c r="AB17" s="15">
        <f t="shared" si="11"/>
        <v>638074.80000000005</v>
      </c>
      <c r="AC17" s="15">
        <f t="shared" si="12"/>
        <v>4353265.7821666999</v>
      </c>
      <c r="AD17" s="23">
        <f t="shared" si="13"/>
        <v>4991340.5821666997</v>
      </c>
      <c r="AE17" s="15"/>
      <c r="AF17" s="15"/>
    </row>
    <row r="18" spans="1:32" x14ac:dyDescent="0.3">
      <c r="A18" s="25"/>
      <c r="B18" s="25"/>
      <c r="C18" s="25"/>
      <c r="D18" s="25"/>
      <c r="F18" s="22"/>
      <c r="M18" s="18"/>
      <c r="O18" s="27"/>
      <c r="Q18" s="18"/>
      <c r="S18" s="27">
        <f>D18</f>
        <v>0</v>
      </c>
      <c r="V18" s="18"/>
      <c r="X18" s="22"/>
      <c r="Z18" s="15"/>
      <c r="AD18" s="18"/>
      <c r="AE18" s="15"/>
    </row>
    <row r="19" spans="1:32" x14ac:dyDescent="0.3">
      <c r="O19" s="15"/>
    </row>
    <row r="20" spans="1:32" x14ac:dyDescent="0.3">
      <c r="O20" s="15"/>
    </row>
    <row r="21" spans="1:32" x14ac:dyDescent="0.3">
      <c r="O21" s="15"/>
    </row>
    <row r="22" spans="1:32" x14ac:dyDescent="0.3">
      <c r="O22" s="15"/>
      <c r="P22" t="s">
        <v>39</v>
      </c>
      <c r="Q22" s="15">
        <f>B7</f>
        <v>5000000</v>
      </c>
      <c r="R22" t="s">
        <v>21</v>
      </c>
      <c r="X22" s="15" t="s">
        <v>39</v>
      </c>
      <c r="Y22" s="15">
        <f>B7</f>
        <v>5000000</v>
      </c>
      <c r="Z22" t="s">
        <v>21</v>
      </c>
    </row>
    <row r="23" spans="1:32" x14ac:dyDescent="0.3">
      <c r="Q23" s="26">
        <f>Q17-Q22</f>
        <v>6197405.6197465789</v>
      </c>
      <c r="R23" t="s">
        <v>53</v>
      </c>
      <c r="Y23" s="15">
        <f>Y17-Y22</f>
        <v>68172295.433555871</v>
      </c>
    </row>
    <row r="24" spans="1:32" x14ac:dyDescent="0.3">
      <c r="F24" s="15"/>
      <c r="X24" s="15" t="s">
        <v>39</v>
      </c>
      <c r="Y24" s="15">
        <f>X7</f>
        <v>41585845.433555886</v>
      </c>
      <c r="Z24" t="s">
        <v>59</v>
      </c>
    </row>
    <row r="25" spans="1:32" x14ac:dyDescent="0.3">
      <c r="Y25" s="36">
        <f>Y23-Y24</f>
        <v>26586449.999999985</v>
      </c>
      <c r="Z25" t="s">
        <v>68</v>
      </c>
    </row>
    <row r="26" spans="1:32" x14ac:dyDescent="0.3">
      <c r="Y26" s="38" t="str">
        <f>IF(ABS(Y25-S7)&lt;0.001,"TRUE","FALSE")</f>
        <v>TRUE</v>
      </c>
    </row>
  </sheetData>
  <mergeCells count="4">
    <mergeCell ref="F2:M2"/>
    <mergeCell ref="O2:Q2"/>
    <mergeCell ref="S2:V2"/>
    <mergeCell ref="X2:AD2"/>
  </mergeCells>
  <conditionalFormatting sqref="M8:M17">
    <cfRule type="cellIs" dxfId="4" priority="3" operator="equal">
      <formula>FALSE</formula>
    </cfRule>
    <cfRule type="cellIs" dxfId="3" priority="4" operator="equal">
      <formula>TRUE</formula>
    </cfRule>
  </conditionalFormatting>
  <conditionalFormatting sqref="Y26">
    <cfRule type="cellIs" dxfId="2" priority="1" operator="equal">
      <formula>FALSE</formula>
    </cfRule>
    <cfRule type="cellIs" dxfId="1" priority="2" operator="equal">
      <formula>TRUE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04A6-90D9-46D6-BC1B-87B0ED9B542D}">
  <dimension ref="A1:AF26"/>
  <sheetViews>
    <sheetView zoomScale="85" zoomScaleNormal="85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B1" sqref="B1"/>
    </sheetView>
  </sheetViews>
  <sheetFormatPr defaultRowHeight="14.4" x14ac:dyDescent="0.3"/>
  <cols>
    <col min="1" max="1" width="4.77734375" bestFit="1" customWidth="1"/>
    <col min="2" max="2" width="13.21875" bestFit="1" customWidth="1"/>
    <col min="3" max="3" width="14.33203125" bestFit="1" customWidth="1"/>
    <col min="4" max="4" width="13.21875" bestFit="1" customWidth="1"/>
    <col min="5" max="5" width="2.44140625" customWidth="1"/>
    <col min="6" max="6" width="14.33203125" bestFit="1" customWidth="1"/>
    <col min="7" max="7" width="13.21875" bestFit="1" customWidth="1"/>
    <col min="8" max="8" width="14.5546875" bestFit="1" customWidth="1"/>
    <col min="9" max="9" width="2.109375" customWidth="1"/>
    <col min="10" max="10" width="19.21875" bestFit="1" customWidth="1"/>
    <col min="11" max="11" width="14.33203125" bestFit="1" customWidth="1"/>
    <col min="12" max="12" width="13.21875" bestFit="1" customWidth="1"/>
    <col min="13" max="13" width="15.88671875" customWidth="1"/>
    <col min="14" max="14" width="4.6640625" customWidth="1"/>
    <col min="15" max="15" width="17.109375" bestFit="1" customWidth="1"/>
    <col min="16" max="16" width="13.88671875" bestFit="1" customWidth="1"/>
    <col min="17" max="17" width="14.33203125" bestFit="1" customWidth="1"/>
    <col min="18" max="18" width="11.21875" bestFit="1" customWidth="1"/>
    <col min="19" max="19" width="20.88671875" bestFit="1" customWidth="1"/>
    <col min="20" max="20" width="26.88671875" bestFit="1" customWidth="1"/>
    <col min="21" max="21" width="15.44140625" bestFit="1" customWidth="1"/>
    <col min="22" max="22" width="15.5546875" bestFit="1" customWidth="1"/>
    <col min="23" max="23" width="5.33203125" customWidth="1"/>
    <col min="24" max="25" width="14.33203125" bestFit="1" customWidth="1"/>
    <col min="26" max="26" width="18" bestFit="1" customWidth="1"/>
    <col min="27" max="27" width="13.21875" bestFit="1" customWidth="1"/>
    <col min="28" max="28" width="12.5546875" bestFit="1" customWidth="1"/>
    <col min="29" max="30" width="13.21875" bestFit="1" customWidth="1"/>
    <col min="31" max="31" width="13.6640625" customWidth="1"/>
    <col min="32" max="32" width="12.5546875" bestFit="1" customWidth="1"/>
  </cols>
  <sheetData>
    <row r="1" spans="1:32" x14ac:dyDescent="0.3">
      <c r="B1" s="31" t="s">
        <v>70</v>
      </c>
    </row>
    <row r="2" spans="1:32" x14ac:dyDescent="0.3">
      <c r="B2" s="32" t="s">
        <v>24</v>
      </c>
      <c r="F2" s="58" t="s">
        <v>49</v>
      </c>
      <c r="G2" s="59"/>
      <c r="H2" s="59"/>
      <c r="I2" s="59"/>
      <c r="J2" s="59"/>
      <c r="K2" s="59"/>
      <c r="L2" s="59"/>
      <c r="M2" s="60"/>
      <c r="O2" s="61" t="s">
        <v>41</v>
      </c>
      <c r="P2" s="62"/>
      <c r="Q2" s="63"/>
      <c r="S2" s="64" t="s">
        <v>58</v>
      </c>
      <c r="T2" s="65"/>
      <c r="U2" s="65"/>
      <c r="V2" s="66"/>
      <c r="X2" s="67" t="s">
        <v>64</v>
      </c>
      <c r="Y2" s="68"/>
      <c r="Z2" s="68"/>
      <c r="AA2" s="68"/>
      <c r="AB2" s="68"/>
      <c r="AC2" s="68"/>
      <c r="AD2" s="69"/>
    </row>
    <row r="3" spans="1:32" ht="15" thickBot="1" x14ac:dyDescent="0.35">
      <c r="B3" s="33">
        <v>14</v>
      </c>
      <c r="F3" s="22"/>
      <c r="M3" s="18"/>
      <c r="O3" s="22"/>
      <c r="Q3" s="18"/>
      <c r="S3" s="22"/>
      <c r="V3" s="18"/>
      <c r="X3" s="22"/>
      <c r="AD3" s="18"/>
    </row>
    <row r="4" spans="1:32" x14ac:dyDescent="0.3">
      <c r="F4" s="22"/>
      <c r="M4" s="18"/>
      <c r="O4" s="22"/>
      <c r="Q4" s="18"/>
      <c r="S4" s="22"/>
      <c r="V4" s="18"/>
      <c r="X4" s="22"/>
      <c r="AD4" s="18"/>
    </row>
    <row r="5" spans="1:32" x14ac:dyDescent="0.3">
      <c r="D5">
        <v>20</v>
      </c>
      <c r="F5" s="22"/>
      <c r="M5" s="18"/>
      <c r="O5" s="22"/>
      <c r="Q5" s="18"/>
      <c r="S5" s="22"/>
      <c r="V5" s="18"/>
      <c r="X5" s="22"/>
      <c r="AD5" s="18"/>
    </row>
    <row r="6" spans="1:32" s="6" customFormat="1" ht="43.2" x14ac:dyDescent="0.3">
      <c r="A6" s="5" t="s">
        <v>37</v>
      </c>
      <c r="B6" s="13" t="s">
        <v>21</v>
      </c>
      <c r="C6" s="13" t="s">
        <v>38</v>
      </c>
      <c r="D6" s="13" t="s">
        <v>41</v>
      </c>
      <c r="F6" s="24" t="s">
        <v>42</v>
      </c>
      <c r="G6" s="14" t="s">
        <v>43</v>
      </c>
      <c r="H6" s="14" t="s">
        <v>44</v>
      </c>
      <c r="I6" s="14"/>
      <c r="J6" s="14" t="s">
        <v>47</v>
      </c>
      <c r="K6" s="14" t="s">
        <v>45</v>
      </c>
      <c r="L6" s="14" t="s">
        <v>46</v>
      </c>
      <c r="M6" s="19" t="s">
        <v>48</v>
      </c>
      <c r="N6" s="14"/>
      <c r="O6" s="24" t="s">
        <v>50</v>
      </c>
      <c r="P6" s="14" t="s">
        <v>51</v>
      </c>
      <c r="Q6" s="19" t="s">
        <v>52</v>
      </c>
      <c r="R6" s="14"/>
      <c r="S6" s="24" t="s">
        <v>54</v>
      </c>
      <c r="T6" s="14" t="s">
        <v>55</v>
      </c>
      <c r="U6" s="14" t="s">
        <v>56</v>
      </c>
      <c r="V6" s="29" t="s">
        <v>57</v>
      </c>
      <c r="W6" s="9"/>
      <c r="X6" s="24" t="s">
        <v>59</v>
      </c>
      <c r="Y6" s="14" t="s">
        <v>63</v>
      </c>
      <c r="Z6" s="14" t="s">
        <v>51</v>
      </c>
      <c r="AA6" s="14" t="s">
        <v>38</v>
      </c>
      <c r="AB6" s="14" t="s">
        <v>61</v>
      </c>
      <c r="AC6" s="14" t="s">
        <v>60</v>
      </c>
      <c r="AD6" s="19" t="s">
        <v>62</v>
      </c>
      <c r="AE6" s="7"/>
      <c r="AF6" s="7"/>
    </row>
    <row r="7" spans="1:32" x14ac:dyDescent="0.3">
      <c r="A7" s="4">
        <v>0</v>
      </c>
      <c r="B7" s="12">
        <f>costcalculation!C3</f>
        <v>5000000</v>
      </c>
      <c r="C7" s="10"/>
      <c r="D7" s="10"/>
      <c r="F7" s="20">
        <f>C8/(B3/100)</f>
        <v>22788385.714285713</v>
      </c>
      <c r="G7" s="16">
        <f>D8/(B3/100)</f>
        <v>4557677.1428571427</v>
      </c>
      <c r="H7" s="34">
        <f>F7+G7</f>
        <v>27346062.857142854</v>
      </c>
      <c r="I7" s="16"/>
      <c r="J7" s="16"/>
      <c r="K7" s="16"/>
      <c r="L7" s="16"/>
      <c r="M7" s="21"/>
      <c r="N7" s="16"/>
      <c r="O7" s="22"/>
      <c r="Q7" s="18"/>
      <c r="S7" s="27">
        <f>F7</f>
        <v>22788385.714285713</v>
      </c>
      <c r="T7" s="15">
        <f>S7-Q23</f>
        <v>15449745.010271857</v>
      </c>
      <c r="U7" s="15">
        <f>T7/(((1+B3/100)^10)-1)</f>
        <v>5706864.4257856151</v>
      </c>
      <c r="V7" s="30">
        <f>U7</f>
        <v>5706864.4257856151</v>
      </c>
      <c r="X7" s="39">
        <f>H7+V7</f>
        <v>33052927.282928471</v>
      </c>
      <c r="Y7" s="15">
        <f>X7</f>
        <v>33052927.282928471</v>
      </c>
      <c r="AC7" s="15"/>
      <c r="AD7" s="23"/>
      <c r="AE7" s="15"/>
      <c r="AF7" s="15"/>
    </row>
    <row r="8" spans="1:32" x14ac:dyDescent="0.3">
      <c r="A8" s="4">
        <v>1</v>
      </c>
      <c r="B8" s="10"/>
      <c r="C8" s="12">
        <f>costcalculation!C17</f>
        <v>3190374</v>
      </c>
      <c r="D8" s="12">
        <f>C8*D$5/100</f>
        <v>638074.80000000005</v>
      </c>
      <c r="F8" s="22"/>
      <c r="J8" s="15">
        <f t="shared" ref="J8:J17" si="0">H$7*B$3/100</f>
        <v>3828448.7999999993</v>
      </c>
      <c r="K8" s="15">
        <f>C8</f>
        <v>3190374</v>
      </c>
      <c r="L8" s="15">
        <f>J8-K8</f>
        <v>638074.79999999935</v>
      </c>
      <c r="M8" s="37" t="str">
        <f>IF(ABS(D8-L8)&lt;0.001,"TRUE","FALSE")</f>
        <v>TRUE</v>
      </c>
      <c r="N8" s="15"/>
      <c r="O8" s="27">
        <f>L8</f>
        <v>638074.79999999935</v>
      </c>
      <c r="P8" s="15">
        <f>O7*B$3/100</f>
        <v>0</v>
      </c>
      <c r="Q8" s="23">
        <f>O8+P8+Q7</f>
        <v>638074.79999999935</v>
      </c>
      <c r="R8" s="15"/>
      <c r="S8" s="27"/>
      <c r="T8" s="15"/>
      <c r="U8" s="15">
        <f>U7*(1+B$3/100)</f>
        <v>6505825.4453956019</v>
      </c>
      <c r="V8" s="23"/>
      <c r="X8" s="27"/>
      <c r="Y8" s="15">
        <f>Y7+AD8</f>
        <v>34489963.102538459</v>
      </c>
      <c r="Z8" s="15">
        <f>Y7*(B$3/100)</f>
        <v>4627409.8196099866</v>
      </c>
      <c r="AA8" s="15">
        <f>C8</f>
        <v>3190374</v>
      </c>
      <c r="AB8" s="15">
        <f>D8</f>
        <v>638074.80000000005</v>
      </c>
      <c r="AC8" s="15">
        <f>Z8-AA8-AB8</f>
        <v>798961.01960998657</v>
      </c>
      <c r="AD8" s="23">
        <f>Z8-AA8</f>
        <v>1437035.8196099866</v>
      </c>
      <c r="AE8" s="15"/>
      <c r="AF8" s="15"/>
    </row>
    <row r="9" spans="1:32" x14ac:dyDescent="0.3">
      <c r="A9" s="4">
        <v>2</v>
      </c>
      <c r="B9" s="10"/>
      <c r="C9" s="12">
        <f>C8</f>
        <v>3190374</v>
      </c>
      <c r="D9" s="12">
        <f t="shared" ref="D9:D17" si="1">C9*D$5/100</f>
        <v>638074.80000000005</v>
      </c>
      <c r="F9" s="22"/>
      <c r="J9" s="15">
        <f t="shared" si="0"/>
        <v>3828448.7999999993</v>
      </c>
      <c r="K9" s="15">
        <f t="shared" ref="K9:K17" si="2">C9</f>
        <v>3190374</v>
      </c>
      <c r="L9" s="15">
        <f t="shared" ref="L9:L17" si="3">J9-K9</f>
        <v>638074.79999999935</v>
      </c>
      <c r="M9" s="37" t="str">
        <f t="shared" ref="M9:M17" si="4">IF(ABS(D9-L9)&lt;0.001,"TRUE","FALSE")</f>
        <v>TRUE</v>
      </c>
      <c r="N9" s="15"/>
      <c r="O9" s="27">
        <f t="shared" ref="O9:O17" si="5">L9</f>
        <v>638074.79999999935</v>
      </c>
      <c r="P9" s="15">
        <f t="shared" ref="P9:P17" si="6">Q8*B$3/100</f>
        <v>89330.471999999922</v>
      </c>
      <c r="Q9" s="23">
        <f t="shared" ref="Q9:Q16" si="7">O9+P9+Q8</f>
        <v>1365480.0719999988</v>
      </c>
      <c r="R9" s="15"/>
      <c r="S9" s="27"/>
      <c r="T9" s="15"/>
      <c r="U9" s="15">
        <f t="shared" ref="U9:U17" si="8">U8*(1+B$3/100)</f>
        <v>7416641.0077509871</v>
      </c>
      <c r="V9" s="23"/>
      <c r="W9" s="15"/>
      <c r="X9" s="27"/>
      <c r="Y9" s="15">
        <f t="shared" ref="Y9:Y17" si="9">Y8+AD9</f>
        <v>36128183.936893843</v>
      </c>
      <c r="Z9" s="15">
        <f t="shared" ref="Z9:Z17" si="10">Y8*(B$3/100)</f>
        <v>4828594.834355385</v>
      </c>
      <c r="AA9" s="15">
        <f t="shared" ref="AA9:AB17" si="11">C9</f>
        <v>3190374</v>
      </c>
      <c r="AB9" s="15">
        <f t="shared" si="11"/>
        <v>638074.80000000005</v>
      </c>
      <c r="AC9" s="15">
        <f t="shared" ref="AC9:AC17" si="12">Z9-AA9-AB9</f>
        <v>1000146.034355385</v>
      </c>
      <c r="AD9" s="23">
        <f t="shared" ref="AD9:AD17" si="13">Z9-AA9</f>
        <v>1638220.834355385</v>
      </c>
      <c r="AE9" s="15"/>
      <c r="AF9" s="15"/>
    </row>
    <row r="10" spans="1:32" x14ac:dyDescent="0.3">
      <c r="A10" s="4">
        <v>3</v>
      </c>
      <c r="B10" s="10"/>
      <c r="C10" s="12">
        <f t="shared" ref="C10:C17" si="14">C9</f>
        <v>3190374</v>
      </c>
      <c r="D10" s="12">
        <f t="shared" si="1"/>
        <v>638074.80000000005</v>
      </c>
      <c r="F10" s="22"/>
      <c r="J10" s="15">
        <f t="shared" si="0"/>
        <v>3828448.7999999993</v>
      </c>
      <c r="K10" s="15">
        <f t="shared" si="2"/>
        <v>3190374</v>
      </c>
      <c r="L10" s="15">
        <f t="shared" si="3"/>
        <v>638074.79999999935</v>
      </c>
      <c r="M10" s="37" t="str">
        <f t="shared" si="4"/>
        <v>TRUE</v>
      </c>
      <c r="N10" s="15"/>
      <c r="O10" s="27">
        <f t="shared" si="5"/>
        <v>638074.79999999935</v>
      </c>
      <c r="P10" s="15">
        <f t="shared" si="6"/>
        <v>191167.21007999982</v>
      </c>
      <c r="Q10" s="23">
        <f t="shared" si="7"/>
        <v>2194722.0820799982</v>
      </c>
      <c r="R10" s="15"/>
      <c r="S10" s="27"/>
      <c r="T10" s="15"/>
      <c r="U10" s="15">
        <f t="shared" si="8"/>
        <v>8454970.7488361262</v>
      </c>
      <c r="V10" s="23"/>
      <c r="W10" s="15"/>
      <c r="X10" s="27"/>
      <c r="Y10" s="15">
        <f t="shared" si="9"/>
        <v>37995755.68805898</v>
      </c>
      <c r="Z10" s="15">
        <f t="shared" si="10"/>
        <v>5057945.7511651386</v>
      </c>
      <c r="AA10" s="15">
        <f t="shared" si="11"/>
        <v>3190374</v>
      </c>
      <c r="AB10" s="15">
        <f t="shared" si="11"/>
        <v>638074.80000000005</v>
      </c>
      <c r="AC10" s="15">
        <f t="shared" si="12"/>
        <v>1229496.9511651385</v>
      </c>
      <c r="AD10" s="23">
        <f t="shared" si="13"/>
        <v>1867571.7511651386</v>
      </c>
      <c r="AE10" s="15"/>
      <c r="AF10" s="15"/>
    </row>
    <row r="11" spans="1:32" x14ac:dyDescent="0.3">
      <c r="A11" s="4">
        <v>4</v>
      </c>
      <c r="B11" s="10"/>
      <c r="C11" s="12">
        <f t="shared" si="14"/>
        <v>3190374</v>
      </c>
      <c r="D11" s="12">
        <f t="shared" si="1"/>
        <v>638074.80000000005</v>
      </c>
      <c r="F11" s="22"/>
      <c r="J11" s="15">
        <f t="shared" si="0"/>
        <v>3828448.7999999993</v>
      </c>
      <c r="K11" s="15">
        <f t="shared" si="2"/>
        <v>3190374</v>
      </c>
      <c r="L11" s="15">
        <f t="shared" si="3"/>
        <v>638074.79999999935</v>
      </c>
      <c r="M11" s="37" t="str">
        <f t="shared" si="4"/>
        <v>TRUE</v>
      </c>
      <c r="N11" s="15"/>
      <c r="O11" s="27">
        <f t="shared" si="5"/>
        <v>638074.79999999935</v>
      </c>
      <c r="P11" s="15">
        <f t="shared" si="6"/>
        <v>307261.09149119974</v>
      </c>
      <c r="Q11" s="23">
        <f t="shared" si="7"/>
        <v>3140057.9735711971</v>
      </c>
      <c r="R11" s="15"/>
      <c r="S11" s="27"/>
      <c r="T11" s="15"/>
      <c r="U11" s="15">
        <f t="shared" si="8"/>
        <v>9638666.653673185</v>
      </c>
      <c r="V11" s="23"/>
      <c r="W11" s="15"/>
      <c r="X11" s="27"/>
      <c r="Y11" s="15">
        <f t="shared" si="9"/>
        <v>40124787.484387234</v>
      </c>
      <c r="Z11" s="15">
        <f t="shared" si="10"/>
        <v>5319405.7963282578</v>
      </c>
      <c r="AA11" s="15">
        <f t="shared" si="11"/>
        <v>3190374</v>
      </c>
      <c r="AB11" s="15">
        <f t="shared" si="11"/>
        <v>638074.80000000005</v>
      </c>
      <c r="AC11" s="15">
        <f t="shared" si="12"/>
        <v>1490956.9963282577</v>
      </c>
      <c r="AD11" s="23">
        <f t="shared" si="13"/>
        <v>2129031.7963282578</v>
      </c>
      <c r="AE11" s="15"/>
      <c r="AF11" s="15"/>
    </row>
    <row r="12" spans="1:32" x14ac:dyDescent="0.3">
      <c r="A12" s="4">
        <v>5</v>
      </c>
      <c r="B12" s="10"/>
      <c r="C12" s="12">
        <f t="shared" si="14"/>
        <v>3190374</v>
      </c>
      <c r="D12" s="12">
        <f t="shared" si="1"/>
        <v>638074.80000000005</v>
      </c>
      <c r="F12" s="22"/>
      <c r="J12" s="15">
        <f t="shared" si="0"/>
        <v>3828448.7999999993</v>
      </c>
      <c r="K12" s="15">
        <f t="shared" si="2"/>
        <v>3190374</v>
      </c>
      <c r="L12" s="15">
        <f t="shared" si="3"/>
        <v>638074.79999999935</v>
      </c>
      <c r="M12" s="37" t="str">
        <f t="shared" si="4"/>
        <v>TRUE</v>
      </c>
      <c r="N12" s="15"/>
      <c r="O12" s="27">
        <f t="shared" si="5"/>
        <v>638074.79999999935</v>
      </c>
      <c r="P12" s="15">
        <f t="shared" si="6"/>
        <v>439608.11629996763</v>
      </c>
      <c r="Q12" s="23">
        <f t="shared" si="7"/>
        <v>4217740.8898711642</v>
      </c>
      <c r="R12" s="15"/>
      <c r="S12" s="27"/>
      <c r="T12" s="15"/>
      <c r="U12" s="15">
        <f t="shared" si="8"/>
        <v>10988079.985187432</v>
      </c>
      <c r="V12" s="23"/>
      <c r="W12" s="15"/>
      <c r="X12" s="27"/>
      <c r="Y12" s="15">
        <f t="shared" si="9"/>
        <v>42551883.73220145</v>
      </c>
      <c r="Z12" s="15">
        <f t="shared" si="10"/>
        <v>5617470.2478142129</v>
      </c>
      <c r="AA12" s="15">
        <f t="shared" si="11"/>
        <v>3190374</v>
      </c>
      <c r="AB12" s="15">
        <f t="shared" si="11"/>
        <v>638074.80000000005</v>
      </c>
      <c r="AC12" s="15">
        <f t="shared" si="12"/>
        <v>1789021.4478142129</v>
      </c>
      <c r="AD12" s="23">
        <f t="shared" si="13"/>
        <v>2427096.2478142129</v>
      </c>
      <c r="AE12" s="15"/>
      <c r="AF12" s="15"/>
    </row>
    <row r="13" spans="1:32" x14ac:dyDescent="0.3">
      <c r="A13" s="4">
        <v>6</v>
      </c>
      <c r="B13" s="10"/>
      <c r="C13" s="12">
        <f t="shared" si="14"/>
        <v>3190374</v>
      </c>
      <c r="D13" s="12">
        <f t="shared" si="1"/>
        <v>638074.80000000005</v>
      </c>
      <c r="F13" s="22"/>
      <c r="J13" s="15">
        <f t="shared" si="0"/>
        <v>3828448.7999999993</v>
      </c>
      <c r="K13" s="15">
        <f t="shared" si="2"/>
        <v>3190374</v>
      </c>
      <c r="L13" s="15">
        <f t="shared" si="3"/>
        <v>638074.79999999935</v>
      </c>
      <c r="M13" s="37" t="str">
        <f t="shared" si="4"/>
        <v>TRUE</v>
      </c>
      <c r="N13" s="15"/>
      <c r="O13" s="27">
        <f t="shared" si="5"/>
        <v>638074.79999999935</v>
      </c>
      <c r="P13" s="15">
        <f t="shared" si="6"/>
        <v>590483.72458196292</v>
      </c>
      <c r="Q13" s="23">
        <f t="shared" si="7"/>
        <v>5446299.4144531265</v>
      </c>
      <c r="R13" s="15"/>
      <c r="S13" s="27"/>
      <c r="T13" s="15"/>
      <c r="U13" s="15">
        <f t="shared" si="8"/>
        <v>12526411.183113674</v>
      </c>
      <c r="V13" s="23"/>
      <c r="W13" s="15"/>
      <c r="X13" s="27"/>
      <c r="Y13" s="15">
        <f t="shared" si="9"/>
        <v>45318773.454709649</v>
      </c>
      <c r="Z13" s="15">
        <f t="shared" si="10"/>
        <v>5957263.7225082032</v>
      </c>
      <c r="AA13" s="15">
        <f t="shared" si="11"/>
        <v>3190374</v>
      </c>
      <c r="AB13" s="15">
        <f t="shared" si="11"/>
        <v>638074.80000000005</v>
      </c>
      <c r="AC13" s="15">
        <f t="shared" si="12"/>
        <v>2128814.9225082034</v>
      </c>
      <c r="AD13" s="23">
        <f t="shared" si="13"/>
        <v>2766889.7225082032</v>
      </c>
      <c r="AE13" s="15"/>
      <c r="AF13" s="15"/>
    </row>
    <row r="14" spans="1:32" x14ac:dyDescent="0.3">
      <c r="A14" s="4">
        <v>7</v>
      </c>
      <c r="B14" s="10"/>
      <c r="C14" s="12">
        <f t="shared" si="14"/>
        <v>3190374</v>
      </c>
      <c r="D14" s="12">
        <f t="shared" si="1"/>
        <v>638074.80000000005</v>
      </c>
      <c r="F14" s="22"/>
      <c r="J14" s="15">
        <f t="shared" si="0"/>
        <v>3828448.7999999993</v>
      </c>
      <c r="K14" s="15">
        <f t="shared" si="2"/>
        <v>3190374</v>
      </c>
      <c r="L14" s="15">
        <f t="shared" si="3"/>
        <v>638074.79999999935</v>
      </c>
      <c r="M14" s="37" t="str">
        <f t="shared" si="4"/>
        <v>TRUE</v>
      </c>
      <c r="N14" s="15"/>
      <c r="O14" s="27">
        <f t="shared" si="5"/>
        <v>638074.79999999935</v>
      </c>
      <c r="P14" s="15">
        <f t="shared" si="6"/>
        <v>762481.91802343773</v>
      </c>
      <c r="Q14" s="23">
        <f t="shared" si="7"/>
        <v>6846856.1324765636</v>
      </c>
      <c r="R14" s="15"/>
      <c r="S14" s="27"/>
      <c r="T14" s="15"/>
      <c r="U14" s="15">
        <f t="shared" si="8"/>
        <v>14280108.74874959</v>
      </c>
      <c r="V14" s="23"/>
      <c r="W14" s="15"/>
      <c r="X14" s="27"/>
      <c r="Y14" s="15">
        <f t="shared" si="9"/>
        <v>48473027.738369003</v>
      </c>
      <c r="Z14" s="15">
        <f t="shared" si="10"/>
        <v>6344628.2836593511</v>
      </c>
      <c r="AA14" s="15">
        <f t="shared" si="11"/>
        <v>3190374</v>
      </c>
      <c r="AB14" s="15">
        <f t="shared" si="11"/>
        <v>638074.80000000005</v>
      </c>
      <c r="AC14" s="15">
        <f t="shared" si="12"/>
        <v>2516179.4836593512</v>
      </c>
      <c r="AD14" s="23">
        <f t="shared" si="13"/>
        <v>3154254.2836593511</v>
      </c>
      <c r="AE14" s="15"/>
      <c r="AF14" s="15"/>
    </row>
    <row r="15" spans="1:32" x14ac:dyDescent="0.3">
      <c r="A15" s="4">
        <v>8</v>
      </c>
      <c r="B15" s="10"/>
      <c r="C15" s="12">
        <f t="shared" si="14"/>
        <v>3190374</v>
      </c>
      <c r="D15" s="12">
        <f t="shared" si="1"/>
        <v>638074.80000000005</v>
      </c>
      <c r="F15" s="22"/>
      <c r="J15" s="15">
        <f t="shared" si="0"/>
        <v>3828448.7999999993</v>
      </c>
      <c r="K15" s="15">
        <f t="shared" si="2"/>
        <v>3190374</v>
      </c>
      <c r="L15" s="15">
        <f t="shared" si="3"/>
        <v>638074.79999999935</v>
      </c>
      <c r="M15" s="37" t="str">
        <f t="shared" si="4"/>
        <v>TRUE</v>
      </c>
      <c r="N15" s="15"/>
      <c r="O15" s="27">
        <f t="shared" si="5"/>
        <v>638074.79999999935</v>
      </c>
      <c r="P15" s="15">
        <f t="shared" si="6"/>
        <v>958559.85854671896</v>
      </c>
      <c r="Q15" s="23">
        <f t="shared" si="7"/>
        <v>8443490.7910232823</v>
      </c>
      <c r="R15" s="15"/>
      <c r="S15" s="27"/>
      <c r="T15" s="15"/>
      <c r="U15" s="15">
        <f t="shared" si="8"/>
        <v>16279323.973574534</v>
      </c>
      <c r="V15" s="23"/>
      <c r="W15" s="15"/>
      <c r="X15" s="27"/>
      <c r="Y15" s="15">
        <f t="shared" si="9"/>
        <v>52068877.621740662</v>
      </c>
      <c r="Z15" s="15">
        <f t="shared" si="10"/>
        <v>6786223.8833716614</v>
      </c>
      <c r="AA15" s="15">
        <f t="shared" si="11"/>
        <v>3190374</v>
      </c>
      <c r="AB15" s="15">
        <f t="shared" si="11"/>
        <v>638074.80000000005</v>
      </c>
      <c r="AC15" s="15">
        <f t="shared" si="12"/>
        <v>2957775.0833716616</v>
      </c>
      <c r="AD15" s="23">
        <f t="shared" si="13"/>
        <v>3595849.8833716614</v>
      </c>
      <c r="AE15" s="15"/>
      <c r="AF15" s="15"/>
    </row>
    <row r="16" spans="1:32" x14ac:dyDescent="0.3">
      <c r="A16" s="4">
        <v>9</v>
      </c>
      <c r="B16" s="10"/>
      <c r="C16" s="12">
        <f t="shared" si="14"/>
        <v>3190374</v>
      </c>
      <c r="D16" s="12">
        <f t="shared" si="1"/>
        <v>638074.80000000005</v>
      </c>
      <c r="F16" s="22"/>
      <c r="J16" s="15">
        <f t="shared" si="0"/>
        <v>3828448.7999999993</v>
      </c>
      <c r="K16" s="15">
        <f t="shared" si="2"/>
        <v>3190374</v>
      </c>
      <c r="L16" s="15">
        <f t="shared" si="3"/>
        <v>638074.79999999935</v>
      </c>
      <c r="M16" s="37" t="str">
        <f t="shared" si="4"/>
        <v>TRUE</v>
      </c>
      <c r="N16" s="15"/>
      <c r="O16" s="27">
        <f t="shared" si="5"/>
        <v>638074.79999999935</v>
      </c>
      <c r="P16" s="15">
        <f t="shared" si="6"/>
        <v>1182088.7107432594</v>
      </c>
      <c r="Q16" s="23">
        <f t="shared" si="7"/>
        <v>10263654.301766541</v>
      </c>
      <c r="R16" s="15"/>
      <c r="S16" s="27"/>
      <c r="T16" s="15"/>
      <c r="U16" s="15">
        <f t="shared" si="8"/>
        <v>18558429.32987497</v>
      </c>
      <c r="V16" s="23"/>
      <c r="W16" s="15"/>
      <c r="X16" s="27"/>
      <c r="Y16" s="15">
        <f t="shared" si="9"/>
        <v>56168146.488784358</v>
      </c>
      <c r="Z16" s="15">
        <f t="shared" si="10"/>
        <v>7289642.8670436935</v>
      </c>
      <c r="AA16" s="15">
        <f t="shared" si="11"/>
        <v>3190374</v>
      </c>
      <c r="AB16" s="15">
        <f t="shared" si="11"/>
        <v>638074.80000000005</v>
      </c>
      <c r="AC16" s="15">
        <f t="shared" si="12"/>
        <v>3461194.0670436937</v>
      </c>
      <c r="AD16" s="23">
        <f t="shared" si="13"/>
        <v>4099268.8670436935</v>
      </c>
      <c r="AE16" s="15"/>
      <c r="AF16" s="15"/>
    </row>
    <row r="17" spans="1:32" x14ac:dyDescent="0.3">
      <c r="A17" s="4">
        <v>10</v>
      </c>
      <c r="B17" s="10"/>
      <c r="C17" s="12">
        <f t="shared" si="14"/>
        <v>3190374</v>
      </c>
      <c r="D17" s="12">
        <f t="shared" si="1"/>
        <v>638074.80000000005</v>
      </c>
      <c r="F17" s="22"/>
      <c r="J17" s="15">
        <f t="shared" si="0"/>
        <v>3828448.7999999993</v>
      </c>
      <c r="K17" s="15">
        <f t="shared" si="2"/>
        <v>3190374</v>
      </c>
      <c r="L17" s="15">
        <f t="shared" si="3"/>
        <v>638074.79999999935</v>
      </c>
      <c r="M17" s="37" t="str">
        <f t="shared" si="4"/>
        <v>TRUE</v>
      </c>
      <c r="N17" s="15"/>
      <c r="O17" s="27">
        <f t="shared" si="5"/>
        <v>638074.79999999935</v>
      </c>
      <c r="P17" s="15">
        <f t="shared" si="6"/>
        <v>1436911.6022473157</v>
      </c>
      <c r="Q17" s="28">
        <f>O17+P17+Q16</f>
        <v>12338640.704013856</v>
      </c>
      <c r="R17" s="15"/>
      <c r="S17" s="27"/>
      <c r="T17" s="15"/>
      <c r="U17" s="15">
        <f t="shared" si="8"/>
        <v>21156609.436057467</v>
      </c>
      <c r="V17" s="23"/>
      <c r="W17" s="15"/>
      <c r="X17" s="27"/>
      <c r="Y17" s="35">
        <f t="shared" si="9"/>
        <v>60841312.997214168</v>
      </c>
      <c r="Z17" s="15">
        <f t="shared" si="10"/>
        <v>7863540.5084298104</v>
      </c>
      <c r="AA17" s="15">
        <f t="shared" si="11"/>
        <v>3190374</v>
      </c>
      <c r="AB17" s="15">
        <f t="shared" si="11"/>
        <v>638074.80000000005</v>
      </c>
      <c r="AC17" s="15">
        <f t="shared" si="12"/>
        <v>4035091.7084298106</v>
      </c>
      <c r="AD17" s="23">
        <f t="shared" si="13"/>
        <v>4673166.5084298104</v>
      </c>
      <c r="AE17" s="15"/>
      <c r="AF17" s="15"/>
    </row>
    <row r="18" spans="1:32" x14ac:dyDescent="0.3">
      <c r="A18" s="25"/>
      <c r="B18" s="25"/>
      <c r="C18" s="25"/>
      <c r="D18" s="25"/>
      <c r="F18" s="22"/>
      <c r="M18" s="18"/>
      <c r="O18" s="27"/>
      <c r="Q18" s="18"/>
      <c r="S18" s="27">
        <f>D18</f>
        <v>0</v>
      </c>
      <c r="V18" s="18"/>
      <c r="X18" s="22"/>
      <c r="Z18" s="15"/>
      <c r="AD18" s="18"/>
      <c r="AE18" s="15"/>
    </row>
    <row r="19" spans="1:32" x14ac:dyDescent="0.3">
      <c r="O19" s="15"/>
    </row>
    <row r="20" spans="1:32" x14ac:dyDescent="0.3">
      <c r="O20" s="15"/>
    </row>
    <row r="21" spans="1:32" x14ac:dyDescent="0.3">
      <c r="O21" s="15"/>
    </row>
    <row r="22" spans="1:32" x14ac:dyDescent="0.3">
      <c r="O22" s="15"/>
      <c r="P22" t="s">
        <v>39</v>
      </c>
      <c r="Q22" s="15">
        <f>B7</f>
        <v>5000000</v>
      </c>
      <c r="R22" t="s">
        <v>21</v>
      </c>
      <c r="X22" s="15" t="s">
        <v>39</v>
      </c>
      <c r="Y22" s="15">
        <f>B7</f>
        <v>5000000</v>
      </c>
      <c r="Z22" t="s">
        <v>21</v>
      </c>
    </row>
    <row r="23" spans="1:32" x14ac:dyDescent="0.3">
      <c r="Q23" s="26">
        <f>Q17-Q22</f>
        <v>7338640.7040138561</v>
      </c>
      <c r="R23" t="s">
        <v>53</v>
      </c>
      <c r="Y23" s="15">
        <f>Y17-Y22</f>
        <v>55841312.997214168</v>
      </c>
    </row>
    <row r="24" spans="1:32" x14ac:dyDescent="0.3">
      <c r="F24" s="15"/>
      <c r="X24" s="15" t="s">
        <v>39</v>
      </c>
      <c r="Y24" s="15">
        <f>X7</f>
        <v>33052927.282928471</v>
      </c>
      <c r="Z24" t="s">
        <v>59</v>
      </c>
    </row>
    <row r="25" spans="1:32" x14ac:dyDescent="0.3">
      <c r="Y25" s="36">
        <f>Y23-Y24</f>
        <v>22788385.714285698</v>
      </c>
      <c r="Z25" t="s">
        <v>65</v>
      </c>
    </row>
    <row r="26" spans="1:32" x14ac:dyDescent="0.3">
      <c r="Y26" s="17" t="str">
        <f>IF(ABS(Y25-S7)&lt;0.001,"TRUE","FALSE")</f>
        <v>TRUE</v>
      </c>
    </row>
  </sheetData>
  <mergeCells count="4">
    <mergeCell ref="F2:M2"/>
    <mergeCell ref="O2:Q2"/>
    <mergeCell ref="S2:V2"/>
    <mergeCell ref="X2:AD2"/>
  </mergeCells>
  <conditionalFormatting sqref="M8:M17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2E74-9BC9-401E-B8F5-A6E9012A4D46}">
  <dimension ref="A1:C5"/>
  <sheetViews>
    <sheetView zoomScale="160" zoomScaleNormal="160" workbookViewId="0">
      <selection activeCell="C6" sqref="C6"/>
    </sheetView>
  </sheetViews>
  <sheetFormatPr defaultRowHeight="14.4" x14ac:dyDescent="0.3"/>
  <cols>
    <col min="1" max="1" width="8.33203125" bestFit="1" customWidth="1"/>
    <col min="2" max="2" width="14" bestFit="1" customWidth="1"/>
    <col min="3" max="3" width="18.21875" bestFit="1" customWidth="1"/>
  </cols>
  <sheetData>
    <row r="1" spans="1:3" x14ac:dyDescent="0.3">
      <c r="A1" s="5" t="s">
        <v>67</v>
      </c>
      <c r="B1" s="5" t="s">
        <v>40</v>
      </c>
      <c r="C1" s="5" t="s">
        <v>65</v>
      </c>
    </row>
    <row r="2" spans="1:3" x14ac:dyDescent="0.3">
      <c r="A2" s="4">
        <f>simulation8pa!B3</f>
        <v>8</v>
      </c>
      <c r="B2" s="11">
        <f>simulation8pa!X7</f>
        <v>78604937.72676146</v>
      </c>
      <c r="C2" s="11">
        <f>simulation8pa!S7</f>
        <v>39879675</v>
      </c>
    </row>
    <row r="3" spans="1:3" x14ac:dyDescent="0.3">
      <c r="A3" s="4">
        <f>simulation10pa!B3</f>
        <v>10</v>
      </c>
      <c r="B3" s="11">
        <f>simulation10pa!X7</f>
        <v>55059137.389415368</v>
      </c>
      <c r="C3" s="11">
        <f>simulation10pa!S7</f>
        <v>31903740</v>
      </c>
    </row>
    <row r="4" spans="1:3" x14ac:dyDescent="0.3">
      <c r="A4" s="4">
        <f>simulation12pa!B3</f>
        <v>12</v>
      </c>
      <c r="B4" s="11">
        <f>simulation12pa!X7</f>
        <v>41585845.433555886</v>
      </c>
      <c r="C4" s="11">
        <f>simulation12pa!S7</f>
        <v>26586450</v>
      </c>
    </row>
    <row r="5" spans="1:3" x14ac:dyDescent="0.3">
      <c r="A5" s="4">
        <f>simulation14pa!B3</f>
        <v>14</v>
      </c>
      <c r="B5" s="11">
        <f>simulation14pa!X7</f>
        <v>33052927.282928471</v>
      </c>
      <c r="C5" s="11">
        <f>simulation14pa!S7</f>
        <v>22788385.714285713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</vt:lpstr>
      <vt:lpstr>costcalculation</vt:lpstr>
      <vt:lpstr>simulation8pa</vt:lpstr>
      <vt:lpstr>simulation10pa</vt:lpstr>
      <vt:lpstr>simulation12pa</vt:lpstr>
      <vt:lpstr>simulation14pa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Francis</dc:creator>
  <cp:lastModifiedBy>Angelo Francis</cp:lastModifiedBy>
  <dcterms:created xsi:type="dcterms:W3CDTF">2015-06-05T18:17:20Z</dcterms:created>
  <dcterms:modified xsi:type="dcterms:W3CDTF">2023-12-16T01:49:47Z</dcterms:modified>
</cp:coreProperties>
</file>