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xr:revisionPtr revIDLastSave="0" documentId="13_ncr:1_{E59B29EE-970D-4282-98AC-BAEBE06F4048}" xr6:coauthVersionLast="47" xr6:coauthVersionMax="47" xr10:uidLastSave="{00000000-0000-0000-0000-000000000000}"/>
  <bookViews>
    <workbookView xWindow="-120" yWindow="-120" windowWidth="20730" windowHeight="11040" activeTab="2" xr2:uid="{D50646E0-9162-4966-B9F8-2A68DF15F7F3}"/>
  </bookViews>
  <sheets>
    <sheet name="0. Profesionales" sheetId="3" r:id="rId1"/>
    <sheet name="1. Ahorro" sheetId="4" r:id="rId2"/>
    <sheet name="2. Almuerzos" sheetId="2" r:id="rId3"/>
    <sheet name="3. Rellena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F3" i="2"/>
  <c r="F13" i="3"/>
  <c r="F14" i="3"/>
  <c r="F15" i="3"/>
  <c r="F16" i="3"/>
  <c r="F17" i="3"/>
  <c r="G13" i="2"/>
  <c r="F5" i="3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D3" i="2"/>
  <c r="G3" i="2" s="1"/>
  <c r="D4" i="2"/>
  <c r="D5" i="2"/>
  <c r="G5" i="2" s="1"/>
  <c r="D6" i="2"/>
  <c r="G6" i="2" s="1"/>
  <c r="D7" i="2"/>
  <c r="D8" i="2"/>
  <c r="D9" i="2"/>
  <c r="G9" i="2" s="1"/>
  <c r="F4" i="3" s="1"/>
  <c r="D10" i="2"/>
  <c r="D11" i="2"/>
  <c r="D12" i="2"/>
  <c r="D13" i="2"/>
  <c r="D14" i="2"/>
  <c r="G14" i="2" s="1"/>
  <c r="F12" i="3" s="1"/>
  <c r="D15" i="2"/>
  <c r="G15" i="2" s="1"/>
  <c r="F8" i="3" s="1"/>
  <c r="D16" i="2"/>
  <c r="G12" i="3"/>
  <c r="H13" i="3" l="1"/>
  <c r="H12" i="3"/>
  <c r="G7" i="2"/>
  <c r="G12" i="2"/>
  <c r="F10" i="3" s="1"/>
  <c r="G4" i="2"/>
  <c r="G10" i="2"/>
  <c r="F3" i="3" s="1"/>
  <c r="G16" i="2"/>
  <c r="F6" i="3" s="1"/>
  <c r="H6" i="3" s="1"/>
  <c r="G8" i="2"/>
  <c r="F7" i="3" s="1"/>
  <c r="G11" i="2"/>
  <c r="F9" i="3" s="1"/>
  <c r="F11" i="3"/>
  <c r="G13" i="3"/>
  <c r="G3" i="3"/>
  <c r="G14" i="3"/>
  <c r="H14" i="3" s="1"/>
  <c r="G6" i="3"/>
  <c r="G15" i="3"/>
  <c r="H15" i="3" s="1"/>
  <c r="J10" i="1"/>
  <c r="J11" i="1"/>
  <c r="J12" i="1"/>
  <c r="J13" i="1"/>
  <c r="J14" i="1"/>
  <c r="J15" i="1"/>
  <c r="J16" i="1"/>
  <c r="J17" i="1"/>
  <c r="J18" i="1"/>
  <c r="E28" i="1"/>
  <c r="E27" i="1"/>
  <c r="I18" i="1" s="1"/>
  <c r="E25" i="1"/>
  <c r="E24" i="1"/>
  <c r="I16" i="1" s="1"/>
  <c r="E23" i="1"/>
  <c r="E22" i="1"/>
  <c r="I15" i="1" s="1"/>
  <c r="E21" i="1"/>
  <c r="E20" i="1"/>
  <c r="E19" i="1"/>
  <c r="E18" i="1"/>
  <c r="I14" i="1" s="1"/>
  <c r="E17" i="1"/>
  <c r="E16" i="1"/>
  <c r="I13" i="1" s="1"/>
  <c r="E15" i="1"/>
  <c r="E14" i="1"/>
  <c r="I12" i="1" s="1"/>
  <c r="E13" i="1"/>
  <c r="E12" i="1"/>
  <c r="I11" i="1" s="1"/>
  <c r="E11" i="1"/>
  <c r="E10" i="1"/>
  <c r="I10" i="1" s="1"/>
  <c r="C26" i="1"/>
  <c r="E26" i="1" s="1"/>
  <c r="I17" i="1" s="1"/>
  <c r="H3" i="3" l="1"/>
  <c r="K5" i="1"/>
  <c r="K7" i="1" s="1"/>
  <c r="K10" i="1" l="1"/>
  <c r="G7" i="3" s="1"/>
  <c r="H7" i="3" s="1"/>
  <c r="K18" i="1"/>
  <c r="G4" i="3" s="1"/>
  <c r="H4" i="3" s="1"/>
  <c r="K11" i="1"/>
  <c r="G8" i="3" s="1"/>
  <c r="H8" i="3" s="1"/>
  <c r="K12" i="1"/>
  <c r="G10" i="3" s="1"/>
  <c r="H10" i="3" s="1"/>
  <c r="K13" i="1"/>
  <c r="G11" i="3" s="1"/>
  <c r="H11" i="3" s="1"/>
  <c r="K14" i="1"/>
  <c r="G5" i="3" s="1"/>
  <c r="H5" i="3" s="1"/>
  <c r="K15" i="1"/>
  <c r="G16" i="3" s="1"/>
  <c r="H16" i="3" s="1"/>
  <c r="K16" i="1"/>
  <c r="G9" i="3" s="1"/>
  <c r="H9" i="3" s="1"/>
  <c r="K17" i="1"/>
  <c r="G17" i="3" s="1"/>
  <c r="H17" i="3" s="1"/>
  <c r="H11" i="1"/>
  <c r="H18" i="1"/>
  <c r="H17" i="1"/>
  <c r="H14" i="1"/>
  <c r="H16" i="1"/>
  <c r="H13" i="1"/>
  <c r="H10" i="1"/>
  <c r="H15" i="1"/>
  <c r="H12" i="1"/>
</calcChain>
</file>

<file path=xl/sharedStrings.xml><?xml version="1.0" encoding="utf-8"?>
<sst xmlns="http://schemas.openxmlformats.org/spreadsheetml/2006/main" count="131" uniqueCount="45">
  <si>
    <t>Beto Garcia</t>
  </si>
  <si>
    <t>Edy Uribe</t>
  </si>
  <si>
    <t>Elvis Molina</t>
  </si>
  <si>
    <t>Ines Torres</t>
  </si>
  <si>
    <t>Ivonne Mancipe</t>
  </si>
  <si>
    <t>Johana Matute</t>
  </si>
  <si>
    <t>Johana Quimbay</t>
  </si>
  <si>
    <t>Marinela Olaya</t>
  </si>
  <si>
    <t>Nataly Caro</t>
  </si>
  <si>
    <t>Nydia Gamba</t>
  </si>
  <si>
    <t>Olga Arango</t>
  </si>
  <si>
    <t>Paola Pinzon</t>
  </si>
  <si>
    <t>Partícipes FOREVER</t>
  </si>
  <si>
    <t>Otros</t>
  </si>
  <si>
    <t>Gramos (Rellena)</t>
  </si>
  <si>
    <t>Combo (Rellena)</t>
  </si>
  <si>
    <t>Pedazos (Rellena)</t>
  </si>
  <si>
    <t>Precio</t>
  </si>
  <si>
    <t>Porción</t>
  </si>
  <si>
    <t>Consumo</t>
  </si>
  <si>
    <t>Partícipes Fondo</t>
  </si>
  <si>
    <t>Descuento</t>
  </si>
  <si>
    <t>Esta</t>
  </si>
  <si>
    <t>Ganancia</t>
  </si>
  <si>
    <t>(+) Ingreso</t>
  </si>
  <si>
    <t>(-) Costo</t>
  </si>
  <si>
    <t>(=) Utilidad</t>
  </si>
  <si>
    <t>Rellena - 19/02/2025</t>
  </si>
  <si>
    <t>% Consumo</t>
  </si>
  <si>
    <t>Profesional</t>
  </si>
  <si>
    <t>#</t>
  </si>
  <si>
    <t>Total</t>
  </si>
  <si>
    <t>Dia</t>
  </si>
  <si>
    <t>Valor</t>
  </si>
  <si>
    <t>1. Ahorro</t>
  </si>
  <si>
    <t>2. Almuerzos</t>
  </si>
  <si>
    <t>3. Rellena</t>
  </si>
  <si>
    <t>Quincena</t>
  </si>
  <si>
    <t>Sobrebarriga</t>
  </si>
  <si>
    <t>Costo</t>
  </si>
  <si>
    <t>Utilidad</t>
  </si>
  <si>
    <t>Papa, yuca y Arroz</t>
  </si>
  <si>
    <t>Martha Molina</t>
  </si>
  <si>
    <t>Concepto</t>
  </si>
  <si>
    <t>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</si>
</sst>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164" fontId="2" fillId="2" borderId="6" xfId="1" applyNumberFormat="1" applyFont="1" applyFill="1" applyBorder="1" applyAlignment="1">
      <alignment vertical="center"/>
    </xf>
    <xf numFmtId="164" fontId="2" fillId="2" borderId="9" xfId="1" applyNumberFormat="1" applyFont="1" applyFill="1" applyBorder="1" applyAlignment="1">
      <alignment vertical="center"/>
    </xf>
    <xf numFmtId="164" fontId="2" fillId="2" borderId="17" xfId="1" applyNumberFormat="1" applyFont="1" applyFill="1" applyBorder="1" applyAlignment="1">
      <alignment vertical="center"/>
    </xf>
    <xf numFmtId="164" fontId="2" fillId="2" borderId="0" xfId="0" applyNumberFormat="1" applyFont="1" applyFill="1" applyAlignment="1">
      <alignment vertical="center"/>
    </xf>
    <xf numFmtId="164" fontId="2" fillId="2" borderId="17" xfId="0" applyNumberFormat="1" applyFont="1" applyFill="1" applyBorder="1" applyAlignment="1">
      <alignment vertical="center"/>
    </xf>
    <xf numFmtId="164" fontId="2" fillId="4" borderId="20" xfId="0" applyNumberFormat="1" applyFont="1" applyFill="1" applyBorder="1" applyAlignment="1">
      <alignment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3" xfId="1" applyNumberFormat="1" applyFont="1" applyFill="1" applyBorder="1" applyAlignment="1">
      <alignment vertical="center"/>
    </xf>
    <xf numFmtId="0" fontId="2" fillId="0" borderId="22" xfId="0" applyFont="1" applyFill="1" applyBorder="1" applyAlignment="1">
      <alignment horizontal="left" vertical="center"/>
    </xf>
    <xf numFmtId="9" fontId="2" fillId="0" borderId="29" xfId="2" applyFont="1" applyFill="1" applyBorder="1" applyAlignment="1">
      <alignment horizontal="center" vertical="center"/>
    </xf>
    <xf numFmtId="164" fontId="2" fillId="0" borderId="29" xfId="1" applyNumberFormat="1" applyFont="1" applyFill="1" applyBorder="1" applyAlignment="1">
      <alignment vertical="center"/>
    </xf>
    <xf numFmtId="0" fontId="2" fillId="0" borderId="29" xfId="0" applyFont="1" applyFill="1" applyBorder="1" applyAlignment="1">
      <alignment horizontal="center" vertical="center"/>
    </xf>
    <xf numFmtId="164" fontId="2" fillId="0" borderId="21" xfId="1" applyNumberFormat="1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64" fontId="2" fillId="2" borderId="13" xfId="1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164" fontId="2" fillId="2" borderId="21" xfId="1" applyNumberFormat="1" applyFont="1" applyFill="1" applyBorder="1" applyAlignment="1">
      <alignment vertical="center"/>
    </xf>
    <xf numFmtId="9" fontId="2" fillId="2" borderId="0" xfId="2" applyFont="1" applyFill="1" applyAlignment="1">
      <alignment vertical="center"/>
    </xf>
    <xf numFmtId="164" fontId="2" fillId="0" borderId="0" xfId="1" applyNumberFormat="1" applyFont="1" applyFill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2" fillId="2" borderId="0" xfId="0" applyFont="1" applyFill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/>
    </xf>
    <xf numFmtId="0" fontId="2" fillId="4" borderId="19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14" fontId="2" fillId="2" borderId="0" xfId="0" applyNumberFormat="1" applyFont="1" applyFill="1"/>
    <xf numFmtId="14" fontId="2" fillId="0" borderId="0" xfId="0" applyNumberFormat="1" applyFont="1" applyFill="1"/>
    <xf numFmtId="0" fontId="2" fillId="0" borderId="0" xfId="0" applyFont="1" applyFill="1"/>
    <xf numFmtId="164" fontId="2" fillId="0" borderId="0" xfId="1" applyNumberFormat="1" applyFont="1" applyFill="1"/>
    <xf numFmtId="0" fontId="2" fillId="3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1" applyNumberFormat="1" applyFont="1" applyFill="1" applyAlignment="1">
      <alignment vertical="center"/>
    </xf>
    <xf numFmtId="164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9" formatCode="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9" formatCode="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FC7129-F019-4861-A773-E5DADA19DB71}" name="Consolidado" displayName="Consolidado" ref="B2:H18" totalsRowCount="1" headerRowDxfId="18" dataDxfId="17" totalsRowDxfId="1" headerRowBorderDxfId="15" tableBorderDxfId="16">
  <autoFilter ref="B2:H17" xr:uid="{CDFC7129-F019-4861-A773-E5DADA19DB71}"/>
  <sortState xmlns:xlrd2="http://schemas.microsoft.com/office/spreadsheetml/2017/richdata2" ref="B3:H17">
    <sortCondition descending="1" ref="C2:C17"/>
  </sortState>
  <tableColumns count="7">
    <tableColumn id="1" xr3:uid="{C79A5B5A-119B-4D31-BC6D-50E10B77AC77}" name="Profesional" dataDxfId="14" totalsRowDxfId="7"/>
    <tableColumn id="2" xr3:uid="{281F7BF8-E7C2-4524-AB7D-34834CA1775D}" name="Esta" dataDxfId="13" totalsRowDxfId="6"/>
    <tableColumn id="7" xr3:uid="{ED3DA665-6778-40EA-A4D9-4393D4A954B7}" name="Pagado" dataDxfId="12" totalsRowDxfId="5"/>
    <tableColumn id="6" xr3:uid="{A07BCC97-80F8-4FF8-829B-6F5946A2CCFA}" name="1. Ahorro" dataDxfId="11" totalsRowDxfId="4" dataCellStyle="Moneda" totalsRowCellStyle="Moneda">
      <calculatedColumnFormula>+SUMIF(Tabla4[Partícipes Fondo],Consolidado[[#This Row],[Profesional]],Tabla4[Valor])</calculatedColumnFormula>
    </tableColumn>
    <tableColumn id="3" xr3:uid="{BBE396AD-CAB9-4A52-ABF9-4E652AB97FC0}" name="2. Almuerzos" dataDxfId="10" totalsRowDxfId="3" dataCellStyle="Moneda" totalsRowCellStyle="Moneda">
      <calculatedColumnFormula>+SUMIF(Tabla5[Partícipes Fondo],Consolidado[[#This Row],[Profesional]],Tabla5[Utilidad])</calculatedColumnFormula>
    </tableColumn>
    <tableColumn id="4" xr3:uid="{BB12A89A-1E52-495B-B24D-A25BE01FC432}" name="3. Rellena" dataDxfId="9" totalsRowDxfId="2" dataCellStyle="Moneda" totalsRowCellStyle="Moneda">
      <calculatedColumnFormula>IFERROR(INDEX(Rellena[Ganancia],MATCH(Consolidado[[#This Row],[Profesional]],Rellena[Partícipes Fondo],0)),0)</calculatedColumnFormula>
    </tableColumn>
    <tableColumn id="5" xr3:uid="{B94830A5-2FE7-4986-BF41-B6E8DF2ED3A5}" name="Total" totalsRowFunction="sum" dataDxfId="8" totalsRowDxfId="0" dataCellStyle="Moneda" totalsRowCellStyle="Moneda">
      <calculatedColumnFormula>+MROUND(SUM(Consolidado[[#This Row],[1. Ahorro]:[3. Rellena]]),50)*IF(Consolidado[[#This Row],[Pagado]]=1,0,1)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573DEA-C7CA-454B-B2D0-8BCDC958E055}" name="Tabla4" displayName="Tabla4" ref="B2:D17" totalsRowShown="0" headerRowDxfId="56" dataDxfId="21" headerRowBorderDxfId="55" tableBorderDxfId="54">
  <autoFilter ref="B2:D17" xr:uid="{76573DEA-C7CA-454B-B2D0-8BCDC958E055}"/>
  <tableColumns count="3">
    <tableColumn id="1" xr3:uid="{BE12FBC7-339F-4551-80BE-6DB720A1B613}" name="Quincena" dataDxfId="22"/>
    <tableColumn id="2" xr3:uid="{F9C7F3DC-9D48-40D1-9F5C-F1EF81F67B23}" name="Partícipes Fondo" dataDxfId="20"/>
    <tableColumn id="3" xr3:uid="{A92F8A93-CA08-414F-93CA-F74CC790C780}" name="Valor" dataDxfId="19" dataCellStyle="Moneda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26285C-DCD0-4BE5-A256-0B8C08A09B3C}" name="Tabla5" displayName="Tabla5" ref="B2:G16" totalsRowShown="0" headerRowDxfId="34" dataDxfId="33" headerRowBorderDxfId="36" tableBorderDxfId="37">
  <autoFilter ref="B2:G16" xr:uid="{3826285C-DCD0-4BE5-A256-0B8C08A09B3C}"/>
  <tableColumns count="6">
    <tableColumn id="1" xr3:uid="{2A01E304-2A98-43BF-ADF3-53C55250C5B7}" name="Dia" dataDxfId="35"/>
    <tableColumn id="2" xr3:uid="{B6053BB1-5253-49A0-934A-79910B99DF7A}" name="Partícipes Fondo" dataDxfId="27"/>
    <tableColumn id="6" xr3:uid="{6F4E5EB8-72D7-48C4-BB20-537D838DE623}" name="Esta" dataDxfId="25">
      <calculatedColumnFormula>INDEX(Consolidado[Esta],MATCH(Tabla5[[#This Row],[Partícipes Fondo]],Consolidado[Profesional],0))</calculatedColumnFormula>
    </tableColumn>
    <tableColumn id="3" xr3:uid="{EC115191-ABB3-4D42-AB18-14F89E324651}" name="Valor" dataDxfId="26" dataCellStyle="Moneda"/>
    <tableColumn id="4" xr3:uid="{C84D113D-0975-4C8C-8DD1-B95D63D430C2}" name="Costo" dataDxfId="24" dataCellStyle="Moneda">
      <calculatedColumnFormula>+SUMIF(Costo_Almuerzo[Dia],Tabla5[[#This Row],[Dia]],Costo_Almuerzo[Valor])/COUNTIF(Tabla5[Dia],Tabla5[[#This Row],[Dia]])</calculatedColumnFormula>
    </tableColumn>
    <tableColumn id="5" xr3:uid="{544878E3-F69E-4F1D-A1E3-58940BEABECD}" name="Utilidad" dataDxfId="23" dataCellStyle="Moneda">
      <calculatedColumnFormula>(Tabla5[[#This Row],[Valor]]-Tabla5[[#This Row],[Costo]])*Tabla5[[#This Row],[Esta]]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6BD0CB-9C97-4F44-B49E-CB9FA6BEBB13}" name="Costo_Almuerzo" displayName="Costo_Almuerzo" ref="I2:K4" totalsRowShown="0" headerRowDxfId="29" dataDxfId="28">
  <autoFilter ref="I2:K4" xr:uid="{946BD0CB-9C97-4F44-B49E-CB9FA6BEBB13}"/>
  <tableColumns count="3">
    <tableColumn id="1" xr3:uid="{DE7EE17D-53DF-48C8-9A8F-531C9E1AA880}" name="Dia" dataDxfId="32"/>
    <tableColumn id="2" xr3:uid="{82E2C763-88DC-4A5A-97DB-513765D1F11D}" name="Concepto" dataDxfId="31"/>
    <tableColumn id="3" xr3:uid="{35092E85-5F69-45EA-8749-1FE0177C8606}" name="Valor" dataDxfId="30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755208-2AFF-4080-98E1-B621BA26F465}" name="Rellena" displayName="Rellena" ref="G9:K18" totalsRowShown="0" headerRowDxfId="53" dataDxfId="51" headerRowBorderDxfId="52" tableBorderDxfId="50" totalsRowBorderDxfId="49">
  <autoFilter ref="G9:K18" xr:uid="{7E755208-2AFF-4080-98E1-B621BA26F465}"/>
  <tableColumns count="5">
    <tableColumn id="1" xr3:uid="{AC08E13C-36E6-4188-87B9-F04139C8E3DF}" name="Partícipes Fondo" dataDxfId="48"/>
    <tableColumn id="2" xr3:uid="{85C733CE-D872-409B-965F-2F43212846A7}" name="% Consumo" dataDxfId="47" dataCellStyle="Porcentaje">
      <calculatedColumnFormula>+I10/SUM($I$10:$I$18)</calculatedColumnFormula>
    </tableColumn>
    <tableColumn id="3" xr3:uid="{88ACB9EB-56E4-471F-8430-C5E746094E68}" name="Descuento" dataDxfId="46" dataCellStyle="Moneda">
      <calculatedColumnFormula>+SUMIF($B$10:$B$28,G10,$E$10:$E$28)</calculatedColumnFormula>
    </tableColumn>
    <tableColumn id="4" xr3:uid="{52945D9E-04EF-4335-BC73-B3114FD99917}" name="Esta" dataDxfId="45">
      <calculatedColumnFormula>INDEX(Consolidado[Esta],MATCH(Rellena[[#This Row],[Partícipes Fondo]],Consolidado[Profesional],0))</calculatedColumnFormula>
    </tableColumn>
    <tableColumn id="6" xr3:uid="{A4373799-D822-4CCA-8E1E-8FFC697AEA0F}" name="Ganancia" dataDxfId="44" dataCellStyle="Moneda">
      <calculatedColumnFormula>($K$7/SUM(Rellena[Esta]))*Rellena[[#This Row],[Esta]]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2A4EC0-6437-4733-976B-139B8A933CAE}" name="Tabla2" displayName="Tabla2" ref="B9:E28" totalsRowShown="0" headerRowDxfId="43" tableBorderDxfId="42">
  <autoFilter ref="B9:E28" xr:uid="{3E2A4EC0-6437-4733-976B-139B8A933CAE}"/>
  <tableColumns count="4">
    <tableColumn id="1" xr3:uid="{B1161ED0-8036-47C9-9EA4-C6ACFB5189F7}" name="Partícipes Fondo" dataDxfId="41"/>
    <tableColumn id="2" xr3:uid="{488ECBAD-2F75-4668-9BA5-7F072F0D9923}" name="#" dataDxfId="40"/>
    <tableColumn id="3" xr3:uid="{9245135C-52DD-4C66-B461-1C66A77D7822}" name="Consumo" dataDxfId="39"/>
    <tableColumn id="4" xr3:uid="{8A44F884-3C5B-4258-8A65-4B2B7E4F28BD}" name="Precio" dataDxfId="38" dataCellStyle="Moneda">
      <calculatedColumnFormula>MROUND(IF(D10=$B$5,$E$5*C10,IF(D10=$B$6,C10*$E$6,IF(D10=$B$7,C10*$E$7,"Error"))),100)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41DC-4D92-49CA-BA4E-54274A2F570C}">
  <dimension ref="B2:H19"/>
  <sheetViews>
    <sheetView workbookViewId="0">
      <selection activeCell="B3" sqref="B3"/>
    </sheetView>
  </sheetViews>
  <sheetFormatPr baseColWidth="10" defaultRowHeight="15" x14ac:dyDescent="0.25"/>
  <cols>
    <col min="1" max="1" width="2" style="1" bestFit="1" customWidth="1"/>
    <col min="2" max="2" width="19.5703125" style="1" bestFit="1" customWidth="1"/>
    <col min="3" max="3" width="10" style="1" bestFit="1" customWidth="1"/>
    <col min="4" max="4" width="13.140625" style="1" bestFit="1" customWidth="1"/>
    <col min="5" max="5" width="15.28515625" style="1" bestFit="1" customWidth="1"/>
    <col min="6" max="6" width="18.7109375" style="1" bestFit="1" customWidth="1"/>
    <col min="7" max="7" width="15.5703125" style="1" bestFit="1" customWidth="1"/>
    <col min="8" max="8" width="11.28515625" style="1" bestFit="1" customWidth="1"/>
    <col min="9" max="16384" width="11.42578125" style="1"/>
  </cols>
  <sheetData>
    <row r="2" spans="2:8" ht="15.75" thickBot="1" x14ac:dyDescent="0.3">
      <c r="B2" s="36" t="s">
        <v>29</v>
      </c>
      <c r="C2" s="36" t="s">
        <v>22</v>
      </c>
      <c r="D2" s="36" t="s">
        <v>44</v>
      </c>
      <c r="E2" s="36" t="s">
        <v>34</v>
      </c>
      <c r="F2" s="36" t="s">
        <v>35</v>
      </c>
      <c r="G2" s="36" t="s">
        <v>36</v>
      </c>
      <c r="H2" s="36" t="s">
        <v>31</v>
      </c>
    </row>
    <row r="3" spans="2:8" x14ac:dyDescent="0.25">
      <c r="B3" s="26" t="s">
        <v>1</v>
      </c>
      <c r="C3" s="25">
        <v>1</v>
      </c>
      <c r="D3" s="25">
        <v>0</v>
      </c>
      <c r="E3" s="35">
        <f>+SUMIF(Tabla4[Partícipes Fondo],Consolidado[[#This Row],[Profesional]],Tabla4[Valor])</f>
        <v>0</v>
      </c>
      <c r="F3" s="35">
        <f>+SUMIF(Tabla5[Partícipes Fondo],Consolidado[[#This Row],[Profesional]],Tabla5[Utilidad])</f>
        <v>392.85714285714312</v>
      </c>
      <c r="G3" s="35">
        <f>IFERROR(INDEX(Rellena[Ganancia],MATCH(Consolidado[[#This Row],[Profesional]],Rellena[Partícipes Fondo],0)),0)</f>
        <v>0</v>
      </c>
      <c r="H3" s="35">
        <f>+MROUND(SUM(Consolidado[[#This Row],[1. Ahorro]:[3. Rellena]]),50)*IF(Consolidado[[#This Row],[Pagado]]=1,0,1)</f>
        <v>400</v>
      </c>
    </row>
    <row r="4" spans="2:8" x14ac:dyDescent="0.25">
      <c r="B4" s="26" t="s">
        <v>2</v>
      </c>
      <c r="C4" s="25">
        <v>1</v>
      </c>
      <c r="D4" s="25">
        <v>0</v>
      </c>
      <c r="E4" s="35">
        <f>+SUMIF(Tabla4[Partícipes Fondo],Consolidado[[#This Row],[Profesional]],Tabla4[Valor])</f>
        <v>100000</v>
      </c>
      <c r="F4" s="35">
        <f>+SUMIF(Tabla5[Partícipes Fondo],Consolidado[[#This Row],[Profesional]],Tabla5[Utilidad])</f>
        <v>392.85714285714312</v>
      </c>
      <c r="G4" s="35">
        <f>IFERROR(INDEX(Rellena[Ganancia],MATCH(Consolidado[[#This Row],[Profesional]],Rellena[Partícipes Fondo],0)),0)</f>
        <v>14557.142857142857</v>
      </c>
      <c r="H4" s="35">
        <f>+MROUND(SUM(Consolidado[[#This Row],[1. Ahorro]:[3. Rellena]]),50)*IF(Consolidado[[#This Row],[Pagado]]=1,0,1)</f>
        <v>114950</v>
      </c>
    </row>
    <row r="5" spans="2:8" x14ac:dyDescent="0.25">
      <c r="B5" s="26" t="s">
        <v>3</v>
      </c>
      <c r="C5" s="25">
        <v>1</v>
      </c>
      <c r="D5" s="25">
        <v>0</v>
      </c>
      <c r="E5" s="35">
        <f>+SUMIF(Tabla4[Partícipes Fondo],Consolidado[[#This Row],[Profesional]],Tabla4[Valor])</f>
        <v>100000</v>
      </c>
      <c r="F5" s="35">
        <f>+SUMIF(Tabla5[Partícipes Fondo],Consolidado[[#This Row],[Profesional]],Tabla5[Utilidad])</f>
        <v>392.85714285714312</v>
      </c>
      <c r="G5" s="35">
        <f>IFERROR(INDEX(Rellena[Ganancia],MATCH(Consolidado[[#This Row],[Profesional]],Rellena[Partícipes Fondo],0)),0)</f>
        <v>14557.142857142857</v>
      </c>
      <c r="H5" s="35">
        <f>+MROUND(SUM(Consolidado[[#This Row],[1. Ahorro]:[3. Rellena]]),50)*IF(Consolidado[[#This Row],[Pagado]]=1,0,1)</f>
        <v>114950</v>
      </c>
    </row>
    <row r="6" spans="2:8" x14ac:dyDescent="0.25">
      <c r="B6" s="26" t="s">
        <v>5</v>
      </c>
      <c r="C6" s="25">
        <v>1</v>
      </c>
      <c r="D6" s="25">
        <v>0</v>
      </c>
      <c r="E6" s="35">
        <f>+SUMIF(Tabla4[Partícipes Fondo],Consolidado[[#This Row],[Profesional]],Tabla4[Valor])</f>
        <v>0</v>
      </c>
      <c r="F6" s="35">
        <f>+SUMIF(Tabla5[Partícipes Fondo],Consolidado[[#This Row],[Profesional]],Tabla5[Utilidad])</f>
        <v>392.85714285714312</v>
      </c>
      <c r="G6" s="35">
        <f>IFERROR(INDEX(Rellena[Ganancia],MATCH(Consolidado[[#This Row],[Profesional]],Rellena[Partícipes Fondo],0)),0)</f>
        <v>0</v>
      </c>
      <c r="H6" s="35">
        <f>+MROUND(SUM(Consolidado[[#This Row],[1. Ahorro]:[3. Rellena]]),50)*IF(Consolidado[[#This Row],[Pagado]]=1,0,1)</f>
        <v>400</v>
      </c>
    </row>
    <row r="7" spans="2:8" x14ac:dyDescent="0.25">
      <c r="B7" s="26" t="s">
        <v>6</v>
      </c>
      <c r="C7" s="25">
        <v>1</v>
      </c>
      <c r="D7" s="25">
        <v>0</v>
      </c>
      <c r="E7" s="35">
        <f>+SUMIF(Tabla4[Partícipes Fondo],Consolidado[[#This Row],[Profesional]],Tabla4[Valor])</f>
        <v>100000</v>
      </c>
      <c r="F7" s="35">
        <f>+SUMIF(Tabla5[Partícipes Fondo],Consolidado[[#This Row],[Profesional]],Tabla5[Utilidad])</f>
        <v>1178.5714285714294</v>
      </c>
      <c r="G7" s="35">
        <f>IFERROR(INDEX(Rellena[Ganancia],MATCH(Consolidado[[#This Row],[Profesional]],Rellena[Partícipes Fondo],0)),0)</f>
        <v>14557.142857142857</v>
      </c>
      <c r="H7" s="35">
        <f>+MROUND(SUM(Consolidado[[#This Row],[1. Ahorro]:[3. Rellena]]),50)*IF(Consolidado[[#This Row],[Pagado]]=1,0,1)</f>
        <v>115750</v>
      </c>
    </row>
    <row r="8" spans="2:8" x14ac:dyDescent="0.25">
      <c r="B8" s="26" t="s">
        <v>7</v>
      </c>
      <c r="C8" s="25">
        <v>1</v>
      </c>
      <c r="D8" s="25">
        <v>0</v>
      </c>
      <c r="E8" s="35">
        <f>+SUMIF(Tabla4[Partícipes Fondo],Consolidado[[#This Row],[Profesional]],Tabla4[Valor])</f>
        <v>100000</v>
      </c>
      <c r="F8" s="35">
        <f>+SUMIF(Tabla5[Partícipes Fondo],Consolidado[[#This Row],[Profesional]],Tabla5[Utilidad])</f>
        <v>392.85714285714312</v>
      </c>
      <c r="G8" s="35">
        <f>IFERROR(INDEX(Rellena[Ganancia],MATCH(Consolidado[[#This Row],[Profesional]],Rellena[Partícipes Fondo],0)),0)</f>
        <v>14557.142857142857</v>
      </c>
      <c r="H8" s="35">
        <f>+MROUND(SUM(Consolidado[[#This Row],[1. Ahorro]:[3. Rellena]]),50)*IF(Consolidado[[#This Row],[Pagado]]=1,0,1)</f>
        <v>114950</v>
      </c>
    </row>
    <row r="9" spans="2:8" x14ac:dyDescent="0.25">
      <c r="B9" s="26" t="s">
        <v>9</v>
      </c>
      <c r="C9" s="25">
        <v>1</v>
      </c>
      <c r="D9" s="25">
        <v>0</v>
      </c>
      <c r="E9" s="35">
        <f>+SUMIF(Tabla4[Partícipes Fondo],Consolidado[[#This Row],[Profesional]],Tabla4[Valor])</f>
        <v>200000</v>
      </c>
      <c r="F9" s="35">
        <f>+SUMIF(Tabla5[Partícipes Fondo],Consolidado[[#This Row],[Profesional]],Tabla5[Utilidad])</f>
        <v>392.85714285714312</v>
      </c>
      <c r="G9" s="35">
        <f>IFERROR(INDEX(Rellena[Ganancia],MATCH(Consolidado[[#This Row],[Profesional]],Rellena[Partícipes Fondo],0)),0)</f>
        <v>14557.142857142857</v>
      </c>
      <c r="H9" s="35">
        <f>+MROUND(SUM(Consolidado[[#This Row],[1. Ahorro]:[3. Rellena]]),50)*IF(Consolidado[[#This Row],[Pagado]]=1,0,1)</f>
        <v>214950</v>
      </c>
    </row>
    <row r="10" spans="2:8" x14ac:dyDescent="0.25">
      <c r="B10" s="26" t="s">
        <v>10</v>
      </c>
      <c r="C10" s="25">
        <v>1</v>
      </c>
      <c r="D10" s="25">
        <v>0</v>
      </c>
      <c r="E10" s="35">
        <f>+SUMIF(Tabla4[Partícipes Fondo],Consolidado[[#This Row],[Profesional]],Tabla4[Valor])</f>
        <v>50000</v>
      </c>
      <c r="F10" s="35">
        <f>+SUMIF(Tabla5[Partícipes Fondo],Consolidado[[#This Row],[Profesional]],Tabla5[Utilidad])</f>
        <v>392.85714285714312</v>
      </c>
      <c r="G10" s="35">
        <f>IFERROR(INDEX(Rellena[Ganancia],MATCH(Consolidado[[#This Row],[Profesional]],Rellena[Partícipes Fondo],0)),0)</f>
        <v>14557.142857142857</v>
      </c>
      <c r="H10" s="35">
        <f>+MROUND(SUM(Consolidado[[#This Row],[1. Ahorro]:[3. Rellena]]),50)*IF(Consolidado[[#This Row],[Pagado]]=1,0,1)</f>
        <v>64950</v>
      </c>
    </row>
    <row r="11" spans="2:8" x14ac:dyDescent="0.25">
      <c r="B11" s="27" t="s">
        <v>12</v>
      </c>
      <c r="C11" s="25">
        <v>1</v>
      </c>
      <c r="D11" s="25">
        <v>1</v>
      </c>
      <c r="E11" s="35">
        <f>+SUMIF(Tabla4[Partícipes Fondo],Consolidado[[#This Row],[Profesional]],Tabla4[Valor])</f>
        <v>0</v>
      </c>
      <c r="F11" s="35">
        <f>+SUMIF(Tabla5[Partícipes Fondo],Consolidado[[#This Row],[Profesional]],Tabla5[Utilidad])</f>
        <v>1178.5714285714294</v>
      </c>
      <c r="G11" s="35">
        <f>IFERROR(INDEX(Rellena[Ganancia],MATCH(Consolidado[[#This Row],[Profesional]],Rellena[Partícipes Fondo],0)),0)</f>
        <v>14557.142857142857</v>
      </c>
      <c r="H11" s="35">
        <f>+MROUND(SUM(Consolidado[[#This Row],[1. Ahorro]:[3. Rellena]]),50)*IF(Consolidado[[#This Row],[Pagado]]=1,0,1)</f>
        <v>0</v>
      </c>
    </row>
    <row r="12" spans="2:8" x14ac:dyDescent="0.25">
      <c r="B12" s="26" t="s">
        <v>42</v>
      </c>
      <c r="C12" s="25">
        <v>1</v>
      </c>
      <c r="D12" s="25">
        <v>0</v>
      </c>
      <c r="E12" s="35">
        <f>+SUMIF(Tabla4[Partícipes Fondo],Consolidado[[#This Row],[Profesional]],Tabla4[Valor])</f>
        <v>0</v>
      </c>
      <c r="F12" s="35">
        <f>+SUMIF(Tabla5[Partícipes Fondo],Consolidado[[#This Row],[Profesional]],Tabla5[Utilidad])</f>
        <v>392.85714285714312</v>
      </c>
      <c r="G12" s="35">
        <f>IFERROR(INDEX(Rellena[Ganancia],MATCH(Consolidado[[#This Row],[Profesional]],Rellena[Partícipes Fondo],0)),0)</f>
        <v>0</v>
      </c>
      <c r="H12" s="35">
        <f>+MROUND(SUM(Consolidado[[#This Row],[1. Ahorro]:[3. Rellena]]),50)*IF(Consolidado[[#This Row],[Pagado]]=1,0,1)</f>
        <v>400</v>
      </c>
    </row>
    <row r="13" spans="2:8" x14ac:dyDescent="0.25">
      <c r="B13" s="26" t="s">
        <v>0</v>
      </c>
      <c r="C13" s="25">
        <v>0</v>
      </c>
      <c r="D13" s="25">
        <v>1</v>
      </c>
      <c r="E13" s="35">
        <f>+SUMIF(Tabla4[Partícipes Fondo],Consolidado[[#This Row],[Profesional]],Tabla4[Valor])</f>
        <v>0</v>
      </c>
      <c r="F13" s="35">
        <f>+SUMIF(Tabla5[Partícipes Fondo],Consolidado[[#This Row],[Profesional]],Tabla5[Utilidad])</f>
        <v>0</v>
      </c>
      <c r="G13" s="35">
        <f>IFERROR(INDEX(Rellena[Ganancia],MATCH(Consolidado[[#This Row],[Profesional]],Rellena[Partícipes Fondo],0)),0)</f>
        <v>0</v>
      </c>
      <c r="H13" s="35">
        <f>+MROUND(SUM(Consolidado[[#This Row],[1. Ahorro]:[3. Rellena]]),50)*IF(Consolidado[[#This Row],[Pagado]]=1,0,1)</f>
        <v>0</v>
      </c>
    </row>
    <row r="14" spans="2:8" x14ac:dyDescent="0.25">
      <c r="B14" s="26" t="s">
        <v>4</v>
      </c>
      <c r="C14" s="25">
        <v>0</v>
      </c>
      <c r="D14" s="25">
        <v>1</v>
      </c>
      <c r="E14" s="35">
        <f>+SUMIF(Tabla4[Partícipes Fondo],Consolidado[[#This Row],[Profesional]],Tabla4[Valor])</f>
        <v>0</v>
      </c>
      <c r="F14" s="35">
        <f>+SUMIF(Tabla5[Partícipes Fondo],Consolidado[[#This Row],[Profesional]],Tabla5[Utilidad])</f>
        <v>0</v>
      </c>
      <c r="G14" s="35">
        <f>IFERROR(INDEX(Rellena[Ganancia],MATCH(Consolidado[[#This Row],[Profesional]],Rellena[Partícipes Fondo],0)),0)</f>
        <v>0</v>
      </c>
      <c r="H14" s="35">
        <f>+MROUND(SUM(Consolidado[[#This Row],[1. Ahorro]:[3. Rellena]]),50)*IF(Consolidado[[#This Row],[Pagado]]=1,0,1)</f>
        <v>0</v>
      </c>
    </row>
    <row r="15" spans="2:8" x14ac:dyDescent="0.25">
      <c r="B15" s="26" t="s">
        <v>8</v>
      </c>
      <c r="C15" s="25">
        <v>0</v>
      </c>
      <c r="D15" s="25">
        <v>0</v>
      </c>
      <c r="E15" s="35">
        <f>+SUMIF(Tabla4[Partícipes Fondo],Consolidado[[#This Row],[Profesional]],Tabla4[Valor])</f>
        <v>100000</v>
      </c>
      <c r="F15" s="35">
        <f>+SUMIF(Tabla5[Partícipes Fondo],Consolidado[[#This Row],[Profesional]],Tabla5[Utilidad])</f>
        <v>0</v>
      </c>
      <c r="G15" s="35">
        <f>IFERROR(INDEX(Rellena[Ganancia],MATCH(Consolidado[[#This Row],[Profesional]],Rellena[Partícipes Fondo],0)),0)</f>
        <v>0</v>
      </c>
      <c r="H15" s="35">
        <f>+MROUND(SUM(Consolidado[[#This Row],[1. Ahorro]:[3. Rellena]]),50)*IF(Consolidado[[#This Row],[Pagado]]=1,0,1)</f>
        <v>100000</v>
      </c>
    </row>
    <row r="16" spans="2:8" x14ac:dyDescent="0.25">
      <c r="B16" s="26" t="s">
        <v>11</v>
      </c>
      <c r="C16" s="25">
        <v>0</v>
      </c>
      <c r="D16" s="25">
        <v>1</v>
      </c>
      <c r="E16" s="35">
        <f>+SUMIF(Tabla4[Partícipes Fondo],Consolidado[[#This Row],[Profesional]],Tabla4[Valor])</f>
        <v>100000</v>
      </c>
      <c r="F16" s="35">
        <f>+SUMIF(Tabla5[Partícipes Fondo],Consolidado[[#This Row],[Profesional]],Tabla5[Utilidad])</f>
        <v>0</v>
      </c>
      <c r="G16" s="35">
        <f>IFERROR(INDEX(Rellena[Ganancia],MATCH(Consolidado[[#This Row],[Profesional]],Rellena[Partícipes Fondo],0)),0)</f>
        <v>0</v>
      </c>
      <c r="H16" s="35">
        <f>+MROUND(SUM(Consolidado[[#This Row],[1. Ahorro]:[3. Rellena]]),50)*IF(Consolidado[[#This Row],[Pagado]]=1,0,1)</f>
        <v>0</v>
      </c>
    </row>
    <row r="17" spans="2:8" x14ac:dyDescent="0.25">
      <c r="B17" s="26" t="s">
        <v>13</v>
      </c>
      <c r="C17" s="25">
        <v>0</v>
      </c>
      <c r="D17" s="25">
        <v>1</v>
      </c>
      <c r="E17" s="35">
        <f>+SUMIF(Tabla4[Partícipes Fondo],Consolidado[[#This Row],[Profesional]],Tabla4[Valor])</f>
        <v>0</v>
      </c>
      <c r="F17" s="35">
        <f>+SUMIF(Tabla5[Partícipes Fondo],Consolidado[[#This Row],[Profesional]],Tabla5[Utilidad])</f>
        <v>0</v>
      </c>
      <c r="G17" s="35">
        <f>IFERROR(INDEX(Rellena[Ganancia],MATCH(Consolidado[[#This Row],[Profesional]],Rellena[Partícipes Fondo],0)),0)</f>
        <v>0</v>
      </c>
      <c r="H17" s="35">
        <f>+MROUND(SUM(Consolidado[[#This Row],[1. Ahorro]:[3. Rellena]]),50)*IF(Consolidado[[#This Row],[Pagado]]=1,0,1)</f>
        <v>0</v>
      </c>
    </row>
    <row r="18" spans="2:8" x14ac:dyDescent="0.25">
      <c r="B18" s="63"/>
      <c r="C18" s="64"/>
      <c r="D18" s="64"/>
      <c r="E18" s="65"/>
      <c r="F18" s="65"/>
      <c r="G18" s="65"/>
      <c r="H18" s="65">
        <f>SUBTOTAL(109,Consolidado[Total])</f>
        <v>841700</v>
      </c>
    </row>
    <row r="19" spans="2:8" x14ac:dyDescent="0.25">
      <c r="H19" s="62"/>
    </row>
  </sheetData>
  <conditionalFormatting sqref="C3:D17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1C96-46E0-451C-8527-38ED57F83F63}">
  <dimension ref="B1:G20"/>
  <sheetViews>
    <sheetView workbookViewId="0">
      <selection activeCell="F15" sqref="F15"/>
    </sheetView>
  </sheetViews>
  <sheetFormatPr baseColWidth="10" defaultRowHeight="14.25" x14ac:dyDescent="0.2"/>
  <cols>
    <col min="1" max="1" width="2" style="37" bestFit="1" customWidth="1"/>
    <col min="2" max="2" width="15.140625" style="56" bestFit="1" customWidth="1"/>
    <col min="3" max="3" width="22.7109375" style="56" bestFit="1" customWidth="1"/>
    <col min="4" max="4" width="14" style="56" bestFit="1" customWidth="1"/>
    <col min="5" max="6" width="11.42578125" style="37"/>
    <col min="7" max="7" width="12.140625" style="37" bestFit="1" customWidth="1"/>
    <col min="8" max="16384" width="11.42578125" style="37"/>
  </cols>
  <sheetData>
    <row r="1" spans="2:7" x14ac:dyDescent="0.2">
      <c r="B1" s="37"/>
      <c r="C1" s="37"/>
      <c r="D1" s="37"/>
    </row>
    <row r="2" spans="2:7" x14ac:dyDescent="0.2">
      <c r="B2" s="13" t="s">
        <v>37</v>
      </c>
      <c r="C2" s="13" t="s">
        <v>20</v>
      </c>
      <c r="D2" s="13" t="s">
        <v>33</v>
      </c>
    </row>
    <row r="3" spans="2:7" x14ac:dyDescent="0.2">
      <c r="B3" s="55">
        <v>45672</v>
      </c>
      <c r="C3" s="56" t="s">
        <v>11</v>
      </c>
      <c r="D3" s="57">
        <v>50000</v>
      </c>
    </row>
    <row r="4" spans="2:7" x14ac:dyDescent="0.2">
      <c r="B4" s="55">
        <v>45672</v>
      </c>
      <c r="C4" s="56" t="s">
        <v>3</v>
      </c>
      <c r="D4" s="57">
        <v>50000</v>
      </c>
    </row>
    <row r="5" spans="2:7" x14ac:dyDescent="0.2">
      <c r="B5" s="55">
        <v>45672</v>
      </c>
      <c r="C5" s="56" t="s">
        <v>9</v>
      </c>
      <c r="D5" s="57">
        <v>100000</v>
      </c>
    </row>
    <row r="6" spans="2:7" x14ac:dyDescent="0.2">
      <c r="B6" s="55">
        <v>45672</v>
      </c>
      <c r="C6" s="56" t="s">
        <v>10</v>
      </c>
      <c r="D6" s="57">
        <v>50000</v>
      </c>
    </row>
    <row r="7" spans="2:7" x14ac:dyDescent="0.2">
      <c r="B7" s="55">
        <v>45672</v>
      </c>
      <c r="C7" s="56" t="s">
        <v>2</v>
      </c>
      <c r="D7" s="57">
        <v>50000</v>
      </c>
    </row>
    <row r="8" spans="2:7" x14ac:dyDescent="0.2">
      <c r="B8" s="55">
        <v>45672</v>
      </c>
      <c r="C8" s="56" t="s">
        <v>6</v>
      </c>
      <c r="D8" s="57">
        <v>50000</v>
      </c>
    </row>
    <row r="9" spans="2:7" x14ac:dyDescent="0.2">
      <c r="B9" s="55">
        <v>45672</v>
      </c>
      <c r="C9" s="56" t="s">
        <v>8</v>
      </c>
      <c r="D9" s="57">
        <v>50000</v>
      </c>
    </row>
    <row r="10" spans="2:7" x14ac:dyDescent="0.2">
      <c r="B10" s="55">
        <v>45672</v>
      </c>
      <c r="C10" s="56" t="s">
        <v>7</v>
      </c>
      <c r="D10" s="57">
        <v>50000</v>
      </c>
    </row>
    <row r="11" spans="2:7" x14ac:dyDescent="0.2">
      <c r="B11" s="55">
        <v>45688</v>
      </c>
      <c r="C11" s="56" t="s">
        <v>2</v>
      </c>
      <c r="D11" s="57">
        <v>50000</v>
      </c>
    </row>
    <row r="12" spans="2:7" x14ac:dyDescent="0.2">
      <c r="B12" s="55">
        <v>45688</v>
      </c>
      <c r="C12" s="56" t="s">
        <v>3</v>
      </c>
      <c r="D12" s="57">
        <v>50000</v>
      </c>
      <c r="G12" s="54"/>
    </row>
    <row r="13" spans="2:7" x14ac:dyDescent="0.2">
      <c r="B13" s="55">
        <v>45688</v>
      </c>
      <c r="C13" s="56" t="s">
        <v>6</v>
      </c>
      <c r="D13" s="57">
        <v>50000</v>
      </c>
      <c r="G13" s="54"/>
    </row>
    <row r="14" spans="2:7" x14ac:dyDescent="0.2">
      <c r="B14" s="55">
        <v>45688</v>
      </c>
      <c r="C14" s="56" t="s">
        <v>7</v>
      </c>
      <c r="D14" s="57">
        <v>50000</v>
      </c>
      <c r="G14" s="54"/>
    </row>
    <row r="15" spans="2:7" x14ac:dyDescent="0.2">
      <c r="B15" s="55">
        <v>45688</v>
      </c>
      <c r="C15" s="56" t="s">
        <v>8</v>
      </c>
      <c r="D15" s="57">
        <v>50000</v>
      </c>
      <c r="G15" s="54"/>
    </row>
    <row r="16" spans="2:7" x14ac:dyDescent="0.2">
      <c r="B16" s="55">
        <v>45688</v>
      </c>
      <c r="C16" s="56" t="s">
        <v>9</v>
      </c>
      <c r="D16" s="57">
        <v>100000</v>
      </c>
      <c r="G16" s="54"/>
    </row>
    <row r="17" spans="2:7" x14ac:dyDescent="0.2">
      <c r="B17" s="55">
        <v>45688</v>
      </c>
      <c r="C17" s="56" t="s">
        <v>11</v>
      </c>
      <c r="D17" s="57">
        <v>50000</v>
      </c>
      <c r="G17" s="54"/>
    </row>
    <row r="18" spans="2:7" x14ac:dyDescent="0.2">
      <c r="G18" s="54"/>
    </row>
    <row r="19" spans="2:7" x14ac:dyDescent="0.2">
      <c r="G19" s="54"/>
    </row>
    <row r="20" spans="2:7" x14ac:dyDescent="0.2">
      <c r="G20" s="5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5505-0D8A-4644-B527-FBCB4FEC76A6}">
  <dimension ref="B1:K16"/>
  <sheetViews>
    <sheetView tabSelected="1" workbookViewId="0">
      <selection activeCell="I7" sqref="I7"/>
    </sheetView>
  </sheetViews>
  <sheetFormatPr baseColWidth="10" defaultRowHeight="14.25" x14ac:dyDescent="0.25"/>
  <cols>
    <col min="1" max="1" width="2.140625" style="2" bestFit="1" customWidth="1"/>
    <col min="2" max="2" width="12.140625" style="60" bestFit="1" customWidth="1"/>
    <col min="3" max="3" width="22.7109375" style="60" bestFit="1" customWidth="1"/>
    <col min="4" max="4" width="10" style="60" hidden="1" customWidth="1"/>
    <col min="5" max="6" width="11.42578125" style="60"/>
    <col min="7" max="7" width="13.85546875" style="60" bestFit="1" customWidth="1"/>
    <col min="8" max="8" width="2.140625" style="2" bestFit="1" customWidth="1"/>
    <col min="9" max="9" width="12.140625" style="2" bestFit="1" customWidth="1"/>
    <col min="10" max="10" width="17.85546875" style="2" bestFit="1" customWidth="1"/>
    <col min="11" max="11" width="11.28515625" style="2" bestFit="1" customWidth="1"/>
    <col min="12" max="16384" width="11.42578125" style="2"/>
  </cols>
  <sheetData>
    <row r="1" spans="2:11" x14ac:dyDescent="0.25">
      <c r="B1" s="2"/>
      <c r="C1" s="2"/>
      <c r="D1" s="2"/>
      <c r="E1" s="2"/>
      <c r="F1" s="2"/>
      <c r="G1" s="2"/>
    </row>
    <row r="2" spans="2:11" x14ac:dyDescent="0.25">
      <c r="B2" s="13" t="s">
        <v>32</v>
      </c>
      <c r="C2" s="13" t="s">
        <v>20</v>
      </c>
      <c r="D2" s="13" t="s">
        <v>22</v>
      </c>
      <c r="E2" s="13" t="s">
        <v>33</v>
      </c>
      <c r="F2" s="13" t="s">
        <v>39</v>
      </c>
      <c r="G2" s="13" t="s">
        <v>40</v>
      </c>
      <c r="I2" s="58" t="s">
        <v>32</v>
      </c>
      <c r="J2" s="58" t="s">
        <v>43</v>
      </c>
      <c r="K2" s="58" t="s">
        <v>33</v>
      </c>
    </row>
    <row r="3" spans="2:11" x14ac:dyDescent="0.25">
      <c r="B3" s="59">
        <v>45738</v>
      </c>
      <c r="C3" s="60" t="s">
        <v>12</v>
      </c>
      <c r="D3" s="60">
        <f>INDEX(Consolidado[Esta],MATCH(Tabla5[[#This Row],[Partícipes Fondo]],Consolidado[Profesional],0))</f>
        <v>1</v>
      </c>
      <c r="E3" s="61">
        <v>15000</v>
      </c>
      <c r="F3" s="61">
        <f>+SUMIF(Costo_Almuerzo[Dia],Tabla5[[#This Row],[Dia]],Costo_Almuerzo[Valor])/COUNTIF(Tabla5[Dia],Tabla5[[#This Row],[Dia]])</f>
        <v>14607.142857142857</v>
      </c>
      <c r="G3" s="61">
        <f>(Tabla5[[#This Row],[Valor]]-Tabla5[[#This Row],[Costo]])*Tabla5[[#This Row],[Esta]]</f>
        <v>392.85714285714312</v>
      </c>
      <c r="I3" s="59">
        <v>45738</v>
      </c>
      <c r="J3" s="60" t="s">
        <v>38</v>
      </c>
      <c r="K3" s="61">
        <v>104500</v>
      </c>
    </row>
    <row r="4" spans="2:11" x14ac:dyDescent="0.25">
      <c r="B4" s="59">
        <v>45738</v>
      </c>
      <c r="C4" s="60" t="s">
        <v>12</v>
      </c>
      <c r="D4" s="60">
        <f>INDEX(Consolidado[Esta],MATCH(Tabla5[[#This Row],[Partícipes Fondo]],Consolidado[Profesional],0))</f>
        <v>1</v>
      </c>
      <c r="E4" s="61">
        <v>15000</v>
      </c>
      <c r="F4" s="61">
        <f>+SUMIF(Costo_Almuerzo[Dia],Tabla5[[#This Row],[Dia]],Costo_Almuerzo[Valor])/COUNTIF(Tabla5[Dia],Tabla5[[#This Row],[Dia]])</f>
        <v>14607.142857142857</v>
      </c>
      <c r="G4" s="61">
        <f>(Tabla5[[#This Row],[Valor]]-Tabla5[[#This Row],[Costo]])*Tabla5[[#This Row],[Esta]]</f>
        <v>392.85714285714312</v>
      </c>
      <c r="I4" s="59">
        <v>45738</v>
      </c>
      <c r="J4" s="60" t="s">
        <v>41</v>
      </c>
      <c r="K4" s="61">
        <v>100000</v>
      </c>
    </row>
    <row r="5" spans="2:11" x14ac:dyDescent="0.25">
      <c r="B5" s="59">
        <v>45738</v>
      </c>
      <c r="C5" s="60" t="s">
        <v>12</v>
      </c>
      <c r="D5" s="60">
        <f>INDEX(Consolidado[Esta],MATCH(Tabla5[[#This Row],[Partícipes Fondo]],Consolidado[Profesional],0))</f>
        <v>1</v>
      </c>
      <c r="E5" s="61">
        <v>15000</v>
      </c>
      <c r="F5" s="61">
        <f>+SUMIF(Costo_Almuerzo[Dia],Tabla5[[#This Row],[Dia]],Costo_Almuerzo[Valor])/COUNTIF(Tabla5[Dia],Tabla5[[#This Row],[Dia]])</f>
        <v>14607.142857142857</v>
      </c>
      <c r="G5" s="61">
        <f>(Tabla5[[#This Row],[Valor]]-Tabla5[[#This Row],[Costo]])*Tabla5[[#This Row],[Esta]]</f>
        <v>392.85714285714312</v>
      </c>
    </row>
    <row r="6" spans="2:11" x14ac:dyDescent="0.25">
      <c r="B6" s="59">
        <v>45738</v>
      </c>
      <c r="C6" s="60" t="s">
        <v>6</v>
      </c>
      <c r="D6" s="60">
        <f>INDEX(Consolidado[Esta],MATCH(Tabla5[[#This Row],[Partícipes Fondo]],Consolidado[Profesional],0))</f>
        <v>1</v>
      </c>
      <c r="E6" s="61">
        <v>15000</v>
      </c>
      <c r="F6" s="61">
        <f>+SUMIF(Costo_Almuerzo[Dia],Tabla5[[#This Row],[Dia]],Costo_Almuerzo[Valor])/COUNTIF(Tabla5[Dia],Tabla5[[#This Row],[Dia]])</f>
        <v>14607.142857142857</v>
      </c>
      <c r="G6" s="61">
        <f>(Tabla5[[#This Row],[Valor]]-Tabla5[[#This Row],[Costo]])*Tabla5[[#This Row],[Esta]]</f>
        <v>392.85714285714312</v>
      </c>
    </row>
    <row r="7" spans="2:11" x14ac:dyDescent="0.25">
      <c r="B7" s="59">
        <v>45738</v>
      </c>
      <c r="C7" s="60" t="s">
        <v>6</v>
      </c>
      <c r="D7" s="60">
        <f>INDEX(Consolidado[Esta],MATCH(Tabla5[[#This Row],[Partícipes Fondo]],Consolidado[Profesional],0))</f>
        <v>1</v>
      </c>
      <c r="E7" s="61">
        <v>15000</v>
      </c>
      <c r="F7" s="61">
        <f>+SUMIF(Costo_Almuerzo[Dia],Tabla5[[#This Row],[Dia]],Costo_Almuerzo[Valor])/COUNTIF(Tabla5[Dia],Tabla5[[#This Row],[Dia]])</f>
        <v>14607.142857142857</v>
      </c>
      <c r="G7" s="61">
        <f>(Tabla5[[#This Row],[Valor]]-Tabla5[[#This Row],[Costo]])*Tabla5[[#This Row],[Esta]]</f>
        <v>392.85714285714312</v>
      </c>
    </row>
    <row r="8" spans="2:11" x14ac:dyDescent="0.25">
      <c r="B8" s="59">
        <v>45738</v>
      </c>
      <c r="C8" s="60" t="s">
        <v>6</v>
      </c>
      <c r="D8" s="60">
        <f>INDEX(Consolidado[Esta],MATCH(Tabla5[[#This Row],[Partícipes Fondo]],Consolidado[Profesional],0))</f>
        <v>1</v>
      </c>
      <c r="E8" s="61">
        <v>15000</v>
      </c>
      <c r="F8" s="61">
        <f>+SUMIF(Costo_Almuerzo[Dia],Tabla5[[#This Row],[Dia]],Costo_Almuerzo[Valor])/COUNTIF(Tabla5[Dia],Tabla5[[#This Row],[Dia]])</f>
        <v>14607.142857142857</v>
      </c>
      <c r="G8" s="61">
        <f>(Tabla5[[#This Row],[Valor]]-Tabla5[[#This Row],[Costo]])*Tabla5[[#This Row],[Esta]]</f>
        <v>392.85714285714312</v>
      </c>
    </row>
    <row r="9" spans="2:11" x14ac:dyDescent="0.25">
      <c r="B9" s="59">
        <v>45738</v>
      </c>
      <c r="C9" s="60" t="s">
        <v>2</v>
      </c>
      <c r="D9" s="60">
        <f>INDEX(Consolidado[Esta],MATCH(Tabla5[[#This Row],[Partícipes Fondo]],Consolidado[Profesional],0))</f>
        <v>1</v>
      </c>
      <c r="E9" s="61">
        <v>15000</v>
      </c>
      <c r="F9" s="61">
        <f>+SUMIF(Costo_Almuerzo[Dia],Tabla5[[#This Row],[Dia]],Costo_Almuerzo[Valor])/COUNTIF(Tabla5[Dia],Tabla5[[#This Row],[Dia]])</f>
        <v>14607.142857142857</v>
      </c>
      <c r="G9" s="61">
        <f>(Tabla5[[#This Row],[Valor]]-Tabla5[[#This Row],[Costo]])*Tabla5[[#This Row],[Esta]]</f>
        <v>392.85714285714312</v>
      </c>
    </row>
    <row r="10" spans="2:11" x14ac:dyDescent="0.25">
      <c r="B10" s="59">
        <v>45738</v>
      </c>
      <c r="C10" s="60" t="s">
        <v>1</v>
      </c>
      <c r="D10" s="60">
        <f>INDEX(Consolidado[Esta],MATCH(Tabla5[[#This Row],[Partícipes Fondo]],Consolidado[Profesional],0))</f>
        <v>1</v>
      </c>
      <c r="E10" s="61">
        <v>15000</v>
      </c>
      <c r="F10" s="61">
        <f>+SUMIF(Costo_Almuerzo[Dia],Tabla5[[#This Row],[Dia]],Costo_Almuerzo[Valor])/COUNTIF(Tabla5[Dia],Tabla5[[#This Row],[Dia]])</f>
        <v>14607.142857142857</v>
      </c>
      <c r="G10" s="61">
        <f>(Tabla5[[#This Row],[Valor]]-Tabla5[[#This Row],[Costo]])*Tabla5[[#This Row],[Esta]]</f>
        <v>392.85714285714312</v>
      </c>
    </row>
    <row r="11" spans="2:11" x14ac:dyDescent="0.25">
      <c r="B11" s="59">
        <v>45738</v>
      </c>
      <c r="C11" s="60" t="s">
        <v>9</v>
      </c>
      <c r="D11" s="60">
        <f>INDEX(Consolidado[Esta],MATCH(Tabla5[[#This Row],[Partícipes Fondo]],Consolidado[Profesional],0))</f>
        <v>1</v>
      </c>
      <c r="E11" s="61">
        <v>15000</v>
      </c>
      <c r="F11" s="61">
        <f>+SUMIF(Costo_Almuerzo[Dia],Tabla5[[#This Row],[Dia]],Costo_Almuerzo[Valor])/COUNTIF(Tabla5[Dia],Tabla5[[#This Row],[Dia]])</f>
        <v>14607.142857142857</v>
      </c>
      <c r="G11" s="61">
        <f>(Tabla5[[#This Row],[Valor]]-Tabla5[[#This Row],[Costo]])*Tabla5[[#This Row],[Esta]]</f>
        <v>392.85714285714312</v>
      </c>
    </row>
    <row r="12" spans="2:11" x14ac:dyDescent="0.25">
      <c r="B12" s="59">
        <v>45738</v>
      </c>
      <c r="C12" s="60" t="s">
        <v>10</v>
      </c>
      <c r="D12" s="60">
        <f>INDEX(Consolidado[Esta],MATCH(Tabla5[[#This Row],[Partícipes Fondo]],Consolidado[Profesional],0))</f>
        <v>1</v>
      </c>
      <c r="E12" s="61">
        <v>15000</v>
      </c>
      <c r="F12" s="61">
        <f>+SUMIF(Costo_Almuerzo[Dia],Tabla5[[#This Row],[Dia]],Costo_Almuerzo[Valor])/COUNTIF(Tabla5[Dia],Tabla5[[#This Row],[Dia]])</f>
        <v>14607.142857142857</v>
      </c>
      <c r="G12" s="61">
        <f>(Tabla5[[#This Row],[Valor]]-Tabla5[[#This Row],[Costo]])*Tabla5[[#This Row],[Esta]]</f>
        <v>392.85714285714312</v>
      </c>
    </row>
    <row r="13" spans="2:11" x14ac:dyDescent="0.25">
      <c r="B13" s="59">
        <v>45738</v>
      </c>
      <c r="C13" s="60" t="s">
        <v>3</v>
      </c>
      <c r="D13" s="60">
        <f>INDEX(Consolidado[Esta],MATCH(Tabla5[[#This Row],[Partícipes Fondo]],Consolidado[Profesional],0))</f>
        <v>1</v>
      </c>
      <c r="E13" s="61">
        <v>15000</v>
      </c>
      <c r="F13" s="61">
        <f>+SUMIF(Costo_Almuerzo[Dia],Tabla5[[#This Row],[Dia]],Costo_Almuerzo[Valor])/COUNTIF(Tabla5[Dia],Tabla5[[#This Row],[Dia]])</f>
        <v>14607.142857142857</v>
      </c>
      <c r="G13" s="61">
        <f>(Tabla5[[#This Row],[Valor]]-Tabla5[[#This Row],[Costo]])*Tabla5[[#This Row],[Esta]]</f>
        <v>392.85714285714312</v>
      </c>
    </row>
    <row r="14" spans="2:11" x14ac:dyDescent="0.25">
      <c r="B14" s="59">
        <v>45738</v>
      </c>
      <c r="C14" s="60" t="s">
        <v>42</v>
      </c>
      <c r="D14" s="60">
        <f>INDEX(Consolidado[Esta],MATCH(Tabla5[[#This Row],[Partícipes Fondo]],Consolidado[Profesional],0))</f>
        <v>1</v>
      </c>
      <c r="E14" s="61">
        <v>15000</v>
      </c>
      <c r="F14" s="61">
        <f>+SUMIF(Costo_Almuerzo[Dia],Tabla5[[#This Row],[Dia]],Costo_Almuerzo[Valor])/COUNTIF(Tabla5[Dia],Tabla5[[#This Row],[Dia]])</f>
        <v>14607.142857142857</v>
      </c>
      <c r="G14" s="61">
        <f>(Tabla5[[#This Row],[Valor]]-Tabla5[[#This Row],[Costo]])*Tabla5[[#This Row],[Esta]]</f>
        <v>392.85714285714312</v>
      </c>
    </row>
    <row r="15" spans="2:11" x14ac:dyDescent="0.25">
      <c r="B15" s="59">
        <v>45738</v>
      </c>
      <c r="C15" s="60" t="s">
        <v>7</v>
      </c>
      <c r="D15" s="60">
        <f>INDEX(Consolidado[Esta],MATCH(Tabla5[[#This Row],[Partícipes Fondo]],Consolidado[Profesional],0))</f>
        <v>1</v>
      </c>
      <c r="E15" s="61">
        <v>15000</v>
      </c>
      <c r="F15" s="61">
        <f>+SUMIF(Costo_Almuerzo[Dia],Tabla5[[#This Row],[Dia]],Costo_Almuerzo[Valor])/COUNTIF(Tabla5[Dia],Tabla5[[#This Row],[Dia]])</f>
        <v>14607.142857142857</v>
      </c>
      <c r="G15" s="61">
        <f>(Tabla5[[#This Row],[Valor]]-Tabla5[[#This Row],[Costo]])*Tabla5[[#This Row],[Esta]]</f>
        <v>392.85714285714312</v>
      </c>
    </row>
    <row r="16" spans="2:11" x14ac:dyDescent="0.25">
      <c r="B16" s="59">
        <v>45738</v>
      </c>
      <c r="C16" s="60" t="s">
        <v>5</v>
      </c>
      <c r="D16" s="60">
        <f>INDEX(Consolidado[Esta],MATCH(Tabla5[[#This Row],[Partícipes Fondo]],Consolidado[Profesional],0))</f>
        <v>1</v>
      </c>
      <c r="E16" s="61">
        <v>15000</v>
      </c>
      <c r="F16" s="61">
        <f>+SUMIF(Costo_Almuerzo[Dia],Tabla5[[#This Row],[Dia]],Costo_Almuerzo[Valor])/COUNTIF(Tabla5[Dia],Tabla5[[#This Row],[Dia]])</f>
        <v>14607.142857142857</v>
      </c>
      <c r="G16" s="61">
        <f>(Tabla5[[#This Row],[Valor]]-Tabla5[[#This Row],[Costo]])*Tabla5[[#This Row],[Esta]]</f>
        <v>392.85714285714312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D4C8-B5A8-470C-8F36-938E6AF1D708}">
  <dimension ref="A1:N29"/>
  <sheetViews>
    <sheetView workbookViewId="0"/>
  </sheetViews>
  <sheetFormatPr baseColWidth="10" defaultColWidth="0" defaultRowHeight="14.25" zeroHeight="1" x14ac:dyDescent="0.25"/>
  <cols>
    <col min="1" max="1" width="2" style="2" bestFit="1" customWidth="1"/>
    <col min="2" max="2" width="22.7109375" style="2" bestFit="1" customWidth="1"/>
    <col min="3" max="3" width="7.140625" style="2" bestFit="1" customWidth="1"/>
    <col min="4" max="4" width="17.28515625" style="2" bestFit="1" customWidth="1"/>
    <col min="5" max="5" width="12.28515625" style="2" bestFit="1" customWidth="1"/>
    <col min="6" max="6" width="2.140625" style="2" bestFit="1" customWidth="1"/>
    <col min="7" max="7" width="22.7109375" style="2" bestFit="1" customWidth="1"/>
    <col min="8" max="8" width="17.7109375" style="2" bestFit="1" customWidth="1"/>
    <col min="9" max="9" width="16.28515625" style="2" bestFit="1" customWidth="1"/>
    <col min="10" max="10" width="10" style="2" bestFit="1" customWidth="1"/>
    <col min="11" max="11" width="15" style="2" bestFit="1" customWidth="1"/>
    <col min="12" max="12" width="2.140625" style="2" bestFit="1" customWidth="1"/>
    <col min="13" max="14" width="0" style="2" hidden="1" customWidth="1"/>
    <col min="15" max="16384" width="11.42578125" style="2" hidden="1"/>
  </cols>
  <sheetData>
    <row r="1" spans="2:13" ht="15" thickBot="1" x14ac:dyDescent="0.3"/>
    <row r="2" spans="2:13" ht="15" thickBot="1" x14ac:dyDescent="0.3">
      <c r="B2" s="51" t="s">
        <v>27</v>
      </c>
      <c r="C2" s="52"/>
      <c r="D2" s="52"/>
      <c r="E2" s="52"/>
      <c r="F2" s="52"/>
      <c r="G2" s="52"/>
      <c r="H2" s="52"/>
      <c r="I2" s="52"/>
      <c r="J2" s="52"/>
      <c r="K2" s="53"/>
    </row>
    <row r="3" spans="2:13" ht="15" thickBot="1" x14ac:dyDescent="0.3"/>
    <row r="4" spans="2:13" x14ac:dyDescent="0.25">
      <c r="B4" s="38" t="s">
        <v>18</v>
      </c>
      <c r="C4" s="39"/>
      <c r="D4" s="39"/>
      <c r="E4" s="5" t="s">
        <v>17</v>
      </c>
      <c r="G4" s="44" t="s">
        <v>23</v>
      </c>
      <c r="H4" s="45"/>
      <c r="I4" s="45"/>
      <c r="J4" s="45"/>
      <c r="K4" s="46"/>
    </row>
    <row r="5" spans="2:13" x14ac:dyDescent="0.25">
      <c r="B5" s="40" t="s">
        <v>15</v>
      </c>
      <c r="C5" s="41"/>
      <c r="D5" s="41"/>
      <c r="E5" s="6">
        <v>4000</v>
      </c>
      <c r="G5" s="47" t="s">
        <v>24</v>
      </c>
      <c r="H5" s="48"/>
      <c r="I5" s="48"/>
      <c r="J5" s="48"/>
      <c r="K5" s="10">
        <f>+SUM(E10:E28)</f>
        <v>201900</v>
      </c>
    </row>
    <row r="6" spans="2:13" x14ac:dyDescent="0.25">
      <c r="B6" s="40" t="s">
        <v>16</v>
      </c>
      <c r="C6" s="41"/>
      <c r="D6" s="41"/>
      <c r="E6" s="6">
        <v>1000</v>
      </c>
      <c r="G6" s="47" t="s">
        <v>25</v>
      </c>
      <c r="H6" s="48"/>
      <c r="I6" s="48"/>
      <c r="J6" s="48"/>
      <c r="K6" s="8">
        <v>100000</v>
      </c>
    </row>
    <row r="7" spans="2:13" ht="15" thickBot="1" x14ac:dyDescent="0.3">
      <c r="B7" s="42" t="s">
        <v>14</v>
      </c>
      <c r="C7" s="43"/>
      <c r="D7" s="43"/>
      <c r="E7" s="7">
        <v>20</v>
      </c>
      <c r="G7" s="49" t="s">
        <v>26</v>
      </c>
      <c r="H7" s="50"/>
      <c r="I7" s="50"/>
      <c r="J7" s="50"/>
      <c r="K7" s="11">
        <f>+K5-K6</f>
        <v>101900</v>
      </c>
    </row>
    <row r="8" spans="2:13" x14ac:dyDescent="0.25"/>
    <row r="9" spans="2:13" x14ac:dyDescent="0.25">
      <c r="B9" s="29" t="s">
        <v>20</v>
      </c>
      <c r="C9" s="30" t="s">
        <v>30</v>
      </c>
      <c r="D9" s="30" t="s">
        <v>19</v>
      </c>
      <c r="E9" s="14" t="s">
        <v>17</v>
      </c>
      <c r="G9" s="12" t="s">
        <v>20</v>
      </c>
      <c r="H9" s="13" t="s">
        <v>28</v>
      </c>
      <c r="I9" s="13" t="s">
        <v>21</v>
      </c>
      <c r="J9" s="13" t="s">
        <v>22</v>
      </c>
      <c r="K9" s="14" t="s">
        <v>23</v>
      </c>
    </row>
    <row r="10" spans="2:13" x14ac:dyDescent="0.25">
      <c r="B10" s="4" t="s">
        <v>6</v>
      </c>
      <c r="C10" s="3">
        <v>1</v>
      </c>
      <c r="D10" s="4" t="s">
        <v>15</v>
      </c>
      <c r="E10" s="28">
        <f>MROUND(IF(D10=$B$5,$E$5*C10,IF(D10=$B$6,C10*$E$6,IF(D10=$B$7,C10*$E$7,"Error"))),100)</f>
        <v>4000</v>
      </c>
      <c r="G10" s="15" t="s">
        <v>6</v>
      </c>
      <c r="H10" s="16">
        <f t="shared" ref="H10:H18" si="0">+I10/SUM($I$10:$I$18)</f>
        <v>0.19910846953937592</v>
      </c>
      <c r="I10" s="17">
        <f t="shared" ref="I10:I18" si="1">+SUMIF($B$10:$B$28,G10,$E$10:$E$28)</f>
        <v>40200</v>
      </c>
      <c r="J10" s="18">
        <f>INDEX(Consolidado[Esta],MATCH(Rellena[[#This Row],[Partícipes Fondo]],Consolidado[Profesional],0))</f>
        <v>1</v>
      </c>
      <c r="K10" s="19">
        <f>($K$7/SUM(Rellena[Esta]))*Rellena[[#This Row],[Esta]]</f>
        <v>14557.142857142857</v>
      </c>
      <c r="M10" s="9"/>
    </row>
    <row r="11" spans="2:13" x14ac:dyDescent="0.25">
      <c r="B11" s="4" t="s">
        <v>6</v>
      </c>
      <c r="C11" s="3">
        <v>1</v>
      </c>
      <c r="D11" s="4" t="s">
        <v>16</v>
      </c>
      <c r="E11" s="28">
        <f t="shared" ref="E11:E28" si="2">MROUND(IF(D11=$B$5,$E$5*C11,IF(D11=$B$6,C11*$E$6,IF(D11=$B$7,C11*$E$7,"Error"))),100)</f>
        <v>1000</v>
      </c>
      <c r="G11" s="15" t="s">
        <v>7</v>
      </c>
      <c r="H11" s="16">
        <f t="shared" si="0"/>
        <v>0.1495789995047053</v>
      </c>
      <c r="I11" s="17">
        <f t="shared" si="1"/>
        <v>30200</v>
      </c>
      <c r="J11" s="18">
        <f>INDEX(Consolidado[Esta],MATCH(Rellena[[#This Row],[Partícipes Fondo]],Consolidado[Profesional],0))</f>
        <v>1</v>
      </c>
      <c r="K11" s="19">
        <f>($K$7/SUM(Rellena[Esta]))*Rellena[[#This Row],[Esta]]</f>
        <v>14557.142857142857</v>
      </c>
      <c r="M11" s="9"/>
    </row>
    <row r="12" spans="2:13" x14ac:dyDescent="0.25">
      <c r="B12" s="4" t="s">
        <v>7</v>
      </c>
      <c r="C12" s="3">
        <v>1</v>
      </c>
      <c r="D12" s="4" t="s">
        <v>15</v>
      </c>
      <c r="E12" s="28">
        <f t="shared" si="2"/>
        <v>4000</v>
      </c>
      <c r="G12" s="15" t="s">
        <v>10</v>
      </c>
      <c r="H12" s="16">
        <f t="shared" si="0"/>
        <v>7.9247152055473002E-2</v>
      </c>
      <c r="I12" s="17">
        <f t="shared" si="1"/>
        <v>16000</v>
      </c>
      <c r="J12" s="18">
        <f>INDEX(Consolidado[Esta],MATCH(Rellena[[#This Row],[Partícipes Fondo]],Consolidado[Profesional],0))</f>
        <v>1</v>
      </c>
      <c r="K12" s="19">
        <f>($K$7/SUM(Rellena[Esta]))*Rellena[[#This Row],[Esta]]</f>
        <v>14557.142857142857</v>
      </c>
      <c r="M12" s="9"/>
    </row>
    <row r="13" spans="2:13" x14ac:dyDescent="0.25">
      <c r="B13" s="4" t="s">
        <v>7</v>
      </c>
      <c r="C13" s="3">
        <v>3</v>
      </c>
      <c r="D13" s="4" t="s">
        <v>16</v>
      </c>
      <c r="E13" s="28">
        <f t="shared" si="2"/>
        <v>3000</v>
      </c>
      <c r="G13" s="15" t="s">
        <v>12</v>
      </c>
      <c r="H13" s="16">
        <f t="shared" si="0"/>
        <v>8.4200099058940076E-2</v>
      </c>
      <c r="I13" s="17">
        <f t="shared" si="1"/>
        <v>17000</v>
      </c>
      <c r="J13" s="18">
        <f>INDEX(Consolidado[Esta],MATCH(Rellena[[#This Row],[Partícipes Fondo]],Consolidado[Profesional],0))</f>
        <v>1</v>
      </c>
      <c r="K13" s="19">
        <f>($K$7/SUM(Rellena[Esta]))*Rellena[[#This Row],[Esta]]</f>
        <v>14557.142857142857</v>
      </c>
      <c r="M13" s="9"/>
    </row>
    <row r="14" spans="2:13" x14ac:dyDescent="0.25">
      <c r="B14" s="4" t="s">
        <v>10</v>
      </c>
      <c r="C14" s="3">
        <v>1</v>
      </c>
      <c r="D14" s="4" t="s">
        <v>15</v>
      </c>
      <c r="E14" s="28">
        <f t="shared" si="2"/>
        <v>4000</v>
      </c>
      <c r="G14" s="15" t="s">
        <v>3</v>
      </c>
      <c r="H14" s="16">
        <f t="shared" si="0"/>
        <v>0.14363546310054481</v>
      </c>
      <c r="I14" s="17">
        <f t="shared" si="1"/>
        <v>29000</v>
      </c>
      <c r="J14" s="18">
        <f>INDEX(Consolidado[Esta],MATCH(Rellena[[#This Row],[Partícipes Fondo]],Consolidado[Profesional],0))</f>
        <v>1</v>
      </c>
      <c r="K14" s="19">
        <f>($K$7/SUM(Rellena[Esta]))*Rellena[[#This Row],[Esta]]</f>
        <v>14557.142857142857</v>
      </c>
      <c r="M14" s="9"/>
    </row>
    <row r="15" spans="2:13" x14ac:dyDescent="0.25">
      <c r="B15" s="4" t="s">
        <v>10</v>
      </c>
      <c r="C15" s="3">
        <v>2</v>
      </c>
      <c r="D15" s="4" t="s">
        <v>16</v>
      </c>
      <c r="E15" s="28">
        <f t="shared" si="2"/>
        <v>2000</v>
      </c>
      <c r="G15" s="15" t="s">
        <v>11</v>
      </c>
      <c r="H15" s="16">
        <f t="shared" si="0"/>
        <v>5.3491827637444277E-2</v>
      </c>
      <c r="I15" s="17">
        <f t="shared" si="1"/>
        <v>10800</v>
      </c>
      <c r="J15" s="18">
        <f>INDEX(Consolidado[Esta],MATCH(Rellena[[#This Row],[Partícipes Fondo]],Consolidado[Profesional],0))</f>
        <v>0</v>
      </c>
      <c r="K15" s="19">
        <f>($K$7/SUM(Rellena[Esta]))*Rellena[[#This Row],[Esta]]</f>
        <v>0</v>
      </c>
      <c r="M15" s="9"/>
    </row>
    <row r="16" spans="2:13" x14ac:dyDescent="0.25">
      <c r="B16" s="4" t="s">
        <v>12</v>
      </c>
      <c r="C16" s="3">
        <v>1</v>
      </c>
      <c r="D16" s="4" t="s">
        <v>15</v>
      </c>
      <c r="E16" s="28">
        <f t="shared" si="2"/>
        <v>4000</v>
      </c>
      <c r="G16" s="15" t="s">
        <v>9</v>
      </c>
      <c r="H16" s="16">
        <f t="shared" si="0"/>
        <v>9.9554234769687958E-2</v>
      </c>
      <c r="I16" s="17">
        <f t="shared" si="1"/>
        <v>20100</v>
      </c>
      <c r="J16" s="18">
        <f>INDEX(Consolidado[Esta],MATCH(Rellena[[#This Row],[Partícipes Fondo]],Consolidado[Profesional],0))</f>
        <v>1</v>
      </c>
      <c r="K16" s="19">
        <f>($K$7/SUM(Rellena[Esta]))*Rellena[[#This Row],[Esta]]</f>
        <v>14557.142857142857</v>
      </c>
      <c r="M16" s="9"/>
    </row>
    <row r="17" spans="2:13" x14ac:dyDescent="0.25">
      <c r="B17" s="4" t="s">
        <v>12</v>
      </c>
      <c r="C17" s="3">
        <v>1</v>
      </c>
      <c r="D17" s="4" t="s">
        <v>16</v>
      </c>
      <c r="E17" s="28">
        <f t="shared" si="2"/>
        <v>1000</v>
      </c>
      <c r="G17" s="15" t="s">
        <v>13</v>
      </c>
      <c r="H17" s="16">
        <f t="shared" si="0"/>
        <v>9.4105993065874194E-2</v>
      </c>
      <c r="I17" s="17">
        <f t="shared" si="1"/>
        <v>19000</v>
      </c>
      <c r="J17" s="18">
        <f>INDEX(Consolidado[Esta],MATCH(Rellena[[#This Row],[Partícipes Fondo]],Consolidado[Profesional],0))</f>
        <v>0</v>
      </c>
      <c r="K17" s="19">
        <f>($K$7/SUM(Rellena[Esta]))*Rellena[[#This Row],[Esta]]</f>
        <v>0</v>
      </c>
      <c r="M17" s="9"/>
    </row>
    <row r="18" spans="2:13" x14ac:dyDescent="0.25">
      <c r="B18" s="4" t="s">
        <v>3</v>
      </c>
      <c r="C18" s="3">
        <v>1</v>
      </c>
      <c r="D18" s="4" t="s">
        <v>15</v>
      </c>
      <c r="E18" s="28">
        <f t="shared" si="2"/>
        <v>4000</v>
      </c>
      <c r="G18" s="20" t="s">
        <v>2</v>
      </c>
      <c r="H18" s="21">
        <f t="shared" si="0"/>
        <v>9.7077761267954435E-2</v>
      </c>
      <c r="I18" s="22">
        <f t="shared" si="1"/>
        <v>19600</v>
      </c>
      <c r="J18" s="23">
        <f>INDEX(Consolidado[Esta],MATCH(Rellena[[#This Row],[Partícipes Fondo]],Consolidado[Profesional],0))</f>
        <v>1</v>
      </c>
      <c r="K18" s="24">
        <f>($K$7/SUM(Rellena[Esta]))*Rellena[[#This Row],[Esta]]</f>
        <v>14557.142857142857</v>
      </c>
      <c r="M18" s="9"/>
    </row>
    <row r="19" spans="2:13" x14ac:dyDescent="0.25">
      <c r="B19" s="4" t="s">
        <v>12</v>
      </c>
      <c r="C19" s="3">
        <v>600</v>
      </c>
      <c r="D19" s="4" t="s">
        <v>14</v>
      </c>
      <c r="E19" s="28">
        <f t="shared" si="2"/>
        <v>12000</v>
      </c>
    </row>
    <row r="20" spans="2:13" x14ac:dyDescent="0.25">
      <c r="B20" s="4" t="s">
        <v>3</v>
      </c>
      <c r="C20" s="3">
        <v>1250</v>
      </c>
      <c r="D20" s="4" t="s">
        <v>14</v>
      </c>
      <c r="E20" s="28">
        <f t="shared" si="2"/>
        <v>25000</v>
      </c>
      <c r="K20" s="34"/>
    </row>
    <row r="21" spans="2:13" x14ac:dyDescent="0.25">
      <c r="B21" s="4" t="s">
        <v>6</v>
      </c>
      <c r="C21" s="3">
        <v>1260</v>
      </c>
      <c r="D21" s="4" t="s">
        <v>14</v>
      </c>
      <c r="E21" s="28">
        <f t="shared" si="2"/>
        <v>25200</v>
      </c>
    </row>
    <row r="22" spans="2:13" x14ac:dyDescent="0.25">
      <c r="B22" s="4" t="s">
        <v>11</v>
      </c>
      <c r="C22" s="3">
        <v>540</v>
      </c>
      <c r="D22" s="4" t="s">
        <v>14</v>
      </c>
      <c r="E22" s="28">
        <f t="shared" si="2"/>
        <v>10800</v>
      </c>
    </row>
    <row r="23" spans="2:13" x14ac:dyDescent="0.25">
      <c r="B23" s="4" t="s">
        <v>7</v>
      </c>
      <c r="C23" s="3">
        <v>1158</v>
      </c>
      <c r="D23" s="4" t="s">
        <v>14</v>
      </c>
      <c r="E23" s="28">
        <f t="shared" si="2"/>
        <v>23200</v>
      </c>
      <c r="G23" s="9"/>
      <c r="H23" s="9"/>
    </row>
    <row r="24" spans="2:13" x14ac:dyDescent="0.25">
      <c r="B24" s="4" t="s">
        <v>9</v>
      </c>
      <c r="C24" s="3">
        <v>1004</v>
      </c>
      <c r="D24" s="4" t="s">
        <v>14</v>
      </c>
      <c r="E24" s="28">
        <f t="shared" si="2"/>
        <v>20100</v>
      </c>
    </row>
    <row r="25" spans="2:13" x14ac:dyDescent="0.25">
      <c r="B25" s="4" t="s">
        <v>6</v>
      </c>
      <c r="C25" s="3">
        <v>500</v>
      </c>
      <c r="D25" s="4" t="s">
        <v>14</v>
      </c>
      <c r="E25" s="28">
        <f t="shared" si="2"/>
        <v>10000</v>
      </c>
    </row>
    <row r="26" spans="2:13" x14ac:dyDescent="0.25">
      <c r="B26" s="4" t="s">
        <v>13</v>
      </c>
      <c r="C26" s="3">
        <f>1900/2</f>
        <v>950</v>
      </c>
      <c r="D26" s="4" t="s">
        <v>14</v>
      </c>
      <c r="E26" s="28">
        <f t="shared" si="2"/>
        <v>19000</v>
      </c>
      <c r="G26" s="9"/>
    </row>
    <row r="27" spans="2:13" x14ac:dyDescent="0.25">
      <c r="B27" s="4" t="s">
        <v>2</v>
      </c>
      <c r="C27" s="3">
        <v>980</v>
      </c>
      <c r="D27" s="4" t="s">
        <v>14</v>
      </c>
      <c r="E27" s="28">
        <f t="shared" si="2"/>
        <v>19600</v>
      </c>
    </row>
    <row r="28" spans="2:13" x14ac:dyDescent="0.25">
      <c r="B28" s="31" t="s">
        <v>10</v>
      </c>
      <c r="C28" s="32">
        <v>500</v>
      </c>
      <c r="D28" s="31" t="s">
        <v>14</v>
      </c>
      <c r="E28" s="33">
        <f t="shared" si="2"/>
        <v>10000</v>
      </c>
    </row>
    <row r="29" spans="2:13" x14ac:dyDescent="0.25"/>
  </sheetData>
  <mergeCells count="9">
    <mergeCell ref="B2:K2"/>
    <mergeCell ref="B4:D4"/>
    <mergeCell ref="B5:D5"/>
    <mergeCell ref="B6:D6"/>
    <mergeCell ref="B7:D7"/>
    <mergeCell ref="G4:K4"/>
    <mergeCell ref="G5:J5"/>
    <mergeCell ref="G6:J6"/>
    <mergeCell ref="G7:J7"/>
  </mergeCells>
  <conditionalFormatting sqref="H10:H1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0. Profesionales</vt:lpstr>
      <vt:lpstr>1. Ahorro</vt:lpstr>
      <vt:lpstr>2. Almuerzos</vt:lpstr>
      <vt:lpstr>3. Rellena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2025-03-18T15:24:16Z</dcterms:created>
  <dcterms:modified xsi:type="dcterms:W3CDTF">2025-03-22T15:38:22Z</dcterms:modified>
</cp:coreProperties>
</file>