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\Desktop\FOREVER CHIC\2. AREA FINANCIERA Y ADMINISTRATIVA\Balance y Estados de Resultados\Año 2023\"/>
    </mc:Choice>
  </mc:AlternateContent>
  <xr:revisionPtr revIDLastSave="0" documentId="13_ncr:1_{F0608873-FEB6-4A53-95CA-7E874B54B0EA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Instrucciones" sheetId="5" r:id="rId1"/>
    <sheet name="Presupuesto Consolidado" sheetId="2" r:id="rId2"/>
    <sheet name="Comparativo mensual enero" sheetId="7" r:id="rId3"/>
    <sheet name="Detalle Mensual Real" sheetId="3" r:id="rId4"/>
    <sheet name="Detalle Mensual Planeado" sheetId="4" r:id="rId5"/>
    <sheet name="Hoja1" sheetId="6" r:id="rId6"/>
  </sheets>
  <externalReferences>
    <externalReference r:id="rId7"/>
    <externalReference r:id="rId8"/>
  </externalReferences>
  <definedNames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4" l="1"/>
  <c r="E37" i="7"/>
  <c r="E35" i="7"/>
  <c r="E34" i="7"/>
  <c r="D35" i="7"/>
  <c r="D37" i="7"/>
  <c r="C48" i="7"/>
  <c r="C45" i="7"/>
  <c r="C41" i="7"/>
  <c r="C42" i="7"/>
  <c r="C40" i="7"/>
  <c r="C37" i="7"/>
  <c r="C36" i="7"/>
  <c r="C35" i="7"/>
  <c r="C34" i="7"/>
  <c r="C33" i="7"/>
  <c r="C30" i="7"/>
  <c r="C29" i="7"/>
  <c r="C28" i="7"/>
  <c r="C27" i="7"/>
  <c r="C26" i="7"/>
  <c r="C25" i="7"/>
  <c r="C24" i="7"/>
  <c r="C23" i="7"/>
  <c r="C22" i="7"/>
  <c r="C21" i="7"/>
  <c r="C20" i="7"/>
  <c r="C14" i="7"/>
  <c r="C10" i="7"/>
  <c r="D45" i="7"/>
  <c r="E45" i="7"/>
  <c r="D44" i="7"/>
  <c r="D42" i="7"/>
  <c r="E42" i="7" s="1"/>
  <c r="D34" i="7"/>
  <c r="D15" i="7"/>
  <c r="E15" i="7" s="1"/>
  <c r="C15" i="7"/>
  <c r="D13" i="7"/>
  <c r="C13" i="7"/>
  <c r="E13" i="7" s="1"/>
  <c r="C9" i="7"/>
  <c r="C37" i="3"/>
  <c r="C30" i="3"/>
  <c r="C40" i="3"/>
  <c r="D32" i="3"/>
  <c r="C32" i="3"/>
  <c r="D36" i="3"/>
  <c r="D35" i="3"/>
  <c r="D28" i="3"/>
  <c r="C12" i="7" l="1"/>
  <c r="C19" i="7"/>
  <c r="C32" i="7"/>
  <c r="C39" i="7"/>
  <c r="C44" i="7"/>
  <c r="E44" i="7" s="1"/>
  <c r="J4" i="7" l="1"/>
  <c r="J5" i="7"/>
  <c r="J6" i="7" l="1"/>
  <c r="N48" i="3" l="1"/>
  <c r="M48" i="3"/>
  <c r="L48" i="3"/>
  <c r="K48" i="3"/>
  <c r="J48" i="3"/>
  <c r="I48" i="3"/>
  <c r="H48" i="3"/>
  <c r="G48" i="3"/>
  <c r="F48" i="3"/>
  <c r="E48" i="3"/>
  <c r="D48" i="3"/>
  <c r="N47" i="3"/>
  <c r="M47" i="3"/>
  <c r="L47" i="3"/>
  <c r="K47" i="3"/>
  <c r="J47" i="3"/>
  <c r="I47" i="3"/>
  <c r="H47" i="3"/>
  <c r="G47" i="3"/>
  <c r="F47" i="3"/>
  <c r="E47" i="3"/>
  <c r="D47" i="3"/>
  <c r="C48" i="3"/>
  <c r="C47" i="3"/>
  <c r="N43" i="3"/>
  <c r="M43" i="3"/>
  <c r="L43" i="3"/>
  <c r="K43" i="3"/>
  <c r="J43" i="3"/>
  <c r="I43" i="3"/>
  <c r="H43" i="3"/>
  <c r="G43" i="3"/>
  <c r="E43" i="3"/>
  <c r="C43" i="4"/>
  <c r="C44" i="3"/>
  <c r="C28" i="3"/>
  <c r="N48" i="4" l="1"/>
  <c r="M48" i="4"/>
  <c r="L48" i="4"/>
  <c r="K48" i="4"/>
  <c r="J48" i="4"/>
  <c r="I48" i="4"/>
  <c r="H48" i="4"/>
  <c r="G48" i="4"/>
  <c r="F48" i="4"/>
  <c r="E48" i="4"/>
  <c r="D48" i="4"/>
  <c r="G47" i="4"/>
  <c r="H47" i="4"/>
  <c r="I47" i="4"/>
  <c r="J47" i="4"/>
  <c r="K47" i="4"/>
  <c r="L47" i="4"/>
  <c r="M47" i="4"/>
  <c r="N47" i="4"/>
  <c r="E47" i="4"/>
  <c r="F47" i="4"/>
  <c r="D47" i="4"/>
  <c r="C47" i="4"/>
  <c r="C9" i="4"/>
  <c r="D9" i="4"/>
  <c r="E9" i="4"/>
  <c r="F9" i="4"/>
  <c r="G9" i="4"/>
  <c r="H9" i="4"/>
  <c r="I9" i="4"/>
  <c r="J9" i="4"/>
  <c r="K9" i="4"/>
  <c r="L9" i="4"/>
  <c r="M9" i="4"/>
  <c r="N9" i="4"/>
  <c r="K28" i="4"/>
  <c r="K27" i="4" s="1"/>
  <c r="J2" i="6"/>
  <c r="H2" i="6"/>
  <c r="F2" i="6"/>
  <c r="E2" i="6"/>
  <c r="P25" i="3"/>
  <c r="P24" i="3"/>
  <c r="P23" i="3"/>
  <c r="P31" i="4"/>
  <c r="C36" i="2" s="1"/>
  <c r="E36" i="2" s="1"/>
  <c r="N28" i="4"/>
  <c r="N27" i="4" s="1"/>
  <c r="M28" i="4"/>
  <c r="M27" i="4" s="1"/>
  <c r="J28" i="4"/>
  <c r="J27" i="4" s="1"/>
  <c r="I28" i="4"/>
  <c r="I27" i="4" s="1"/>
  <c r="F28" i="4"/>
  <c r="E28" i="4"/>
  <c r="E27" i="4" s="1"/>
  <c r="F27" i="4"/>
  <c r="D30" i="2" l="1"/>
  <c r="D30" i="7"/>
  <c r="E30" i="7" s="1"/>
  <c r="D29" i="2"/>
  <c r="D29" i="7"/>
  <c r="E29" i="7" s="1"/>
  <c r="D28" i="2"/>
  <c r="D28" i="7"/>
  <c r="E28" i="7" s="1"/>
  <c r="C28" i="4"/>
  <c r="C27" i="4" s="1"/>
  <c r="G28" i="4"/>
  <c r="G27" i="4" s="1"/>
  <c r="D28" i="4"/>
  <c r="D27" i="4" s="1"/>
  <c r="H28" i="4"/>
  <c r="H27" i="4" s="1"/>
  <c r="L28" i="4"/>
  <c r="L27" i="4" s="1"/>
  <c r="P28" i="4" l="1"/>
  <c r="C33" i="2"/>
  <c r="E33" i="2" s="1"/>
  <c r="P40" i="4"/>
  <c r="C45" i="2" s="1"/>
  <c r="C44" i="2" s="1"/>
  <c r="N39" i="4"/>
  <c r="M39" i="4"/>
  <c r="L39" i="4"/>
  <c r="K39" i="4"/>
  <c r="J39" i="4"/>
  <c r="I39" i="4"/>
  <c r="H39" i="4"/>
  <c r="G39" i="4"/>
  <c r="F39" i="4"/>
  <c r="E39" i="4"/>
  <c r="D39" i="4"/>
  <c r="C39" i="4"/>
  <c r="P37" i="4"/>
  <c r="C42" i="2" s="1"/>
  <c r="P36" i="4"/>
  <c r="C41" i="2" s="1"/>
  <c r="P35" i="4"/>
  <c r="C40" i="2" s="1"/>
  <c r="N34" i="4"/>
  <c r="M34" i="4"/>
  <c r="L34" i="4"/>
  <c r="K34" i="4"/>
  <c r="J34" i="4"/>
  <c r="I34" i="4"/>
  <c r="H34" i="4"/>
  <c r="G34" i="4"/>
  <c r="F34" i="4"/>
  <c r="E34" i="4"/>
  <c r="D34" i="4"/>
  <c r="C34" i="4"/>
  <c r="P32" i="4"/>
  <c r="C37" i="2" s="1"/>
  <c r="P30" i="4"/>
  <c r="C35" i="2" s="1"/>
  <c r="P29" i="4"/>
  <c r="C34" i="2" s="1"/>
  <c r="P25" i="4"/>
  <c r="C30" i="2" s="1"/>
  <c r="P24" i="4"/>
  <c r="C29" i="2" s="1"/>
  <c r="P23" i="4"/>
  <c r="C28" i="2" s="1"/>
  <c r="P22" i="4"/>
  <c r="C27" i="2" s="1"/>
  <c r="P21" i="4"/>
  <c r="C26" i="2" s="1"/>
  <c r="P20" i="4"/>
  <c r="C25" i="2" s="1"/>
  <c r="P19" i="4"/>
  <c r="C24" i="2" s="1"/>
  <c r="P18" i="4"/>
  <c r="C23" i="2" s="1"/>
  <c r="P17" i="4"/>
  <c r="C22" i="2" s="1"/>
  <c r="P12" i="4"/>
  <c r="C15" i="2" s="1"/>
  <c r="P11" i="4"/>
  <c r="C14" i="2" s="1"/>
  <c r="P10" i="4"/>
  <c r="C13" i="2" s="1"/>
  <c r="P7" i="4"/>
  <c r="Q28" i="4" s="1"/>
  <c r="N6" i="4"/>
  <c r="N15" i="4" s="1"/>
  <c r="N14" i="4" s="1"/>
  <c r="M6" i="4"/>
  <c r="M15" i="4" s="1"/>
  <c r="M14" i="4" s="1"/>
  <c r="L6" i="4"/>
  <c r="L15" i="4" s="1"/>
  <c r="L14" i="4" s="1"/>
  <c r="K6" i="4"/>
  <c r="K15" i="4" s="1"/>
  <c r="K14" i="4" s="1"/>
  <c r="J6" i="4"/>
  <c r="J15" i="4" s="1"/>
  <c r="J14" i="4" s="1"/>
  <c r="I6" i="4"/>
  <c r="I15" i="4" s="1"/>
  <c r="I14" i="4" s="1"/>
  <c r="H6" i="4"/>
  <c r="H15" i="4" s="1"/>
  <c r="H14" i="4" s="1"/>
  <c r="G6" i="4"/>
  <c r="G15" i="4" s="1"/>
  <c r="G14" i="4" s="1"/>
  <c r="F6" i="4"/>
  <c r="F15" i="4" s="1"/>
  <c r="F14" i="4" s="1"/>
  <c r="E6" i="4"/>
  <c r="E15" i="4" s="1"/>
  <c r="E14" i="4" s="1"/>
  <c r="D6" i="4"/>
  <c r="D15" i="4" s="1"/>
  <c r="D14" i="4" s="1"/>
  <c r="C6" i="4"/>
  <c r="C15" i="4" l="1"/>
  <c r="C14" i="4" s="1"/>
  <c r="D43" i="4"/>
  <c r="L43" i="4"/>
  <c r="E43" i="4"/>
  <c r="I43" i="4"/>
  <c r="M43" i="4"/>
  <c r="F43" i="4"/>
  <c r="J43" i="4"/>
  <c r="N43" i="4"/>
  <c r="H43" i="4"/>
  <c r="G43" i="4"/>
  <c r="K43" i="4"/>
  <c r="C10" i="2"/>
  <c r="Q40" i="4"/>
  <c r="Q36" i="4"/>
  <c r="Q30" i="4"/>
  <c r="Q24" i="4"/>
  <c r="Q20" i="4"/>
  <c r="Q18" i="4"/>
  <c r="Q31" i="4"/>
  <c r="Q35" i="4"/>
  <c r="Q29" i="4"/>
  <c r="Q23" i="4"/>
  <c r="Q19" i="4"/>
  <c r="Q32" i="4"/>
  <c r="Q22" i="4"/>
  <c r="Q37" i="4"/>
  <c r="Q25" i="4"/>
  <c r="Q21" i="4"/>
  <c r="Q17" i="4"/>
  <c r="C32" i="2"/>
  <c r="P39" i="4"/>
  <c r="C12" i="2"/>
  <c r="C9" i="2"/>
  <c r="C39" i="2"/>
  <c r="P34" i="4"/>
  <c r="P9" i="4"/>
  <c r="P6" i="4"/>
  <c r="P16" i="4"/>
  <c r="C21" i="2" s="1"/>
  <c r="P27" i="4"/>
  <c r="I6" i="3"/>
  <c r="P40" i="3"/>
  <c r="D45" i="2" s="1"/>
  <c r="E45" i="2" s="1"/>
  <c r="P37" i="3"/>
  <c r="D42" i="2" s="1"/>
  <c r="E42" i="2" s="1"/>
  <c r="P36" i="3"/>
  <c r="P35" i="3"/>
  <c r="P31" i="3"/>
  <c r="P29" i="3"/>
  <c r="D35" i="2" s="1"/>
  <c r="E35" i="2" s="1"/>
  <c r="P28" i="3"/>
  <c r="P15" i="3"/>
  <c r="P16" i="3"/>
  <c r="D21" i="7" s="1"/>
  <c r="E21" i="7" s="1"/>
  <c r="P17" i="3"/>
  <c r="D22" i="7" s="1"/>
  <c r="E22" i="7" s="1"/>
  <c r="P18" i="3"/>
  <c r="D23" i="7" s="1"/>
  <c r="E23" i="7" s="1"/>
  <c r="P19" i="3"/>
  <c r="D24" i="7" s="1"/>
  <c r="E24" i="7" s="1"/>
  <c r="P20" i="3"/>
  <c r="D25" i="7" s="1"/>
  <c r="E25" i="7" s="1"/>
  <c r="P21" i="3"/>
  <c r="D26" i="7" s="1"/>
  <c r="E26" i="7" s="1"/>
  <c r="P22" i="3"/>
  <c r="D27" i="7" s="1"/>
  <c r="E27" i="7" s="1"/>
  <c r="E29" i="2"/>
  <c r="E30" i="2"/>
  <c r="P12" i="3"/>
  <c r="D15" i="2" s="1"/>
  <c r="E15" i="2" s="1"/>
  <c r="P11" i="3"/>
  <c r="P10" i="3"/>
  <c r="D39" i="3"/>
  <c r="E39" i="3"/>
  <c r="F39" i="3"/>
  <c r="G39" i="3"/>
  <c r="H39" i="3"/>
  <c r="I39" i="3"/>
  <c r="J39" i="3"/>
  <c r="K39" i="3"/>
  <c r="L39" i="3"/>
  <c r="M39" i="3"/>
  <c r="N39" i="3"/>
  <c r="C39" i="3"/>
  <c r="D34" i="3"/>
  <c r="E34" i="3"/>
  <c r="F34" i="3"/>
  <c r="G34" i="3"/>
  <c r="H34" i="3"/>
  <c r="I34" i="3"/>
  <c r="J34" i="3"/>
  <c r="K34" i="3"/>
  <c r="L34" i="3"/>
  <c r="M34" i="3"/>
  <c r="N34" i="3"/>
  <c r="C34" i="3"/>
  <c r="D27" i="3"/>
  <c r="E27" i="3"/>
  <c r="F27" i="3"/>
  <c r="F43" i="3" s="1"/>
  <c r="G27" i="3"/>
  <c r="H27" i="3"/>
  <c r="I27" i="3"/>
  <c r="J27" i="3"/>
  <c r="K27" i="3"/>
  <c r="L27" i="3"/>
  <c r="M27" i="3"/>
  <c r="N27" i="3"/>
  <c r="C27" i="3"/>
  <c r="D14" i="3"/>
  <c r="E14" i="3"/>
  <c r="F14" i="3"/>
  <c r="G14" i="3"/>
  <c r="H14" i="3"/>
  <c r="I14" i="3"/>
  <c r="J14" i="3"/>
  <c r="K14" i="3"/>
  <c r="L14" i="3"/>
  <c r="M14" i="3"/>
  <c r="N14" i="3"/>
  <c r="C14" i="3"/>
  <c r="D9" i="3"/>
  <c r="E9" i="3"/>
  <c r="F9" i="3"/>
  <c r="G9" i="3"/>
  <c r="H9" i="3"/>
  <c r="I9" i="3"/>
  <c r="J9" i="3"/>
  <c r="K9" i="3"/>
  <c r="L9" i="3"/>
  <c r="M9" i="3"/>
  <c r="N9" i="3"/>
  <c r="C9" i="3"/>
  <c r="D6" i="3"/>
  <c r="H6" i="3"/>
  <c r="E6" i="3"/>
  <c r="F6" i="3"/>
  <c r="G6" i="3"/>
  <c r="D41" i="2" l="1"/>
  <c r="E41" i="2" s="1"/>
  <c r="D41" i="7"/>
  <c r="E41" i="7" s="1"/>
  <c r="D40" i="2"/>
  <c r="E40" i="2" s="1"/>
  <c r="D40" i="7"/>
  <c r="E40" i="7" s="1"/>
  <c r="D37" i="2"/>
  <c r="E37" i="2" s="1"/>
  <c r="D36" i="7"/>
  <c r="E36" i="7" s="1"/>
  <c r="D34" i="2"/>
  <c r="E34" i="2" s="1"/>
  <c r="D33" i="7"/>
  <c r="E33" i="7" s="1"/>
  <c r="D20" i="2"/>
  <c r="D20" i="7"/>
  <c r="D43" i="3"/>
  <c r="D14" i="2"/>
  <c r="D14" i="7"/>
  <c r="E14" i="7" s="1"/>
  <c r="D13" i="2"/>
  <c r="E13" i="2" s="1"/>
  <c r="D25" i="2"/>
  <c r="E25" i="2" s="1"/>
  <c r="E22" i="2"/>
  <c r="D21" i="2"/>
  <c r="E21" i="2" s="1"/>
  <c r="D26" i="2"/>
  <c r="E26" i="2" s="1"/>
  <c r="D22" i="2"/>
  <c r="D24" i="2"/>
  <c r="E24" i="2" s="1"/>
  <c r="E28" i="2"/>
  <c r="D27" i="2"/>
  <c r="E27" i="2" s="1"/>
  <c r="D23" i="2"/>
  <c r="E23" i="2" s="1"/>
  <c r="E14" i="2"/>
  <c r="Q16" i="4"/>
  <c r="P14" i="4"/>
  <c r="P15" i="4"/>
  <c r="Q15" i="4" s="1"/>
  <c r="P43" i="4"/>
  <c r="P34" i="3"/>
  <c r="J4" i="2"/>
  <c r="P27" i="3"/>
  <c r="P14" i="3"/>
  <c r="P9" i="3"/>
  <c r="P39" i="3"/>
  <c r="D44" i="2" s="1"/>
  <c r="E44" i="2" s="1"/>
  <c r="K6" i="3"/>
  <c r="J6" i="3"/>
  <c r="C6" i="3"/>
  <c r="C43" i="3" s="1"/>
  <c r="D39" i="2" l="1"/>
  <c r="E39" i="2" s="1"/>
  <c r="D39" i="7"/>
  <c r="E39" i="7" s="1"/>
  <c r="D32" i="2"/>
  <c r="E32" i="2" s="1"/>
  <c r="D32" i="7"/>
  <c r="E32" i="7" s="1"/>
  <c r="D19" i="7"/>
  <c r="E20" i="7"/>
  <c r="E19" i="7" s="1"/>
  <c r="D12" i="2"/>
  <c r="E12" i="2" s="1"/>
  <c r="D12" i="7"/>
  <c r="E12" i="7" s="1"/>
  <c r="D19" i="2"/>
  <c r="K5" i="2" s="1"/>
  <c r="P48" i="4"/>
  <c r="Q48" i="4" s="1"/>
  <c r="C20" i="2"/>
  <c r="E20" i="2" s="1"/>
  <c r="E19" i="2" s="1"/>
  <c r="L6" i="3"/>
  <c r="K5" i="7" l="1"/>
  <c r="L5" i="7" s="1"/>
  <c r="C19" i="2"/>
  <c r="J5" i="2" s="1"/>
  <c r="J6" i="2" s="1"/>
  <c r="M6" i="3"/>
  <c r="L5" i="2" l="1"/>
  <c r="N6" i="3"/>
  <c r="P6" i="3" s="1"/>
  <c r="P7" i="3"/>
  <c r="D10" i="2" l="1"/>
  <c r="E10" i="2" s="1"/>
  <c r="D10" i="7"/>
  <c r="E10" i="7" s="1"/>
  <c r="D9" i="2"/>
  <c r="K4" i="2" s="1"/>
  <c r="K6" i="2" s="1"/>
  <c r="L6" i="2" s="1"/>
  <c r="D9" i="7"/>
  <c r="D48" i="7" l="1"/>
  <c r="K4" i="7"/>
  <c r="E9" i="7"/>
  <c r="E48" i="7" s="1"/>
  <c r="E9" i="2"/>
  <c r="L4" i="2"/>
  <c r="K6" i="7" l="1"/>
  <c r="L6" i="7" s="1"/>
  <c r="L4" i="7"/>
</calcChain>
</file>

<file path=xl/sharedStrings.xml><?xml version="1.0" encoding="utf-8"?>
<sst xmlns="http://schemas.openxmlformats.org/spreadsheetml/2006/main" count="246" uniqueCount="75">
  <si>
    <t>Costos</t>
  </si>
  <si>
    <t>Costos Operativos</t>
  </si>
  <si>
    <t>Otros</t>
  </si>
  <si>
    <t>Ingresos Operativos</t>
  </si>
  <si>
    <t>Marketing</t>
  </si>
  <si>
    <t>Internet</t>
  </si>
  <si>
    <t>Luz</t>
  </si>
  <si>
    <t>Gas</t>
  </si>
  <si>
    <t>Sueldos</t>
  </si>
  <si>
    <t>Administrativos</t>
  </si>
  <si>
    <t>Contratados</t>
  </si>
  <si>
    <t>Gastos de Oficina</t>
  </si>
  <si>
    <t>Total Ingresos</t>
  </si>
  <si>
    <t>Total Costos</t>
  </si>
  <si>
    <t>Ingresos - Costos</t>
  </si>
  <si>
    <t>RESUMEN</t>
  </si>
  <si>
    <t>PLANEADO</t>
  </si>
  <si>
    <t>REAL</t>
  </si>
  <si>
    <t>DIFERENCIA</t>
  </si>
  <si>
    <t>COMENTARIOS</t>
  </si>
  <si>
    <t>Ingresos No Operativos</t>
  </si>
  <si>
    <t>Ventas Producto 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</si>
  <si>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</si>
  <si>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</si>
  <si>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</si>
  <si>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</si>
  <si>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</si>
  <si>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</si>
  <si>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</si>
  <si>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</si>
  <si>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</si>
  <si>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</si>
  <si>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</si>
  <si>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</si>
  <si>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Anual</t>
  </si>
  <si>
    <t>Planeado</t>
  </si>
  <si>
    <t>Real</t>
  </si>
  <si>
    <t>PRESUPUESTO CONSOLIDADO</t>
  </si>
  <si>
    <t>INGRESOS</t>
  </si>
  <si>
    <t>Instrucciones de Uso</t>
  </si>
  <si>
    <t>Completar:</t>
  </si>
  <si>
    <t>1.- Hoja "Detalle Mensual Planeado":</t>
  </si>
  <si>
    <t xml:space="preserve">Aquí se debe detallar por mes lo que se planea tener en cada concepto.  No es necesario completar los 12 meses, pueden </t>
  </si>
  <si>
    <t>completarse la cantidad de meses que quiere compararse</t>
  </si>
  <si>
    <t>2.- Hoja "Detalle Mensual Real"</t>
  </si>
  <si>
    <t>A medida que pasen los meses, se debe completar con el verdadero valor de cada concepto.</t>
  </si>
  <si>
    <t>Resultado</t>
  </si>
  <si>
    <t>Además, mostrará un cuadro del resultado general de ingresos y costos planeados versus reales</t>
  </si>
  <si>
    <t>En la hoja "Presupuesto Consolidado" se resumirá  lo planeado versus lo real arrojando la diferencia en cada concepto</t>
  </si>
  <si>
    <t xml:space="preserve">Ventas </t>
  </si>
  <si>
    <t>Prohigiene</t>
  </si>
  <si>
    <t>Arrendamiento</t>
  </si>
  <si>
    <t>Acueducto</t>
  </si>
  <si>
    <t>Eco capital</t>
  </si>
  <si>
    <t>Publicidad</t>
  </si>
  <si>
    <t>Cuenta de socios</t>
  </si>
  <si>
    <t>Agenda Pro</t>
  </si>
  <si>
    <t>Telesentinel</t>
  </si>
  <si>
    <t>Papeleria</t>
  </si>
  <si>
    <t>Adecuaciones e Instalaciones</t>
  </si>
  <si>
    <t>Aseo Y cafeteria</t>
  </si>
  <si>
    <t>Ingresos para terceros Por  Servicios</t>
  </si>
  <si>
    <t>Intereses Financieros</t>
  </si>
  <si>
    <t>Financieros</t>
  </si>
  <si>
    <t>Inventario</t>
  </si>
  <si>
    <t>Arrendamientos</t>
  </si>
  <si>
    <t>Operativos</t>
  </si>
  <si>
    <t>Toallas</t>
  </si>
  <si>
    <t>}</t>
  </si>
  <si>
    <t>Toalla de papel</t>
  </si>
  <si>
    <t>mensual cajas</t>
  </si>
  <si>
    <t>Utilidad o perdida</t>
  </si>
  <si>
    <t>Fijo</t>
  </si>
  <si>
    <t>Variable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</si>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</sst>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&quot;$&quot;#,##0.00"/>
    <numFmt numFmtId="166" formatCode="_-&quot;$&quot;* #,##0_-;\-&quot;$&quot;* #,##0_-;_-&quot;$&quot;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2"/>
      <color theme="9"/>
      <name val="Calibri"/>
      <family val="2"/>
      <scheme val="minor"/>
    </font>
    <font>
      <b/>
      <i/>
      <u val="double"/>
      <sz val="14"/>
      <color theme="9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i/>
      <u val="double"/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4"/>
      <color theme="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7C187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0"/>
      <color indexed="12"/>
      <name val="Verdana"/>
      <family val="2"/>
    </font>
    <font>
      <i/>
      <u/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u val="double"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12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0" fontId="5" fillId="0" borderId="0" xfId="0" applyFont="1" applyAlignment="1">
      <alignment horizontal="center"/>
    </xf>
    <xf numFmtId="164" fontId="0" fillId="0" borderId="2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0" fontId="8" fillId="0" borderId="0" xfId="0" applyFont="1" applyAlignment="1">
      <alignment horizontal="center"/>
    </xf>
    <xf numFmtId="0" fontId="10" fillId="0" borderId="0" xfId="0" applyFont="1"/>
    <xf numFmtId="164" fontId="11" fillId="0" borderId="3" xfId="0" applyNumberFormat="1" applyFont="1" applyBorder="1"/>
    <xf numFmtId="164" fontId="11" fillId="0" borderId="0" xfId="0" applyNumberFormat="1" applyFont="1"/>
    <xf numFmtId="0" fontId="7" fillId="0" borderId="0" xfId="0" applyFont="1"/>
    <xf numFmtId="164" fontId="6" fillId="0" borderId="0" xfId="0" applyNumberFormat="1" applyFont="1"/>
    <xf numFmtId="0" fontId="14" fillId="0" borderId="0" xfId="0" applyFont="1"/>
    <xf numFmtId="0" fontId="15" fillId="0" borderId="0" xfId="0" applyFont="1"/>
    <xf numFmtId="0" fontId="12" fillId="3" borderId="0" xfId="1" applyFill="1"/>
    <xf numFmtId="0" fontId="0" fillId="0" borderId="14" xfId="0" applyBorder="1"/>
    <xf numFmtId="164" fontId="0" fillId="0" borderId="15" xfId="0" applyNumberFormat="1" applyBorder="1"/>
    <xf numFmtId="0" fontId="0" fillId="0" borderId="17" xfId="0" applyBorder="1"/>
    <xf numFmtId="0" fontId="14" fillId="0" borderId="1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6" fillId="2" borderId="0" xfId="0" applyFont="1" applyFill="1"/>
    <xf numFmtId="164" fontId="3" fillId="0" borderId="18" xfId="0" applyNumberFormat="1" applyFont="1" applyBorder="1"/>
    <xf numFmtId="0" fontId="19" fillId="0" borderId="0" xfId="2" applyFont="1"/>
    <xf numFmtId="0" fontId="20" fillId="4" borderId="0" xfId="1" applyFont="1" applyFill="1" applyAlignment="1">
      <alignment horizontal="center" vertical="center"/>
    </xf>
    <xf numFmtId="0" fontId="20" fillId="5" borderId="0" xfId="1" applyFont="1" applyFill="1" applyAlignment="1">
      <alignment horizontal="center" vertical="center"/>
    </xf>
    <xf numFmtId="0" fontId="21" fillId="0" borderId="0" xfId="2" applyFont="1"/>
    <xf numFmtId="0" fontId="19" fillId="0" borderId="0" xfId="2" applyFont="1" applyAlignment="1">
      <alignment wrapText="1"/>
    </xf>
    <xf numFmtId="0" fontId="22" fillId="0" borderId="0" xfId="2" applyFont="1"/>
    <xf numFmtId="0" fontId="23" fillId="0" borderId="0" xfId="0" applyFont="1"/>
    <xf numFmtId="0" fontId="24" fillId="0" borderId="0" xfId="3" applyAlignment="1" applyProtection="1"/>
    <xf numFmtId="0" fontId="25" fillId="0" borderId="0" xfId="3" applyFont="1" applyAlignment="1" applyProtection="1"/>
    <xf numFmtId="0" fontId="26" fillId="0" borderId="0" xfId="2" applyFont="1"/>
    <xf numFmtId="0" fontId="27" fillId="0" borderId="0" xfId="2" applyFont="1"/>
    <xf numFmtId="165" fontId="0" fillId="0" borderId="0" xfId="0" applyNumberFormat="1"/>
    <xf numFmtId="164" fontId="0" fillId="0" borderId="15" xfId="0" applyNumberFormat="1" applyFill="1" applyBorder="1"/>
    <xf numFmtId="0" fontId="0" fillId="0" borderId="0" xfId="0" applyFill="1"/>
    <xf numFmtId="164" fontId="3" fillId="0" borderId="18" xfId="0" applyNumberFormat="1" applyFont="1" applyFill="1" applyBorder="1"/>
    <xf numFmtId="164" fontId="0" fillId="0" borderId="0" xfId="0" applyNumberFormat="1" applyFill="1"/>
    <xf numFmtId="0" fontId="0" fillId="0" borderId="0" xfId="0" applyBorder="1"/>
    <xf numFmtId="164" fontId="11" fillId="7" borderId="3" xfId="0" applyNumberFormat="1" applyFont="1" applyFill="1" applyBorder="1"/>
    <xf numFmtId="164" fontId="0" fillId="6" borderId="13" xfId="0" applyNumberFormat="1" applyFill="1" applyBorder="1"/>
    <xf numFmtId="0" fontId="0" fillId="6" borderId="0" xfId="0" applyFill="1"/>
    <xf numFmtId="164" fontId="0" fillId="6" borderId="0" xfId="0" applyNumberFormat="1" applyFill="1"/>
    <xf numFmtId="9" fontId="0" fillId="0" borderId="0" xfId="6" applyFont="1"/>
    <xf numFmtId="44" fontId="0" fillId="0" borderId="0" xfId="5" applyFont="1"/>
    <xf numFmtId="166" fontId="0" fillId="0" borderId="0" xfId="5" applyNumberFormat="1" applyFont="1"/>
    <xf numFmtId="43" fontId="0" fillId="0" borderId="0" xfId="4" applyFont="1"/>
    <xf numFmtId="9" fontId="0" fillId="8" borderId="0" xfId="6" applyFont="1" applyFill="1"/>
    <xf numFmtId="9" fontId="0" fillId="9" borderId="0" xfId="6" applyFont="1" applyFill="1"/>
    <xf numFmtId="9" fontId="1" fillId="9" borderId="0" xfId="6" applyFont="1" applyFill="1"/>
    <xf numFmtId="0" fontId="0" fillId="0" borderId="19" xfId="0" applyBorder="1"/>
    <xf numFmtId="164" fontId="0" fillId="0" borderId="0" xfId="6" applyNumberFormat="1" applyFont="1"/>
    <xf numFmtId="164" fontId="0" fillId="0" borderId="13" xfId="0" applyNumberFormat="1" applyFill="1" applyBorder="1"/>
    <xf numFmtId="164" fontId="0" fillId="0" borderId="3" xfId="0" applyNumberFormat="1" applyFill="1" applyBorder="1"/>
    <xf numFmtId="164" fontId="11" fillId="0" borderId="3" xfId="0" applyNumberFormat="1" applyFont="1" applyFill="1" applyBorder="1"/>
    <xf numFmtId="164" fontId="0" fillId="9" borderId="15" xfId="0" applyNumberFormat="1" applyFill="1" applyBorder="1"/>
    <xf numFmtId="0" fontId="13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Hipervínculo 2" xfId="3" xr:uid="{6D57A1C5-7745-4A4A-B474-B521FA01052C}"/>
    <cellStyle name="Millares" xfId="4" builtinId="3"/>
    <cellStyle name="Moneda" xfId="5" builtinId="4"/>
    <cellStyle name="Normal" xfId="0" builtinId="0"/>
    <cellStyle name="Normal 2" xfId="1" xr:uid="{3DEBF0E0-EDEF-4743-8F4C-35A82B33098C}"/>
    <cellStyle name="Normal 3" xfId="2" xr:uid="{60D044E4-A37C-43DD-A012-3438671C1B85}"/>
    <cellStyle name="Porcentaje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66675</xdr:colOff>
      <xdr:row>0</xdr:row>
      <xdr:rowOff>47625</xdr:rowOff>
    </xdr:from>
    <xdr:to>
      <xdr:col>9</xdr:col>
      <xdr:colOff>608542</xdr:colOff>
      <xdr:row>1</xdr:row>
      <xdr:rowOff>32807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15F20-AAF3-4008-A5B1-E9BAC6FF986D}"/>
            </a:ext>
          </a:extLst>
        </xdr:cNvPr>
        <xdr:cNvSpPr txBox="1"/>
      </xdr:nvSpPr>
      <xdr:spPr>
        <a:xfrm>
          <a:off x="847725" y="47625"/>
          <a:ext cx="5875867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ctr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</a:t>
          </a:r>
          <a:r>
            <a:rPr lang="es-AR" sz="1100" b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Presupuesto</a:t>
          </a:r>
          <a:r>
            <a:rPr lang="es-AR" sz="1100" b="0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 de Ingresos y Costos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57150</xdr:rowOff>
    </xdr:from>
    <xdr:to>
      <xdr:col>12</xdr:col>
      <xdr:colOff>264584</xdr:colOff>
      <xdr:row>6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C5474C7-EB50-49EE-A553-81DADB816CE9}"/>
            </a:ext>
          </a:extLst>
        </xdr:cNvPr>
        <xdr:cNvSpPr/>
      </xdr:nvSpPr>
      <xdr:spPr>
        <a:xfrm>
          <a:off x="8648700" y="57150"/>
          <a:ext cx="4231217" cy="1009650"/>
        </a:xfrm>
        <a:prstGeom prst="rect">
          <a:avLst/>
        </a:prstGeom>
        <a:noFill/>
        <a:ln>
          <a:solidFill>
            <a:srgbClr val="FFFF00"/>
          </a:solidFill>
        </a:ln>
        <a:effectLst>
          <a:glow rad="63500">
            <a:schemeClr val="accent3">
              <a:satMod val="175000"/>
              <a:alpha val="40000"/>
            </a:schemeClr>
          </a:glow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0</xdr:col>
      <xdr:colOff>1058333</xdr:colOff>
      <xdr:row>0</xdr:row>
      <xdr:rowOff>0</xdr:rowOff>
    </xdr:from>
    <xdr:to>
      <xdr:col>5</xdr:col>
      <xdr:colOff>1543050</xdr:colOff>
      <xdr:row>0</xdr:row>
      <xdr:rowOff>328082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46102-346A-4E5F-9C8E-B552FD18790C}"/>
            </a:ext>
          </a:extLst>
        </xdr:cNvPr>
        <xdr:cNvSpPr txBox="1"/>
      </xdr:nvSpPr>
      <xdr:spPr>
        <a:xfrm>
          <a:off x="1058333" y="0"/>
          <a:ext cx="5869517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ctr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</a:t>
          </a:r>
          <a:r>
            <a:rPr lang="es-AR" sz="1100" b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Presupuesto</a:t>
          </a:r>
          <a:r>
            <a:rPr lang="es-AR" sz="1100" b="0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 de Ingresos y Costos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57150</xdr:rowOff>
    </xdr:from>
    <xdr:to>
      <xdr:col>12</xdr:col>
      <xdr:colOff>264584</xdr:colOff>
      <xdr:row>6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39FE302-C341-474B-BA5D-4F677BB50831}"/>
            </a:ext>
          </a:extLst>
        </xdr:cNvPr>
        <xdr:cNvSpPr/>
      </xdr:nvSpPr>
      <xdr:spPr>
        <a:xfrm>
          <a:off x="8010525" y="400050"/>
          <a:ext cx="4712759" cy="1085850"/>
        </a:xfrm>
        <a:prstGeom prst="rect">
          <a:avLst/>
        </a:prstGeom>
        <a:noFill/>
        <a:ln>
          <a:solidFill>
            <a:srgbClr val="FFFF00"/>
          </a:solidFill>
        </a:ln>
        <a:effectLst>
          <a:glow rad="63500">
            <a:schemeClr val="accent3">
              <a:satMod val="175000"/>
              <a:alpha val="40000"/>
            </a:schemeClr>
          </a:glow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0</xdr:col>
      <xdr:colOff>1058333</xdr:colOff>
      <xdr:row>0</xdr:row>
      <xdr:rowOff>0</xdr:rowOff>
    </xdr:from>
    <xdr:to>
      <xdr:col>5</xdr:col>
      <xdr:colOff>1543050</xdr:colOff>
      <xdr:row>0</xdr:row>
      <xdr:rowOff>328082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E3C6D5-3852-464B-80D4-588D255710C9}"/>
            </a:ext>
          </a:extLst>
        </xdr:cNvPr>
        <xdr:cNvSpPr txBox="1"/>
      </xdr:nvSpPr>
      <xdr:spPr>
        <a:xfrm>
          <a:off x="1058333" y="0"/>
          <a:ext cx="5875867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ctr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</a:t>
          </a:r>
          <a:r>
            <a:rPr lang="es-AR" sz="1100" b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Presupuesto</a:t>
          </a:r>
          <a:r>
            <a:rPr lang="es-AR" sz="1100" b="0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 de Ingresos y Costos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1381125</xdr:colOff>
      <xdr:row>0</xdr:row>
      <xdr:rowOff>0</xdr:rowOff>
    </xdr:from>
    <xdr:to>
      <xdr:col>4</xdr:col>
      <xdr:colOff>716492</xdr:colOff>
      <xdr:row>0</xdr:row>
      <xdr:rowOff>328082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C1AD1-2730-4741-B24F-D6E207C6B9DF}"/>
            </a:ext>
          </a:extLst>
        </xdr:cNvPr>
        <xdr:cNvSpPr txBox="1"/>
      </xdr:nvSpPr>
      <xdr:spPr>
        <a:xfrm>
          <a:off x="1381125" y="0"/>
          <a:ext cx="5869517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ctr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</a:t>
          </a:r>
          <a:r>
            <a:rPr lang="es-AR" sz="1100" b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Presupuesto</a:t>
          </a:r>
          <a:r>
            <a:rPr lang="es-AR" sz="1100" b="0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 de Ingresos y Costos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1381125</xdr:colOff>
      <xdr:row>0</xdr:row>
      <xdr:rowOff>0</xdr:rowOff>
    </xdr:from>
    <xdr:to>
      <xdr:col>5</xdr:col>
      <xdr:colOff>944887</xdr:colOff>
      <xdr:row>0</xdr:row>
      <xdr:rowOff>328082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C7897-2E55-4963-9630-DBE1B5D6281B}"/>
            </a:ext>
          </a:extLst>
        </xdr:cNvPr>
        <xdr:cNvSpPr txBox="1"/>
      </xdr:nvSpPr>
      <xdr:spPr>
        <a:xfrm>
          <a:off x="1381125" y="0"/>
          <a:ext cx="5869517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ctr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</a:t>
          </a:r>
          <a:r>
            <a:rPr lang="es-AR" sz="1100" b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Presupuesto</a:t>
          </a:r>
          <a:r>
            <a:rPr lang="es-AR" sz="1100" b="0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 de Ingresos y Costos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%20DE%20PAGOS%20REALIZADOS%20A%20FOREVER%20CHIC%20202301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%20DE%20PAGOS%20REALIZADOS%20A%20FOREVER%20CHIC%20202303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de compras Iniciales"/>
      <sheetName val="Pagos de Obra"/>
      <sheetName val="Composicion de aporte iniciales"/>
      <sheetName val="Detalle de compras"/>
      <sheetName val="Activos y Pasivos (2)"/>
      <sheetName val="Estado Resultados "/>
      <sheetName val="consolidado de costos"/>
      <sheetName val="Costos"/>
      <sheetName val="Hoja1"/>
      <sheetName val="Activos y Pasivos"/>
      <sheetName val="Balance"/>
      <sheetName val="ROA"/>
      <sheetName val="Hoja4"/>
      <sheetName val="Estado Resultado"/>
      <sheetName val="EBIT Earnings before interest a"/>
      <sheetName val="Indicadores"/>
      <sheetName val="ROE  ( Return on equity)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A5" t="str">
            <v>Suma de VALOR</v>
          </cell>
        </row>
      </sheetData>
      <sheetData sheetId="5">
        <row r="3">
          <cell r="A3" t="str">
            <v>Suma de Valor</v>
          </cell>
        </row>
      </sheetData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Hoja7"/>
      <sheetName val="Tabla de compras iniciales"/>
      <sheetName val="Detalle de compras Iniciales"/>
      <sheetName val="Pagos de Obra"/>
      <sheetName val="Composicion de aporte iniciales"/>
      <sheetName val="Detalle de compras"/>
      <sheetName val="Activos y Pasivos"/>
      <sheetName val="Balance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Estado Resultados "/>
      <sheetName val="Indicadores"/>
      <sheetName val="ROE  ( Return on equity)"/>
      <sheetName val="Activos y Pasivos (2)"/>
      <sheetName val="EBIT Earnings before interest a"/>
      <sheetName val="consolidado de costos"/>
      <sheetName val="Costos"/>
      <sheetName val="Hoja1"/>
      <sheetName val="Hoja2"/>
      <sheetName val="ROA"/>
      <sheetName val="Estado Resultado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8">
          <cell r="A8" t="str">
            <v>Suma de Valor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6323-89E5-48B1-A25C-3DCC0AE95174}">
  <dimension ref="B1:L23"/>
  <sheetViews>
    <sheetView showGridLines="0" workbookViewId="0">
      <selection activeCell="F26" sqref="F26"/>
    </sheetView>
  </sheetViews>
  <sheetFormatPr baseColWidth="10" defaultRowHeight="12.75" x14ac:dyDescent="0.2"/>
  <cols>
    <col min="1" max="1" width="11.42578125" style="53"/>
    <col min="2" max="2" width="0.28515625" style="53" customWidth="1"/>
    <col min="3" max="9" width="11.42578125" style="53"/>
    <col min="10" max="10" width="16.28515625" style="53" customWidth="1"/>
    <col min="11" max="11" width="15.85546875" style="53" customWidth="1"/>
    <col min="12" max="12" width="0.28515625" style="53" customWidth="1"/>
    <col min="13" max="257" width="11.42578125" style="53"/>
    <col min="258" max="258" width="0.28515625" style="53" customWidth="1"/>
    <col min="259" max="266" width="11.42578125" style="53"/>
    <col min="267" max="267" width="15.85546875" style="53" customWidth="1"/>
    <col min="268" max="268" width="0.28515625" style="53" customWidth="1"/>
    <col min="269" max="513" width="11.42578125" style="53"/>
    <col min="514" max="514" width="0.28515625" style="53" customWidth="1"/>
    <col min="515" max="522" width="11.42578125" style="53"/>
    <col min="523" max="523" width="15.85546875" style="53" customWidth="1"/>
    <col min="524" max="524" width="0.28515625" style="53" customWidth="1"/>
    <col min="525" max="769" width="11.42578125" style="53"/>
    <col min="770" max="770" width="0.28515625" style="53" customWidth="1"/>
    <col min="771" max="778" width="11.42578125" style="53"/>
    <col min="779" max="779" width="15.85546875" style="53" customWidth="1"/>
    <col min="780" max="780" width="0.28515625" style="53" customWidth="1"/>
    <col min="781" max="1025" width="11.42578125" style="53"/>
    <col min="1026" max="1026" width="0.28515625" style="53" customWidth="1"/>
    <col min="1027" max="1034" width="11.42578125" style="53"/>
    <col min="1035" max="1035" width="15.85546875" style="53" customWidth="1"/>
    <col min="1036" max="1036" width="0.28515625" style="53" customWidth="1"/>
    <col min="1037" max="1281" width="11.42578125" style="53"/>
    <col min="1282" max="1282" width="0.28515625" style="53" customWidth="1"/>
    <col min="1283" max="1290" width="11.42578125" style="53"/>
    <col min="1291" max="1291" width="15.85546875" style="53" customWidth="1"/>
    <col min="1292" max="1292" width="0.28515625" style="53" customWidth="1"/>
    <col min="1293" max="1537" width="11.42578125" style="53"/>
    <col min="1538" max="1538" width="0.28515625" style="53" customWidth="1"/>
    <col min="1539" max="1546" width="11.42578125" style="53"/>
    <col min="1547" max="1547" width="15.85546875" style="53" customWidth="1"/>
    <col min="1548" max="1548" width="0.28515625" style="53" customWidth="1"/>
    <col min="1549" max="1793" width="11.42578125" style="53"/>
    <col min="1794" max="1794" width="0.28515625" style="53" customWidth="1"/>
    <col min="1795" max="1802" width="11.42578125" style="53"/>
    <col min="1803" max="1803" width="15.85546875" style="53" customWidth="1"/>
    <col min="1804" max="1804" width="0.28515625" style="53" customWidth="1"/>
    <col min="1805" max="2049" width="11.42578125" style="53"/>
    <col min="2050" max="2050" width="0.28515625" style="53" customWidth="1"/>
    <col min="2051" max="2058" width="11.42578125" style="53"/>
    <col min="2059" max="2059" width="15.85546875" style="53" customWidth="1"/>
    <col min="2060" max="2060" width="0.28515625" style="53" customWidth="1"/>
    <col min="2061" max="2305" width="11.42578125" style="53"/>
    <col min="2306" max="2306" width="0.28515625" style="53" customWidth="1"/>
    <col min="2307" max="2314" width="11.42578125" style="53"/>
    <col min="2315" max="2315" width="15.85546875" style="53" customWidth="1"/>
    <col min="2316" max="2316" width="0.28515625" style="53" customWidth="1"/>
    <col min="2317" max="2561" width="11.42578125" style="53"/>
    <col min="2562" max="2562" width="0.28515625" style="53" customWidth="1"/>
    <col min="2563" max="2570" width="11.42578125" style="53"/>
    <col min="2571" max="2571" width="15.85546875" style="53" customWidth="1"/>
    <col min="2572" max="2572" width="0.28515625" style="53" customWidth="1"/>
    <col min="2573" max="2817" width="11.42578125" style="53"/>
    <col min="2818" max="2818" width="0.28515625" style="53" customWidth="1"/>
    <col min="2819" max="2826" width="11.42578125" style="53"/>
    <col min="2827" max="2827" width="15.85546875" style="53" customWidth="1"/>
    <col min="2828" max="2828" width="0.28515625" style="53" customWidth="1"/>
    <col min="2829" max="3073" width="11.42578125" style="53"/>
    <col min="3074" max="3074" width="0.28515625" style="53" customWidth="1"/>
    <col min="3075" max="3082" width="11.42578125" style="53"/>
    <col min="3083" max="3083" width="15.85546875" style="53" customWidth="1"/>
    <col min="3084" max="3084" width="0.28515625" style="53" customWidth="1"/>
    <col min="3085" max="3329" width="11.42578125" style="53"/>
    <col min="3330" max="3330" width="0.28515625" style="53" customWidth="1"/>
    <col min="3331" max="3338" width="11.42578125" style="53"/>
    <col min="3339" max="3339" width="15.85546875" style="53" customWidth="1"/>
    <col min="3340" max="3340" width="0.28515625" style="53" customWidth="1"/>
    <col min="3341" max="3585" width="11.42578125" style="53"/>
    <col min="3586" max="3586" width="0.28515625" style="53" customWidth="1"/>
    <col min="3587" max="3594" width="11.42578125" style="53"/>
    <col min="3595" max="3595" width="15.85546875" style="53" customWidth="1"/>
    <col min="3596" max="3596" width="0.28515625" style="53" customWidth="1"/>
    <col min="3597" max="3841" width="11.42578125" style="53"/>
    <col min="3842" max="3842" width="0.28515625" style="53" customWidth="1"/>
    <col min="3843" max="3850" width="11.42578125" style="53"/>
    <col min="3851" max="3851" width="15.85546875" style="53" customWidth="1"/>
    <col min="3852" max="3852" width="0.28515625" style="53" customWidth="1"/>
    <col min="3853" max="4097" width="11.42578125" style="53"/>
    <col min="4098" max="4098" width="0.28515625" style="53" customWidth="1"/>
    <col min="4099" max="4106" width="11.42578125" style="53"/>
    <col min="4107" max="4107" width="15.85546875" style="53" customWidth="1"/>
    <col min="4108" max="4108" width="0.28515625" style="53" customWidth="1"/>
    <col min="4109" max="4353" width="11.42578125" style="53"/>
    <col min="4354" max="4354" width="0.28515625" style="53" customWidth="1"/>
    <col min="4355" max="4362" width="11.42578125" style="53"/>
    <col min="4363" max="4363" width="15.85546875" style="53" customWidth="1"/>
    <col min="4364" max="4364" width="0.28515625" style="53" customWidth="1"/>
    <col min="4365" max="4609" width="11.42578125" style="53"/>
    <col min="4610" max="4610" width="0.28515625" style="53" customWidth="1"/>
    <col min="4611" max="4618" width="11.42578125" style="53"/>
    <col min="4619" max="4619" width="15.85546875" style="53" customWidth="1"/>
    <col min="4620" max="4620" width="0.28515625" style="53" customWidth="1"/>
    <col min="4621" max="4865" width="11.42578125" style="53"/>
    <col min="4866" max="4866" width="0.28515625" style="53" customWidth="1"/>
    <col min="4867" max="4874" width="11.42578125" style="53"/>
    <col min="4875" max="4875" width="15.85546875" style="53" customWidth="1"/>
    <col min="4876" max="4876" width="0.28515625" style="53" customWidth="1"/>
    <col min="4877" max="5121" width="11.42578125" style="53"/>
    <col min="5122" max="5122" width="0.28515625" style="53" customWidth="1"/>
    <col min="5123" max="5130" width="11.42578125" style="53"/>
    <col min="5131" max="5131" width="15.85546875" style="53" customWidth="1"/>
    <col min="5132" max="5132" width="0.28515625" style="53" customWidth="1"/>
    <col min="5133" max="5377" width="11.42578125" style="53"/>
    <col min="5378" max="5378" width="0.28515625" style="53" customWidth="1"/>
    <col min="5379" max="5386" width="11.42578125" style="53"/>
    <col min="5387" max="5387" width="15.85546875" style="53" customWidth="1"/>
    <col min="5388" max="5388" width="0.28515625" style="53" customWidth="1"/>
    <col min="5389" max="5633" width="11.42578125" style="53"/>
    <col min="5634" max="5634" width="0.28515625" style="53" customWidth="1"/>
    <col min="5635" max="5642" width="11.42578125" style="53"/>
    <col min="5643" max="5643" width="15.85546875" style="53" customWidth="1"/>
    <col min="5644" max="5644" width="0.28515625" style="53" customWidth="1"/>
    <col min="5645" max="5889" width="11.42578125" style="53"/>
    <col min="5890" max="5890" width="0.28515625" style="53" customWidth="1"/>
    <col min="5891" max="5898" width="11.42578125" style="53"/>
    <col min="5899" max="5899" width="15.85546875" style="53" customWidth="1"/>
    <col min="5900" max="5900" width="0.28515625" style="53" customWidth="1"/>
    <col min="5901" max="6145" width="11.42578125" style="53"/>
    <col min="6146" max="6146" width="0.28515625" style="53" customWidth="1"/>
    <col min="6147" max="6154" width="11.42578125" style="53"/>
    <col min="6155" max="6155" width="15.85546875" style="53" customWidth="1"/>
    <col min="6156" max="6156" width="0.28515625" style="53" customWidth="1"/>
    <col min="6157" max="6401" width="11.42578125" style="53"/>
    <col min="6402" max="6402" width="0.28515625" style="53" customWidth="1"/>
    <col min="6403" max="6410" width="11.42578125" style="53"/>
    <col min="6411" max="6411" width="15.85546875" style="53" customWidth="1"/>
    <col min="6412" max="6412" width="0.28515625" style="53" customWidth="1"/>
    <col min="6413" max="6657" width="11.42578125" style="53"/>
    <col min="6658" max="6658" width="0.28515625" style="53" customWidth="1"/>
    <col min="6659" max="6666" width="11.42578125" style="53"/>
    <col min="6667" max="6667" width="15.85546875" style="53" customWidth="1"/>
    <col min="6668" max="6668" width="0.28515625" style="53" customWidth="1"/>
    <col min="6669" max="6913" width="11.42578125" style="53"/>
    <col min="6914" max="6914" width="0.28515625" style="53" customWidth="1"/>
    <col min="6915" max="6922" width="11.42578125" style="53"/>
    <col min="6923" max="6923" width="15.85546875" style="53" customWidth="1"/>
    <col min="6924" max="6924" width="0.28515625" style="53" customWidth="1"/>
    <col min="6925" max="7169" width="11.42578125" style="53"/>
    <col min="7170" max="7170" width="0.28515625" style="53" customWidth="1"/>
    <col min="7171" max="7178" width="11.42578125" style="53"/>
    <col min="7179" max="7179" width="15.85546875" style="53" customWidth="1"/>
    <col min="7180" max="7180" width="0.28515625" style="53" customWidth="1"/>
    <col min="7181" max="7425" width="11.42578125" style="53"/>
    <col min="7426" max="7426" width="0.28515625" style="53" customWidth="1"/>
    <col min="7427" max="7434" width="11.42578125" style="53"/>
    <col min="7435" max="7435" width="15.85546875" style="53" customWidth="1"/>
    <col min="7436" max="7436" width="0.28515625" style="53" customWidth="1"/>
    <col min="7437" max="7681" width="11.42578125" style="53"/>
    <col min="7682" max="7682" width="0.28515625" style="53" customWidth="1"/>
    <col min="7683" max="7690" width="11.42578125" style="53"/>
    <col min="7691" max="7691" width="15.85546875" style="53" customWidth="1"/>
    <col min="7692" max="7692" width="0.28515625" style="53" customWidth="1"/>
    <col min="7693" max="7937" width="11.42578125" style="53"/>
    <col min="7938" max="7938" width="0.28515625" style="53" customWidth="1"/>
    <col min="7939" max="7946" width="11.42578125" style="53"/>
    <col min="7947" max="7947" width="15.85546875" style="53" customWidth="1"/>
    <col min="7948" max="7948" width="0.28515625" style="53" customWidth="1"/>
    <col min="7949" max="8193" width="11.42578125" style="53"/>
    <col min="8194" max="8194" width="0.28515625" style="53" customWidth="1"/>
    <col min="8195" max="8202" width="11.42578125" style="53"/>
    <col min="8203" max="8203" width="15.85546875" style="53" customWidth="1"/>
    <col min="8204" max="8204" width="0.28515625" style="53" customWidth="1"/>
    <col min="8205" max="8449" width="11.42578125" style="53"/>
    <col min="8450" max="8450" width="0.28515625" style="53" customWidth="1"/>
    <col min="8451" max="8458" width="11.42578125" style="53"/>
    <col min="8459" max="8459" width="15.85546875" style="53" customWidth="1"/>
    <col min="8460" max="8460" width="0.28515625" style="53" customWidth="1"/>
    <col min="8461" max="8705" width="11.42578125" style="53"/>
    <col min="8706" max="8706" width="0.28515625" style="53" customWidth="1"/>
    <col min="8707" max="8714" width="11.42578125" style="53"/>
    <col min="8715" max="8715" width="15.85546875" style="53" customWidth="1"/>
    <col min="8716" max="8716" width="0.28515625" style="53" customWidth="1"/>
    <col min="8717" max="8961" width="11.42578125" style="53"/>
    <col min="8962" max="8962" width="0.28515625" style="53" customWidth="1"/>
    <col min="8963" max="8970" width="11.42578125" style="53"/>
    <col min="8971" max="8971" width="15.85546875" style="53" customWidth="1"/>
    <col min="8972" max="8972" width="0.28515625" style="53" customWidth="1"/>
    <col min="8973" max="9217" width="11.42578125" style="53"/>
    <col min="9218" max="9218" width="0.28515625" style="53" customWidth="1"/>
    <col min="9219" max="9226" width="11.42578125" style="53"/>
    <col min="9227" max="9227" width="15.85546875" style="53" customWidth="1"/>
    <col min="9228" max="9228" width="0.28515625" style="53" customWidth="1"/>
    <col min="9229" max="9473" width="11.42578125" style="53"/>
    <col min="9474" max="9474" width="0.28515625" style="53" customWidth="1"/>
    <col min="9475" max="9482" width="11.42578125" style="53"/>
    <col min="9483" max="9483" width="15.85546875" style="53" customWidth="1"/>
    <col min="9484" max="9484" width="0.28515625" style="53" customWidth="1"/>
    <col min="9485" max="9729" width="11.42578125" style="53"/>
    <col min="9730" max="9730" width="0.28515625" style="53" customWidth="1"/>
    <col min="9731" max="9738" width="11.42578125" style="53"/>
    <col min="9739" max="9739" width="15.85546875" style="53" customWidth="1"/>
    <col min="9740" max="9740" width="0.28515625" style="53" customWidth="1"/>
    <col min="9741" max="9985" width="11.42578125" style="53"/>
    <col min="9986" max="9986" width="0.28515625" style="53" customWidth="1"/>
    <col min="9987" max="9994" width="11.42578125" style="53"/>
    <col min="9995" max="9995" width="15.85546875" style="53" customWidth="1"/>
    <col min="9996" max="9996" width="0.28515625" style="53" customWidth="1"/>
    <col min="9997" max="10241" width="11.42578125" style="53"/>
    <col min="10242" max="10242" width="0.28515625" style="53" customWidth="1"/>
    <col min="10243" max="10250" width="11.42578125" style="53"/>
    <col min="10251" max="10251" width="15.85546875" style="53" customWidth="1"/>
    <col min="10252" max="10252" width="0.28515625" style="53" customWidth="1"/>
    <col min="10253" max="10497" width="11.42578125" style="53"/>
    <col min="10498" max="10498" width="0.28515625" style="53" customWidth="1"/>
    <col min="10499" max="10506" width="11.42578125" style="53"/>
    <col min="10507" max="10507" width="15.85546875" style="53" customWidth="1"/>
    <col min="10508" max="10508" width="0.28515625" style="53" customWidth="1"/>
    <col min="10509" max="10753" width="11.42578125" style="53"/>
    <col min="10754" max="10754" width="0.28515625" style="53" customWidth="1"/>
    <col min="10755" max="10762" width="11.42578125" style="53"/>
    <col min="10763" max="10763" width="15.85546875" style="53" customWidth="1"/>
    <col min="10764" max="10764" width="0.28515625" style="53" customWidth="1"/>
    <col min="10765" max="11009" width="11.42578125" style="53"/>
    <col min="11010" max="11010" width="0.28515625" style="53" customWidth="1"/>
    <col min="11011" max="11018" width="11.42578125" style="53"/>
    <col min="11019" max="11019" width="15.85546875" style="53" customWidth="1"/>
    <col min="11020" max="11020" width="0.28515625" style="53" customWidth="1"/>
    <col min="11021" max="11265" width="11.42578125" style="53"/>
    <col min="11266" max="11266" width="0.28515625" style="53" customWidth="1"/>
    <col min="11267" max="11274" width="11.42578125" style="53"/>
    <col min="11275" max="11275" width="15.85546875" style="53" customWidth="1"/>
    <col min="11276" max="11276" width="0.28515625" style="53" customWidth="1"/>
    <col min="11277" max="11521" width="11.42578125" style="53"/>
    <col min="11522" max="11522" width="0.28515625" style="53" customWidth="1"/>
    <col min="11523" max="11530" width="11.42578125" style="53"/>
    <col min="11531" max="11531" width="15.85546875" style="53" customWidth="1"/>
    <col min="11532" max="11532" width="0.28515625" style="53" customWidth="1"/>
    <col min="11533" max="11777" width="11.42578125" style="53"/>
    <col min="11778" max="11778" width="0.28515625" style="53" customWidth="1"/>
    <col min="11779" max="11786" width="11.42578125" style="53"/>
    <col min="11787" max="11787" width="15.85546875" style="53" customWidth="1"/>
    <col min="11788" max="11788" width="0.28515625" style="53" customWidth="1"/>
    <col min="11789" max="12033" width="11.42578125" style="53"/>
    <col min="12034" max="12034" width="0.28515625" style="53" customWidth="1"/>
    <col min="12035" max="12042" width="11.42578125" style="53"/>
    <col min="12043" max="12043" width="15.85546875" style="53" customWidth="1"/>
    <col min="12044" max="12044" width="0.28515625" style="53" customWidth="1"/>
    <col min="12045" max="12289" width="11.42578125" style="53"/>
    <col min="12290" max="12290" width="0.28515625" style="53" customWidth="1"/>
    <col min="12291" max="12298" width="11.42578125" style="53"/>
    <col min="12299" max="12299" width="15.85546875" style="53" customWidth="1"/>
    <col min="12300" max="12300" width="0.28515625" style="53" customWidth="1"/>
    <col min="12301" max="12545" width="11.42578125" style="53"/>
    <col min="12546" max="12546" width="0.28515625" style="53" customWidth="1"/>
    <col min="12547" max="12554" width="11.42578125" style="53"/>
    <col min="12555" max="12555" width="15.85546875" style="53" customWidth="1"/>
    <col min="12556" max="12556" width="0.28515625" style="53" customWidth="1"/>
    <col min="12557" max="12801" width="11.42578125" style="53"/>
    <col min="12802" max="12802" width="0.28515625" style="53" customWidth="1"/>
    <col min="12803" max="12810" width="11.42578125" style="53"/>
    <col min="12811" max="12811" width="15.85546875" style="53" customWidth="1"/>
    <col min="12812" max="12812" width="0.28515625" style="53" customWidth="1"/>
    <col min="12813" max="13057" width="11.42578125" style="53"/>
    <col min="13058" max="13058" width="0.28515625" style="53" customWidth="1"/>
    <col min="13059" max="13066" width="11.42578125" style="53"/>
    <col min="13067" max="13067" width="15.85546875" style="53" customWidth="1"/>
    <col min="13068" max="13068" width="0.28515625" style="53" customWidth="1"/>
    <col min="13069" max="13313" width="11.42578125" style="53"/>
    <col min="13314" max="13314" width="0.28515625" style="53" customWidth="1"/>
    <col min="13315" max="13322" width="11.42578125" style="53"/>
    <col min="13323" max="13323" width="15.85546875" style="53" customWidth="1"/>
    <col min="13324" max="13324" width="0.28515625" style="53" customWidth="1"/>
    <col min="13325" max="13569" width="11.42578125" style="53"/>
    <col min="13570" max="13570" width="0.28515625" style="53" customWidth="1"/>
    <col min="13571" max="13578" width="11.42578125" style="53"/>
    <col min="13579" max="13579" width="15.85546875" style="53" customWidth="1"/>
    <col min="13580" max="13580" width="0.28515625" style="53" customWidth="1"/>
    <col min="13581" max="13825" width="11.42578125" style="53"/>
    <col min="13826" max="13826" width="0.28515625" style="53" customWidth="1"/>
    <col min="13827" max="13834" width="11.42578125" style="53"/>
    <col min="13835" max="13835" width="15.85546875" style="53" customWidth="1"/>
    <col min="13836" max="13836" width="0.28515625" style="53" customWidth="1"/>
    <col min="13837" max="14081" width="11.42578125" style="53"/>
    <col min="14082" max="14082" width="0.28515625" style="53" customWidth="1"/>
    <col min="14083" max="14090" width="11.42578125" style="53"/>
    <col min="14091" max="14091" width="15.85546875" style="53" customWidth="1"/>
    <col min="14092" max="14092" width="0.28515625" style="53" customWidth="1"/>
    <col min="14093" max="14337" width="11.42578125" style="53"/>
    <col min="14338" max="14338" width="0.28515625" style="53" customWidth="1"/>
    <col min="14339" max="14346" width="11.42578125" style="53"/>
    <col min="14347" max="14347" width="15.85546875" style="53" customWidth="1"/>
    <col min="14348" max="14348" width="0.28515625" style="53" customWidth="1"/>
    <col min="14349" max="14593" width="11.42578125" style="53"/>
    <col min="14594" max="14594" width="0.28515625" style="53" customWidth="1"/>
    <col min="14595" max="14602" width="11.42578125" style="53"/>
    <col min="14603" max="14603" width="15.85546875" style="53" customWidth="1"/>
    <col min="14604" max="14604" width="0.28515625" style="53" customWidth="1"/>
    <col min="14605" max="14849" width="11.42578125" style="53"/>
    <col min="14850" max="14850" width="0.28515625" style="53" customWidth="1"/>
    <col min="14851" max="14858" width="11.42578125" style="53"/>
    <col min="14859" max="14859" width="15.85546875" style="53" customWidth="1"/>
    <col min="14860" max="14860" width="0.28515625" style="53" customWidth="1"/>
    <col min="14861" max="15105" width="11.42578125" style="53"/>
    <col min="15106" max="15106" width="0.28515625" style="53" customWidth="1"/>
    <col min="15107" max="15114" width="11.42578125" style="53"/>
    <col min="15115" max="15115" width="15.85546875" style="53" customWidth="1"/>
    <col min="15116" max="15116" width="0.28515625" style="53" customWidth="1"/>
    <col min="15117" max="15361" width="11.42578125" style="53"/>
    <col min="15362" max="15362" width="0.28515625" style="53" customWidth="1"/>
    <col min="15363" max="15370" width="11.42578125" style="53"/>
    <col min="15371" max="15371" width="15.85546875" style="53" customWidth="1"/>
    <col min="15372" max="15372" width="0.28515625" style="53" customWidth="1"/>
    <col min="15373" max="15617" width="11.42578125" style="53"/>
    <col min="15618" max="15618" width="0.28515625" style="53" customWidth="1"/>
    <col min="15619" max="15626" width="11.42578125" style="53"/>
    <col min="15627" max="15627" width="15.85546875" style="53" customWidth="1"/>
    <col min="15628" max="15628" width="0.28515625" style="53" customWidth="1"/>
    <col min="15629" max="15873" width="11.42578125" style="53"/>
    <col min="15874" max="15874" width="0.28515625" style="53" customWidth="1"/>
    <col min="15875" max="15882" width="11.42578125" style="53"/>
    <col min="15883" max="15883" width="15.85546875" style="53" customWidth="1"/>
    <col min="15884" max="15884" width="0.28515625" style="53" customWidth="1"/>
    <col min="15885" max="16129" width="11.42578125" style="53"/>
    <col min="16130" max="16130" width="0.28515625" style="53" customWidth="1"/>
    <col min="16131" max="16138" width="11.42578125" style="53"/>
    <col min="16139" max="16139" width="15.85546875" style="53" customWidth="1"/>
    <col min="16140" max="16140" width="0.28515625" style="53" customWidth="1"/>
    <col min="16141" max="16384" width="11.42578125" style="53"/>
  </cols>
  <sheetData>
    <row r="1" spans="2:12" s="33" customFormat="1" ht="27.6" customHeight="1" x14ac:dyDescent="0.25"/>
    <row r="2" spans="2:12" s="44" customFormat="1" ht="15" x14ac:dyDescent="0.25"/>
    <row r="3" spans="2:12" s="44" customFormat="1" ht="2.2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2" s="44" customFormat="1" ht="15" x14ac:dyDescent="0.25">
      <c r="B4" s="46"/>
      <c r="C4" s="78" t="s">
        <v>39</v>
      </c>
      <c r="D4" s="78"/>
      <c r="E4" s="78"/>
      <c r="F4" s="78"/>
      <c r="G4" s="78"/>
      <c r="H4" s="78"/>
      <c r="I4" s="78"/>
      <c r="J4" s="78"/>
      <c r="K4" s="78"/>
      <c r="L4" s="46"/>
    </row>
    <row r="5" spans="2:12" s="44" customFormat="1" ht="4.5" customHeight="1" x14ac:dyDescent="0.25">
      <c r="B5" s="46"/>
      <c r="C5" s="47"/>
      <c r="L5" s="46"/>
    </row>
    <row r="6" spans="2:12" s="44" customFormat="1" ht="15" x14ac:dyDescent="0.25">
      <c r="B6" s="46"/>
      <c r="C6" s="54" t="s">
        <v>40</v>
      </c>
      <c r="E6" s="48"/>
      <c r="F6" s="48"/>
      <c r="G6" s="48"/>
      <c r="H6" s="48"/>
      <c r="I6" s="48"/>
      <c r="J6" s="48"/>
      <c r="K6" s="48"/>
      <c r="L6" s="46"/>
    </row>
    <row r="7" spans="2:12" s="44" customFormat="1" ht="8.25" customHeight="1" x14ac:dyDescent="0.25">
      <c r="B7" s="46"/>
      <c r="D7" s="48"/>
      <c r="E7" s="48"/>
      <c r="F7" s="48"/>
      <c r="G7" s="48"/>
      <c r="H7" s="48"/>
      <c r="I7" s="48"/>
      <c r="J7" s="48"/>
      <c r="K7" s="48"/>
      <c r="L7" s="46"/>
    </row>
    <row r="8" spans="2:12" s="44" customFormat="1" ht="15" x14ac:dyDescent="0.25">
      <c r="B8" s="46"/>
      <c r="C8" s="49" t="s">
        <v>41</v>
      </c>
      <c r="L8" s="46"/>
    </row>
    <row r="9" spans="2:12" s="44" customFormat="1" ht="15" x14ac:dyDescent="0.25">
      <c r="B9" s="46"/>
      <c r="C9" s="50" t="s">
        <v>42</v>
      </c>
      <c r="L9" s="46"/>
    </row>
    <row r="10" spans="2:12" s="44" customFormat="1" ht="15" x14ac:dyDescent="0.25">
      <c r="B10" s="46"/>
      <c r="C10" s="50" t="s">
        <v>43</v>
      </c>
      <c r="L10" s="46"/>
    </row>
    <row r="11" spans="2:12" s="44" customFormat="1" ht="3.75" customHeight="1" x14ac:dyDescent="0.25">
      <c r="B11" s="46"/>
      <c r="C11" s="47"/>
      <c r="L11" s="46"/>
    </row>
    <row r="12" spans="2:12" s="44" customFormat="1" ht="3.75" customHeight="1" x14ac:dyDescent="0.25">
      <c r="B12" s="46"/>
      <c r="C12" s="47"/>
      <c r="L12" s="46"/>
    </row>
    <row r="13" spans="2:12" s="44" customFormat="1" ht="15" x14ac:dyDescent="0.25">
      <c r="B13" s="46"/>
      <c r="C13" s="49" t="s">
        <v>44</v>
      </c>
      <c r="L13" s="46"/>
    </row>
    <row r="14" spans="2:12" s="44" customFormat="1" ht="15" x14ac:dyDescent="0.25">
      <c r="B14" s="46"/>
      <c r="C14" s="50" t="s">
        <v>45</v>
      </c>
      <c r="L14" s="46"/>
    </row>
    <row r="15" spans="2:12" s="44" customFormat="1" ht="15" x14ac:dyDescent="0.25">
      <c r="B15" s="46"/>
      <c r="C15" s="50"/>
      <c r="L15" s="46"/>
    </row>
    <row r="16" spans="2:12" s="44" customFormat="1" ht="15" x14ac:dyDescent="0.25">
      <c r="B16" s="46"/>
      <c r="C16" s="54" t="s">
        <v>46</v>
      </c>
      <c r="L16" s="46"/>
    </row>
    <row r="17" spans="2:12" s="44" customFormat="1" ht="14.25" customHeight="1" x14ac:dyDescent="0.25">
      <c r="B17" s="46"/>
      <c r="C17" s="50" t="s">
        <v>48</v>
      </c>
      <c r="L17" s="46"/>
    </row>
    <row r="18" spans="2:12" s="44" customFormat="1" ht="15" x14ac:dyDescent="0.25">
      <c r="B18" s="46"/>
      <c r="C18" s="50" t="s">
        <v>47</v>
      </c>
      <c r="K18" s="51"/>
      <c r="L18" s="46"/>
    </row>
    <row r="19" spans="2:12" s="44" customFormat="1" ht="15" x14ac:dyDescent="0.25">
      <c r="B19" s="46"/>
      <c r="L19" s="46"/>
    </row>
    <row r="20" spans="2:12" s="44" customFormat="1" ht="2.25" customHeight="1" x14ac:dyDescent="0.25"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2:12" s="44" customFormat="1" ht="15" customHeight="1" x14ac:dyDescent="0.25">
      <c r="C21" s="52"/>
    </row>
    <row r="22" spans="2:12" s="44" customFormat="1" ht="15" x14ac:dyDescent="0.25"/>
    <row r="23" spans="2:12" s="44" customFormat="1" ht="15" x14ac:dyDescent="0.25"/>
  </sheetData>
  <mergeCells count="1">
    <mergeCell ref="C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showGridLines="0" topLeftCell="A28" zoomScale="85" zoomScaleNormal="85" workbookViewId="0">
      <selection activeCell="H14" sqref="H14"/>
    </sheetView>
  </sheetViews>
  <sheetFormatPr baseColWidth="10" defaultRowHeight="15" x14ac:dyDescent="0.25"/>
  <cols>
    <col min="1" max="1" width="33.28515625" customWidth="1"/>
    <col min="2" max="2" width="1.42578125" customWidth="1"/>
    <col min="3" max="3" width="15.28515625" customWidth="1"/>
    <col min="4" max="4" width="14.140625" style="3" bestFit="1" customWidth="1"/>
    <col min="5" max="5" width="16.7109375" customWidth="1"/>
    <col min="6" max="6" width="24.42578125" customWidth="1"/>
    <col min="7" max="7" width="5.140625" customWidth="1"/>
    <col min="9" max="9" width="17.5703125" customWidth="1"/>
    <col min="10" max="10" width="15.140625" bestFit="1" customWidth="1"/>
    <col min="11" max="11" width="14.140625" customWidth="1"/>
    <col min="12" max="12" width="18.140625" bestFit="1" customWidth="1"/>
  </cols>
  <sheetData>
    <row r="1" spans="1:12" s="33" customFormat="1" ht="27.6" customHeight="1" x14ac:dyDescent="0.25"/>
    <row r="3" spans="1:12" ht="15.75" thickBot="1" x14ac:dyDescent="0.3">
      <c r="I3" s="5" t="s">
        <v>15</v>
      </c>
      <c r="J3" s="5" t="s">
        <v>16</v>
      </c>
      <c r="K3" s="5" t="s">
        <v>17</v>
      </c>
      <c r="L3" s="5" t="s">
        <v>18</v>
      </c>
    </row>
    <row r="4" spans="1:12" ht="19.5" thickTop="1" x14ac:dyDescent="0.3">
      <c r="A4" s="79" t="s">
        <v>37</v>
      </c>
      <c r="B4" s="79"/>
      <c r="C4" s="79"/>
      <c r="D4" s="79"/>
      <c r="E4" s="79"/>
      <c r="F4" s="79"/>
      <c r="I4" s="15" t="s">
        <v>12</v>
      </c>
      <c r="J4" s="16">
        <f>C9+C12</f>
        <v>456341449.32753855</v>
      </c>
      <c r="K4" s="16">
        <f>D9+D12</f>
        <v>50698890</v>
      </c>
      <c r="L4" s="17">
        <f>K4-J4</f>
        <v>-405642559.32753855</v>
      </c>
    </row>
    <row r="5" spans="1:12" x14ac:dyDescent="0.25">
      <c r="I5" s="18" t="s">
        <v>13</v>
      </c>
      <c r="J5" s="10">
        <f>C19+C32+C39+C44</f>
        <v>510412792.63397235</v>
      </c>
      <c r="K5" s="10">
        <f>D19+D32+D39+D44</f>
        <v>60079300.792653345</v>
      </c>
      <c r="L5" s="19">
        <f t="shared" ref="L5:L6" si="0">K5-J5</f>
        <v>-450333491.84131902</v>
      </c>
    </row>
    <row r="6" spans="1:12" ht="15.75" thickBot="1" x14ac:dyDescent="0.3">
      <c r="I6" s="20" t="s">
        <v>14</v>
      </c>
      <c r="J6" s="21">
        <f>J4-J5</f>
        <v>-54071343.306433797</v>
      </c>
      <c r="K6" s="21">
        <f>K4-K5</f>
        <v>-9380410.7926533446</v>
      </c>
      <c r="L6" s="22">
        <f t="shared" si="0"/>
        <v>44690932.513780452</v>
      </c>
    </row>
    <row r="7" spans="1:12" ht="15.75" thickTop="1" x14ac:dyDescent="0.25">
      <c r="A7" s="41" t="s">
        <v>38</v>
      </c>
      <c r="B7" s="1"/>
      <c r="C7" s="5" t="s">
        <v>16</v>
      </c>
      <c r="D7" s="5" t="s">
        <v>17</v>
      </c>
      <c r="E7" s="5" t="s">
        <v>18</v>
      </c>
      <c r="F7" s="5" t="s">
        <v>19</v>
      </c>
      <c r="G7" s="2"/>
    </row>
    <row r="8" spans="1:12" ht="6.75" customHeight="1" x14ac:dyDescent="0.25">
      <c r="A8" s="39"/>
      <c r="B8" s="2"/>
      <c r="C8" s="40"/>
      <c r="D8" s="40"/>
      <c r="E8" s="40"/>
      <c r="F8" s="40"/>
      <c r="G8" s="2"/>
    </row>
    <row r="9" spans="1:12" x14ac:dyDescent="0.25">
      <c r="A9" s="4" t="s">
        <v>3</v>
      </c>
      <c r="B9" s="4"/>
      <c r="C9" s="43">
        <f>SUM(C10:C10)</f>
        <v>452741449.32753855</v>
      </c>
      <c r="D9" s="6">
        <f>'Detalle Mensual Real'!P6</f>
        <v>50048890</v>
      </c>
      <c r="E9" s="6">
        <f>C9-D9</f>
        <v>402692559.32753855</v>
      </c>
      <c r="F9" s="31"/>
      <c r="G9" s="4"/>
      <c r="J9" s="55"/>
    </row>
    <row r="10" spans="1:12" x14ac:dyDescent="0.25">
      <c r="A10" s="34" t="s">
        <v>21</v>
      </c>
      <c r="B10" s="36"/>
      <c r="C10" s="35">
        <f>'Detalle Mensual Planeado'!P7</f>
        <v>452741449.32753855</v>
      </c>
      <c r="D10" s="35">
        <f>'Detalle Mensual Real'!P7</f>
        <v>50048890</v>
      </c>
      <c r="E10" s="35">
        <f t="shared" ref="E10:E15" si="1">C10-D10</f>
        <v>402692559.32753855</v>
      </c>
      <c r="F10" s="37"/>
    </row>
    <row r="11" spans="1:12" x14ac:dyDescent="0.25">
      <c r="F11" s="38"/>
    </row>
    <row r="12" spans="1:12" x14ac:dyDescent="0.25">
      <c r="A12" s="4" t="s">
        <v>20</v>
      </c>
      <c r="B12" s="4"/>
      <c r="C12" s="43">
        <f>SUM(C13:C15)</f>
        <v>3600000</v>
      </c>
      <c r="D12" s="6">
        <f>'Detalle Mensual Real'!P9</f>
        <v>650000</v>
      </c>
      <c r="E12" s="6">
        <f t="shared" si="1"/>
        <v>2950000</v>
      </c>
      <c r="F12" s="38"/>
      <c r="G12" s="4"/>
    </row>
    <row r="13" spans="1:12" x14ac:dyDescent="0.25">
      <c r="A13" s="23" t="s">
        <v>62</v>
      </c>
      <c r="B13" s="36"/>
      <c r="C13" s="35">
        <f>'Detalle Mensual Planeado'!P10</f>
        <v>0</v>
      </c>
      <c r="D13" s="35">
        <f>+'Detalle Mensual Real'!P10</f>
        <v>0</v>
      </c>
      <c r="E13" s="35">
        <f t="shared" si="1"/>
        <v>0</v>
      </c>
      <c r="F13" s="37"/>
    </row>
    <row r="14" spans="1:12" x14ac:dyDescent="0.25">
      <c r="A14" s="23" t="s">
        <v>65</v>
      </c>
      <c r="B14" s="36"/>
      <c r="C14" s="35">
        <f>'Detalle Mensual Planeado'!P11</f>
        <v>3600000</v>
      </c>
      <c r="D14" s="35">
        <f>+'Detalle Mensual Real'!P11</f>
        <v>650000</v>
      </c>
      <c r="E14" s="35">
        <f t="shared" si="1"/>
        <v>2950000</v>
      </c>
      <c r="F14" s="37"/>
    </row>
    <row r="15" spans="1:12" x14ac:dyDescent="0.25">
      <c r="A15" s="34" t="s">
        <v>2</v>
      </c>
      <c r="B15" s="36"/>
      <c r="C15" s="35">
        <f>'Detalle Mensual Planeado'!P12</f>
        <v>0</v>
      </c>
      <c r="D15" s="35">
        <f>+'Detalle Mensual Real'!P12</f>
        <v>0</v>
      </c>
      <c r="E15" s="35">
        <f t="shared" si="1"/>
        <v>0</v>
      </c>
      <c r="F15" s="37"/>
    </row>
    <row r="17" spans="1:7" ht="15.75" x14ac:dyDescent="0.25">
      <c r="A17" s="42" t="s">
        <v>0</v>
      </c>
      <c r="B17" s="1"/>
      <c r="C17" s="5" t="s">
        <v>16</v>
      </c>
      <c r="D17" s="5" t="s">
        <v>17</v>
      </c>
      <c r="E17" s="5" t="s">
        <v>18</v>
      </c>
      <c r="F17" s="5" t="s">
        <v>19</v>
      </c>
      <c r="G17" s="2"/>
    </row>
    <row r="18" spans="1:7" ht="15.75" x14ac:dyDescent="0.25">
      <c r="A18" s="39"/>
      <c r="B18" s="2"/>
      <c r="C18" s="40"/>
      <c r="D18" s="40"/>
      <c r="E18" s="40"/>
      <c r="F18" s="40"/>
      <c r="G18" s="2"/>
    </row>
    <row r="19" spans="1:7" x14ac:dyDescent="0.25">
      <c r="A19" s="4" t="s">
        <v>1</v>
      </c>
      <c r="B19" s="4"/>
      <c r="C19" s="43">
        <f>SUM(C20:C30)</f>
        <v>153066877.42313081</v>
      </c>
      <c r="D19" s="6">
        <f>SUM(D20:D30)</f>
        <v>21140138.800000001</v>
      </c>
      <c r="E19" s="43">
        <f>SUM(E20:E30)</f>
        <v>131926738.6231308</v>
      </c>
      <c r="F19" s="31"/>
      <c r="G19" s="4"/>
    </row>
    <row r="20" spans="1:7" x14ac:dyDescent="0.25">
      <c r="A20" s="34" t="s">
        <v>64</v>
      </c>
      <c r="B20" s="36"/>
      <c r="C20" s="56">
        <f>+'Detalle Mensual Planeado'!P15</f>
        <v>67911217.399130791</v>
      </c>
      <c r="D20" s="35">
        <f>+'Detalle Mensual Real'!P15</f>
        <v>8612141.8000000007</v>
      </c>
      <c r="E20" s="35">
        <f t="shared" ref="E20:E30" si="2">C20-D20</f>
        <v>59299075.599130794</v>
      </c>
      <c r="F20" s="37"/>
    </row>
    <row r="21" spans="1:7" x14ac:dyDescent="0.25">
      <c r="A21" s="34" t="s">
        <v>50</v>
      </c>
      <c r="B21" s="36"/>
      <c r="C21" s="56">
        <f>'Detalle Mensual Planeado'!P16</f>
        <v>3427200</v>
      </c>
      <c r="D21" s="35">
        <f>+'Detalle Mensual Real'!P16</f>
        <v>0</v>
      </c>
      <c r="E21" s="35">
        <f t="shared" si="2"/>
        <v>3427200</v>
      </c>
      <c r="F21" s="37"/>
    </row>
    <row r="22" spans="1:7" x14ac:dyDescent="0.25">
      <c r="A22" s="34" t="s">
        <v>57</v>
      </c>
      <c r="B22" s="36"/>
      <c r="C22" s="56">
        <f>'Detalle Mensual Planeado'!P17</f>
        <v>1752276</v>
      </c>
      <c r="D22" s="35">
        <f>+'Detalle Mensual Real'!P17</f>
        <v>292046</v>
      </c>
      <c r="E22" s="35">
        <f t="shared" si="2"/>
        <v>1460230</v>
      </c>
      <c r="F22" s="37"/>
    </row>
    <row r="23" spans="1:7" x14ac:dyDescent="0.25">
      <c r="A23" s="34" t="s">
        <v>56</v>
      </c>
      <c r="B23" s="36"/>
      <c r="C23" s="56">
        <f>'Detalle Mensual Planeado'!P18</f>
        <v>2580000</v>
      </c>
      <c r="D23" s="35">
        <f>+'Detalle Mensual Real'!P18</f>
        <v>430000</v>
      </c>
      <c r="E23" s="35">
        <f t="shared" si="2"/>
        <v>2150000</v>
      </c>
      <c r="F23" s="37"/>
    </row>
    <row r="24" spans="1:7" x14ac:dyDescent="0.25">
      <c r="A24" s="34" t="s">
        <v>53</v>
      </c>
      <c r="B24" s="36"/>
      <c r="C24" s="56">
        <f>'Detalle Mensual Planeado'!P19</f>
        <v>603300</v>
      </c>
      <c r="D24" s="35">
        <f>+'Detalle Mensual Real'!P19</f>
        <v>0</v>
      </c>
      <c r="E24" s="35">
        <f t="shared" si="2"/>
        <v>603300</v>
      </c>
      <c r="F24" s="37"/>
    </row>
    <row r="25" spans="1:7" x14ac:dyDescent="0.25">
      <c r="A25" s="34" t="s">
        <v>52</v>
      </c>
      <c r="B25" s="36"/>
      <c r="C25" s="56">
        <f>'Detalle Mensual Planeado'!P20</f>
        <v>1471020</v>
      </c>
      <c r="D25" s="35">
        <f>+'Detalle Mensual Real'!P20</f>
        <v>245170</v>
      </c>
      <c r="E25" s="35">
        <f t="shared" si="2"/>
        <v>1225850</v>
      </c>
      <c r="F25" s="37"/>
    </row>
    <row r="26" spans="1:7" x14ac:dyDescent="0.25">
      <c r="A26" s="34" t="s">
        <v>4</v>
      </c>
      <c r="B26" s="36"/>
      <c r="C26" s="56">
        <f>'Detalle Mensual Planeado'!P21</f>
        <v>12000000</v>
      </c>
      <c r="D26" s="35">
        <f>+'Detalle Mensual Real'!P21</f>
        <v>1056494</v>
      </c>
      <c r="E26" s="35">
        <f t="shared" si="2"/>
        <v>10943506</v>
      </c>
      <c r="F26" s="37"/>
    </row>
    <row r="27" spans="1:7" x14ac:dyDescent="0.25">
      <c r="A27" s="34" t="s">
        <v>5</v>
      </c>
      <c r="B27" s="36"/>
      <c r="C27" s="56">
        <f>'Detalle Mensual Planeado'!P22</f>
        <v>2309520</v>
      </c>
      <c r="D27" s="35">
        <f>+'Detalle Mensual Real'!P22</f>
        <v>349670</v>
      </c>
      <c r="E27" s="35">
        <f t="shared" si="2"/>
        <v>1959850</v>
      </c>
      <c r="F27" s="37"/>
    </row>
    <row r="28" spans="1:7" x14ac:dyDescent="0.25">
      <c r="A28" s="34" t="s">
        <v>6</v>
      </c>
      <c r="B28" s="36"/>
      <c r="C28" s="56">
        <f>'Detalle Mensual Planeado'!P23</f>
        <v>13347708</v>
      </c>
      <c r="D28" s="35">
        <f>+'Detalle Mensual Real'!P23</f>
        <v>2989140</v>
      </c>
      <c r="E28" s="35">
        <f t="shared" si="2"/>
        <v>10358568</v>
      </c>
      <c r="F28" s="37"/>
    </row>
    <row r="29" spans="1:7" x14ac:dyDescent="0.25">
      <c r="A29" s="34" t="s">
        <v>7</v>
      </c>
      <c r="B29" s="36"/>
      <c r="C29" s="56">
        <f>'Detalle Mensual Planeado'!P24</f>
        <v>712080</v>
      </c>
      <c r="D29" s="35">
        <f>+'Detalle Mensual Real'!P24</f>
        <v>109810</v>
      </c>
      <c r="E29" s="35">
        <f t="shared" si="2"/>
        <v>602270</v>
      </c>
      <c r="F29" s="37"/>
    </row>
    <row r="30" spans="1:7" x14ac:dyDescent="0.25">
      <c r="A30" s="34" t="s">
        <v>51</v>
      </c>
      <c r="B30" s="36"/>
      <c r="C30" s="56">
        <f>'Detalle Mensual Planeado'!P25</f>
        <v>46952556.024000004</v>
      </c>
      <c r="D30" s="35">
        <f>+'Detalle Mensual Real'!P25</f>
        <v>7055667</v>
      </c>
      <c r="E30" s="35">
        <f t="shared" si="2"/>
        <v>39896889.024000004</v>
      </c>
      <c r="F30" s="37"/>
    </row>
    <row r="31" spans="1:7" x14ac:dyDescent="0.25">
      <c r="C31" s="57"/>
    </row>
    <row r="32" spans="1:7" x14ac:dyDescent="0.25">
      <c r="A32" s="4" t="s">
        <v>8</v>
      </c>
      <c r="B32" s="4"/>
      <c r="C32" s="58">
        <f>SUM(C33:C37)</f>
        <v>278692971.21084154</v>
      </c>
      <c r="D32" s="6">
        <f>'Detalle Mensual Real'!P27</f>
        <v>31135629.992653344</v>
      </c>
      <c r="E32" s="6">
        <f t="shared" ref="E32:E37" si="3">C32-D32</f>
        <v>247557341.2181882</v>
      </c>
      <c r="F32" s="31"/>
      <c r="G32" s="4"/>
    </row>
    <row r="33" spans="1:7" x14ac:dyDescent="0.25">
      <c r="A33" s="34" t="s">
        <v>61</v>
      </c>
      <c r="B33" s="36"/>
      <c r="C33" s="56">
        <f>+'Detalle Mensual Planeado'!P28</f>
        <v>194678823.21084154</v>
      </c>
      <c r="D33" s="35"/>
      <c r="E33" s="35">
        <f t="shared" si="3"/>
        <v>194678823.21084154</v>
      </c>
      <c r="F33" s="37"/>
    </row>
    <row r="34" spans="1:7" x14ac:dyDescent="0.25">
      <c r="A34" s="23" t="s">
        <v>66</v>
      </c>
      <c r="B34" s="36"/>
      <c r="C34" s="56">
        <f>'Detalle Mensual Planeado'!P29</f>
        <v>25440000</v>
      </c>
      <c r="D34" s="35">
        <f>'Detalle Mensual Real'!P28</f>
        <v>23509473.992653344</v>
      </c>
      <c r="E34" s="35">
        <f t="shared" si="3"/>
        <v>1930526.0073466562</v>
      </c>
      <c r="F34" s="37"/>
    </row>
    <row r="35" spans="1:7" ht="14.25" customHeight="1" x14ac:dyDescent="0.25">
      <c r="A35" s="34" t="s">
        <v>9</v>
      </c>
      <c r="B35" s="36"/>
      <c r="C35" s="56">
        <f>'Detalle Mensual Planeado'!P30</f>
        <v>48000000</v>
      </c>
      <c r="D35" s="35">
        <f>'Detalle Mensual Real'!P29</f>
        <v>2570000</v>
      </c>
      <c r="E35" s="35">
        <f t="shared" si="3"/>
        <v>45430000</v>
      </c>
      <c r="F35" s="37"/>
    </row>
    <row r="36" spans="1:7" ht="14.25" customHeight="1" x14ac:dyDescent="0.25">
      <c r="A36" s="23" t="s">
        <v>55</v>
      </c>
      <c r="B36" s="36"/>
      <c r="C36" s="56">
        <f>+'Detalle Mensual Planeado'!P31</f>
        <v>6374148</v>
      </c>
      <c r="D36" s="35"/>
      <c r="E36" s="35">
        <f t="shared" si="3"/>
        <v>6374148</v>
      </c>
      <c r="F36" s="37"/>
    </row>
    <row r="37" spans="1:7" x14ac:dyDescent="0.25">
      <c r="A37" s="34" t="s">
        <v>10</v>
      </c>
      <c r="B37" s="36"/>
      <c r="C37" s="56">
        <f>'Detalle Mensual Planeado'!P32</f>
        <v>4200000</v>
      </c>
      <c r="D37" s="35">
        <f>'Detalle Mensual Real'!P31</f>
        <v>1056156</v>
      </c>
      <c r="E37" s="35">
        <f t="shared" si="3"/>
        <v>3143844</v>
      </c>
      <c r="F37" s="37"/>
    </row>
    <row r="38" spans="1:7" x14ac:dyDescent="0.25">
      <c r="C38" s="59"/>
    </row>
    <row r="39" spans="1:7" x14ac:dyDescent="0.25">
      <c r="A39" s="4" t="s">
        <v>11</v>
      </c>
      <c r="B39" s="4"/>
      <c r="C39" s="58">
        <f>SUM(C40:C42)</f>
        <v>25624308</v>
      </c>
      <c r="D39" s="6">
        <f>'Detalle Mensual Real'!P34</f>
        <v>5135580</v>
      </c>
      <c r="E39" s="6">
        <f t="shared" ref="E39:E42" si="4">C39-D39</f>
        <v>20488728</v>
      </c>
      <c r="F39" s="31"/>
      <c r="G39" s="4"/>
    </row>
    <row r="40" spans="1:7" x14ac:dyDescent="0.25">
      <c r="A40" s="23" t="s">
        <v>58</v>
      </c>
      <c r="B40" s="36"/>
      <c r="C40" s="56">
        <f>'Detalle Mensual Planeado'!P35</f>
        <v>593160</v>
      </c>
      <c r="D40" s="35">
        <f>'Detalle Mensual Real'!P35</f>
        <v>62200</v>
      </c>
      <c r="E40" s="35">
        <f t="shared" si="4"/>
        <v>530960</v>
      </c>
      <c r="F40" s="37"/>
    </row>
    <row r="41" spans="1:7" x14ac:dyDescent="0.25">
      <c r="A41" s="23" t="s">
        <v>59</v>
      </c>
      <c r="B41" s="36"/>
      <c r="C41" s="56">
        <f>'Detalle Mensual Planeado'!P36</f>
        <v>6888000</v>
      </c>
      <c r="D41" s="35">
        <f>'Detalle Mensual Real'!P36</f>
        <v>3439450</v>
      </c>
      <c r="E41" s="35">
        <f t="shared" si="4"/>
        <v>3448550</v>
      </c>
      <c r="F41" s="37"/>
    </row>
    <row r="42" spans="1:7" x14ac:dyDescent="0.25">
      <c r="A42" s="23" t="s">
        <v>60</v>
      </c>
      <c r="B42" s="36"/>
      <c r="C42" s="56">
        <f>'Detalle Mensual Planeado'!P37</f>
        <v>18143148</v>
      </c>
      <c r="D42" s="35">
        <f>'Detalle Mensual Real'!P37</f>
        <v>1633930</v>
      </c>
      <c r="E42" s="35">
        <f t="shared" si="4"/>
        <v>16509218</v>
      </c>
      <c r="F42" s="37"/>
    </row>
    <row r="43" spans="1:7" x14ac:dyDescent="0.25">
      <c r="C43" s="59"/>
    </row>
    <row r="44" spans="1:7" x14ac:dyDescent="0.25">
      <c r="A44" s="4" t="s">
        <v>63</v>
      </c>
      <c r="B44" s="4"/>
      <c r="C44" s="58">
        <f>SUM(C45)</f>
        <v>53028636</v>
      </c>
      <c r="D44" s="6">
        <f>'Detalle Mensual Real'!P39</f>
        <v>2667952</v>
      </c>
      <c r="E44" s="6">
        <f t="shared" ref="E44:E45" si="5">C44-D44</f>
        <v>50360684</v>
      </c>
      <c r="F44" s="31"/>
      <c r="G44" s="4"/>
    </row>
    <row r="45" spans="1:7" x14ac:dyDescent="0.25">
      <c r="A45" s="23" t="s">
        <v>62</v>
      </c>
      <c r="B45" s="36"/>
      <c r="C45" s="56">
        <f>'Detalle Mensual Planeado'!P40</f>
        <v>53028636</v>
      </c>
      <c r="D45" s="35">
        <f>'Detalle Mensual Real'!P40</f>
        <v>2667952</v>
      </c>
      <c r="E45" s="35">
        <f t="shared" si="5"/>
        <v>50360684</v>
      </c>
      <c r="F45" s="37"/>
    </row>
    <row r="46" spans="1:7" x14ac:dyDescent="0.25">
      <c r="C46" s="59"/>
    </row>
    <row r="47" spans="1:7" x14ac:dyDescent="0.25">
      <c r="C47" s="57"/>
    </row>
    <row r="48" spans="1:7" x14ac:dyDescent="0.25">
      <c r="C48" s="57"/>
    </row>
  </sheetData>
  <mergeCells count="1">
    <mergeCell ref="A4:F4"/>
  </mergeCells>
  <conditionalFormatting sqref="L4:L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2B84-009C-456A-B5E2-14F926847F0A}">
  <dimension ref="A1:L48"/>
  <sheetViews>
    <sheetView showGridLines="0" topLeftCell="A7" zoomScale="85" zoomScaleNormal="85" workbookViewId="0">
      <selection activeCell="D37" sqref="D37"/>
    </sheetView>
  </sheetViews>
  <sheetFormatPr baseColWidth="10" defaultRowHeight="15" x14ac:dyDescent="0.25"/>
  <cols>
    <col min="1" max="1" width="33.28515625" customWidth="1"/>
    <col min="2" max="2" width="1.42578125" customWidth="1"/>
    <col min="3" max="3" width="15.28515625" customWidth="1"/>
    <col min="4" max="4" width="14.140625" style="3" bestFit="1" customWidth="1"/>
    <col min="5" max="5" width="16.7109375" customWidth="1"/>
    <col min="6" max="6" width="24.42578125" customWidth="1"/>
    <col min="7" max="7" width="5.140625" customWidth="1"/>
    <col min="9" max="9" width="17.5703125" customWidth="1"/>
    <col min="10" max="10" width="15.140625" bestFit="1" customWidth="1"/>
    <col min="11" max="11" width="14.140625" customWidth="1"/>
    <col min="12" max="12" width="18.140625" bestFit="1" customWidth="1"/>
  </cols>
  <sheetData>
    <row r="1" spans="1:12" s="33" customFormat="1" ht="27.6" customHeight="1" x14ac:dyDescent="0.25"/>
    <row r="3" spans="1:12" ht="15.75" thickBot="1" x14ac:dyDescent="0.3">
      <c r="I3" s="5" t="s">
        <v>15</v>
      </c>
      <c r="J3" s="5" t="s">
        <v>16</v>
      </c>
      <c r="K3" s="5" t="s">
        <v>17</v>
      </c>
      <c r="L3" s="5" t="s">
        <v>18</v>
      </c>
    </row>
    <row r="4" spans="1:12" ht="19.5" thickTop="1" x14ac:dyDescent="0.3">
      <c r="A4" s="79" t="s">
        <v>37</v>
      </c>
      <c r="B4" s="79"/>
      <c r="C4" s="79"/>
      <c r="D4" s="79"/>
      <c r="E4" s="79"/>
      <c r="F4" s="79"/>
      <c r="I4" s="15" t="s">
        <v>12</v>
      </c>
      <c r="J4" s="16">
        <f>C9+C12</f>
        <v>16080732.114925586</v>
      </c>
      <c r="K4" s="16">
        <f>D9+D12</f>
        <v>50698890</v>
      </c>
      <c r="L4" s="17">
        <f>K4-J4</f>
        <v>34618157.885074414</v>
      </c>
    </row>
    <row r="5" spans="1:12" x14ac:dyDescent="0.25">
      <c r="I5" s="18" t="s">
        <v>13</v>
      </c>
      <c r="J5" s="10">
        <f>C19+C32+C39+C44</f>
        <v>29694260.02665684</v>
      </c>
      <c r="K5" s="10">
        <f>D19+D32+D39+D44</f>
        <v>60079300.792653345</v>
      </c>
      <c r="L5" s="19">
        <f t="shared" ref="L5:L6" si="0">K5-J5</f>
        <v>30385040.765996505</v>
      </c>
    </row>
    <row r="6" spans="1:12" ht="15.75" thickBot="1" x14ac:dyDescent="0.3">
      <c r="I6" s="20" t="s">
        <v>14</v>
      </c>
      <c r="J6" s="21">
        <f>J4-J5</f>
        <v>-13613527.911731254</v>
      </c>
      <c r="K6" s="21">
        <f>K4-K5</f>
        <v>-9380410.7926533446</v>
      </c>
      <c r="L6" s="22">
        <f t="shared" si="0"/>
        <v>4233117.1190779097</v>
      </c>
    </row>
    <row r="7" spans="1:12" ht="15.75" thickTop="1" x14ac:dyDescent="0.25">
      <c r="A7" s="41" t="s">
        <v>38</v>
      </c>
      <c r="B7" s="1"/>
      <c r="C7" s="5" t="s">
        <v>16</v>
      </c>
      <c r="D7" s="5" t="s">
        <v>17</v>
      </c>
      <c r="E7" s="5" t="s">
        <v>18</v>
      </c>
      <c r="F7" s="5" t="s">
        <v>19</v>
      </c>
      <c r="G7" s="2"/>
    </row>
    <row r="8" spans="1:12" ht="6.75" customHeight="1" x14ac:dyDescent="0.25">
      <c r="A8" s="39"/>
      <c r="B8" s="2"/>
      <c r="C8" s="40"/>
      <c r="D8" s="40"/>
      <c r="E8" s="40"/>
      <c r="F8" s="40"/>
      <c r="G8" s="2"/>
    </row>
    <row r="9" spans="1:12" x14ac:dyDescent="0.25">
      <c r="A9" s="4" t="s">
        <v>3</v>
      </c>
      <c r="B9" s="4"/>
      <c r="C9" s="43">
        <f>SUM(C10:C10)</f>
        <v>15780732.114925586</v>
      </c>
      <c r="D9" s="6">
        <f>'Detalle Mensual Real'!P6</f>
        <v>50048890</v>
      </c>
      <c r="E9" s="6">
        <f>C9-D9</f>
        <v>-34268157.885074414</v>
      </c>
      <c r="F9" s="31"/>
      <c r="G9" s="4"/>
      <c r="J9" s="55"/>
    </row>
    <row r="10" spans="1:12" x14ac:dyDescent="0.25">
      <c r="A10" s="34" t="s">
        <v>21</v>
      </c>
      <c r="B10" s="36"/>
      <c r="C10" s="35">
        <f>+'Detalle Mensual Planeado'!C7</f>
        <v>15780732.114925586</v>
      </c>
      <c r="D10" s="35">
        <f>'Detalle Mensual Real'!P7</f>
        <v>50048890</v>
      </c>
      <c r="E10" s="35">
        <f t="shared" ref="E10:E15" si="1">C10-D10</f>
        <v>-34268157.885074414</v>
      </c>
      <c r="F10" s="37"/>
    </row>
    <row r="11" spans="1:12" x14ac:dyDescent="0.25">
      <c r="F11" s="38"/>
    </row>
    <row r="12" spans="1:12" x14ac:dyDescent="0.25">
      <c r="A12" s="4" t="s">
        <v>20</v>
      </c>
      <c r="B12" s="4"/>
      <c r="C12" s="43">
        <f>SUM(C13:C15)</f>
        <v>300000</v>
      </c>
      <c r="D12" s="6">
        <f>'Detalle Mensual Real'!P9</f>
        <v>650000</v>
      </c>
      <c r="E12" s="6">
        <f t="shared" si="1"/>
        <v>-350000</v>
      </c>
      <c r="F12" s="38"/>
      <c r="G12" s="4"/>
    </row>
    <row r="13" spans="1:12" x14ac:dyDescent="0.25">
      <c r="A13" s="23" t="s">
        <v>62</v>
      </c>
      <c r="B13" s="36"/>
      <c r="C13" s="35">
        <f>'Detalle Mensual Planeado'!P10</f>
        <v>0</v>
      </c>
      <c r="D13" s="35">
        <f>+'Detalle Mensual Real'!P10</f>
        <v>0</v>
      </c>
      <c r="E13" s="35">
        <f t="shared" si="1"/>
        <v>0</v>
      </c>
      <c r="F13" s="37"/>
    </row>
    <row r="14" spans="1:12" x14ac:dyDescent="0.25">
      <c r="A14" s="23" t="s">
        <v>65</v>
      </c>
      <c r="B14" s="36"/>
      <c r="C14" s="35">
        <f>+'Detalle Mensual Planeado'!C11</f>
        <v>300000</v>
      </c>
      <c r="D14" s="35">
        <f>+'Detalle Mensual Real'!P11</f>
        <v>650000</v>
      </c>
      <c r="E14" s="35">
        <f t="shared" si="1"/>
        <v>-350000</v>
      </c>
      <c r="F14" s="37"/>
    </row>
    <row r="15" spans="1:12" x14ac:dyDescent="0.25">
      <c r="A15" s="34" t="s">
        <v>2</v>
      </c>
      <c r="B15" s="36"/>
      <c r="C15" s="35">
        <f>'Detalle Mensual Planeado'!P12</f>
        <v>0</v>
      </c>
      <c r="D15" s="35">
        <f>+'Detalle Mensual Real'!P12</f>
        <v>0</v>
      </c>
      <c r="E15" s="35">
        <f t="shared" si="1"/>
        <v>0</v>
      </c>
      <c r="F15" s="37"/>
    </row>
    <row r="17" spans="1:7" ht="15.75" x14ac:dyDescent="0.25">
      <c r="A17" s="42" t="s">
        <v>0</v>
      </c>
      <c r="B17" s="1"/>
      <c r="C17" s="5" t="s">
        <v>16</v>
      </c>
      <c r="D17" s="5" t="s">
        <v>17</v>
      </c>
      <c r="E17" s="5" t="s">
        <v>18</v>
      </c>
      <c r="F17" s="5" t="s">
        <v>19</v>
      </c>
      <c r="G17" s="2"/>
    </row>
    <row r="18" spans="1:7" ht="15.75" x14ac:dyDescent="0.25">
      <c r="A18" s="39"/>
      <c r="B18" s="2"/>
      <c r="C18" s="40"/>
      <c r="D18" s="40"/>
      <c r="E18" s="40"/>
      <c r="F18" s="40"/>
      <c r="G18" s="2"/>
    </row>
    <row r="19" spans="1:7" x14ac:dyDescent="0.25">
      <c r="A19" s="4" t="s">
        <v>1</v>
      </c>
      <c r="B19" s="4"/>
      <c r="C19" s="43">
        <f>SUM(C20:C30)</f>
        <v>9352954.2172388379</v>
      </c>
      <c r="D19" s="6">
        <f>SUM(D20:D30)</f>
        <v>21140138.800000001</v>
      </c>
      <c r="E19" s="43">
        <f>SUM(E20:E30)</f>
        <v>-11787184.582761163</v>
      </c>
      <c r="F19" s="31"/>
      <c r="G19" s="4"/>
    </row>
    <row r="20" spans="1:7" x14ac:dyDescent="0.25">
      <c r="A20" s="34" t="s">
        <v>64</v>
      </c>
      <c r="B20" s="36"/>
      <c r="C20" s="56">
        <f>+'Detalle Mensual Planeado'!C15</f>
        <v>2367109.8172388379</v>
      </c>
      <c r="D20" s="35">
        <f>+'Detalle Mensual Real'!P15</f>
        <v>8612141.8000000007</v>
      </c>
      <c r="E20" s="35">
        <f t="shared" ref="E20:E30" si="2">C20-D20</f>
        <v>-6245031.9827611633</v>
      </c>
      <c r="F20" s="37"/>
    </row>
    <row r="21" spans="1:7" x14ac:dyDescent="0.25">
      <c r="A21" s="34" t="s">
        <v>50</v>
      </c>
      <c r="B21" s="36"/>
      <c r="C21" s="56">
        <f>+'Detalle Mensual Planeado'!C16</f>
        <v>285600</v>
      </c>
      <c r="D21" s="35">
        <f>+'Detalle Mensual Real'!P16</f>
        <v>0</v>
      </c>
      <c r="E21" s="35">
        <f t="shared" si="2"/>
        <v>285600</v>
      </c>
      <c r="F21" s="37"/>
    </row>
    <row r="22" spans="1:7" x14ac:dyDescent="0.25">
      <c r="A22" s="34" t="s">
        <v>57</v>
      </c>
      <c r="B22" s="36"/>
      <c r="C22" s="56">
        <f>+'Detalle Mensual Planeado'!C17</f>
        <v>146023</v>
      </c>
      <c r="D22" s="35">
        <f>+'Detalle Mensual Real'!P17</f>
        <v>292046</v>
      </c>
      <c r="E22" s="35">
        <f t="shared" si="2"/>
        <v>-146023</v>
      </c>
      <c r="F22" s="37"/>
    </row>
    <row r="23" spans="1:7" x14ac:dyDescent="0.25">
      <c r="A23" s="34" t="s">
        <v>56</v>
      </c>
      <c r="B23" s="36"/>
      <c r="C23" s="56">
        <f>+'Detalle Mensual Planeado'!C18</f>
        <v>215000</v>
      </c>
      <c r="D23" s="35">
        <f>+'Detalle Mensual Real'!P18</f>
        <v>430000</v>
      </c>
      <c r="E23" s="35">
        <f t="shared" si="2"/>
        <v>-215000</v>
      </c>
      <c r="F23" s="37"/>
    </row>
    <row r="24" spans="1:7" x14ac:dyDescent="0.25">
      <c r="A24" s="34" t="s">
        <v>53</v>
      </c>
      <c r="B24" s="36"/>
      <c r="C24" s="56">
        <f>+'Detalle Mensual Planeado'!C19</f>
        <v>50275</v>
      </c>
      <c r="D24" s="35">
        <f>+'Detalle Mensual Real'!P19</f>
        <v>0</v>
      </c>
      <c r="E24" s="35">
        <f t="shared" si="2"/>
        <v>50275</v>
      </c>
      <c r="F24" s="37"/>
    </row>
    <row r="25" spans="1:7" x14ac:dyDescent="0.25">
      <c r="A25" s="34" t="s">
        <v>52</v>
      </c>
      <c r="B25" s="36"/>
      <c r="C25" s="56">
        <f>+'Detalle Mensual Planeado'!C20</f>
        <v>245170</v>
      </c>
      <c r="D25" s="35">
        <f>+'Detalle Mensual Real'!P20</f>
        <v>245170</v>
      </c>
      <c r="E25" s="35">
        <f t="shared" si="2"/>
        <v>0</v>
      </c>
      <c r="F25" s="37"/>
    </row>
    <row r="26" spans="1:7" x14ac:dyDescent="0.25">
      <c r="A26" s="34" t="s">
        <v>4</v>
      </c>
      <c r="B26" s="36"/>
      <c r="C26" s="56">
        <f>+'Detalle Mensual Planeado'!C21</f>
        <v>1000000</v>
      </c>
      <c r="D26" s="35">
        <f>+'Detalle Mensual Real'!P21</f>
        <v>1056494</v>
      </c>
      <c r="E26" s="35">
        <f t="shared" si="2"/>
        <v>-56494</v>
      </c>
      <c r="F26" s="37"/>
    </row>
    <row r="27" spans="1:7" x14ac:dyDescent="0.25">
      <c r="A27" s="34" t="s">
        <v>5</v>
      </c>
      <c r="B27" s="36"/>
      <c r="C27" s="56">
        <f>+'Detalle Mensual Planeado'!C22</f>
        <v>192460</v>
      </c>
      <c r="D27" s="35">
        <f>+'Detalle Mensual Real'!P22</f>
        <v>349670</v>
      </c>
      <c r="E27" s="35">
        <f t="shared" si="2"/>
        <v>-157210</v>
      </c>
      <c r="F27" s="37"/>
    </row>
    <row r="28" spans="1:7" x14ac:dyDescent="0.25">
      <c r="A28" s="34" t="s">
        <v>6</v>
      </c>
      <c r="B28" s="36"/>
      <c r="C28" s="56">
        <f>+'Detalle Mensual Planeado'!C23</f>
        <v>1112309</v>
      </c>
      <c r="D28" s="35">
        <f>+'Detalle Mensual Real'!P23</f>
        <v>2989140</v>
      </c>
      <c r="E28" s="35">
        <f t="shared" si="2"/>
        <v>-1876831</v>
      </c>
      <c r="F28" s="37"/>
    </row>
    <row r="29" spans="1:7" x14ac:dyDescent="0.25">
      <c r="A29" s="34" t="s">
        <v>7</v>
      </c>
      <c r="B29" s="36"/>
      <c r="C29" s="56">
        <f>+'Detalle Mensual Planeado'!C24</f>
        <v>59340</v>
      </c>
      <c r="D29" s="35">
        <f>+'Detalle Mensual Real'!P24</f>
        <v>109810</v>
      </c>
      <c r="E29" s="35">
        <f t="shared" si="2"/>
        <v>-50470</v>
      </c>
      <c r="F29" s="37"/>
    </row>
    <row r="30" spans="1:7" x14ac:dyDescent="0.25">
      <c r="A30" s="34" t="s">
        <v>51</v>
      </c>
      <c r="B30" s="36"/>
      <c r="C30" s="56">
        <f>+'Detalle Mensual Planeado'!C25</f>
        <v>3679667.4</v>
      </c>
      <c r="D30" s="77">
        <f>+'Detalle Mensual Real'!P25</f>
        <v>7055667</v>
      </c>
      <c r="E30" s="35">
        <f t="shared" si="2"/>
        <v>-3375999.6</v>
      </c>
      <c r="F30" s="37"/>
    </row>
    <row r="31" spans="1:7" x14ac:dyDescent="0.25">
      <c r="C31" s="57"/>
    </row>
    <row r="32" spans="1:7" x14ac:dyDescent="0.25">
      <c r="A32" s="4" t="s">
        <v>8</v>
      </c>
      <c r="B32" s="4"/>
      <c r="C32" s="58">
        <f>SUM(C33:C37)</f>
        <v>13786893.809418002</v>
      </c>
      <c r="D32" s="6">
        <f>'Detalle Mensual Real'!P27</f>
        <v>31135629.992653344</v>
      </c>
      <c r="E32" s="6">
        <f t="shared" ref="E32:E37" si="3">C32-D32</f>
        <v>-17348736.18323534</v>
      </c>
      <c r="F32" s="31"/>
      <c r="G32" s="4"/>
    </row>
    <row r="33" spans="1:7" x14ac:dyDescent="0.25">
      <c r="A33" s="34" t="s">
        <v>61</v>
      </c>
      <c r="B33" s="36"/>
      <c r="C33" s="56">
        <f>+'Detalle Mensual Planeado'!C28</f>
        <v>6785714.8094180021</v>
      </c>
      <c r="D33" s="35">
        <f>'Detalle Mensual Real'!P28</f>
        <v>23509473.992653344</v>
      </c>
      <c r="E33" s="35">
        <f t="shared" si="3"/>
        <v>-16723759.183235342</v>
      </c>
      <c r="F33" s="37"/>
    </row>
    <row r="34" spans="1:7" x14ac:dyDescent="0.25">
      <c r="A34" s="23" t="s">
        <v>66</v>
      </c>
      <c r="B34" s="36"/>
      <c r="C34" s="56">
        <f>+'Detalle Mensual Planeado'!C29</f>
        <v>2120000</v>
      </c>
      <c r="D34" s="35">
        <f>'Detalle Mensual Real'!P29</f>
        <v>2570000</v>
      </c>
      <c r="E34" s="35">
        <f t="shared" si="3"/>
        <v>-450000</v>
      </c>
      <c r="F34" s="37"/>
    </row>
    <row r="35" spans="1:7" ht="14.25" customHeight="1" x14ac:dyDescent="0.25">
      <c r="A35" s="34" t="s">
        <v>9</v>
      </c>
      <c r="B35" s="36"/>
      <c r="C35" s="56">
        <f>+'Detalle Mensual Planeado'!C30</f>
        <v>4000000</v>
      </c>
      <c r="D35" s="35">
        <f>'Detalle Mensual Real'!P30</f>
        <v>0</v>
      </c>
      <c r="E35" s="35">
        <f t="shared" si="3"/>
        <v>4000000</v>
      </c>
      <c r="F35" s="37"/>
    </row>
    <row r="36" spans="1:7" ht="14.25" customHeight="1" x14ac:dyDescent="0.25">
      <c r="A36" s="23" t="s">
        <v>55</v>
      </c>
      <c r="B36" s="36"/>
      <c r="C36" s="56">
        <f>+'Detalle Mensual Planeado'!C31</f>
        <v>531179</v>
      </c>
      <c r="D36" s="35">
        <f>'Detalle Mensual Real'!P31</f>
        <v>1056156</v>
      </c>
      <c r="E36" s="35">
        <f t="shared" si="3"/>
        <v>-524977</v>
      </c>
      <c r="F36" s="37"/>
    </row>
    <row r="37" spans="1:7" x14ac:dyDescent="0.25">
      <c r="A37" s="23" t="s">
        <v>54</v>
      </c>
      <c r="B37" s="36"/>
      <c r="C37" s="56">
        <f>+'Detalle Mensual Planeado'!C32</f>
        <v>350000</v>
      </c>
      <c r="D37" s="35">
        <f>'Detalle Mensual Real'!P32</f>
        <v>0</v>
      </c>
      <c r="E37" s="35">
        <f t="shared" si="3"/>
        <v>350000</v>
      </c>
      <c r="F37" s="37"/>
    </row>
    <row r="38" spans="1:7" x14ac:dyDescent="0.25">
      <c r="C38" s="59"/>
    </row>
    <row r="39" spans="1:7" x14ac:dyDescent="0.25">
      <c r="A39" s="4" t="s">
        <v>11</v>
      </c>
      <c r="B39" s="4"/>
      <c r="C39" s="58">
        <f>SUM(C40:C42)</f>
        <v>2135359</v>
      </c>
      <c r="D39" s="6">
        <f>'Detalle Mensual Real'!P34</f>
        <v>5135580</v>
      </c>
      <c r="E39" s="6">
        <f t="shared" ref="E39:E42" si="4">C39-D39</f>
        <v>-3000221</v>
      </c>
      <c r="F39" s="31"/>
      <c r="G39" s="4"/>
    </row>
    <row r="40" spans="1:7" x14ac:dyDescent="0.25">
      <c r="A40" s="23" t="s">
        <v>58</v>
      </c>
      <c r="B40" s="36"/>
      <c r="C40" s="56">
        <f>+'Detalle Mensual Planeado'!C35</f>
        <v>49430</v>
      </c>
      <c r="D40" s="35">
        <f>'Detalle Mensual Real'!P35</f>
        <v>62200</v>
      </c>
      <c r="E40" s="35">
        <f t="shared" si="4"/>
        <v>-12770</v>
      </c>
      <c r="F40" s="37"/>
    </row>
    <row r="41" spans="1:7" x14ac:dyDescent="0.25">
      <c r="A41" s="23" t="s">
        <v>59</v>
      </c>
      <c r="B41" s="36"/>
      <c r="C41" s="56">
        <f>+'Detalle Mensual Planeado'!C36</f>
        <v>574000</v>
      </c>
      <c r="D41" s="35">
        <f>'Detalle Mensual Real'!P36</f>
        <v>3439450</v>
      </c>
      <c r="E41" s="35">
        <f t="shared" si="4"/>
        <v>-2865450</v>
      </c>
      <c r="F41" s="37"/>
    </row>
    <row r="42" spans="1:7" x14ac:dyDescent="0.25">
      <c r="A42" s="23" t="s">
        <v>60</v>
      </c>
      <c r="B42" s="36"/>
      <c r="C42" s="56">
        <f>+'Detalle Mensual Planeado'!C37</f>
        <v>1511929</v>
      </c>
      <c r="D42" s="35">
        <f>'Detalle Mensual Real'!P37</f>
        <v>1633930</v>
      </c>
      <c r="E42" s="35">
        <f t="shared" si="4"/>
        <v>-122001</v>
      </c>
      <c r="F42" s="37"/>
    </row>
    <row r="43" spans="1:7" x14ac:dyDescent="0.25">
      <c r="C43" s="59"/>
    </row>
    <row r="44" spans="1:7" x14ac:dyDescent="0.25">
      <c r="A44" s="4" t="s">
        <v>63</v>
      </c>
      <c r="B44" s="4"/>
      <c r="C44" s="58">
        <f>SUM(C45)</f>
        <v>4419053</v>
      </c>
      <c r="D44" s="6">
        <f>'Detalle Mensual Real'!P39</f>
        <v>2667952</v>
      </c>
      <c r="E44" s="6">
        <f t="shared" ref="E44:E45" si="5">C44-D44</f>
        <v>1751101</v>
      </c>
      <c r="F44" s="31"/>
      <c r="G44" s="4"/>
    </row>
    <row r="45" spans="1:7" x14ac:dyDescent="0.25">
      <c r="A45" s="23" t="s">
        <v>62</v>
      </c>
      <c r="B45" s="36"/>
      <c r="C45" s="56">
        <f>+'Detalle Mensual Planeado'!C40</f>
        <v>4419053</v>
      </c>
      <c r="D45" s="35">
        <f>'Detalle Mensual Real'!P40</f>
        <v>2667952</v>
      </c>
      <c r="E45" s="35">
        <f t="shared" si="5"/>
        <v>1751101</v>
      </c>
      <c r="F45" s="37"/>
    </row>
    <row r="46" spans="1:7" x14ac:dyDescent="0.25">
      <c r="C46" s="59"/>
    </row>
    <row r="47" spans="1:7" x14ac:dyDescent="0.25">
      <c r="C47" s="57"/>
    </row>
    <row r="48" spans="1:7" ht="15.75" x14ac:dyDescent="0.25">
      <c r="A48" s="26" t="s">
        <v>71</v>
      </c>
      <c r="C48" s="24">
        <f>+C9+C12+-C19-C32-C39-C44</f>
        <v>-13613527.911731254</v>
      </c>
      <c r="D48" s="24">
        <f>+D9+D12+-D19-D32-D39-D44</f>
        <v>-9380410.7926533446</v>
      </c>
      <c r="E48" s="24">
        <f>+E9+E12+-E19-E32-E39-E44</f>
        <v>-4233117.1190779135</v>
      </c>
      <c r="F48" s="37"/>
    </row>
  </sheetData>
  <mergeCells count="1">
    <mergeCell ref="A4:F4"/>
  </mergeCells>
  <conditionalFormatting sqref="L4:L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EA0E-124E-475B-89E9-82A7E83B5DEE}">
  <dimension ref="A1:Q48"/>
  <sheetViews>
    <sheetView showGridLines="0" topLeftCell="A19" workbookViewId="0">
      <selection activeCell="F30" sqref="F30"/>
    </sheetView>
  </sheetViews>
  <sheetFormatPr baseColWidth="10" defaultRowHeight="15" x14ac:dyDescent="0.25"/>
  <cols>
    <col min="1" max="1" width="33.140625" bestFit="1" customWidth="1"/>
    <col min="2" max="2" width="33.140625" customWidth="1"/>
    <col min="3" max="4" width="15.85546875" bestFit="1" customWidth="1"/>
    <col min="5" max="9" width="13" bestFit="1" customWidth="1"/>
    <col min="10" max="10" width="15" customWidth="1"/>
    <col min="11" max="11" width="14.85546875" customWidth="1"/>
    <col min="12" max="12" width="13.140625" customWidth="1"/>
    <col min="13" max="13" width="14.5703125" bestFit="1" customWidth="1"/>
    <col min="14" max="14" width="13" bestFit="1" customWidth="1"/>
    <col min="15" max="15" width="3.140625" customWidth="1"/>
    <col min="16" max="16" width="13.140625" bestFit="1" customWidth="1"/>
  </cols>
  <sheetData>
    <row r="1" spans="1:16" s="33" customFormat="1" ht="27.6" customHeight="1" x14ac:dyDescent="0.25"/>
    <row r="3" spans="1:16" ht="15" customHeight="1" x14ac:dyDescent="0.25">
      <c r="A3" s="32" t="s">
        <v>36</v>
      </c>
      <c r="B3" s="32"/>
      <c r="C3" s="80" t="s">
        <v>22</v>
      </c>
      <c r="D3" s="80" t="s">
        <v>23</v>
      </c>
      <c r="E3" s="80" t="s">
        <v>24</v>
      </c>
      <c r="F3" s="80" t="s">
        <v>25</v>
      </c>
      <c r="G3" s="80" t="s">
        <v>26</v>
      </c>
      <c r="H3" s="80" t="s">
        <v>27</v>
      </c>
      <c r="I3" s="80" t="s">
        <v>28</v>
      </c>
      <c r="J3" s="80" t="s">
        <v>29</v>
      </c>
      <c r="K3" s="80" t="s">
        <v>30</v>
      </c>
      <c r="L3" s="80" t="s">
        <v>31</v>
      </c>
      <c r="M3" s="80" t="s">
        <v>32</v>
      </c>
      <c r="N3" s="80" t="s">
        <v>33</v>
      </c>
      <c r="P3" s="80" t="s">
        <v>34</v>
      </c>
    </row>
    <row r="4" spans="1:16" s="8" customFormat="1" ht="15" customHeight="1" x14ac:dyDescent="0.25"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/>
      <c r="P4" s="80"/>
    </row>
    <row r="5" spans="1:16" s="8" customFormat="1" ht="4.5" customHeight="1" x14ac:dyDescent="0.25"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/>
      <c r="P5" s="11"/>
    </row>
    <row r="6" spans="1:16" s="29" customFormat="1" ht="15.75" x14ac:dyDescent="0.25">
      <c r="A6" s="26" t="s">
        <v>3</v>
      </c>
      <c r="B6" s="26"/>
      <c r="C6" s="27">
        <f t="shared" ref="C6:N6" si="0">SUM(C7:C7)</f>
        <v>26175720</v>
      </c>
      <c r="D6" s="28">
        <f t="shared" si="0"/>
        <v>23873170</v>
      </c>
      <c r="E6" s="28">
        <f t="shared" si="0"/>
        <v>0</v>
      </c>
      <c r="F6" s="28">
        <f t="shared" si="0"/>
        <v>0</v>
      </c>
      <c r="G6" s="28">
        <f t="shared" si="0"/>
        <v>0</v>
      </c>
      <c r="H6" s="28">
        <f t="shared" si="0"/>
        <v>0</v>
      </c>
      <c r="I6" s="28">
        <f t="shared" si="0"/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P6" s="30">
        <f>SUM(C6:N6)</f>
        <v>50048890</v>
      </c>
    </row>
    <row r="7" spans="1:16" x14ac:dyDescent="0.25">
      <c r="A7" s="9" t="s">
        <v>49</v>
      </c>
      <c r="B7" s="72"/>
      <c r="C7" s="13">
        <v>26175720</v>
      </c>
      <c r="D7" s="12">
        <v>23873170</v>
      </c>
      <c r="E7" s="10"/>
      <c r="F7" s="10"/>
      <c r="G7" s="10"/>
      <c r="H7" s="10"/>
      <c r="I7" s="10"/>
      <c r="J7" s="10"/>
      <c r="K7" s="10"/>
      <c r="L7" s="10"/>
      <c r="M7" s="10"/>
      <c r="N7" s="10"/>
      <c r="P7" s="7">
        <f t="shared" ref="P7:P40" si="1">SUM(C7:N7)</f>
        <v>50048890</v>
      </c>
    </row>
    <row r="8" spans="1:16" x14ac:dyDescent="0.25">
      <c r="C8" s="1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P8" s="7"/>
    </row>
    <row r="9" spans="1:16" s="29" customFormat="1" ht="15.75" x14ac:dyDescent="0.25">
      <c r="A9" s="26" t="s">
        <v>20</v>
      </c>
      <c r="B9" s="26"/>
      <c r="C9" s="27">
        <f t="shared" ref="C9:N9" si="2">SUM(C10:C12)</f>
        <v>300000</v>
      </c>
      <c r="D9" s="28">
        <f t="shared" si="2"/>
        <v>350000</v>
      </c>
      <c r="E9" s="28">
        <f t="shared" si="2"/>
        <v>0</v>
      </c>
      <c r="F9" s="28">
        <f t="shared" si="2"/>
        <v>0</v>
      </c>
      <c r="G9" s="28">
        <f t="shared" si="2"/>
        <v>0</v>
      </c>
      <c r="H9" s="28">
        <f t="shared" si="2"/>
        <v>0</v>
      </c>
      <c r="I9" s="28">
        <f t="shared" si="2"/>
        <v>0</v>
      </c>
      <c r="J9" s="28">
        <f t="shared" si="2"/>
        <v>0</v>
      </c>
      <c r="K9" s="28">
        <f t="shared" si="2"/>
        <v>0</v>
      </c>
      <c r="L9" s="28">
        <f t="shared" si="2"/>
        <v>0</v>
      </c>
      <c r="M9" s="28">
        <f t="shared" si="2"/>
        <v>0</v>
      </c>
      <c r="N9" s="28">
        <f t="shared" si="2"/>
        <v>0</v>
      </c>
      <c r="P9" s="30">
        <f t="shared" si="1"/>
        <v>650000</v>
      </c>
    </row>
    <row r="10" spans="1:16" x14ac:dyDescent="0.25">
      <c r="A10" s="23" t="s">
        <v>62</v>
      </c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P10" s="7">
        <f t="shared" si="1"/>
        <v>0</v>
      </c>
    </row>
    <row r="11" spans="1:16" x14ac:dyDescent="0.25">
      <c r="A11" s="23" t="s">
        <v>65</v>
      </c>
      <c r="B11" s="23"/>
      <c r="C11" s="24">
        <v>300000</v>
      </c>
      <c r="D11" s="24">
        <v>350000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7">
        <f t="shared" si="1"/>
        <v>650000</v>
      </c>
    </row>
    <row r="12" spans="1:16" x14ac:dyDescent="0.25">
      <c r="A12" s="23" t="s">
        <v>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P12" s="7">
        <f t="shared" si="1"/>
        <v>0</v>
      </c>
    </row>
    <row r="13" spans="1:16" ht="10.5" customHeight="1" x14ac:dyDescent="0.25">
      <c r="C13" s="1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</row>
    <row r="14" spans="1:16" s="29" customFormat="1" ht="15.75" x14ac:dyDescent="0.25">
      <c r="A14" s="26" t="s">
        <v>1</v>
      </c>
      <c r="B14" s="26"/>
      <c r="C14" s="27">
        <f t="shared" ref="C14:N14" si="3">SUM(C15:C25)</f>
        <v>10664477.800000001</v>
      </c>
      <c r="D14" s="28">
        <f t="shared" si="3"/>
        <v>10475661</v>
      </c>
      <c r="E14" s="28">
        <f t="shared" si="3"/>
        <v>0</v>
      </c>
      <c r="F14" s="28">
        <f t="shared" si="3"/>
        <v>0</v>
      </c>
      <c r="G14" s="28">
        <f t="shared" si="3"/>
        <v>0</v>
      </c>
      <c r="H14" s="28">
        <f t="shared" si="3"/>
        <v>0</v>
      </c>
      <c r="I14" s="28">
        <f t="shared" si="3"/>
        <v>0</v>
      </c>
      <c r="J14" s="28">
        <f t="shared" si="3"/>
        <v>0</v>
      </c>
      <c r="K14" s="28">
        <f t="shared" si="3"/>
        <v>0</v>
      </c>
      <c r="L14" s="28">
        <f t="shared" si="3"/>
        <v>0</v>
      </c>
      <c r="M14" s="28">
        <f t="shared" si="3"/>
        <v>0</v>
      </c>
      <c r="N14" s="28">
        <f t="shared" si="3"/>
        <v>0</v>
      </c>
      <c r="P14" s="30">
        <f t="shared" si="1"/>
        <v>21140138.800000001</v>
      </c>
    </row>
    <row r="15" spans="1:16" x14ac:dyDescent="0.25">
      <c r="A15" s="23" t="s">
        <v>64</v>
      </c>
      <c r="B15" s="23" t="s">
        <v>73</v>
      </c>
      <c r="C15" s="62">
        <v>4579080.8</v>
      </c>
      <c r="D15" s="62">
        <v>4033061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P15" s="7">
        <f t="shared" si="1"/>
        <v>8612141.8000000007</v>
      </c>
    </row>
    <row r="16" spans="1:16" x14ac:dyDescent="0.25">
      <c r="A16" s="23" t="s">
        <v>50</v>
      </c>
      <c r="B16" s="23" t="s">
        <v>72</v>
      </c>
      <c r="C16" s="62"/>
      <c r="D16" s="62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7">
        <f t="shared" si="1"/>
        <v>0</v>
      </c>
    </row>
    <row r="17" spans="1:16" x14ac:dyDescent="0.25">
      <c r="A17" s="23" t="s">
        <v>57</v>
      </c>
      <c r="B17" s="23" t="s">
        <v>72</v>
      </c>
      <c r="C17" s="62">
        <v>292046</v>
      </c>
      <c r="D17" s="62"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P17" s="7">
        <f t="shared" si="1"/>
        <v>292046</v>
      </c>
    </row>
    <row r="18" spans="1:16" x14ac:dyDescent="0.25">
      <c r="A18" s="23" t="s">
        <v>56</v>
      </c>
      <c r="B18" s="23" t="s">
        <v>72</v>
      </c>
      <c r="C18" s="62">
        <v>215000</v>
      </c>
      <c r="D18" s="62">
        <v>215000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P18" s="7">
        <f t="shared" si="1"/>
        <v>430000</v>
      </c>
    </row>
    <row r="19" spans="1:16" x14ac:dyDescent="0.25">
      <c r="A19" s="23" t="s">
        <v>53</v>
      </c>
      <c r="B19" s="23" t="s">
        <v>72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P19" s="7">
        <f t="shared" si="1"/>
        <v>0</v>
      </c>
    </row>
    <row r="20" spans="1:16" x14ac:dyDescent="0.25">
      <c r="A20" s="23" t="s">
        <v>52</v>
      </c>
      <c r="B20" s="23" t="s">
        <v>73</v>
      </c>
      <c r="C20" s="62">
        <v>245170</v>
      </c>
      <c r="D20" s="24"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P20" s="7">
        <f t="shared" si="1"/>
        <v>245170</v>
      </c>
    </row>
    <row r="21" spans="1:16" x14ac:dyDescent="0.25">
      <c r="A21" s="23" t="s">
        <v>4</v>
      </c>
      <c r="B21" s="23" t="s">
        <v>72</v>
      </c>
      <c r="C21" s="62">
        <v>243194</v>
      </c>
      <c r="D21" s="62">
        <v>813300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P21" s="7">
        <f t="shared" si="1"/>
        <v>1056494</v>
      </c>
    </row>
    <row r="22" spans="1:16" x14ac:dyDescent="0.25">
      <c r="A22" s="23" t="s">
        <v>5</v>
      </c>
      <c r="B22" s="23" t="s">
        <v>73</v>
      </c>
      <c r="C22" s="62">
        <v>349670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P22" s="7">
        <f t="shared" si="1"/>
        <v>349670</v>
      </c>
    </row>
    <row r="23" spans="1:16" x14ac:dyDescent="0.25">
      <c r="A23" s="23" t="s">
        <v>6</v>
      </c>
      <c r="B23" s="23" t="s">
        <v>73</v>
      </c>
      <c r="C23" s="62">
        <v>1101910</v>
      </c>
      <c r="D23" s="62">
        <v>1887230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P23" s="7">
        <f t="shared" si="1"/>
        <v>2989140</v>
      </c>
    </row>
    <row r="24" spans="1:16" x14ac:dyDescent="0.25">
      <c r="A24" s="23" t="s">
        <v>7</v>
      </c>
      <c r="B24" s="23" t="s">
        <v>73</v>
      </c>
      <c r="C24" s="24"/>
      <c r="D24" s="62">
        <v>109810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P24" s="7">
        <f t="shared" si="1"/>
        <v>109810</v>
      </c>
    </row>
    <row r="25" spans="1:16" x14ac:dyDescent="0.25">
      <c r="A25" s="23" t="s">
        <v>51</v>
      </c>
      <c r="B25" s="23" t="s">
        <v>72</v>
      </c>
      <c r="C25" s="24">
        <v>3638407</v>
      </c>
      <c r="D25" s="24">
        <v>3417260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P25" s="7">
        <f t="shared" si="1"/>
        <v>7055667</v>
      </c>
    </row>
    <row r="26" spans="1:16" x14ac:dyDescent="0.25"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</row>
    <row r="27" spans="1:16" s="29" customFormat="1" ht="15.75" x14ac:dyDescent="0.25">
      <c r="A27" s="26" t="s">
        <v>8</v>
      </c>
      <c r="B27" s="26"/>
      <c r="C27" s="27">
        <f>SUM(C28:C31)</f>
        <v>18634751.992653344</v>
      </c>
      <c r="D27" s="28">
        <f t="shared" ref="D27:N27" si="4">SUM(D28:D31)</f>
        <v>12500878</v>
      </c>
      <c r="E27" s="28">
        <f t="shared" si="4"/>
        <v>0</v>
      </c>
      <c r="F27" s="28">
        <f t="shared" si="4"/>
        <v>0</v>
      </c>
      <c r="G27" s="28">
        <f t="shared" si="4"/>
        <v>0</v>
      </c>
      <c r="H27" s="28">
        <f t="shared" si="4"/>
        <v>0</v>
      </c>
      <c r="I27" s="28">
        <f t="shared" si="4"/>
        <v>0</v>
      </c>
      <c r="J27" s="28">
        <f t="shared" si="4"/>
        <v>0</v>
      </c>
      <c r="K27" s="28">
        <f t="shared" si="4"/>
        <v>0</v>
      </c>
      <c r="L27" s="28">
        <f t="shared" si="4"/>
        <v>0</v>
      </c>
      <c r="M27" s="28">
        <f t="shared" si="4"/>
        <v>0</v>
      </c>
      <c r="N27" s="28">
        <f t="shared" si="4"/>
        <v>0</v>
      </c>
      <c r="P27" s="30">
        <f t="shared" si="1"/>
        <v>31135629.992653344</v>
      </c>
    </row>
    <row r="28" spans="1:16" x14ac:dyDescent="0.25">
      <c r="A28" s="23" t="s">
        <v>61</v>
      </c>
      <c r="B28" s="23" t="s">
        <v>73</v>
      </c>
      <c r="C28" s="62">
        <f>+GETPIVOTDATA("Valor",'[1]Estado Resultados '!$A$3,"Año",2023,"Concepto","4.Ingresos para terceros Por  Servicios","Tipo","4.Ingresos")</f>
        <v>11008595.992653344</v>
      </c>
      <c r="D28" s="62">
        <f>+GETPIVOTDATA("Valor",'[2]Estado Resultados '!$A$8,"Mes",2,"Año",2023,"Concepto","4.Ingresos para terceros Por  Servicios","Tipo","4.Ingresos")</f>
        <v>12500878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P28" s="7">
        <f t="shared" si="1"/>
        <v>23509473.992653344</v>
      </c>
    </row>
    <row r="29" spans="1:16" x14ac:dyDescent="0.25">
      <c r="A29" s="23" t="s">
        <v>66</v>
      </c>
      <c r="B29" s="23" t="s">
        <v>72</v>
      </c>
      <c r="C29" s="74">
        <v>2570000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7">
        <f t="shared" si="1"/>
        <v>2570000</v>
      </c>
    </row>
    <row r="30" spans="1:16" x14ac:dyDescent="0.25">
      <c r="A30" s="23" t="s">
        <v>9</v>
      </c>
      <c r="B30" s="23" t="s">
        <v>72</v>
      </c>
      <c r="C30" s="74">
        <f>4000000</f>
        <v>4000000</v>
      </c>
      <c r="D30" s="24"/>
      <c r="E30" s="24"/>
      <c r="F30" s="24" t="s">
        <v>74</v>
      </c>
      <c r="G30" s="24"/>
      <c r="H30" s="24"/>
      <c r="I30" s="24"/>
      <c r="J30" s="24"/>
      <c r="K30" s="24"/>
      <c r="L30" s="24"/>
      <c r="M30" s="24"/>
      <c r="N30" s="24"/>
      <c r="P30" s="7"/>
    </row>
    <row r="31" spans="1:16" x14ac:dyDescent="0.25">
      <c r="A31" s="23" t="s">
        <v>55</v>
      </c>
      <c r="B31" s="23" t="s">
        <v>72</v>
      </c>
      <c r="C31" s="62">
        <v>1056156</v>
      </c>
      <c r="D31" s="24">
        <v>0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7">
        <f t="shared" si="1"/>
        <v>1056156</v>
      </c>
    </row>
    <row r="32" spans="1:16" x14ac:dyDescent="0.25">
      <c r="A32" s="23" t="s">
        <v>54</v>
      </c>
      <c r="B32" s="23" t="s">
        <v>72</v>
      </c>
      <c r="C32" s="62">
        <f>+GETPIVOTDATA("Valor",'[2]Estado Resultados '!$A$8,"Mes",1,"Año",2023,"Concepto","5.Gastos - Publicidad","Tipo","5.Gastos")</f>
        <v>243194</v>
      </c>
      <c r="D32" s="64">
        <f>+GETPIVOTDATA("Valor",'[2]Estado Resultados '!$A$8,"Mes",2,"Año",2023,"Concepto","5.Gastos - Publicidad","Tipo","5.Gastos")</f>
        <v>813300</v>
      </c>
      <c r="E32" s="7"/>
      <c r="F32" s="7"/>
      <c r="G32" s="7"/>
      <c r="H32" s="7"/>
      <c r="I32" s="7"/>
      <c r="J32" s="7"/>
      <c r="K32" s="7"/>
      <c r="L32" s="7"/>
      <c r="M32" s="7"/>
      <c r="N32" s="7"/>
      <c r="P32" s="7"/>
    </row>
    <row r="33" spans="1:17" x14ac:dyDescent="0.25">
      <c r="A33" s="60"/>
      <c r="C33" s="7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P33" s="7"/>
    </row>
    <row r="34" spans="1:17" s="29" customFormat="1" ht="15.75" x14ac:dyDescent="0.25">
      <c r="A34" s="26" t="s">
        <v>11</v>
      </c>
      <c r="B34" s="26"/>
      <c r="C34" s="76">
        <f>SUM(C35:C37)</f>
        <v>5107580</v>
      </c>
      <c r="D34" s="28">
        <f t="shared" ref="D34:N34" si="5">SUM(D35:D37)</f>
        <v>28000</v>
      </c>
      <c r="E34" s="28">
        <f t="shared" si="5"/>
        <v>0</v>
      </c>
      <c r="F34" s="28">
        <f t="shared" si="5"/>
        <v>0</v>
      </c>
      <c r="G34" s="28">
        <f t="shared" si="5"/>
        <v>0</v>
      </c>
      <c r="H34" s="28">
        <f t="shared" si="5"/>
        <v>0</v>
      </c>
      <c r="I34" s="28">
        <f t="shared" si="5"/>
        <v>0</v>
      </c>
      <c r="J34" s="28">
        <f t="shared" si="5"/>
        <v>0</v>
      </c>
      <c r="K34" s="28">
        <f t="shared" si="5"/>
        <v>0</v>
      </c>
      <c r="L34" s="28">
        <f t="shared" si="5"/>
        <v>0</v>
      </c>
      <c r="M34" s="28">
        <f t="shared" si="5"/>
        <v>0</v>
      </c>
      <c r="N34" s="28">
        <f t="shared" si="5"/>
        <v>0</v>
      </c>
      <c r="P34" s="30">
        <f t="shared" si="1"/>
        <v>5135580</v>
      </c>
    </row>
    <row r="35" spans="1:17" x14ac:dyDescent="0.25">
      <c r="A35" s="23" t="s">
        <v>58</v>
      </c>
      <c r="B35" s="23" t="s">
        <v>73</v>
      </c>
      <c r="C35" s="74">
        <v>54200</v>
      </c>
      <c r="D35" s="24">
        <f>+GETPIVOTDATA("Valor",'[2]Estado Resultados '!$A$8,"Mes",2,"Año",2023,"Concepto","5.Gastos - Papeleria","Tipo","5.Gastos")</f>
        <v>8000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P35" s="7">
        <f t="shared" si="1"/>
        <v>62200</v>
      </c>
    </row>
    <row r="36" spans="1:17" x14ac:dyDescent="0.25">
      <c r="A36" s="23" t="s">
        <v>59</v>
      </c>
      <c r="B36" s="23" t="s">
        <v>73</v>
      </c>
      <c r="C36" s="74">
        <v>3419450</v>
      </c>
      <c r="D36" s="24">
        <f>+GETPIVOTDATA("Valor",'[2]Estado Resultados '!$A$8,"Mes",2,"Año",2023,"Concepto","5.Gastos - Adecuacion e instalaciones","Tipo","5.Gastos")</f>
        <v>20000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P36" s="7">
        <f t="shared" si="1"/>
        <v>3439450</v>
      </c>
    </row>
    <row r="37" spans="1:17" x14ac:dyDescent="0.25">
      <c r="A37" s="23" t="s">
        <v>60</v>
      </c>
      <c r="B37" s="23" t="s">
        <v>73</v>
      </c>
      <c r="C37" s="74">
        <f>1303730+44600+285600</f>
        <v>1633930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P37" s="7">
        <f t="shared" si="1"/>
        <v>1633930</v>
      </c>
    </row>
    <row r="38" spans="1:17" x14ac:dyDescent="0.25">
      <c r="C38" s="7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P38" s="7"/>
    </row>
    <row r="39" spans="1:17" s="29" customFormat="1" ht="15.75" x14ac:dyDescent="0.25">
      <c r="A39" s="26" t="s">
        <v>63</v>
      </c>
      <c r="B39" s="26"/>
      <c r="C39" s="76">
        <f>SUM(C40)</f>
        <v>2667952</v>
      </c>
      <c r="D39" s="28">
        <f t="shared" ref="D39:N39" si="6">SUM(D40)</f>
        <v>0</v>
      </c>
      <c r="E39" s="28">
        <f t="shared" si="6"/>
        <v>0</v>
      </c>
      <c r="F39" s="28">
        <f t="shared" si="6"/>
        <v>0</v>
      </c>
      <c r="G39" s="28">
        <f t="shared" si="6"/>
        <v>0</v>
      </c>
      <c r="H39" s="28">
        <f t="shared" si="6"/>
        <v>0</v>
      </c>
      <c r="I39" s="28">
        <f t="shared" si="6"/>
        <v>0</v>
      </c>
      <c r="J39" s="28">
        <f t="shared" si="6"/>
        <v>0</v>
      </c>
      <c r="K39" s="28">
        <f t="shared" si="6"/>
        <v>0</v>
      </c>
      <c r="L39" s="28">
        <f t="shared" si="6"/>
        <v>0</v>
      </c>
      <c r="M39" s="28">
        <f t="shared" si="6"/>
        <v>0</v>
      </c>
      <c r="N39" s="28">
        <f t="shared" si="6"/>
        <v>0</v>
      </c>
      <c r="P39" s="30">
        <f t="shared" si="1"/>
        <v>2667952</v>
      </c>
    </row>
    <row r="40" spans="1:17" x14ac:dyDescent="0.25">
      <c r="A40" s="23" t="s">
        <v>62</v>
      </c>
      <c r="B40" s="23" t="s">
        <v>73</v>
      </c>
      <c r="C40" s="74">
        <f>2135633+532319</f>
        <v>2667952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P40" s="7">
        <f t="shared" si="1"/>
        <v>2667952</v>
      </c>
    </row>
    <row r="41" spans="1:17" x14ac:dyDescent="0.25">
      <c r="C41" s="57"/>
    </row>
    <row r="42" spans="1:17" x14ac:dyDescent="0.25">
      <c r="C42" s="5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P42" s="7"/>
      <c r="Q42" s="65"/>
    </row>
    <row r="43" spans="1:17" ht="15.75" x14ac:dyDescent="0.25">
      <c r="A43" s="26" t="s">
        <v>71</v>
      </c>
      <c r="B43" s="26"/>
      <c r="C43" s="74">
        <f>+C6+C9-C14-C27-C34-C39</f>
        <v>-10599041.792653345</v>
      </c>
      <c r="D43" s="24">
        <f t="shared" ref="D43:N43" si="7">+D6+D9-D14-D27-D34-D39</f>
        <v>1218631</v>
      </c>
      <c r="E43" s="24">
        <f t="shared" si="7"/>
        <v>0</v>
      </c>
      <c r="F43" s="24">
        <f t="shared" si="7"/>
        <v>0</v>
      </c>
      <c r="G43" s="24">
        <f t="shared" si="7"/>
        <v>0</v>
      </c>
      <c r="H43" s="24">
        <f t="shared" si="7"/>
        <v>0</v>
      </c>
      <c r="I43" s="24">
        <f t="shared" si="7"/>
        <v>0</v>
      </c>
      <c r="J43" s="24">
        <f t="shared" si="7"/>
        <v>0</v>
      </c>
      <c r="K43" s="24">
        <f t="shared" si="7"/>
        <v>0</v>
      </c>
      <c r="L43" s="24">
        <f t="shared" si="7"/>
        <v>0</v>
      </c>
      <c r="M43" s="24">
        <f t="shared" si="7"/>
        <v>0</v>
      </c>
      <c r="N43" s="24">
        <f t="shared" si="7"/>
        <v>0</v>
      </c>
    </row>
    <row r="44" spans="1:17" x14ac:dyDescent="0.25">
      <c r="C44" s="74">
        <f>+C5+C8-C13-C26-C33-C38</f>
        <v>0</v>
      </c>
    </row>
    <row r="45" spans="1:17" x14ac:dyDescent="0.25">
      <c r="C45" s="57"/>
    </row>
    <row r="46" spans="1:17" x14ac:dyDescent="0.25">
      <c r="C46" s="57"/>
    </row>
    <row r="47" spans="1:17" x14ac:dyDescent="0.25">
      <c r="B47" s="23" t="s">
        <v>72</v>
      </c>
      <c r="C47" s="73">
        <f>SUM(C16:C19,C21,C25,C29:C32)</f>
        <v>12257997</v>
      </c>
      <c r="D47" s="73">
        <f t="shared" ref="D47:N47" si="8">SUM(D16:D19,D21,D25,D29:D32)</f>
        <v>5258860</v>
      </c>
      <c r="E47" s="73">
        <f t="shared" si="8"/>
        <v>0</v>
      </c>
      <c r="F47" s="73">
        <f t="shared" si="8"/>
        <v>0</v>
      </c>
      <c r="G47" s="73">
        <f t="shared" si="8"/>
        <v>0</v>
      </c>
      <c r="H47" s="73">
        <f t="shared" si="8"/>
        <v>0</v>
      </c>
      <c r="I47" s="73">
        <f t="shared" si="8"/>
        <v>0</v>
      </c>
      <c r="J47" s="73">
        <f t="shared" si="8"/>
        <v>0</v>
      </c>
      <c r="K47" s="73">
        <f t="shared" si="8"/>
        <v>0</v>
      </c>
      <c r="L47" s="73">
        <f t="shared" si="8"/>
        <v>0</v>
      </c>
      <c r="M47" s="73">
        <f t="shared" si="8"/>
        <v>0</v>
      </c>
      <c r="N47" s="73">
        <f t="shared" si="8"/>
        <v>0</v>
      </c>
    </row>
    <row r="48" spans="1:17" x14ac:dyDescent="0.25">
      <c r="B48" s="23" t="s">
        <v>73</v>
      </c>
      <c r="C48" s="55">
        <f>SUM(C15,C20,C22:C24,C35:C37,C40)</f>
        <v>14051362.800000001</v>
      </c>
      <c r="D48" s="55">
        <f t="shared" ref="D48:N48" si="9">SUM(D15,D20,D22:D24,D35:D37,D40)</f>
        <v>6058101</v>
      </c>
      <c r="E48" s="55">
        <f t="shared" si="9"/>
        <v>0</v>
      </c>
      <c r="F48" s="55">
        <f t="shared" si="9"/>
        <v>0</v>
      </c>
      <c r="G48" s="55">
        <f t="shared" si="9"/>
        <v>0</v>
      </c>
      <c r="H48" s="55">
        <f t="shared" si="9"/>
        <v>0</v>
      </c>
      <c r="I48" s="55">
        <f t="shared" si="9"/>
        <v>0</v>
      </c>
      <c r="J48" s="55">
        <f t="shared" si="9"/>
        <v>0</v>
      </c>
      <c r="K48" s="55">
        <f t="shared" si="9"/>
        <v>0</v>
      </c>
      <c r="L48" s="55">
        <f t="shared" si="9"/>
        <v>0</v>
      </c>
      <c r="M48" s="55">
        <f t="shared" si="9"/>
        <v>0</v>
      </c>
      <c r="N48" s="55">
        <f t="shared" si="9"/>
        <v>0</v>
      </c>
    </row>
  </sheetData>
  <mergeCells count="13">
    <mergeCell ref="C3:C4"/>
    <mergeCell ref="P3:P4"/>
    <mergeCell ref="I3:I4"/>
    <mergeCell ref="J3:J4"/>
    <mergeCell ref="K3:K4"/>
    <mergeCell ref="L3:L4"/>
    <mergeCell ref="M3:M4"/>
    <mergeCell ref="N3:N4"/>
    <mergeCell ref="D3:D4"/>
    <mergeCell ref="E3:E4"/>
    <mergeCell ref="F3:F4"/>
    <mergeCell ref="G3:G4"/>
    <mergeCell ref="H3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6CE0-CF0D-4AB0-9C50-B15B778C3C8B}">
  <dimension ref="A1:Q48"/>
  <sheetViews>
    <sheetView showGridLines="0" tabSelected="1" topLeftCell="H30" zoomScale="93" zoomScaleNormal="93" workbookViewId="0">
      <selection activeCell="V36" sqref="V36"/>
    </sheetView>
  </sheetViews>
  <sheetFormatPr baseColWidth="10" defaultRowHeight="15" x14ac:dyDescent="0.25"/>
  <cols>
    <col min="1" max="1" width="33.140625" bestFit="1" customWidth="1"/>
    <col min="2" max="2" width="13.85546875" customWidth="1"/>
    <col min="3" max="13" width="15.85546875" customWidth="1"/>
    <col min="14" max="14" width="17.7109375" customWidth="1"/>
    <col min="15" max="15" width="3.140625" customWidth="1"/>
    <col min="16" max="16" width="16.28515625" bestFit="1" customWidth="1"/>
  </cols>
  <sheetData>
    <row r="1" spans="1:17" s="33" customFormat="1" ht="27.6" customHeight="1" x14ac:dyDescent="0.25"/>
    <row r="3" spans="1:17" ht="15" customHeight="1" x14ac:dyDescent="0.25">
      <c r="A3" s="32" t="s">
        <v>35</v>
      </c>
      <c r="B3" s="32"/>
      <c r="C3" s="80" t="s">
        <v>22</v>
      </c>
      <c r="D3" s="80" t="s">
        <v>23</v>
      </c>
      <c r="E3" s="80" t="s">
        <v>24</v>
      </c>
      <c r="F3" s="80" t="s">
        <v>25</v>
      </c>
      <c r="G3" s="80" t="s">
        <v>26</v>
      </c>
      <c r="H3" s="80" t="s">
        <v>27</v>
      </c>
      <c r="I3" s="80" t="s">
        <v>28</v>
      </c>
      <c r="J3" s="80" t="s">
        <v>29</v>
      </c>
      <c r="K3" s="80" t="s">
        <v>30</v>
      </c>
      <c r="L3" s="80" t="s">
        <v>31</v>
      </c>
      <c r="M3" s="80" t="s">
        <v>32</v>
      </c>
      <c r="N3" s="80" t="s">
        <v>33</v>
      </c>
      <c r="P3" s="80" t="s">
        <v>34</v>
      </c>
    </row>
    <row r="4" spans="1:17" s="8" customFormat="1" ht="15" customHeight="1" x14ac:dyDescent="0.25"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/>
      <c r="P4" s="80"/>
    </row>
    <row r="5" spans="1:17" s="8" customFormat="1" ht="4.5" customHeight="1" x14ac:dyDescent="0.25"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/>
      <c r="P5" s="11"/>
    </row>
    <row r="6" spans="1:17" s="29" customFormat="1" ht="15.75" x14ac:dyDescent="0.25">
      <c r="A6" s="26" t="s">
        <v>3</v>
      </c>
      <c r="B6" s="26"/>
      <c r="C6" s="27">
        <f t="shared" ref="C6:N6" si="0">SUM(C7:C7)</f>
        <v>15780732.114925586</v>
      </c>
      <c r="D6" s="28">
        <f t="shared" si="0"/>
        <v>29771946.664630089</v>
      </c>
      <c r="E6" s="28">
        <f t="shared" si="0"/>
        <v>36522169.614783116</v>
      </c>
      <c r="F6" s="28">
        <f t="shared" si="0"/>
        <v>25358534.617815215</v>
      </c>
      <c r="G6" s="28">
        <f t="shared" si="0"/>
        <v>34696716.604921028</v>
      </c>
      <c r="H6" s="28">
        <f t="shared" si="0"/>
        <v>36857483.778408922</v>
      </c>
      <c r="I6" s="28">
        <f t="shared" si="0"/>
        <v>41209714.356166117</v>
      </c>
      <c r="J6" s="28">
        <f t="shared" si="0"/>
        <v>39592790.972319677</v>
      </c>
      <c r="K6" s="28">
        <f t="shared" si="0"/>
        <v>39915079.980351999</v>
      </c>
      <c r="L6" s="28">
        <f t="shared" si="0"/>
        <v>50297866.638974652</v>
      </c>
      <c r="M6" s="28">
        <f t="shared" si="0"/>
        <v>41045030.652194552</v>
      </c>
      <c r="N6" s="28">
        <f t="shared" si="0"/>
        <v>61693383.332047567</v>
      </c>
      <c r="P6" s="30">
        <f>SUM(C6:N6)</f>
        <v>452741449.32753855</v>
      </c>
    </row>
    <row r="7" spans="1:17" x14ac:dyDescent="0.25">
      <c r="A7" s="9" t="s">
        <v>49</v>
      </c>
      <c r="B7" s="72"/>
      <c r="C7" s="13">
        <v>15780732.114925586</v>
      </c>
      <c r="D7" s="12">
        <v>29771946.664630089</v>
      </c>
      <c r="E7" s="10">
        <v>36522169.614783116</v>
      </c>
      <c r="F7" s="10">
        <v>25358534.617815215</v>
      </c>
      <c r="G7" s="10">
        <v>34696716.604921028</v>
      </c>
      <c r="H7" s="10">
        <v>36857483.778408922</v>
      </c>
      <c r="I7" s="10">
        <v>41209714.356166117</v>
      </c>
      <c r="J7" s="10">
        <v>39592790.972319677</v>
      </c>
      <c r="K7" s="10">
        <v>39915079.980351999</v>
      </c>
      <c r="L7" s="10">
        <v>50297866.638974652</v>
      </c>
      <c r="M7" s="10">
        <v>41045030.652194552</v>
      </c>
      <c r="N7" s="10">
        <v>61693383.332047567</v>
      </c>
      <c r="P7" s="7">
        <f t="shared" ref="P7:P40" si="1">SUM(C7:N7)</f>
        <v>452741449.32753855</v>
      </c>
    </row>
    <row r="8" spans="1:17" x14ac:dyDescent="0.2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7"/>
    </row>
    <row r="9" spans="1:17" s="29" customFormat="1" ht="15.75" x14ac:dyDescent="0.25">
      <c r="A9" s="26" t="s">
        <v>20</v>
      </c>
      <c r="B9" s="26"/>
      <c r="C9" s="27">
        <f t="shared" ref="C9:N9" si="2">SUM(C10:C12)</f>
        <v>300000</v>
      </c>
      <c r="D9" s="28">
        <f t="shared" si="2"/>
        <v>300000</v>
      </c>
      <c r="E9" s="28">
        <f t="shared" si="2"/>
        <v>300000</v>
      </c>
      <c r="F9" s="28">
        <f t="shared" si="2"/>
        <v>300000</v>
      </c>
      <c r="G9" s="28">
        <f t="shared" si="2"/>
        <v>300000</v>
      </c>
      <c r="H9" s="28">
        <f t="shared" si="2"/>
        <v>300000</v>
      </c>
      <c r="I9" s="28">
        <f t="shared" si="2"/>
        <v>300000</v>
      </c>
      <c r="J9" s="28">
        <f t="shared" si="2"/>
        <v>300000</v>
      </c>
      <c r="K9" s="28">
        <f t="shared" si="2"/>
        <v>300000</v>
      </c>
      <c r="L9" s="28">
        <f t="shared" si="2"/>
        <v>300000</v>
      </c>
      <c r="M9" s="28">
        <f t="shared" si="2"/>
        <v>300000</v>
      </c>
      <c r="N9" s="28">
        <f t="shared" si="2"/>
        <v>300000</v>
      </c>
      <c r="P9" s="30">
        <f t="shared" si="1"/>
        <v>3600000</v>
      </c>
    </row>
    <row r="10" spans="1:17" ht="16.5" customHeight="1" x14ac:dyDescent="0.25">
      <c r="A10" s="23" t="s">
        <v>62</v>
      </c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P10" s="7">
        <f t="shared" si="1"/>
        <v>0</v>
      </c>
    </row>
    <row r="11" spans="1:17" x14ac:dyDescent="0.25">
      <c r="A11" s="23" t="s">
        <v>65</v>
      </c>
      <c r="B11" s="23"/>
      <c r="C11" s="24">
        <v>300000</v>
      </c>
      <c r="D11" s="24">
        <v>300000</v>
      </c>
      <c r="E11" s="24">
        <v>300000</v>
      </c>
      <c r="F11" s="24">
        <v>300000</v>
      </c>
      <c r="G11" s="24">
        <v>300000</v>
      </c>
      <c r="H11" s="24">
        <v>300000</v>
      </c>
      <c r="I11" s="24">
        <v>300000</v>
      </c>
      <c r="J11" s="24">
        <v>300000</v>
      </c>
      <c r="K11" s="24">
        <v>300000</v>
      </c>
      <c r="L11" s="24">
        <v>300000</v>
      </c>
      <c r="M11" s="24">
        <v>300000</v>
      </c>
      <c r="N11" s="24">
        <v>300000</v>
      </c>
      <c r="P11" s="7">
        <f t="shared" si="1"/>
        <v>3600000</v>
      </c>
    </row>
    <row r="12" spans="1:17" x14ac:dyDescent="0.25">
      <c r="A12" s="23" t="s">
        <v>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P12" s="7">
        <f t="shared" si="1"/>
        <v>0</v>
      </c>
    </row>
    <row r="13" spans="1:17" ht="10.5" customHeight="1" x14ac:dyDescent="0.25">
      <c r="C13" s="1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</row>
    <row r="14" spans="1:17" s="29" customFormat="1" ht="15.75" x14ac:dyDescent="0.25">
      <c r="A14" s="26" t="s">
        <v>1</v>
      </c>
      <c r="B14" s="26"/>
      <c r="C14" s="61">
        <f>SUM(C15:C25)</f>
        <v>9352954.2172388379</v>
      </c>
      <c r="D14" s="27">
        <f t="shared" ref="D14:N14" si="3">SUM(D15:D25)</f>
        <v>11206466.399694514</v>
      </c>
      <c r="E14" s="27">
        <f t="shared" si="3"/>
        <v>12464169.842217468</v>
      </c>
      <c r="F14" s="27">
        <f t="shared" si="3"/>
        <v>10544454.592672283</v>
      </c>
      <c r="G14" s="27">
        <f t="shared" si="3"/>
        <v>12190351.890738154</v>
      </c>
      <c r="H14" s="27">
        <f t="shared" si="3"/>
        <v>12269296.966761338</v>
      </c>
      <c r="I14" s="27">
        <f t="shared" si="3"/>
        <v>13167301.553424919</v>
      </c>
      <c r="J14" s="27">
        <f t="shared" si="3"/>
        <v>13238902.490647949</v>
      </c>
      <c r="K14" s="27">
        <f t="shared" si="3"/>
        <v>13532415.841852799</v>
      </c>
      <c r="L14" s="27">
        <f t="shared" si="3"/>
        <v>14844663.840646196</v>
      </c>
      <c r="M14" s="27">
        <f t="shared" si="3"/>
        <v>13701908.442629181</v>
      </c>
      <c r="N14" s="27">
        <f t="shared" si="3"/>
        <v>16553991.344607133</v>
      </c>
      <c r="P14" s="30">
        <f t="shared" si="1"/>
        <v>153066877.42313078</v>
      </c>
    </row>
    <row r="15" spans="1:17" x14ac:dyDescent="0.25">
      <c r="A15" s="23" t="s">
        <v>64</v>
      </c>
      <c r="B15" s="23" t="s">
        <v>73</v>
      </c>
      <c r="C15" s="62">
        <f t="shared" ref="C15:N15" si="4">+C6*15%</f>
        <v>2367109.8172388379</v>
      </c>
      <c r="D15" s="62">
        <f t="shared" si="4"/>
        <v>4465791.9996945132</v>
      </c>
      <c r="E15" s="62">
        <f t="shared" si="4"/>
        <v>5478325.4422174674</v>
      </c>
      <c r="F15" s="62">
        <f t="shared" si="4"/>
        <v>3803780.192672282</v>
      </c>
      <c r="G15" s="62">
        <f t="shared" si="4"/>
        <v>5204507.4907381544</v>
      </c>
      <c r="H15" s="62">
        <f t="shared" si="4"/>
        <v>5528622.5667613382</v>
      </c>
      <c r="I15" s="62">
        <f t="shared" si="4"/>
        <v>6181457.1534249177</v>
      </c>
      <c r="J15" s="62">
        <f t="shared" si="4"/>
        <v>5938918.6458479511</v>
      </c>
      <c r="K15" s="62">
        <f t="shared" si="4"/>
        <v>5987261.9970527999</v>
      </c>
      <c r="L15" s="62">
        <f t="shared" si="4"/>
        <v>7544679.995846197</v>
      </c>
      <c r="M15" s="62">
        <f t="shared" si="4"/>
        <v>6156754.5978291826</v>
      </c>
      <c r="N15" s="62">
        <f t="shared" si="4"/>
        <v>9254007.4998071343</v>
      </c>
      <c r="O15" s="63"/>
      <c r="P15" s="64">
        <f t="shared" si="1"/>
        <v>67911217.399130791</v>
      </c>
      <c r="Q15" s="71">
        <f>+P15/$P$7</f>
        <v>0.15000000000000002</v>
      </c>
    </row>
    <row r="16" spans="1:17" x14ac:dyDescent="0.25">
      <c r="A16" s="23" t="s">
        <v>50</v>
      </c>
      <c r="B16" s="23" t="s">
        <v>72</v>
      </c>
      <c r="C16" s="24">
        <v>285600</v>
      </c>
      <c r="D16" s="24">
        <v>285600</v>
      </c>
      <c r="E16" s="24">
        <v>285600</v>
      </c>
      <c r="F16" s="24">
        <v>285600</v>
      </c>
      <c r="G16" s="24">
        <v>285600</v>
      </c>
      <c r="H16" s="24">
        <v>285600</v>
      </c>
      <c r="I16" s="24">
        <v>285600</v>
      </c>
      <c r="J16" s="24">
        <v>285600</v>
      </c>
      <c r="K16" s="24">
        <v>285600</v>
      </c>
      <c r="L16" s="24">
        <v>285600</v>
      </c>
      <c r="M16" s="24">
        <v>285600</v>
      </c>
      <c r="N16" s="24">
        <v>285600</v>
      </c>
      <c r="P16" s="7">
        <f t="shared" si="1"/>
        <v>3427200</v>
      </c>
      <c r="Q16" s="69">
        <f t="shared" ref="Q16:Q25" si="5">+P16/$P$7</f>
        <v>7.5698834402956805E-3</v>
      </c>
    </row>
    <row r="17" spans="1:17" x14ac:dyDescent="0.25">
      <c r="A17" s="23" t="s">
        <v>57</v>
      </c>
      <c r="B17" s="23" t="s">
        <v>72</v>
      </c>
      <c r="C17" s="24">
        <v>146023</v>
      </c>
      <c r="D17" s="24">
        <v>146023</v>
      </c>
      <c r="E17" s="24">
        <v>146023</v>
      </c>
      <c r="F17" s="24">
        <v>146023</v>
      </c>
      <c r="G17" s="24">
        <v>146023</v>
      </c>
      <c r="H17" s="24">
        <v>146023</v>
      </c>
      <c r="I17" s="24">
        <v>146023</v>
      </c>
      <c r="J17" s="24">
        <v>146023</v>
      </c>
      <c r="K17" s="24">
        <v>146023</v>
      </c>
      <c r="L17" s="24">
        <v>146023</v>
      </c>
      <c r="M17" s="24">
        <v>146023</v>
      </c>
      <c r="N17" s="24">
        <v>146023</v>
      </c>
      <c r="O17" s="24"/>
      <c r="P17" s="7">
        <f t="shared" si="1"/>
        <v>1752276</v>
      </c>
      <c r="Q17" s="69">
        <f t="shared" si="5"/>
        <v>3.8703679607923537E-3</v>
      </c>
    </row>
    <row r="18" spans="1:17" x14ac:dyDescent="0.25">
      <c r="A18" s="23" t="s">
        <v>56</v>
      </c>
      <c r="B18" s="23" t="s">
        <v>72</v>
      </c>
      <c r="C18" s="24">
        <v>215000</v>
      </c>
      <c r="D18" s="24">
        <v>215000</v>
      </c>
      <c r="E18" s="24">
        <v>215000</v>
      </c>
      <c r="F18" s="24">
        <v>215000</v>
      </c>
      <c r="G18" s="24">
        <v>215000</v>
      </c>
      <c r="H18" s="24">
        <v>215000</v>
      </c>
      <c r="I18" s="24">
        <v>215000</v>
      </c>
      <c r="J18" s="24">
        <v>215000</v>
      </c>
      <c r="K18" s="24">
        <v>215000</v>
      </c>
      <c r="L18" s="24">
        <v>215000</v>
      </c>
      <c r="M18" s="24">
        <v>215000</v>
      </c>
      <c r="N18" s="24">
        <v>215000</v>
      </c>
      <c r="P18" s="7">
        <f t="shared" si="1"/>
        <v>2580000</v>
      </c>
      <c r="Q18" s="69">
        <f t="shared" si="5"/>
        <v>5.6986167355167058E-3</v>
      </c>
    </row>
    <row r="19" spans="1:17" x14ac:dyDescent="0.25">
      <c r="A19" s="23" t="s">
        <v>53</v>
      </c>
      <c r="B19" s="23" t="s">
        <v>72</v>
      </c>
      <c r="C19" s="24">
        <v>50275</v>
      </c>
      <c r="D19" s="24">
        <v>50275</v>
      </c>
      <c r="E19" s="24">
        <v>50275</v>
      </c>
      <c r="F19" s="24">
        <v>50275</v>
      </c>
      <c r="G19" s="24">
        <v>50275</v>
      </c>
      <c r="H19" s="24">
        <v>50275</v>
      </c>
      <c r="I19" s="24">
        <v>50275</v>
      </c>
      <c r="J19" s="24">
        <v>50275</v>
      </c>
      <c r="K19" s="24">
        <v>50275</v>
      </c>
      <c r="L19" s="24">
        <v>50275</v>
      </c>
      <c r="M19" s="24">
        <v>50275</v>
      </c>
      <c r="N19" s="24">
        <v>50275</v>
      </c>
      <c r="P19" s="7">
        <f t="shared" si="1"/>
        <v>603300</v>
      </c>
      <c r="Q19" s="69">
        <f t="shared" si="5"/>
        <v>1.3325486343167554E-3</v>
      </c>
    </row>
    <row r="20" spans="1:17" x14ac:dyDescent="0.25">
      <c r="A20" s="23" t="s">
        <v>52</v>
      </c>
      <c r="B20" s="23" t="s">
        <v>73</v>
      </c>
      <c r="C20" s="24">
        <v>245170</v>
      </c>
      <c r="D20" s="24"/>
      <c r="E20" s="24">
        <v>245170</v>
      </c>
      <c r="F20" s="24"/>
      <c r="G20" s="24">
        <v>245170</v>
      </c>
      <c r="H20" s="24"/>
      <c r="I20" s="24">
        <v>245170</v>
      </c>
      <c r="J20" s="24"/>
      <c r="K20" s="24">
        <v>245170</v>
      </c>
      <c r="L20" s="24"/>
      <c r="M20" s="24">
        <v>245170</v>
      </c>
      <c r="N20" s="24"/>
      <c r="P20" s="7">
        <f t="shared" si="1"/>
        <v>1471020</v>
      </c>
      <c r="Q20" s="69">
        <f t="shared" si="5"/>
        <v>3.2491392210386764E-3</v>
      </c>
    </row>
    <row r="21" spans="1:17" x14ac:dyDescent="0.25">
      <c r="A21" s="23" t="s">
        <v>4</v>
      </c>
      <c r="B21" s="23" t="s">
        <v>72</v>
      </c>
      <c r="C21" s="24">
        <v>1000000</v>
      </c>
      <c r="D21" s="24">
        <v>1000000</v>
      </c>
      <c r="E21" s="24">
        <v>1000000</v>
      </c>
      <c r="F21" s="24">
        <v>1000000</v>
      </c>
      <c r="G21" s="24">
        <v>1000000</v>
      </c>
      <c r="H21" s="24">
        <v>1000000</v>
      </c>
      <c r="I21" s="24">
        <v>1000000</v>
      </c>
      <c r="J21" s="24">
        <v>1000000</v>
      </c>
      <c r="K21" s="24">
        <v>1000000</v>
      </c>
      <c r="L21" s="24">
        <v>1000000</v>
      </c>
      <c r="M21" s="24">
        <v>1000000</v>
      </c>
      <c r="N21" s="24">
        <v>1000000</v>
      </c>
      <c r="P21" s="7">
        <f t="shared" si="1"/>
        <v>12000000</v>
      </c>
      <c r="Q21" s="65">
        <f t="shared" si="5"/>
        <v>2.6505194118682355E-2</v>
      </c>
    </row>
    <row r="22" spans="1:17" x14ac:dyDescent="0.25">
      <c r="A22" s="23" t="s">
        <v>5</v>
      </c>
      <c r="B22" s="23" t="s">
        <v>73</v>
      </c>
      <c r="C22" s="24">
        <v>192460</v>
      </c>
      <c r="D22" s="24">
        <v>192460</v>
      </c>
      <c r="E22" s="24">
        <v>192460</v>
      </c>
      <c r="F22" s="24">
        <v>192460</v>
      </c>
      <c r="G22" s="24">
        <v>192460</v>
      </c>
      <c r="H22" s="24">
        <v>192460</v>
      </c>
      <c r="I22" s="24">
        <v>192460</v>
      </c>
      <c r="J22" s="24">
        <v>192460</v>
      </c>
      <c r="K22" s="24">
        <v>192460</v>
      </c>
      <c r="L22" s="24">
        <v>192460</v>
      </c>
      <c r="M22" s="24">
        <v>192460</v>
      </c>
      <c r="N22" s="24">
        <v>192460</v>
      </c>
      <c r="P22" s="7">
        <f t="shared" si="1"/>
        <v>2309520</v>
      </c>
      <c r="Q22" s="69">
        <f t="shared" si="5"/>
        <v>5.1011896600816056E-3</v>
      </c>
    </row>
    <row r="23" spans="1:17" x14ac:dyDescent="0.25">
      <c r="A23" s="23" t="s">
        <v>6</v>
      </c>
      <c r="B23" s="23" t="s">
        <v>73</v>
      </c>
      <c r="C23" s="24">
        <v>1112309</v>
      </c>
      <c r="D23" s="24">
        <v>1112309</v>
      </c>
      <c r="E23" s="24">
        <v>1112309</v>
      </c>
      <c r="F23" s="24">
        <v>1112309</v>
      </c>
      <c r="G23" s="24">
        <v>1112309</v>
      </c>
      <c r="H23" s="24">
        <v>1112309</v>
      </c>
      <c r="I23" s="24">
        <v>1112309</v>
      </c>
      <c r="J23" s="24">
        <v>1112309</v>
      </c>
      <c r="K23" s="24">
        <v>1112309</v>
      </c>
      <c r="L23" s="24">
        <v>1112309</v>
      </c>
      <c r="M23" s="24">
        <v>1112309</v>
      </c>
      <c r="N23" s="24">
        <v>1112309</v>
      </c>
      <c r="P23" s="7">
        <f t="shared" si="1"/>
        <v>13347708</v>
      </c>
      <c r="Q23" s="69">
        <f t="shared" si="5"/>
        <v>2.948196596495745E-2</v>
      </c>
    </row>
    <row r="24" spans="1:17" x14ac:dyDescent="0.25">
      <c r="A24" s="23" t="s">
        <v>7</v>
      </c>
      <c r="B24" s="23" t="s">
        <v>73</v>
      </c>
      <c r="C24" s="24">
        <v>59340</v>
      </c>
      <c r="D24" s="24">
        <v>59340</v>
      </c>
      <c r="E24" s="24">
        <v>59340</v>
      </c>
      <c r="F24" s="24">
        <v>59340</v>
      </c>
      <c r="G24" s="24">
        <v>59340</v>
      </c>
      <c r="H24" s="24">
        <v>59340</v>
      </c>
      <c r="I24" s="24">
        <v>59340</v>
      </c>
      <c r="J24" s="24">
        <v>59340</v>
      </c>
      <c r="K24" s="24">
        <v>59340</v>
      </c>
      <c r="L24" s="24">
        <v>59340</v>
      </c>
      <c r="M24" s="24">
        <v>59340</v>
      </c>
      <c r="N24" s="24">
        <v>59340</v>
      </c>
      <c r="P24" s="7">
        <f t="shared" si="1"/>
        <v>712080</v>
      </c>
      <c r="Q24" s="69">
        <f t="shared" si="5"/>
        <v>1.5728182190026109E-3</v>
      </c>
    </row>
    <row r="25" spans="1:17" x14ac:dyDescent="0.25">
      <c r="A25" s="23" t="s">
        <v>51</v>
      </c>
      <c r="B25" s="23" t="s">
        <v>72</v>
      </c>
      <c r="C25" s="24">
        <v>3679667.4</v>
      </c>
      <c r="D25" s="24">
        <v>3679667.4</v>
      </c>
      <c r="E25" s="24">
        <v>3679667.4</v>
      </c>
      <c r="F25" s="24">
        <v>3679667.4</v>
      </c>
      <c r="G25" s="24">
        <v>3679667.4</v>
      </c>
      <c r="H25" s="24">
        <v>3679667.4</v>
      </c>
      <c r="I25" s="24">
        <v>3679667.4</v>
      </c>
      <c r="J25" s="24">
        <v>4238976.8448000001</v>
      </c>
      <c r="K25" s="24">
        <v>4238976.8448000001</v>
      </c>
      <c r="L25" s="24">
        <v>4238976.8448000001</v>
      </c>
      <c r="M25" s="24">
        <v>4238976.8448000001</v>
      </c>
      <c r="N25" s="24">
        <v>4238976.8448000001</v>
      </c>
      <c r="P25" s="7">
        <f t="shared" si="1"/>
        <v>46952556.024000004</v>
      </c>
      <c r="Q25" s="69">
        <f t="shared" si="5"/>
        <v>0.10370721764870239</v>
      </c>
    </row>
    <row r="26" spans="1:17" x14ac:dyDescent="0.25"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</row>
    <row r="27" spans="1:17" s="29" customFormat="1" ht="15.75" x14ac:dyDescent="0.25">
      <c r="A27" s="26" t="s">
        <v>8</v>
      </c>
      <c r="B27" s="26"/>
      <c r="C27" s="61">
        <f>SUM(C28:C32)</f>
        <v>13786893.809418002</v>
      </c>
      <c r="D27" s="27">
        <f t="shared" ref="D27:N27" si="6">SUM(D28:D32)</f>
        <v>19803116.065790936</v>
      </c>
      <c r="E27" s="27">
        <f t="shared" si="6"/>
        <v>22705711.934356742</v>
      </c>
      <c r="F27" s="27">
        <f t="shared" si="6"/>
        <v>17905348.885660544</v>
      </c>
      <c r="G27" s="27">
        <f t="shared" si="6"/>
        <v>21920767.140116043</v>
      </c>
      <c r="H27" s="27">
        <f t="shared" si="6"/>
        <v>22849897.024715837</v>
      </c>
      <c r="I27" s="27">
        <f t="shared" si="6"/>
        <v>24721356.17315143</v>
      </c>
      <c r="J27" s="27">
        <f t="shared" si="6"/>
        <v>24026079.118097462</v>
      </c>
      <c r="K27" s="27">
        <f t="shared" si="6"/>
        <v>24164663.39155136</v>
      </c>
      <c r="L27" s="27">
        <f t="shared" si="6"/>
        <v>28629261.654759102</v>
      </c>
      <c r="M27" s="27">
        <f t="shared" si="6"/>
        <v>24650542.180443656</v>
      </c>
      <c r="N27" s="27">
        <f t="shared" si="6"/>
        <v>33529333.832780454</v>
      </c>
      <c r="P27" s="30">
        <f t="shared" si="1"/>
        <v>278692971.2108416</v>
      </c>
    </row>
    <row r="28" spans="1:17" x14ac:dyDescent="0.25">
      <c r="A28" s="23" t="s">
        <v>61</v>
      </c>
      <c r="B28" s="23" t="s">
        <v>73</v>
      </c>
      <c r="C28" s="24">
        <f t="shared" ref="C28:N28" si="7">+C7*43%</f>
        <v>6785714.8094180021</v>
      </c>
      <c r="D28" s="24">
        <f t="shared" si="7"/>
        <v>12801937.065790938</v>
      </c>
      <c r="E28" s="24">
        <f t="shared" si="7"/>
        <v>15704532.93435674</v>
      </c>
      <c r="F28" s="24">
        <f t="shared" si="7"/>
        <v>10904169.885660542</v>
      </c>
      <c r="G28" s="24">
        <f t="shared" si="7"/>
        <v>14919588.140116042</v>
      </c>
      <c r="H28" s="24">
        <f t="shared" si="7"/>
        <v>15848718.024715837</v>
      </c>
      <c r="I28" s="24">
        <f t="shared" si="7"/>
        <v>17720177.17315143</v>
      </c>
      <c r="J28" s="24">
        <f t="shared" si="7"/>
        <v>17024900.118097462</v>
      </c>
      <c r="K28" s="24">
        <f t="shared" si="7"/>
        <v>17163484.39155136</v>
      </c>
      <c r="L28" s="24">
        <f t="shared" si="7"/>
        <v>21628082.654759102</v>
      </c>
      <c r="M28" s="24">
        <f t="shared" si="7"/>
        <v>17649363.180443656</v>
      </c>
      <c r="N28" s="24">
        <f t="shared" si="7"/>
        <v>26528154.832780454</v>
      </c>
      <c r="P28" s="7">
        <f t="shared" si="1"/>
        <v>194678823.21084154</v>
      </c>
      <c r="Q28" s="70">
        <f t="shared" ref="Q28:Q32" si="8">+P28/$P$7</f>
        <v>0.42999999999999994</v>
      </c>
    </row>
    <row r="29" spans="1:17" x14ac:dyDescent="0.25">
      <c r="A29" s="23" t="s">
        <v>66</v>
      </c>
      <c r="B29" s="23" t="s">
        <v>72</v>
      </c>
      <c r="C29" s="24">
        <v>2120000</v>
      </c>
      <c r="D29" s="24">
        <v>2120000</v>
      </c>
      <c r="E29" s="24">
        <v>2120000</v>
      </c>
      <c r="F29" s="24">
        <v>2120000</v>
      </c>
      <c r="G29" s="24">
        <v>2120000</v>
      </c>
      <c r="H29" s="24">
        <v>2120000</v>
      </c>
      <c r="I29" s="24">
        <v>2120000</v>
      </c>
      <c r="J29" s="24">
        <v>2120000</v>
      </c>
      <c r="K29" s="24">
        <v>2120000</v>
      </c>
      <c r="L29" s="24">
        <v>2120000</v>
      </c>
      <c r="M29" s="24">
        <v>2120000</v>
      </c>
      <c r="N29" s="24">
        <v>2120000</v>
      </c>
      <c r="O29" s="24"/>
      <c r="P29" s="7">
        <f t="shared" si="1"/>
        <v>25440000</v>
      </c>
      <c r="Q29" s="70">
        <f t="shared" si="8"/>
        <v>5.6191011531606591E-2</v>
      </c>
    </row>
    <row r="30" spans="1:17" x14ac:dyDescent="0.25">
      <c r="A30" s="23" t="s">
        <v>9</v>
      </c>
      <c r="B30" s="23" t="s">
        <v>72</v>
      </c>
      <c r="C30" s="24">
        <v>4000000</v>
      </c>
      <c r="D30" s="24">
        <v>4000000</v>
      </c>
      <c r="E30" s="24">
        <v>4000000</v>
      </c>
      <c r="F30" s="24">
        <v>4000000</v>
      </c>
      <c r="G30" s="24">
        <v>4000000</v>
      </c>
      <c r="H30" s="24">
        <v>4000000</v>
      </c>
      <c r="I30" s="24">
        <v>4000000</v>
      </c>
      <c r="J30" s="24">
        <v>4000000</v>
      </c>
      <c r="K30" s="24">
        <v>4000000</v>
      </c>
      <c r="L30" s="24">
        <v>4000000</v>
      </c>
      <c r="M30" s="24">
        <v>4000000</v>
      </c>
      <c r="N30" s="24">
        <v>4000000</v>
      </c>
      <c r="P30" s="7">
        <f t="shared" si="1"/>
        <v>48000000</v>
      </c>
      <c r="Q30" s="65">
        <f t="shared" si="8"/>
        <v>0.10602077647472942</v>
      </c>
    </row>
    <row r="31" spans="1:17" x14ac:dyDescent="0.25">
      <c r="A31" s="23" t="s">
        <v>55</v>
      </c>
      <c r="B31" s="23" t="s">
        <v>72</v>
      </c>
      <c r="C31" s="24">
        <v>531179</v>
      </c>
      <c r="D31" s="24">
        <v>531179</v>
      </c>
      <c r="E31" s="24">
        <v>531179</v>
      </c>
      <c r="F31" s="24">
        <v>531179</v>
      </c>
      <c r="G31" s="24">
        <v>531179</v>
      </c>
      <c r="H31" s="24">
        <v>531179</v>
      </c>
      <c r="I31" s="24">
        <v>531179</v>
      </c>
      <c r="J31" s="24">
        <v>531179</v>
      </c>
      <c r="K31" s="24">
        <v>531179</v>
      </c>
      <c r="L31" s="24">
        <v>531179</v>
      </c>
      <c r="M31" s="24">
        <v>531179</v>
      </c>
      <c r="N31" s="24">
        <v>531179</v>
      </c>
      <c r="P31" s="7">
        <f t="shared" si="1"/>
        <v>6374148</v>
      </c>
      <c r="Q31" s="65">
        <f t="shared" si="8"/>
        <v>1.4079002506767574E-2</v>
      </c>
    </row>
    <row r="32" spans="1:17" x14ac:dyDescent="0.25">
      <c r="A32" s="23" t="s">
        <v>54</v>
      </c>
      <c r="B32" s="23" t="s">
        <v>72</v>
      </c>
      <c r="C32" s="24">
        <v>350000</v>
      </c>
      <c r="D32" s="24">
        <v>350000</v>
      </c>
      <c r="E32" s="24">
        <v>350000</v>
      </c>
      <c r="F32" s="24">
        <v>350000</v>
      </c>
      <c r="G32" s="24">
        <v>350000</v>
      </c>
      <c r="H32" s="24">
        <v>350000</v>
      </c>
      <c r="I32" s="24">
        <v>350000</v>
      </c>
      <c r="J32" s="24">
        <v>350000</v>
      </c>
      <c r="K32" s="24">
        <v>350000</v>
      </c>
      <c r="L32" s="24">
        <v>350000</v>
      </c>
      <c r="M32" s="24">
        <v>350000</v>
      </c>
      <c r="N32" s="24">
        <v>350000</v>
      </c>
      <c r="P32" s="7">
        <f t="shared" si="1"/>
        <v>4200000</v>
      </c>
      <c r="Q32" s="65">
        <f t="shared" si="8"/>
        <v>9.276817941538824E-3</v>
      </c>
    </row>
    <row r="33" spans="1:17" x14ac:dyDescent="0.25">
      <c r="C33" s="1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P33" s="7"/>
    </row>
    <row r="34" spans="1:17" s="29" customFormat="1" ht="21.75" customHeight="1" x14ac:dyDescent="0.25">
      <c r="A34" s="26" t="s">
        <v>11</v>
      </c>
      <c r="B34" s="26"/>
      <c r="C34" s="61">
        <f>SUM(C35:C37)</f>
        <v>2135359</v>
      </c>
      <c r="D34" s="28">
        <f t="shared" ref="D34:N34" si="9">SUM(D35:D37)</f>
        <v>2135359</v>
      </c>
      <c r="E34" s="28">
        <f t="shared" si="9"/>
        <v>2135359</v>
      </c>
      <c r="F34" s="28">
        <f t="shared" si="9"/>
        <v>2135359</v>
      </c>
      <c r="G34" s="28">
        <f t="shared" si="9"/>
        <v>2135359</v>
      </c>
      <c r="H34" s="28">
        <f t="shared" si="9"/>
        <v>2135359</v>
      </c>
      <c r="I34" s="28">
        <f t="shared" si="9"/>
        <v>2135359</v>
      </c>
      <c r="J34" s="28">
        <f t="shared" si="9"/>
        <v>2135359</v>
      </c>
      <c r="K34" s="28">
        <f t="shared" si="9"/>
        <v>2135359</v>
      </c>
      <c r="L34" s="28">
        <f t="shared" si="9"/>
        <v>2135359</v>
      </c>
      <c r="M34" s="28">
        <f t="shared" si="9"/>
        <v>2135359</v>
      </c>
      <c r="N34" s="28">
        <f t="shared" si="9"/>
        <v>2135359</v>
      </c>
      <c r="P34" s="30">
        <f t="shared" si="1"/>
        <v>25624308</v>
      </c>
    </row>
    <row r="35" spans="1:17" x14ac:dyDescent="0.25">
      <c r="A35" s="23" t="s">
        <v>58</v>
      </c>
      <c r="B35" s="23" t="s">
        <v>73</v>
      </c>
      <c r="C35" s="24">
        <v>49430</v>
      </c>
      <c r="D35" s="24">
        <v>49430</v>
      </c>
      <c r="E35" s="24">
        <v>49430</v>
      </c>
      <c r="F35" s="24">
        <v>49430</v>
      </c>
      <c r="G35" s="24">
        <v>49430</v>
      </c>
      <c r="H35" s="24">
        <v>49430</v>
      </c>
      <c r="I35" s="24">
        <v>49430</v>
      </c>
      <c r="J35" s="24">
        <v>49430</v>
      </c>
      <c r="K35" s="24">
        <v>49430</v>
      </c>
      <c r="L35" s="24">
        <v>49430</v>
      </c>
      <c r="M35" s="24">
        <v>49430</v>
      </c>
      <c r="N35" s="24">
        <v>49430</v>
      </c>
      <c r="O35" s="29"/>
      <c r="P35" s="7">
        <f t="shared" si="1"/>
        <v>593160</v>
      </c>
      <c r="Q35" s="70">
        <f t="shared" ref="Q35:Q37" si="10">+P35/$P$7</f>
        <v>1.3101517452864689E-3</v>
      </c>
    </row>
    <row r="36" spans="1:17" x14ac:dyDescent="0.25">
      <c r="A36" s="23" t="s">
        <v>59</v>
      </c>
      <c r="B36" s="23" t="s">
        <v>73</v>
      </c>
      <c r="C36" s="24">
        <v>574000</v>
      </c>
      <c r="D36" s="24">
        <v>574000</v>
      </c>
      <c r="E36" s="24">
        <v>574000</v>
      </c>
      <c r="F36" s="24">
        <v>574000</v>
      </c>
      <c r="G36" s="24">
        <v>574000</v>
      </c>
      <c r="H36" s="24">
        <v>574000</v>
      </c>
      <c r="I36" s="24">
        <v>574000</v>
      </c>
      <c r="J36" s="24">
        <v>574000</v>
      </c>
      <c r="K36" s="24">
        <v>574000</v>
      </c>
      <c r="L36" s="24">
        <v>574000</v>
      </c>
      <c r="M36" s="24">
        <v>574000</v>
      </c>
      <c r="N36" s="24">
        <v>574000</v>
      </c>
      <c r="O36" s="29"/>
      <c r="P36" s="7">
        <f t="shared" si="1"/>
        <v>6888000</v>
      </c>
      <c r="Q36" s="70">
        <f t="shared" si="10"/>
        <v>1.5213981424123672E-2</v>
      </c>
    </row>
    <row r="37" spans="1:17" x14ac:dyDescent="0.25">
      <c r="A37" s="23" t="s">
        <v>60</v>
      </c>
      <c r="B37" s="23" t="s">
        <v>73</v>
      </c>
      <c r="C37" s="24">
        <v>1511929</v>
      </c>
      <c r="D37" s="24">
        <v>1511929</v>
      </c>
      <c r="E37" s="24">
        <v>1511929</v>
      </c>
      <c r="F37" s="24">
        <v>1511929</v>
      </c>
      <c r="G37" s="24">
        <v>1511929</v>
      </c>
      <c r="H37" s="24">
        <v>1511929</v>
      </c>
      <c r="I37" s="24">
        <v>1511929</v>
      </c>
      <c r="J37" s="24">
        <v>1511929</v>
      </c>
      <c r="K37" s="24">
        <v>1511929</v>
      </c>
      <c r="L37" s="24">
        <v>1511929</v>
      </c>
      <c r="M37" s="24">
        <v>1511929</v>
      </c>
      <c r="N37" s="24">
        <v>1511929</v>
      </c>
      <c r="O37" s="29"/>
      <c r="P37" s="64">
        <f t="shared" si="1"/>
        <v>18143148</v>
      </c>
      <c r="Q37" s="70">
        <f t="shared" si="10"/>
        <v>4.0073971638665294E-2</v>
      </c>
    </row>
    <row r="38" spans="1:17" x14ac:dyDescent="0.25">
      <c r="C38" s="1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P38" s="7"/>
    </row>
    <row r="39" spans="1:17" s="29" customFormat="1" ht="15.75" x14ac:dyDescent="0.25">
      <c r="A39" s="26" t="s">
        <v>63</v>
      </c>
      <c r="B39" s="26"/>
      <c r="C39" s="61">
        <f>SUM(C40)</f>
        <v>4419053</v>
      </c>
      <c r="D39" s="28">
        <f t="shared" ref="D39:N39" si="11">SUM(D40)</f>
        <v>4419053</v>
      </c>
      <c r="E39" s="28">
        <f t="shared" si="11"/>
        <v>4419053</v>
      </c>
      <c r="F39" s="28">
        <f t="shared" si="11"/>
        <v>4419053</v>
      </c>
      <c r="G39" s="28">
        <f t="shared" si="11"/>
        <v>4419053</v>
      </c>
      <c r="H39" s="28">
        <f t="shared" si="11"/>
        <v>4419053</v>
      </c>
      <c r="I39" s="28">
        <f t="shared" si="11"/>
        <v>4419053</v>
      </c>
      <c r="J39" s="28">
        <f t="shared" si="11"/>
        <v>4419053</v>
      </c>
      <c r="K39" s="28">
        <f t="shared" si="11"/>
        <v>4419053</v>
      </c>
      <c r="L39" s="28">
        <f t="shared" si="11"/>
        <v>4419053</v>
      </c>
      <c r="M39" s="28">
        <f t="shared" si="11"/>
        <v>4419053</v>
      </c>
      <c r="N39" s="28">
        <f t="shared" si="11"/>
        <v>4419053</v>
      </c>
      <c r="P39" s="30">
        <f t="shared" si="1"/>
        <v>53028636</v>
      </c>
    </row>
    <row r="40" spans="1:17" x14ac:dyDescent="0.25">
      <c r="A40" s="23" t="s">
        <v>62</v>
      </c>
      <c r="B40" s="23" t="s">
        <v>73</v>
      </c>
      <c r="C40" s="24">
        <v>4419053</v>
      </c>
      <c r="D40" s="24">
        <v>4419053</v>
      </c>
      <c r="E40" s="24">
        <v>4419053</v>
      </c>
      <c r="F40" s="24">
        <v>4419053</v>
      </c>
      <c r="G40" s="24">
        <v>4419053</v>
      </c>
      <c r="H40" s="24">
        <v>4419053</v>
      </c>
      <c r="I40" s="24">
        <v>4419053</v>
      </c>
      <c r="J40" s="24">
        <v>4419053</v>
      </c>
      <c r="K40" s="24">
        <v>4419053</v>
      </c>
      <c r="L40" s="24">
        <v>4419053</v>
      </c>
      <c r="M40" s="24">
        <v>4419053</v>
      </c>
      <c r="N40" s="24">
        <v>4419053</v>
      </c>
      <c r="P40" s="7">
        <f t="shared" si="1"/>
        <v>53028636</v>
      </c>
      <c r="Q40" s="65">
        <f>+P40/P7</f>
        <v>0.11712785758574562</v>
      </c>
    </row>
    <row r="43" spans="1:17" ht="15.75" x14ac:dyDescent="0.25">
      <c r="A43" s="26" t="s">
        <v>71</v>
      </c>
      <c r="B43" s="26"/>
      <c r="C43" s="24">
        <f>+C6+C9-C14-C27-C34-C39</f>
        <v>-13613527.911731254</v>
      </c>
      <c r="D43" s="24">
        <f t="shared" ref="D43:N43" si="12">+D6+D9-D14-D27-D34-D39</f>
        <v>-7492047.8008553609</v>
      </c>
      <c r="E43" s="24">
        <f t="shared" si="12"/>
        <v>-4902124.1617910936</v>
      </c>
      <c r="F43" s="24">
        <f t="shared" si="12"/>
        <v>-9345680.8605176117</v>
      </c>
      <c r="G43" s="24">
        <f t="shared" si="12"/>
        <v>-5668814.4259331673</v>
      </c>
      <c r="H43" s="24">
        <f t="shared" si="12"/>
        <v>-4516122.2130682506</v>
      </c>
      <c r="I43" s="24">
        <f t="shared" si="12"/>
        <v>-2933355.37041023</v>
      </c>
      <c r="J43" s="24">
        <f t="shared" si="12"/>
        <v>-3926602.6364257336</v>
      </c>
      <c r="K43" s="24">
        <f t="shared" si="12"/>
        <v>-4036411.2530521601</v>
      </c>
      <c r="L43" s="24">
        <f t="shared" si="12"/>
        <v>569529.14356935769</v>
      </c>
      <c r="M43" s="24">
        <f t="shared" si="12"/>
        <v>-3561831.9708782844</v>
      </c>
      <c r="N43" s="24">
        <f t="shared" si="12"/>
        <v>5355646.1546599828</v>
      </c>
      <c r="P43" s="7">
        <f>SUM(C43:O43)</f>
        <v>-54071343.306433797</v>
      </c>
      <c r="Q43" s="65"/>
    </row>
    <row r="46" spans="1:17" x14ac:dyDescent="0.25">
      <c r="C46" s="7"/>
      <c r="D46" s="7"/>
      <c r="E46" s="7"/>
      <c r="F46" s="7"/>
    </row>
    <row r="47" spans="1:17" x14ac:dyDescent="0.25">
      <c r="B47" s="23" t="s">
        <v>72</v>
      </c>
      <c r="C47" s="73">
        <f>SUM(C16:C19,C21,C25,C29:C32)</f>
        <v>12377744.4</v>
      </c>
      <c r="D47" s="73">
        <f>SUM(D16:D19,D21,D25,D29:D32)</f>
        <v>12377744.4</v>
      </c>
      <c r="E47" s="73">
        <f>SUM(E16:E19,E21,E25,E29:E32)</f>
        <v>12377744.4</v>
      </c>
      <c r="F47" s="73">
        <f>SUM(F16:F19,F21,F25,F29:F32)</f>
        <v>12377744.4</v>
      </c>
      <c r="G47" s="73">
        <f t="shared" ref="G47:N47" si="13">SUM(G16:G19,G21,G25,G29:G32)</f>
        <v>12377744.4</v>
      </c>
      <c r="H47" s="73">
        <f t="shared" si="13"/>
        <v>12377744.4</v>
      </c>
      <c r="I47" s="73">
        <f t="shared" si="13"/>
        <v>12377744.4</v>
      </c>
      <c r="J47" s="73">
        <f t="shared" si="13"/>
        <v>12937053.844799999</v>
      </c>
      <c r="K47" s="73">
        <f t="shared" si="13"/>
        <v>12937053.844799999</v>
      </c>
      <c r="L47" s="73">
        <f t="shared" si="13"/>
        <v>12937053.844799999</v>
      </c>
      <c r="M47" s="73">
        <f t="shared" si="13"/>
        <v>12937053.844799999</v>
      </c>
      <c r="N47" s="73">
        <f t="shared" si="13"/>
        <v>12937053.844799999</v>
      </c>
      <c r="O47" s="73"/>
    </row>
    <row r="48" spans="1:17" x14ac:dyDescent="0.25">
      <c r="B48" s="23" t="s">
        <v>73</v>
      </c>
      <c r="C48" s="55">
        <f>SUM(C15,C20,C22:C24,C35:C37,C40)</f>
        <v>10530800.817238837</v>
      </c>
      <c r="D48" s="55">
        <f t="shared" ref="D48:N48" si="14">SUM(D15,D20,D22:D24,D35:D37,D40)</f>
        <v>12384312.999694513</v>
      </c>
      <c r="E48" s="55">
        <f t="shared" si="14"/>
        <v>13642016.442217467</v>
      </c>
      <c r="F48" s="55">
        <f t="shared" si="14"/>
        <v>11722301.192672282</v>
      </c>
      <c r="G48" s="55">
        <f t="shared" si="14"/>
        <v>13368198.490738153</v>
      </c>
      <c r="H48" s="55">
        <f t="shared" si="14"/>
        <v>13447143.566761337</v>
      </c>
      <c r="I48" s="55">
        <f t="shared" si="14"/>
        <v>14345148.153424919</v>
      </c>
      <c r="J48" s="55">
        <f t="shared" si="14"/>
        <v>13857439.64584795</v>
      </c>
      <c r="K48" s="55">
        <f t="shared" si="14"/>
        <v>14150952.9970528</v>
      </c>
      <c r="L48" s="55">
        <f t="shared" si="14"/>
        <v>15463200.995846197</v>
      </c>
      <c r="M48" s="55">
        <f t="shared" si="14"/>
        <v>14320445.597829182</v>
      </c>
      <c r="N48" s="55">
        <f t="shared" si="14"/>
        <v>17172528.499807134</v>
      </c>
      <c r="O48" s="55"/>
      <c r="P48" s="55">
        <f>+P37+P36+P35+P29+P15</f>
        <v>118975525.39913079</v>
      </c>
      <c r="Q48" s="65">
        <f>+P48/P6</f>
        <v>0.26278911633968205</v>
      </c>
    </row>
  </sheetData>
  <mergeCells count="13">
    <mergeCell ref="P3:P4"/>
    <mergeCell ref="I3:I4"/>
    <mergeCell ref="J3:J4"/>
    <mergeCell ref="K3:K4"/>
    <mergeCell ref="L3:L4"/>
    <mergeCell ref="M3:M4"/>
    <mergeCell ref="N3:N4"/>
    <mergeCell ref="H3:H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69CD-558A-4203-8021-6D7723DEA1D3}">
  <dimension ref="C1:J3"/>
  <sheetViews>
    <sheetView workbookViewId="0">
      <selection activeCell="J4" sqref="J3:J4"/>
    </sheetView>
  </sheetViews>
  <sheetFormatPr baseColWidth="10" defaultRowHeight="15" x14ac:dyDescent="0.25"/>
  <cols>
    <col min="8" max="8" width="14.42578125" bestFit="1" customWidth="1"/>
    <col min="9" max="9" width="13.28515625" bestFit="1" customWidth="1"/>
    <col min="10" max="10" width="11.42578125" style="68"/>
  </cols>
  <sheetData>
    <row r="1" spans="3:10" x14ac:dyDescent="0.25">
      <c r="H1" t="s">
        <v>69</v>
      </c>
      <c r="I1" t="s">
        <v>70</v>
      </c>
    </row>
    <row r="2" spans="3:10" x14ac:dyDescent="0.25">
      <c r="C2" t="s">
        <v>67</v>
      </c>
      <c r="D2" s="66">
        <v>4150</v>
      </c>
      <c r="E2" s="66">
        <f>+D2*19%</f>
        <v>788.5</v>
      </c>
      <c r="F2" s="66">
        <f>+D2+E2</f>
        <v>4938.5</v>
      </c>
      <c r="G2">
        <v>80</v>
      </c>
      <c r="H2" s="67">
        <f>+F2/G2</f>
        <v>61.731250000000003</v>
      </c>
      <c r="I2">
        <v>18</v>
      </c>
      <c r="J2" s="68">
        <f>+F2*I2</f>
        <v>88893</v>
      </c>
    </row>
    <row r="3" spans="3:10" x14ac:dyDescent="0.25">
      <c r="C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Presupuesto Consolidado</vt:lpstr>
      <vt:lpstr>Comparativo mensual enero</vt:lpstr>
      <vt:lpstr>Detalle Mensual Real</vt:lpstr>
      <vt:lpstr>Detalle Mensual Planeado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ANDRES</cp:lastModifiedBy>
  <dcterms:created xsi:type="dcterms:W3CDTF">2009-11-04T14:12:44Z</dcterms:created>
  <dcterms:modified xsi:type="dcterms:W3CDTF">2023-04-11T17:28:47Z</dcterms:modified>
</cp:coreProperties>
</file>