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AA GiHub\ForeverChic\1. Ventas Mensuales\"/>
    </mc:Choice>
  </mc:AlternateContent>
  <xr:revisionPtr revIDLastSave="0" documentId="13_ncr:1_{DB69A755-1368-4967-BEE7-7B0725EAED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22-desde el 16 de agosto  (2)" sheetId="3" r:id="rId1"/>
    <sheet name="Producto del 1  al 15 de Noviem" sheetId="4" r:id="rId2"/>
    <sheet name="Sheet1" sheetId="1" r:id="rId3"/>
    <sheet name="Hoja1" sheetId="2" r:id="rId4"/>
  </sheets>
  <externalReferences>
    <externalReference r:id="rId5"/>
  </externalReferences>
  <definedNames>
    <definedName name="CASAS">[1]!Tabla6[[#All],[CASA]]</definedName>
    <definedName name="LOREAL">[1]!Tabla7[[#All],[LOREAL]]</definedName>
    <definedName name="SCHWARZKOPF">[1]!Tabla8[[#All],[SCHWARZKOPF]]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4" l="1"/>
  <c r="K50" i="4"/>
  <c r="I49" i="4"/>
  <c r="I50" i="4"/>
  <c r="J50" i="4" s="1"/>
  <c r="H50" i="4"/>
  <c r="H49" i="4"/>
  <c r="I48" i="4"/>
  <c r="H48" i="4"/>
  <c r="I47" i="4"/>
  <c r="H47" i="4"/>
  <c r="I46" i="4"/>
  <c r="J46" i="4" s="1"/>
  <c r="H46" i="4"/>
  <c r="I45" i="4"/>
  <c r="J45" i="4" s="1"/>
  <c r="H45" i="4"/>
  <c r="I44" i="4"/>
  <c r="I43" i="4"/>
  <c r="H44" i="4"/>
  <c r="H43" i="4"/>
  <c r="I42" i="4"/>
  <c r="H42" i="4"/>
  <c r="I27" i="4"/>
  <c r="I28" i="4"/>
  <c r="J28" i="4" s="1"/>
  <c r="H28" i="4"/>
  <c r="H27" i="4"/>
  <c r="I26" i="4"/>
  <c r="H26" i="4"/>
  <c r="I25" i="4"/>
  <c r="H25" i="4"/>
  <c r="I24" i="4"/>
  <c r="H24" i="4"/>
  <c r="I23" i="4"/>
  <c r="H23" i="4"/>
  <c r="I22" i="4"/>
  <c r="H22" i="4"/>
  <c r="H106" i="4"/>
  <c r="J106" i="4" s="1"/>
  <c r="K106" i="4" s="1"/>
  <c r="I36" i="4"/>
  <c r="I41" i="4"/>
  <c r="H41" i="4"/>
  <c r="I40" i="4"/>
  <c r="H40" i="4"/>
  <c r="I39" i="4"/>
  <c r="H39" i="4"/>
  <c r="I38" i="4"/>
  <c r="H38" i="4"/>
  <c r="I37" i="4"/>
  <c r="H37" i="4"/>
  <c r="H36" i="4"/>
  <c r="I21" i="4"/>
  <c r="I20" i="4"/>
  <c r="I19" i="4"/>
  <c r="H21" i="4"/>
  <c r="H20" i="4"/>
  <c r="H19" i="4"/>
  <c r="I105" i="4"/>
  <c r="H105" i="4"/>
  <c r="I104" i="4"/>
  <c r="H104" i="4"/>
  <c r="I18" i="4"/>
  <c r="H18" i="4"/>
  <c r="I17" i="4"/>
  <c r="H17" i="4"/>
  <c r="I14" i="4"/>
  <c r="I16" i="4"/>
  <c r="H16" i="4"/>
  <c r="I15" i="4"/>
  <c r="H15" i="4"/>
  <c r="H14" i="4"/>
  <c r="I13" i="4"/>
  <c r="H13" i="4"/>
  <c r="I12" i="4"/>
  <c r="H12" i="4"/>
  <c r="I103" i="4"/>
  <c r="H103" i="4"/>
  <c r="I102" i="4"/>
  <c r="I101" i="4"/>
  <c r="H102" i="4"/>
  <c r="H101" i="4"/>
  <c r="I100" i="4"/>
  <c r="H100" i="4"/>
  <c r="I99" i="4"/>
  <c r="H99" i="4"/>
  <c r="I98" i="4"/>
  <c r="H98" i="4"/>
  <c r="I97" i="4"/>
  <c r="H97" i="4"/>
  <c r="I96" i="4"/>
  <c r="H96" i="4"/>
  <c r="I11" i="4"/>
  <c r="H11" i="4"/>
  <c r="I10" i="4"/>
  <c r="H10" i="4"/>
  <c r="I95" i="4"/>
  <c r="H95" i="4"/>
  <c r="I94" i="4"/>
  <c r="H94" i="4"/>
  <c r="I93" i="4"/>
  <c r="H93" i="4"/>
  <c r="I9" i="4"/>
  <c r="H9" i="4"/>
  <c r="I8" i="4"/>
  <c r="H8" i="4"/>
  <c r="I7" i="4"/>
  <c r="H7" i="4"/>
  <c r="I5" i="4"/>
  <c r="I6" i="4"/>
  <c r="H6" i="4"/>
  <c r="H5" i="4"/>
  <c r="I4" i="4"/>
  <c r="H4" i="4"/>
  <c r="I3" i="4"/>
  <c r="H3" i="4"/>
  <c r="I2" i="4"/>
  <c r="H2" i="4"/>
  <c r="I128" i="4"/>
  <c r="H128" i="4"/>
  <c r="I127" i="4"/>
  <c r="H127" i="4"/>
  <c r="I126" i="4"/>
  <c r="H126" i="4"/>
  <c r="I125" i="4"/>
  <c r="H125" i="4"/>
  <c r="I124" i="4"/>
  <c r="H124" i="4"/>
  <c r="I85" i="4"/>
  <c r="J85" i="4" s="1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J67" i="4" s="1"/>
  <c r="I66" i="4"/>
  <c r="H66" i="4"/>
  <c r="I65" i="4"/>
  <c r="H65" i="4"/>
  <c r="I64" i="4"/>
  <c r="H64" i="4"/>
  <c r="I63" i="4"/>
  <c r="H63" i="4"/>
  <c r="I62" i="4"/>
  <c r="H62" i="4"/>
  <c r="I61" i="4"/>
  <c r="H61" i="4"/>
  <c r="D69" i="3"/>
  <c r="D68" i="3"/>
  <c r="C68" i="3"/>
  <c r="C67" i="3"/>
  <c r="D67" i="3" s="1"/>
  <c r="C49" i="3"/>
  <c r="C48" i="3"/>
  <c r="E46" i="3"/>
  <c r="D38" i="3"/>
  <c r="D37" i="3"/>
  <c r="D36" i="3"/>
  <c r="D34" i="3"/>
  <c r="D33" i="3"/>
  <c r="D32" i="3"/>
  <c r="D31" i="3"/>
  <c r="G30" i="3"/>
  <c r="D30" i="3"/>
  <c r="G29" i="3"/>
  <c r="D29" i="3"/>
  <c r="D28" i="3"/>
  <c r="D27" i="3"/>
  <c r="D26" i="3"/>
  <c r="D25" i="3"/>
  <c r="D24" i="3"/>
  <c r="D23" i="3"/>
  <c r="G22" i="3"/>
  <c r="D22" i="3"/>
  <c r="D21" i="3"/>
  <c r="D20" i="3"/>
  <c r="D19" i="3"/>
  <c r="D18" i="3"/>
  <c r="D17" i="3"/>
  <c r="D16" i="3"/>
  <c r="D15" i="3"/>
  <c r="D14" i="3"/>
  <c r="D13" i="3"/>
  <c r="G13" i="3" s="1"/>
  <c r="D12" i="3"/>
  <c r="D11" i="3"/>
  <c r="D10" i="3"/>
  <c r="D9" i="3"/>
  <c r="C7" i="3"/>
  <c r="D5" i="3"/>
  <c r="F5" i="3" s="1"/>
  <c r="J49" i="4" l="1"/>
  <c r="J48" i="4"/>
  <c r="J47" i="4"/>
  <c r="J44" i="4"/>
  <c r="J43" i="4"/>
  <c r="J42" i="4"/>
  <c r="J23" i="4"/>
  <c r="J22" i="4"/>
  <c r="J27" i="4"/>
  <c r="J26" i="4"/>
  <c r="J25" i="4"/>
  <c r="J24" i="4"/>
  <c r="J37" i="4"/>
  <c r="J104" i="4"/>
  <c r="J38" i="4"/>
  <c r="J40" i="4"/>
  <c r="J12" i="4"/>
  <c r="J19" i="4"/>
  <c r="J17" i="4"/>
  <c r="J20" i="4"/>
  <c r="J41" i="4"/>
  <c r="J39" i="4"/>
  <c r="J36" i="4"/>
  <c r="J13" i="4"/>
  <c r="J18" i="4"/>
  <c r="J14" i="4"/>
  <c r="J105" i="4"/>
  <c r="J21" i="4"/>
  <c r="J16" i="4"/>
  <c r="J15" i="4"/>
  <c r="J102" i="4"/>
  <c r="J103" i="4"/>
  <c r="J101" i="4"/>
  <c r="J100" i="4"/>
  <c r="J98" i="4"/>
  <c r="J96" i="4"/>
  <c r="J97" i="4"/>
  <c r="J66" i="4"/>
  <c r="J99" i="4"/>
  <c r="J63" i="4"/>
  <c r="J71" i="4"/>
  <c r="J93" i="4"/>
  <c r="J11" i="4"/>
  <c r="J94" i="4"/>
  <c r="J10" i="4"/>
  <c r="J95" i="4"/>
  <c r="J61" i="4"/>
  <c r="J65" i="4"/>
  <c r="J127" i="4"/>
  <c r="J9" i="4"/>
  <c r="J79" i="4"/>
  <c r="J126" i="4"/>
  <c r="J78" i="4"/>
  <c r="J82" i="4"/>
  <c r="J124" i="4"/>
  <c r="J75" i="4"/>
  <c r="J125" i="4"/>
  <c r="J68" i="4"/>
  <c r="J72" i="4"/>
  <c r="J76" i="4"/>
  <c r="J73" i="4"/>
  <c r="J81" i="4"/>
  <c r="J8" i="4"/>
  <c r="J7" i="4"/>
  <c r="J6" i="4"/>
  <c r="J5" i="4"/>
  <c r="J4" i="4"/>
  <c r="J3" i="4"/>
  <c r="J2" i="4"/>
  <c r="J74" i="4"/>
  <c r="J64" i="4"/>
  <c r="J62" i="4"/>
  <c r="J69" i="4"/>
  <c r="J80" i="4"/>
  <c r="J83" i="4"/>
  <c r="J128" i="4"/>
  <c r="J70" i="4"/>
  <c r="J77" i="4"/>
  <c r="J84" i="4"/>
  <c r="K28" i="4" l="1"/>
  <c r="K13" i="4"/>
  <c r="K23" i="4"/>
  <c r="J29" i="4"/>
  <c r="K25" i="4"/>
  <c r="K44" i="4"/>
  <c r="K21" i="4"/>
  <c r="K105" i="4"/>
  <c r="K41" i="4"/>
  <c r="K103" i="4"/>
  <c r="K18" i="4"/>
  <c r="K64" i="4"/>
  <c r="K128" i="4"/>
  <c r="K11" i="4"/>
  <c r="K99" i="4"/>
  <c r="K7" i="4"/>
  <c r="K68" i="4"/>
  <c r="K125" i="4"/>
  <c r="K95" i="4"/>
  <c r="K74" i="4"/>
  <c r="K82" i="4"/>
  <c r="K71" i="4"/>
  <c r="K79" i="4"/>
  <c r="K9" i="4"/>
  <c r="J129" i="4"/>
  <c r="K4" i="4"/>
  <c r="K84" i="4"/>
  <c r="K29" i="4" l="1"/>
  <c r="K129" i="4"/>
  <c r="K86" i="4"/>
</calcChain>
</file>

<file path=xl/sharedStrings.xml><?xml version="1.0" encoding="utf-8"?>
<sst xmlns="http://schemas.openxmlformats.org/spreadsheetml/2006/main" count="369" uniqueCount="162">
  <si>
    <t>Identificador</t>
  </si>
  <si>
    <t>Fecha de Pago</t>
  </si>
  <si>
    <t>Prestador/Vendedor</t>
  </si>
  <si>
    <t>Nombre cliente</t>
  </si>
  <si>
    <t>Servicio/Producto</t>
  </si>
  <si>
    <t>Precio de Lista</t>
  </si>
  <si>
    <t>Precio</t>
  </si>
  <si>
    <t>Tipo</t>
  </si>
  <si>
    <t>Valor_producto</t>
  </si>
  <si>
    <t>35339330</t>
  </si>
  <si>
    <t>29/11/2024 16:04</t>
  </si>
  <si>
    <t>Elvis Molina</t>
  </si>
  <si>
    <t>Brigette Bing</t>
  </si>
  <si>
    <t>Base Global Tinte desde</t>
  </si>
  <si>
    <t>165000</t>
  </si>
  <si>
    <t>200000</t>
  </si>
  <si>
    <t>Colorimetria</t>
  </si>
  <si>
    <t>35302640</t>
  </si>
  <si>
    <t>29/11/2024 09:17</t>
  </si>
  <si>
    <t>Olga Arango</t>
  </si>
  <si>
    <t>Yeseline Diaz</t>
  </si>
  <si>
    <t>140000</t>
  </si>
  <si>
    <t>35291382</t>
  </si>
  <si>
    <t>28/11/2024 18:23</t>
  </si>
  <si>
    <t>Nataly Caro</t>
  </si>
  <si>
    <t>Claudia Fernanda Botero</t>
  </si>
  <si>
    <t>Retoque Raiz tinte desde</t>
  </si>
  <si>
    <t>132000</t>
  </si>
  <si>
    <t>Baño de color (Enjuague o Matiz de Color) - Desde</t>
  </si>
  <si>
    <t>160000</t>
  </si>
  <si>
    <t>35184811</t>
  </si>
  <si>
    <t>26/11/2024 11:37</t>
  </si>
  <si>
    <t>Eliana Bustos</t>
  </si>
  <si>
    <t>169500</t>
  </si>
  <si>
    <t>35100027</t>
  </si>
  <si>
    <t>23/11/2024 14:16</t>
  </si>
  <si>
    <t>juliana Abondano</t>
  </si>
  <si>
    <t>Balayage Previa Valoracion &amp; Diagnostico desde</t>
  </si>
  <si>
    <t>260000</t>
  </si>
  <si>
    <t>328000</t>
  </si>
  <si>
    <t>35066193</t>
  </si>
  <si>
    <t>22/11/2024 16:30</t>
  </si>
  <si>
    <t>Liza Niño</t>
  </si>
  <si>
    <t>Reversibles  desde</t>
  </si>
  <si>
    <t>180000</t>
  </si>
  <si>
    <t>35024254</t>
  </si>
  <si>
    <t>21/11/2024 17:39</t>
  </si>
  <si>
    <t>Nicolas Quintero</t>
  </si>
  <si>
    <t>105000</t>
  </si>
  <si>
    <t>34967032</t>
  </si>
  <si>
    <t>20/11/2024 15:09</t>
  </si>
  <si>
    <t>Clemencia Estevez</t>
  </si>
  <si>
    <t>Base Global  tinte Innoa desde</t>
  </si>
  <si>
    <t>190000</t>
  </si>
  <si>
    <t>34935219</t>
  </si>
  <si>
    <t>19/11/2024 18:08</t>
  </si>
  <si>
    <t>Manuela De Luca</t>
  </si>
  <si>
    <t>34893512</t>
  </si>
  <si>
    <t>18/11/2024 13:25</t>
  </si>
  <si>
    <t>Lorena Arévalo Pinzón</t>
  </si>
  <si>
    <t>Baby Light cabello desde</t>
  </si>
  <si>
    <t>280000</t>
  </si>
  <si>
    <t>596500</t>
  </si>
  <si>
    <t>34859960</t>
  </si>
  <si>
    <t>16/11/2024 18:08</t>
  </si>
  <si>
    <t>Beto Garcia</t>
  </si>
  <si>
    <t>130000</t>
  </si>
  <si>
    <t xml:space="preserve">LISTADO DE PRECIOS PRODUCTOS INTERNOS </t>
  </si>
  <si>
    <r>
      <t xml:space="preserve">LOS INSUMOS O PRODUCTOS UTILIZADOS PARA LA REALIZACION DE LOS SERVICIOS SE DESCUENTAN DE ACUERDO AL % PACTADO PARA EL AREA  Y ESTE VALOR VA COMPARTIDO ENTRE LAS PARTES PUESTO QUE                                                                                                                          </t>
    </r>
    <r>
      <rPr>
        <u val="double"/>
        <sz val="11"/>
        <color rgb="FFFF0000"/>
        <rFont val="Arial Narrow"/>
        <family val="2"/>
      </rPr>
      <t>EL PROFESIONAL NO ASUME EL 100% DEL PRODUCTO</t>
    </r>
  </si>
  <si>
    <t>Fecha de Actualización</t>
  </si>
  <si>
    <t>PRODUCTOS</t>
  </si>
  <si>
    <t>Ml ó Grs ó  Unidad Manejada</t>
  </si>
  <si>
    <t xml:space="preserve"> Valor lista + iva + Merma</t>
  </si>
  <si>
    <t>Valor Por Miligramo</t>
  </si>
  <si>
    <t xml:space="preserve">Keratina 3 pasos </t>
  </si>
  <si>
    <t xml:space="preserve">Servicio realizado por el  Back aplicación de la Keratina Shampoo y finalizador </t>
  </si>
  <si>
    <t>Servicio de keratina  Tocador Guantes -1 Toalla, Tapabocas- Capa o Kimono  &amp; Servicio de Cafeteria Clientes</t>
  </si>
  <si>
    <t>Servicio de keratina  Back Guantes -2 Toallas</t>
  </si>
  <si>
    <t>Tinte Innoa</t>
  </si>
  <si>
    <t>Activador Innoa</t>
  </si>
  <si>
    <t>Tinte Majirel y/o Majicontrast</t>
  </si>
  <si>
    <t>Activador Majirel</t>
  </si>
  <si>
    <t>Tinte Dialight -Diarichesse</t>
  </si>
  <si>
    <t>Activador Dialight - Diarichesse</t>
  </si>
  <si>
    <t>Smartbond 1 paso y 2 paso</t>
  </si>
  <si>
    <t>Blond Studio Decolorante Loreal</t>
  </si>
  <si>
    <t>Tinte Blond Me</t>
  </si>
  <si>
    <t>Tinte Essensity</t>
  </si>
  <si>
    <t>Locion Essensity</t>
  </si>
  <si>
    <t>Vibrance Tinte</t>
  </si>
  <si>
    <t>Vibrance Locion Activadora</t>
  </si>
  <si>
    <t>Tinte Igora, Royal, Abssolut, etc</t>
  </si>
  <si>
    <t>Peroxido Igora</t>
  </si>
  <si>
    <t>Polvo Decolorante Blondme</t>
  </si>
  <si>
    <t>Locion Blondme</t>
  </si>
  <si>
    <t>Polvo Decolorante Essensity</t>
  </si>
  <si>
    <t>Polvo Decolorante Igora Vario Blond</t>
  </si>
  <si>
    <t>BOND ENFORCING COLOR REMOVER PAR DE  (A (30 GRS) Y B (30 GRS) ) KIT</t>
  </si>
  <si>
    <t>Alterego Peroxido COACTIVADOR  CREMA 10,20,30 y 40 volumenes</t>
  </si>
  <si>
    <t>Alterego Decolorante Deco Ego blanco Cabellos sensibles-  Deco Ego Azul Cabellos Resistentes</t>
  </si>
  <si>
    <t>Alterego Decolorante ULTRA 9 LIGHTENER</t>
  </si>
  <si>
    <t>Alterego Peroxido Developer de 10,20,30,40 Volumenes</t>
  </si>
  <si>
    <t xml:space="preserve">Alterego Tinte Color </t>
  </si>
  <si>
    <t>Alterego Booster</t>
  </si>
  <si>
    <t>Alterego  Pre-pare  ( Ampolla por 20 mg)</t>
  </si>
  <si>
    <t>PH CHANGER -Alterego Convertidor de PH de la tintura - 1 gr de Ph pór 10 ml de tinte</t>
  </si>
  <si>
    <t>CREATIVE CHANGER Espesante/ barrera 1 gr de Creative x tinte ó decolorante x 10 grs</t>
  </si>
  <si>
    <t>LenÓil - Dermoprotector</t>
  </si>
  <si>
    <t>Tapabocas Forever Chic</t>
  </si>
  <si>
    <t>Toalla Wypall</t>
  </si>
  <si>
    <t>Guantes</t>
  </si>
  <si>
    <t>Lavado de Kimomo o Capa</t>
  </si>
  <si>
    <t>Papel Alumimio estimado 2 metros</t>
  </si>
  <si>
    <t>Capa plastica, Tela y/o Kimono</t>
  </si>
  <si>
    <t>Depreciación de Kimonos y Capas</t>
  </si>
  <si>
    <t>Cafeteria Clientes</t>
  </si>
  <si>
    <t>Servicio de Color - Capa- 2 Toallas- Guantes - Tapabocas-Lavado Kimono o Capa - papel aluminio-Depreciación de compra de capa/ kimono o utilización de Toalla &amp; Servicio de Cafeteria Clientes</t>
  </si>
  <si>
    <t>Servicio de Corte - Capa- Tapabocas - Toalla - Depreciación de compra de capa/ kimono o utilización de Toalla  &amp; Servicio de Cafeteria Clientes</t>
  </si>
  <si>
    <t>Servicio de Blower  Tapabocas- Capa o Kimono - Depreciación de compra de capa/ kimono o utilizacion de Toalla  &amp; Servicio de Cafeteria Clientes</t>
  </si>
  <si>
    <t>Servicio de Plancha o Ondas con tubo</t>
  </si>
  <si>
    <t>Servicio de Shampoo o Tratamientos Capilares  Tapabocas-Guantes - 2 ToallaS,Lavado Kimono o Capa-Tapabocas  &amp; Servicio de Cafeteria Clientes</t>
  </si>
  <si>
    <t>Servicio de  Manicure Tradicional - Insumos  &amp; Servicio de Cafeteria Clientes</t>
  </si>
  <si>
    <t>Servicio de  Pedicure Tradicional- Insumos  &amp; Servicio de Cafeteria Clientes</t>
  </si>
  <si>
    <t>Servicio de  Manicure Semipermanente - Insumos  &amp; Servicio de Cafeteria Clientes</t>
  </si>
  <si>
    <t>Servicio de  Pedicure Semipermanente- Insumos  &amp; Servicio de Cafeteria Clientes</t>
  </si>
  <si>
    <t>Servicio de  Cambio de Esmalte Semipermanente - Insumos  &amp; Servicio de Cafeteria Clientes</t>
  </si>
  <si>
    <t>Servicio de  Retiro Semipermanente - Insumos  &amp; Servicio de Cafeteria Clientes</t>
  </si>
  <si>
    <t>Servicio de  Manicure Acrilico/Techgel Largo 2 - Insumos Tec  &amp; Servicio de Cafeteria Clientes</t>
  </si>
  <si>
    <t>Servicio de  Manicure Acrilico/Techgel Largo 3 - Insumos  &amp; Servicio de Cafeteria Clientes</t>
  </si>
  <si>
    <t>Servicio de  Manicure Acrilico/Techgel Largo 4 - Insumos  &amp; Servicio de Cafeteria  Clientes</t>
  </si>
  <si>
    <t>Servicio de  Retiro Acrilico/Techgel por el Salón - Insumos  &amp; Servicio de Cafeteria Clientes</t>
  </si>
  <si>
    <t>Servicio de  Retoque  Acrilico/Techgel por el Salón - Insumos&amp; Servicio de Cafeteria Clientes</t>
  </si>
  <si>
    <t>Servicio de  Recubrimiento  Acrilico/Techgel por el Salón - Insumos</t>
  </si>
  <si>
    <t>Servicio de  Cambio de Esmalte Tradicional - Insumos  &amp; Servicio de Cafeteria Clientes</t>
  </si>
  <si>
    <t>Servicio de  Decoración de Uña  Esmalte Tradicional - Insumos  &amp; Servicio de Cafeteria Clientes</t>
  </si>
  <si>
    <t>Servicio de  DRemiendo uña  Esmalte Tradicional - Insumos  &amp; Servicio de Cafeteria Clientes</t>
  </si>
  <si>
    <t>Blond me Shampoo</t>
  </si>
  <si>
    <t>Acondicionador Milk Shape</t>
  </si>
  <si>
    <t>Prokapil</t>
  </si>
  <si>
    <t>Fecha</t>
  </si>
  <si>
    <t>Profesional</t>
  </si>
  <si>
    <t>Cliente</t>
  </si>
  <si>
    <t>Servicio</t>
  </si>
  <si>
    <t>Producto</t>
  </si>
  <si>
    <t>Medida</t>
  </si>
  <si>
    <t>Precio ml</t>
  </si>
  <si>
    <t>Cant.Producto</t>
  </si>
  <si>
    <t>Cant. Producto Usado (ml)</t>
  </si>
  <si>
    <t>Descontar</t>
  </si>
  <si>
    <t>Σ Descontar</t>
  </si>
  <si>
    <t>Jennifer Melo</t>
  </si>
  <si>
    <t>Sandra Mogollon</t>
  </si>
  <si>
    <t>Cecilia Arciniegas</t>
  </si>
  <si>
    <t>Claudia Niño</t>
  </si>
  <si>
    <t>Lina Peñaranda</t>
  </si>
  <si>
    <t>Milagros Collante</t>
  </si>
  <si>
    <t>Sandra milena Chavarro</t>
  </si>
  <si>
    <t>Carlos Montaña</t>
  </si>
  <si>
    <t>Queratina</t>
  </si>
  <si>
    <t>Olga Arango Aristizábal</t>
  </si>
  <si>
    <t>Jose Vicente Molina" Elvis"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</si>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</sst>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_-&quot;$&quot;* #,##0.00_-;\-&quot;$&quot;* #,##0.00_-;_-&quot;$&quot;* &quot;-&quot;??_-;_-@_-"/>
    <numFmt numFmtId="166" formatCode="_-&quot;$&quot;* #,##0_-;\-&quot;$&quot;* #,##0_-;_-&quot;$&quot;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9"/>
      <color rgb="FFFF0000"/>
      <name val="Century Gothic"/>
      <family val="2"/>
    </font>
    <font>
      <b/>
      <sz val="9"/>
      <color theme="1"/>
      <name val="Century Gothic"/>
      <family val="2"/>
    </font>
    <font>
      <sz val="11"/>
      <color rgb="FFFF0000"/>
      <name val="Arial Narrow"/>
      <family val="2"/>
    </font>
    <font>
      <u val="double"/>
      <sz val="11"/>
      <color rgb="FFFF0000"/>
      <name val="Arial Narrow"/>
      <family val="2"/>
    </font>
    <font>
      <b/>
      <u val="double"/>
      <sz val="9"/>
      <color theme="1"/>
      <name val="Century Gothic"/>
      <family val="2"/>
    </font>
    <font>
      <b/>
      <sz val="8"/>
      <color theme="1"/>
      <name val="Century Gothic"/>
      <family val="2"/>
    </font>
    <font>
      <sz val="9"/>
      <color theme="1"/>
      <name val="Century Gothic"/>
      <family val="2"/>
    </font>
    <font>
      <sz val="11"/>
      <color theme="0"/>
      <name val="Cambria"/>
      <family val="1"/>
    </font>
    <font>
      <b/>
      <sz val="11"/>
      <color theme="0"/>
      <name val="Cambria"/>
      <family val="1"/>
    </font>
    <font>
      <sz val="10"/>
      <color rgb="FF444444"/>
      <name val="Roboto"/>
    </font>
    <font>
      <b/>
      <sz val="10"/>
      <color rgb="FF535353"/>
      <name val="Roboto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C000"/>
        <bgColor theme="5" tint="0.59999389629810485"/>
      </patternFill>
    </fill>
    <fill>
      <patternFill patternType="solid">
        <fgColor rgb="FFFFFF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/>
    </xf>
    <xf numFmtId="166" fontId="4" fillId="4" borderId="5" xfId="1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/>
    </xf>
    <xf numFmtId="166" fontId="4" fillId="5" borderId="5" xfId="1" applyNumberFormat="1" applyFont="1" applyFill="1" applyBorder="1" applyAlignment="1">
      <alignment horizontal="center" vertical="center" wrapText="1"/>
    </xf>
    <xf numFmtId="166" fontId="4" fillId="6" borderId="5" xfId="1" applyNumberFormat="1" applyFont="1" applyFill="1" applyBorder="1" applyAlignment="1">
      <alignment horizontal="center" vertical="center" wrapText="1"/>
    </xf>
    <xf numFmtId="166" fontId="4" fillId="7" borderId="5" xfId="1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center" vertical="center"/>
    </xf>
    <xf numFmtId="166" fontId="9" fillId="3" borderId="0" xfId="0" applyNumberFormat="1" applyFont="1" applyFill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center" vertical="center"/>
    </xf>
    <xf numFmtId="166" fontId="4" fillId="4" borderId="9" xfId="1" applyNumberFormat="1" applyFont="1" applyFill="1" applyBorder="1" applyAlignment="1">
      <alignment horizontal="center" vertical="center" wrapText="1"/>
    </xf>
    <xf numFmtId="0" fontId="0" fillId="0" borderId="10" xfId="0" applyBorder="1"/>
    <xf numFmtId="1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166" fontId="4" fillId="2" borderId="0" xfId="1" applyNumberFormat="1" applyFont="1" applyFill="1" applyBorder="1" applyAlignment="1">
      <alignment horizontal="center" vertical="center" wrapText="1"/>
    </xf>
    <xf numFmtId="166" fontId="4" fillId="4" borderId="0" xfId="1" applyNumberFormat="1" applyFont="1" applyFill="1" applyBorder="1" applyAlignment="1">
      <alignment horizontal="center" vertical="center" wrapText="1"/>
    </xf>
    <xf numFmtId="166" fontId="0" fillId="9" borderId="12" xfId="0" applyNumberFormat="1" applyFill="1" applyBorder="1"/>
    <xf numFmtId="0" fontId="4" fillId="4" borderId="11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/>
    <xf numFmtId="0" fontId="9" fillId="4" borderId="13" xfId="0" applyFont="1" applyFill="1" applyBorder="1" applyAlignment="1">
      <alignment horizontal="left" vertical="center" wrapText="1"/>
    </xf>
    <xf numFmtId="0" fontId="9" fillId="4" borderId="14" xfId="0" applyFont="1" applyFill="1" applyBorder="1" applyAlignment="1">
      <alignment horizontal="center" vertical="center"/>
    </xf>
    <xf numFmtId="166" fontId="4" fillId="4" borderId="14" xfId="1" applyNumberFormat="1" applyFont="1" applyFill="1" applyBorder="1" applyAlignment="1">
      <alignment horizontal="center" vertical="center" wrapText="1"/>
    </xf>
    <xf numFmtId="166" fontId="0" fillId="9" borderId="15" xfId="0" applyNumberFormat="1" applyFill="1" applyBorder="1"/>
    <xf numFmtId="0" fontId="9" fillId="4" borderId="11" xfId="0" applyFont="1" applyFill="1" applyBorder="1" applyAlignment="1">
      <alignment horizontal="left" vertical="center" wrapText="1"/>
    </xf>
    <xf numFmtId="166" fontId="0" fillId="9" borderId="10" xfId="0" applyNumberFormat="1" applyFill="1" applyBorder="1"/>
    <xf numFmtId="0" fontId="9" fillId="2" borderId="13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 vertical="center"/>
    </xf>
    <xf numFmtId="166" fontId="4" fillId="2" borderId="14" xfId="1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4" fillId="2" borderId="13" xfId="0" applyFont="1" applyFill="1" applyBorder="1" applyAlignment="1">
      <alignment horizontal="left" vertical="center" wrapText="1"/>
    </xf>
    <xf numFmtId="14" fontId="0" fillId="0" borderId="16" xfId="0" applyNumberFormat="1" applyBorder="1"/>
    <xf numFmtId="0" fontId="12" fillId="0" borderId="17" xfId="0" applyFont="1" applyBorder="1"/>
    <xf numFmtId="0" fontId="0" fillId="0" borderId="17" xfId="0" applyBorder="1"/>
    <xf numFmtId="0" fontId="0" fillId="0" borderId="18" xfId="0" applyBorder="1"/>
    <xf numFmtId="0" fontId="9" fillId="4" borderId="19" xfId="0" applyFont="1" applyFill="1" applyBorder="1" applyAlignment="1">
      <alignment horizontal="left" vertical="center" wrapText="1"/>
    </xf>
    <xf numFmtId="166" fontId="4" fillId="4" borderId="17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2" fillId="0" borderId="14" xfId="0" applyFont="1" applyBorder="1"/>
    <xf numFmtId="0" fontId="1" fillId="0" borderId="0" xfId="0" applyFont="1"/>
    <xf numFmtId="166" fontId="1" fillId="0" borderId="0" xfId="0" applyNumberFormat="1" applyFont="1"/>
    <xf numFmtId="0" fontId="4" fillId="4" borderId="16" xfId="0" applyFont="1" applyFill="1" applyBorder="1" applyAlignment="1">
      <alignment horizontal="left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2" borderId="22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center" vertical="center"/>
    </xf>
    <xf numFmtId="166" fontId="4" fillId="2" borderId="23" xfId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/>
    <xf numFmtId="166" fontId="0" fillId="0" borderId="10" xfId="0" applyNumberFormat="1" applyBorder="1"/>
    <xf numFmtId="0" fontId="9" fillId="4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center" vertical="center"/>
    </xf>
    <xf numFmtId="166" fontId="0" fillId="9" borderId="0" xfId="0" applyNumberFormat="1" applyFill="1" applyBorder="1"/>
    <xf numFmtId="0" fontId="4" fillId="4" borderId="0" xfId="0" applyFont="1" applyFill="1" applyBorder="1" applyAlignment="1">
      <alignment horizontal="left" vertical="center" wrapText="1"/>
    </xf>
    <xf numFmtId="0" fontId="0" fillId="0" borderId="0" xfId="0" applyBorder="1"/>
    <xf numFmtId="0" fontId="9" fillId="4" borderId="8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166" fontId="0" fillId="0" borderId="15" xfId="0" applyNumberFormat="1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66" fontId="0" fillId="0" borderId="12" xfId="0" applyNumberFormat="1" applyBorder="1"/>
    <xf numFmtId="0" fontId="0" fillId="0" borderId="0" xfId="0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9" fillId="4" borderId="9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6" fontId="0" fillId="0" borderId="18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8" xfId="0" applyNumberFormat="1" applyBorder="1"/>
    <xf numFmtId="14" fontId="0" fillId="0" borderId="13" xfId="0" applyNumberFormat="1" applyBorder="1"/>
    <xf numFmtId="0" fontId="0" fillId="0" borderId="9" xfId="0" applyBorder="1"/>
    <xf numFmtId="14" fontId="0" fillId="0" borderId="11" xfId="0" applyNumberFormat="1" applyBorder="1"/>
    <xf numFmtId="0" fontId="0" fillId="0" borderId="14" xfId="0" applyBorder="1"/>
    <xf numFmtId="0" fontId="0" fillId="0" borderId="15" xfId="0" applyBorder="1"/>
    <xf numFmtId="14" fontId="0" fillId="0" borderId="8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</cellXfs>
  <cellStyles count="2">
    <cellStyle name="Moneda 2" xfId="1" xr:uid="{4C37F413-F82F-424A-A61F-4E73677FFF4F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/Downloads/I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ago"/>
      <sheetName val="Inv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0F7A-F3A4-49D1-8BF8-6B19A44D71AF}">
  <dimension ref="A1:G69"/>
  <sheetViews>
    <sheetView topLeftCell="A12" zoomScale="136" zoomScaleNormal="136" workbookViewId="0">
      <selection activeCell="A21" sqref="A21:D21"/>
    </sheetView>
  </sheetViews>
  <sheetFormatPr baseColWidth="10" defaultRowHeight="14.25" x14ac:dyDescent="0.25"/>
  <cols>
    <col min="1" max="1" width="71.42578125" style="9" customWidth="1"/>
    <col min="2" max="2" width="11.42578125" style="9"/>
    <col min="3" max="3" width="14.140625" style="16" customWidth="1"/>
    <col min="4" max="4" width="15.7109375" style="16" customWidth="1"/>
    <col min="5" max="16384" width="11.42578125" style="9"/>
  </cols>
  <sheetData>
    <row r="1" spans="1:7" s="3" customFormat="1" ht="30.75" hidden="1" customHeight="1" x14ac:dyDescent="0.25">
      <c r="A1" s="2" t="s">
        <v>67</v>
      </c>
      <c r="B1" s="2"/>
      <c r="C1" s="2"/>
      <c r="D1" s="2"/>
    </row>
    <row r="2" spans="1:7" s="3" customFormat="1" ht="30.75" customHeight="1" thickBot="1" x14ac:dyDescent="0.3">
      <c r="A2" s="2"/>
      <c r="B2" s="4"/>
      <c r="C2" s="4"/>
      <c r="D2" s="4"/>
    </row>
    <row r="3" spans="1:7" ht="81" customHeight="1" thickBot="1" x14ac:dyDescent="0.3">
      <c r="A3" s="5" t="s">
        <v>68</v>
      </c>
      <c r="B3" s="6" t="s">
        <v>69</v>
      </c>
      <c r="C3" s="7"/>
      <c r="D3" s="8">
        <v>44789</v>
      </c>
    </row>
    <row r="4" spans="1:7" ht="40.5" x14ac:dyDescent="0.25">
      <c r="A4" s="10" t="s">
        <v>70</v>
      </c>
      <c r="B4" s="11" t="s">
        <v>71</v>
      </c>
      <c r="C4" s="12" t="s">
        <v>72</v>
      </c>
      <c r="D4" s="12" t="s">
        <v>73</v>
      </c>
    </row>
    <row r="5" spans="1:7" x14ac:dyDescent="0.25">
      <c r="A5" s="13" t="s">
        <v>74</v>
      </c>
      <c r="B5" s="14">
        <v>80</v>
      </c>
      <c r="C5" s="15">
        <v>60500</v>
      </c>
      <c r="D5" s="15">
        <f>+C5/B5</f>
        <v>756.25</v>
      </c>
      <c r="E5" s="9">
        <v>75</v>
      </c>
      <c r="F5" s="16">
        <f>+E5*D5</f>
        <v>56718.75</v>
      </c>
    </row>
    <row r="6" spans="1:7" x14ac:dyDescent="0.25">
      <c r="A6" s="17" t="s">
        <v>75</v>
      </c>
      <c r="B6" s="18"/>
      <c r="C6" s="12">
        <v>20000</v>
      </c>
      <c r="D6" s="12"/>
    </row>
    <row r="7" spans="1:7" ht="28.5" x14ac:dyDescent="0.25">
      <c r="A7" s="13" t="s">
        <v>76</v>
      </c>
      <c r="B7" s="14"/>
      <c r="C7" s="15">
        <f>+C41+C40+C39+C44+C46</f>
        <v>8185</v>
      </c>
      <c r="D7" s="15"/>
    </row>
    <row r="8" spans="1:7" x14ac:dyDescent="0.25">
      <c r="A8" s="17" t="s">
        <v>77</v>
      </c>
      <c r="B8" s="18"/>
      <c r="C8" s="12">
        <v>3300</v>
      </c>
      <c r="D8" s="12"/>
    </row>
    <row r="9" spans="1:7" x14ac:dyDescent="0.25">
      <c r="A9" s="13" t="s">
        <v>78</v>
      </c>
      <c r="B9" s="14">
        <v>60</v>
      </c>
      <c r="C9" s="15">
        <v>30892.400000000001</v>
      </c>
      <c r="D9" s="15">
        <f t="shared" ref="D9:D34" si="0">+C9/B9</f>
        <v>514.87333333333333</v>
      </c>
    </row>
    <row r="10" spans="1:7" x14ac:dyDescent="0.25">
      <c r="A10" s="17" t="s">
        <v>79</v>
      </c>
      <c r="B10" s="18">
        <v>1000</v>
      </c>
      <c r="C10" s="12">
        <v>29583.4</v>
      </c>
      <c r="D10" s="12">
        <f t="shared" si="0"/>
        <v>29.583400000000001</v>
      </c>
    </row>
    <row r="11" spans="1:7" x14ac:dyDescent="0.25">
      <c r="A11" s="13" t="s">
        <v>80</v>
      </c>
      <c r="B11" s="14">
        <v>50</v>
      </c>
      <c r="C11" s="15">
        <v>26049.1</v>
      </c>
      <c r="D11" s="15">
        <f t="shared" si="0"/>
        <v>520.98199999999997</v>
      </c>
    </row>
    <row r="12" spans="1:7" x14ac:dyDescent="0.25">
      <c r="A12" s="17" t="s">
        <v>81</v>
      </c>
      <c r="B12" s="18">
        <v>1000</v>
      </c>
      <c r="C12" s="12">
        <v>23823.8</v>
      </c>
      <c r="D12" s="12">
        <f t="shared" si="0"/>
        <v>23.823799999999999</v>
      </c>
    </row>
    <row r="13" spans="1:7" x14ac:dyDescent="0.25">
      <c r="A13" s="13" t="s">
        <v>82</v>
      </c>
      <c r="B13" s="14">
        <v>50</v>
      </c>
      <c r="C13" s="15">
        <v>28143.5</v>
      </c>
      <c r="D13" s="15">
        <f t="shared" si="0"/>
        <v>562.87</v>
      </c>
      <c r="F13" s="9">
        <v>25</v>
      </c>
      <c r="G13" s="16">
        <f>+F13*D13</f>
        <v>14071.75</v>
      </c>
    </row>
    <row r="14" spans="1:7" x14ac:dyDescent="0.25">
      <c r="A14" s="17" t="s">
        <v>83</v>
      </c>
      <c r="B14" s="18">
        <v>1000</v>
      </c>
      <c r="C14" s="12">
        <v>23823.8</v>
      </c>
      <c r="D14" s="12">
        <f t="shared" si="0"/>
        <v>23.823799999999999</v>
      </c>
    </row>
    <row r="15" spans="1:7" x14ac:dyDescent="0.25">
      <c r="A15" s="13" t="s">
        <v>84</v>
      </c>
      <c r="B15" s="14">
        <v>500</v>
      </c>
      <c r="C15" s="15">
        <v>530200</v>
      </c>
      <c r="D15" s="15">
        <f t="shared" si="0"/>
        <v>1060.4000000000001</v>
      </c>
    </row>
    <row r="16" spans="1:7" x14ac:dyDescent="0.25">
      <c r="A16" s="17" t="s">
        <v>85</v>
      </c>
      <c r="B16" s="18">
        <v>500</v>
      </c>
      <c r="C16" s="12">
        <v>111251.8</v>
      </c>
      <c r="D16" s="12">
        <f t="shared" si="0"/>
        <v>222.50360000000001</v>
      </c>
    </row>
    <row r="17" spans="1:7" x14ac:dyDescent="0.25">
      <c r="A17" s="13" t="s">
        <v>86</v>
      </c>
      <c r="B17" s="14">
        <v>60</v>
      </c>
      <c r="C17" s="15">
        <v>28405.3</v>
      </c>
      <c r="D17" s="15">
        <f t="shared" si="0"/>
        <v>473.42166666666668</v>
      </c>
    </row>
    <row r="18" spans="1:7" x14ac:dyDescent="0.25">
      <c r="A18" s="13" t="s">
        <v>87</v>
      </c>
      <c r="B18" s="14">
        <v>60</v>
      </c>
      <c r="C18" s="15">
        <v>31808.7</v>
      </c>
      <c r="D18" s="15">
        <f t="shared" si="0"/>
        <v>530.14499999999998</v>
      </c>
    </row>
    <row r="19" spans="1:7" x14ac:dyDescent="0.25">
      <c r="A19" s="17" t="s">
        <v>88</v>
      </c>
      <c r="B19" s="18">
        <v>1000</v>
      </c>
      <c r="C19" s="12">
        <v>35997.5</v>
      </c>
      <c r="D19" s="12">
        <f t="shared" si="0"/>
        <v>35.997500000000002</v>
      </c>
    </row>
    <row r="20" spans="1:7" x14ac:dyDescent="0.25">
      <c r="A20" s="13" t="s">
        <v>89</v>
      </c>
      <c r="B20" s="14">
        <v>60</v>
      </c>
      <c r="C20" s="15">
        <v>27489</v>
      </c>
      <c r="D20" s="15">
        <f t="shared" si="0"/>
        <v>458.15</v>
      </c>
    </row>
    <row r="21" spans="1:7" x14ac:dyDescent="0.25">
      <c r="A21" s="17" t="s">
        <v>90</v>
      </c>
      <c r="B21" s="18">
        <v>1000</v>
      </c>
      <c r="C21" s="12">
        <v>25701.5</v>
      </c>
      <c r="D21" s="12">
        <f t="shared" si="0"/>
        <v>25.701499999999999</v>
      </c>
    </row>
    <row r="22" spans="1:7" x14ac:dyDescent="0.25">
      <c r="A22" s="13" t="s">
        <v>91</v>
      </c>
      <c r="B22" s="14">
        <v>60</v>
      </c>
      <c r="C22" s="15">
        <v>25918.2</v>
      </c>
      <c r="D22" s="15">
        <f t="shared" si="0"/>
        <v>431.97</v>
      </c>
      <c r="F22" s="9">
        <v>2</v>
      </c>
      <c r="G22" s="9">
        <f>+D22*F22</f>
        <v>863.94</v>
      </c>
    </row>
    <row r="23" spans="1:7" x14ac:dyDescent="0.25">
      <c r="A23" s="17" t="s">
        <v>92</v>
      </c>
      <c r="B23" s="18">
        <v>1000</v>
      </c>
      <c r="C23" s="12">
        <v>25391.3</v>
      </c>
      <c r="D23" s="12">
        <f t="shared" si="0"/>
        <v>25.391299999999998</v>
      </c>
    </row>
    <row r="24" spans="1:7" x14ac:dyDescent="0.25">
      <c r="A24" s="13" t="s">
        <v>93</v>
      </c>
      <c r="B24" s="14">
        <v>450</v>
      </c>
      <c r="C24" s="15">
        <v>157865.4</v>
      </c>
      <c r="D24" s="15">
        <f t="shared" si="0"/>
        <v>350.81200000000001</v>
      </c>
    </row>
    <row r="25" spans="1:7" x14ac:dyDescent="0.25">
      <c r="A25" s="17" t="s">
        <v>94</v>
      </c>
      <c r="B25" s="18">
        <v>1000</v>
      </c>
      <c r="C25" s="12">
        <v>38877.300000000003</v>
      </c>
      <c r="D25" s="12">
        <f t="shared" si="0"/>
        <v>38.877300000000005</v>
      </c>
    </row>
    <row r="26" spans="1:7" x14ac:dyDescent="0.25">
      <c r="A26" s="17" t="s">
        <v>95</v>
      </c>
      <c r="B26" s="18">
        <v>450</v>
      </c>
      <c r="C26" s="12">
        <v>89540</v>
      </c>
      <c r="D26" s="12">
        <f t="shared" si="0"/>
        <v>198.97777777777779</v>
      </c>
    </row>
    <row r="27" spans="1:7" x14ac:dyDescent="0.25">
      <c r="A27" s="13" t="s">
        <v>96</v>
      </c>
      <c r="B27" s="14">
        <v>450</v>
      </c>
      <c r="C27" s="15">
        <v>121330</v>
      </c>
      <c r="D27" s="15">
        <f t="shared" si="0"/>
        <v>269.62222222222221</v>
      </c>
    </row>
    <row r="28" spans="1:7" x14ac:dyDescent="0.25">
      <c r="A28" s="17" t="s">
        <v>97</v>
      </c>
      <c r="B28" s="18">
        <v>5</v>
      </c>
      <c r="C28" s="12">
        <v>123750</v>
      </c>
      <c r="D28" s="12">
        <f t="shared" si="0"/>
        <v>24750</v>
      </c>
    </row>
    <row r="29" spans="1:7" x14ac:dyDescent="0.25">
      <c r="A29" s="13" t="s">
        <v>98</v>
      </c>
      <c r="B29" s="14">
        <v>1000</v>
      </c>
      <c r="C29" s="15">
        <v>35997.5</v>
      </c>
      <c r="D29" s="15">
        <f t="shared" si="0"/>
        <v>35.997500000000002</v>
      </c>
      <c r="F29" s="9">
        <v>37</v>
      </c>
      <c r="G29" s="16">
        <f>+F29*D29</f>
        <v>1331.9075</v>
      </c>
    </row>
    <row r="30" spans="1:7" ht="28.5" x14ac:dyDescent="0.25">
      <c r="A30" s="17" t="s">
        <v>99</v>
      </c>
      <c r="B30" s="18">
        <v>1000</v>
      </c>
      <c r="C30" s="12">
        <v>163625</v>
      </c>
      <c r="D30" s="12">
        <f t="shared" si="0"/>
        <v>163.625</v>
      </c>
      <c r="F30" s="9">
        <v>50</v>
      </c>
      <c r="G30" s="16">
        <f>+F30*D30</f>
        <v>8181.25</v>
      </c>
    </row>
    <row r="31" spans="1:7" x14ac:dyDescent="0.25">
      <c r="A31" s="13" t="s">
        <v>100</v>
      </c>
      <c r="B31" s="14">
        <v>500</v>
      </c>
      <c r="C31" s="15">
        <v>128282</v>
      </c>
      <c r="D31" s="15">
        <f t="shared" si="0"/>
        <v>256.56400000000002</v>
      </c>
    </row>
    <row r="32" spans="1:7" x14ac:dyDescent="0.25">
      <c r="A32" s="17" t="s">
        <v>101</v>
      </c>
      <c r="B32" s="18">
        <v>1000</v>
      </c>
      <c r="C32" s="12">
        <v>26049.1</v>
      </c>
      <c r="D32" s="12">
        <f t="shared" si="0"/>
        <v>26.049099999999999</v>
      </c>
    </row>
    <row r="33" spans="1:5" x14ac:dyDescent="0.25">
      <c r="A33" s="13" t="s">
        <v>102</v>
      </c>
      <c r="B33" s="14">
        <v>100</v>
      </c>
      <c r="C33" s="19">
        <v>29452.5</v>
      </c>
      <c r="D33" s="15">
        <f t="shared" si="0"/>
        <v>294.52499999999998</v>
      </c>
    </row>
    <row r="34" spans="1:5" x14ac:dyDescent="0.25">
      <c r="A34" s="17" t="s">
        <v>103</v>
      </c>
      <c r="B34" s="18">
        <v>60</v>
      </c>
      <c r="C34" s="12">
        <v>44244.2</v>
      </c>
      <c r="D34" s="12">
        <f t="shared" si="0"/>
        <v>737.40333333333331</v>
      </c>
    </row>
    <row r="35" spans="1:5" x14ac:dyDescent="0.25">
      <c r="A35" s="13" t="s">
        <v>104</v>
      </c>
      <c r="B35" s="14">
        <v>1</v>
      </c>
      <c r="C35" s="15">
        <v>13917</v>
      </c>
      <c r="D35" s="15"/>
    </row>
    <row r="36" spans="1:5" ht="28.5" x14ac:dyDescent="0.25">
      <c r="A36" s="17" t="s">
        <v>105</v>
      </c>
      <c r="B36" s="18">
        <v>125</v>
      </c>
      <c r="C36" s="12">
        <v>132528</v>
      </c>
      <c r="D36" s="12">
        <f>+C36/B36</f>
        <v>1060.2239999999999</v>
      </c>
    </row>
    <row r="37" spans="1:5" ht="28.5" x14ac:dyDescent="0.25">
      <c r="A37" s="13" t="s">
        <v>106</v>
      </c>
      <c r="B37" s="14">
        <v>125</v>
      </c>
      <c r="C37" s="15">
        <v>142550.1</v>
      </c>
      <c r="D37" s="15">
        <f>+C37/B37</f>
        <v>1140.4008000000001</v>
      </c>
    </row>
    <row r="38" spans="1:5" x14ac:dyDescent="0.25">
      <c r="A38" s="17" t="s">
        <v>107</v>
      </c>
      <c r="B38" s="18">
        <v>150</v>
      </c>
      <c r="C38" s="12">
        <v>101512.4</v>
      </c>
      <c r="D38" s="12">
        <f>+C38/B38</f>
        <v>676.74933333333331</v>
      </c>
    </row>
    <row r="39" spans="1:5" x14ac:dyDescent="0.25">
      <c r="A39" s="13" t="s">
        <v>108</v>
      </c>
      <c r="B39" s="14"/>
      <c r="C39" s="20">
        <v>904</v>
      </c>
      <c r="D39" s="15"/>
    </row>
    <row r="40" spans="1:5" x14ac:dyDescent="0.25">
      <c r="A40" s="17" t="s">
        <v>109</v>
      </c>
      <c r="B40" s="18"/>
      <c r="C40" s="21">
        <v>900</v>
      </c>
      <c r="D40" s="12"/>
    </row>
    <row r="41" spans="1:5" x14ac:dyDescent="0.25">
      <c r="A41" s="13" t="s">
        <v>110</v>
      </c>
      <c r="B41" s="14"/>
      <c r="C41" s="20">
        <v>1500</v>
      </c>
      <c r="D41" s="15"/>
    </row>
    <row r="42" spans="1:5" x14ac:dyDescent="0.25">
      <c r="A42" s="17" t="s">
        <v>111</v>
      </c>
      <c r="B42" s="18"/>
      <c r="C42" s="21">
        <v>500</v>
      </c>
      <c r="D42" s="12"/>
    </row>
    <row r="43" spans="1:5" x14ac:dyDescent="0.25">
      <c r="A43" s="13" t="s">
        <v>112</v>
      </c>
      <c r="B43" s="14"/>
      <c r="C43" s="20">
        <v>3000</v>
      </c>
      <c r="D43" s="15"/>
    </row>
    <row r="44" spans="1:5" x14ac:dyDescent="0.25">
      <c r="A44" s="17" t="s">
        <v>113</v>
      </c>
      <c r="B44" s="18"/>
      <c r="C44" s="21">
        <v>800</v>
      </c>
      <c r="D44" s="12"/>
    </row>
    <row r="45" spans="1:5" x14ac:dyDescent="0.25">
      <c r="A45" s="13" t="s">
        <v>114</v>
      </c>
      <c r="B45" s="14"/>
      <c r="C45" s="20">
        <v>900</v>
      </c>
      <c r="D45" s="15"/>
    </row>
    <row r="46" spans="1:5" x14ac:dyDescent="0.25">
      <c r="A46" s="17" t="s">
        <v>115</v>
      </c>
      <c r="B46" s="18"/>
      <c r="C46" s="21">
        <v>4081</v>
      </c>
      <c r="D46" s="12"/>
      <c r="E46" s="16">
        <f>SUM(C39:C46)</f>
        <v>12585</v>
      </c>
    </row>
    <row r="47" spans="1:5" ht="42.75" x14ac:dyDescent="0.25">
      <c r="A47" s="13" t="s">
        <v>116</v>
      </c>
      <c r="B47" s="14"/>
      <c r="C47" s="15">
        <v>13485</v>
      </c>
      <c r="D47" s="15"/>
    </row>
    <row r="48" spans="1:5" ht="28.5" x14ac:dyDescent="0.25">
      <c r="A48" s="17" t="s">
        <v>117</v>
      </c>
      <c r="B48" s="18"/>
      <c r="C48" s="12">
        <f>2604+4081</f>
        <v>6685</v>
      </c>
      <c r="D48" s="12"/>
    </row>
    <row r="49" spans="1:4" ht="28.5" x14ac:dyDescent="0.25">
      <c r="A49" s="13" t="s">
        <v>118</v>
      </c>
      <c r="B49" s="14"/>
      <c r="C49" s="15">
        <f>2604+4081</f>
        <v>6685</v>
      </c>
      <c r="D49" s="15"/>
    </row>
    <row r="50" spans="1:4" x14ac:dyDescent="0.25">
      <c r="A50" s="17" t="s">
        <v>119</v>
      </c>
      <c r="B50" s="18"/>
      <c r="C50" s="12">
        <v>3000</v>
      </c>
      <c r="D50" s="12"/>
    </row>
    <row r="51" spans="1:4" ht="28.5" x14ac:dyDescent="0.25">
      <c r="A51" s="13" t="s">
        <v>120</v>
      </c>
      <c r="B51" s="14"/>
      <c r="C51" s="15">
        <v>8785</v>
      </c>
      <c r="D51" s="15"/>
    </row>
    <row r="52" spans="1:4" x14ac:dyDescent="0.25">
      <c r="A52" s="17" t="s">
        <v>121</v>
      </c>
      <c r="B52" s="18"/>
      <c r="C52" s="12">
        <v>7459.2583333333332</v>
      </c>
      <c r="D52" s="12"/>
    </row>
    <row r="53" spans="1:4" x14ac:dyDescent="0.25">
      <c r="A53" s="13" t="s">
        <v>122</v>
      </c>
      <c r="B53" s="14"/>
      <c r="C53" s="15">
        <v>8425</v>
      </c>
      <c r="D53" s="15"/>
    </row>
    <row r="54" spans="1:4" ht="28.5" x14ac:dyDescent="0.25">
      <c r="A54" s="17" t="s">
        <v>123</v>
      </c>
      <c r="B54" s="18"/>
      <c r="C54" s="12">
        <v>13663</v>
      </c>
      <c r="D54" s="12"/>
    </row>
    <row r="55" spans="1:4" ht="28.5" x14ac:dyDescent="0.25">
      <c r="A55" s="13" t="s">
        <v>124</v>
      </c>
      <c r="B55" s="14"/>
      <c r="C55" s="15">
        <v>14430</v>
      </c>
      <c r="D55" s="15"/>
    </row>
    <row r="56" spans="1:4" ht="28.5" x14ac:dyDescent="0.25">
      <c r="A56" s="17" t="s">
        <v>125</v>
      </c>
      <c r="B56" s="18"/>
      <c r="C56" s="12">
        <v>8880</v>
      </c>
      <c r="D56" s="12"/>
    </row>
    <row r="57" spans="1:4" x14ac:dyDescent="0.25">
      <c r="A57" s="13" t="s">
        <v>126</v>
      </c>
      <c r="B57" s="14"/>
      <c r="C57" s="15">
        <v>3680.9999999999995</v>
      </c>
      <c r="D57" s="15"/>
    </row>
    <row r="58" spans="1:4" ht="28.5" x14ac:dyDescent="0.25">
      <c r="A58" s="17" t="s">
        <v>127</v>
      </c>
      <c r="B58" s="18"/>
      <c r="C58" s="12">
        <v>31077</v>
      </c>
      <c r="D58" s="12"/>
    </row>
    <row r="59" spans="1:4" ht="28.5" x14ac:dyDescent="0.25">
      <c r="A59" s="13" t="s">
        <v>128</v>
      </c>
      <c r="B59" s="14"/>
      <c r="C59" s="15">
        <v>35858</v>
      </c>
      <c r="D59" s="15"/>
    </row>
    <row r="60" spans="1:4" ht="28.5" x14ac:dyDescent="0.25">
      <c r="A60" s="17" t="s">
        <v>129</v>
      </c>
      <c r="B60" s="18"/>
      <c r="C60" s="12">
        <v>38248.307479135241</v>
      </c>
      <c r="D60" s="12"/>
    </row>
    <row r="61" spans="1:4" ht="28.5" x14ac:dyDescent="0.25">
      <c r="A61" s="13" t="s">
        <v>130</v>
      </c>
      <c r="B61" s="14"/>
      <c r="C61" s="15">
        <v>7200</v>
      </c>
      <c r="D61" s="15"/>
    </row>
    <row r="62" spans="1:4" ht="28.5" x14ac:dyDescent="0.25">
      <c r="A62" s="17" t="s">
        <v>131</v>
      </c>
      <c r="B62" s="18"/>
      <c r="C62" s="12">
        <v>13200</v>
      </c>
      <c r="D62" s="12"/>
    </row>
    <row r="63" spans="1:4" x14ac:dyDescent="0.25">
      <c r="A63" s="13" t="s">
        <v>132</v>
      </c>
      <c r="B63" s="14"/>
      <c r="C63" s="15">
        <v>12000</v>
      </c>
      <c r="D63" s="15"/>
    </row>
    <row r="64" spans="1:4" ht="28.5" x14ac:dyDescent="0.25">
      <c r="A64" s="22" t="s">
        <v>133</v>
      </c>
      <c r="B64" s="23"/>
      <c r="C64" s="24">
        <v>3729</v>
      </c>
      <c r="D64" s="24"/>
    </row>
    <row r="65" spans="1:4" ht="28.5" x14ac:dyDescent="0.25">
      <c r="A65" s="22" t="s">
        <v>134</v>
      </c>
      <c r="C65" s="16">
        <v>1243</v>
      </c>
    </row>
    <row r="66" spans="1:4" ht="28.5" x14ac:dyDescent="0.25">
      <c r="A66" s="22" t="s">
        <v>135</v>
      </c>
      <c r="C66" s="16">
        <v>2486</v>
      </c>
    </row>
    <row r="67" spans="1:4" x14ac:dyDescent="0.25">
      <c r="A67" s="13" t="s">
        <v>136</v>
      </c>
      <c r="B67" s="14">
        <v>1000</v>
      </c>
      <c r="C67" s="15">
        <f>(116500+(116500*19%))+((116500+(116500*19%))*10%)</f>
        <v>152498.5</v>
      </c>
      <c r="D67" s="15">
        <f>+C67/B67</f>
        <v>152.49850000000001</v>
      </c>
    </row>
    <row r="68" spans="1:4" x14ac:dyDescent="0.25">
      <c r="A68" s="13" t="s">
        <v>137</v>
      </c>
      <c r="B68" s="14">
        <v>1000</v>
      </c>
      <c r="C68" s="15">
        <f>(160000+(160000*19%))+((160000+(160000*19%))*10%)</f>
        <v>209440</v>
      </c>
      <c r="D68" s="15">
        <f>+C68/B68</f>
        <v>209.44</v>
      </c>
    </row>
    <row r="69" spans="1:4" x14ac:dyDescent="0.25">
      <c r="A69" s="9" t="s">
        <v>138</v>
      </c>
      <c r="B69" s="9">
        <v>25</v>
      </c>
      <c r="C69" s="16">
        <v>7500</v>
      </c>
      <c r="D69" s="15">
        <f>+C69/B69</f>
        <v>300</v>
      </c>
    </row>
  </sheetData>
  <mergeCells count="2">
    <mergeCell ref="A1:D2"/>
    <mergeCell ref="B3:C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9E29-90A6-4CD6-ABD8-AE6BCBCA5612}">
  <dimension ref="A1:K135"/>
  <sheetViews>
    <sheetView topLeftCell="D26" zoomScale="91" zoomScaleNormal="91" workbookViewId="0">
      <selection activeCell="J51" sqref="J51"/>
    </sheetView>
  </sheetViews>
  <sheetFormatPr baseColWidth="10" defaultRowHeight="15" x14ac:dyDescent="0.25"/>
  <cols>
    <col min="1" max="1" width="16.7109375" style="84" bestFit="1" customWidth="1"/>
    <col min="2" max="2" width="25.140625" bestFit="1" customWidth="1"/>
    <col min="3" max="3" width="26.28515625" bestFit="1" customWidth="1"/>
    <col min="4" max="4" width="45.7109375" customWidth="1"/>
    <col min="5" max="5" width="57" style="73" customWidth="1"/>
    <col min="6" max="6" width="8.7109375" customWidth="1"/>
    <col min="7" max="7" width="10.7109375" customWidth="1"/>
    <col min="8" max="8" width="15.28515625" customWidth="1"/>
    <col min="9" max="9" width="27.42578125" customWidth="1"/>
    <col min="10" max="10" width="12.140625" bestFit="1" customWidth="1"/>
    <col min="11" max="11" width="19.140625" customWidth="1"/>
    <col min="13" max="13" width="54.7109375" customWidth="1"/>
  </cols>
  <sheetData>
    <row r="1" spans="1:11" ht="19.5" customHeight="1" thickBot="1" x14ac:dyDescent="0.3">
      <c r="A1" s="25" t="s">
        <v>139</v>
      </c>
      <c r="B1" s="25" t="s">
        <v>140</v>
      </c>
      <c r="C1" s="26" t="s">
        <v>141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</row>
    <row r="2" spans="1:11" x14ac:dyDescent="0.25">
      <c r="A2" s="95" t="s">
        <v>64</v>
      </c>
      <c r="B2" s="29" t="s">
        <v>65</v>
      </c>
      <c r="C2" s="29" t="s">
        <v>25</v>
      </c>
      <c r="D2" s="30" t="s">
        <v>26</v>
      </c>
      <c r="E2" s="91" t="s">
        <v>80</v>
      </c>
      <c r="F2" s="32">
        <v>50</v>
      </c>
      <c r="G2" s="33">
        <v>26049.1</v>
      </c>
      <c r="H2" s="33">
        <f t="shared" ref="H2:H3" si="0">+G2/F2</f>
        <v>520.98199999999997</v>
      </c>
      <c r="I2" s="33">
        <f>ROUNDUP(25,0)</f>
        <v>25</v>
      </c>
      <c r="J2" s="33">
        <f t="shared" ref="J2:J4" si="1">+H2*I2</f>
        <v>13024.55</v>
      </c>
      <c r="K2" s="54"/>
    </row>
    <row r="3" spans="1:11" x14ac:dyDescent="0.25">
      <c r="A3" s="96"/>
      <c r="B3" s="97"/>
      <c r="C3" s="97"/>
      <c r="D3" s="37"/>
      <c r="E3" s="43" t="s">
        <v>102</v>
      </c>
      <c r="F3" s="87">
        <v>100</v>
      </c>
      <c r="G3" s="41">
        <v>29452.5</v>
      </c>
      <c r="H3" s="41">
        <f t="shared" si="0"/>
        <v>294.52499999999998</v>
      </c>
      <c r="I3" s="41">
        <f>ROUNDUP(3,0)</f>
        <v>3</v>
      </c>
      <c r="J3" s="41">
        <f t="shared" si="1"/>
        <v>883.57499999999993</v>
      </c>
      <c r="K3" s="48"/>
    </row>
    <row r="4" spans="1:11" ht="19.5" customHeight="1" thickBot="1" x14ac:dyDescent="0.3">
      <c r="A4" s="98"/>
      <c r="B4" s="46"/>
      <c r="C4" s="46"/>
      <c r="D4" s="47"/>
      <c r="E4" s="92" t="s">
        <v>98</v>
      </c>
      <c r="F4" s="50">
        <v>1000</v>
      </c>
      <c r="G4" s="51">
        <v>35997.5</v>
      </c>
      <c r="H4" s="51">
        <f>+G4/F4</f>
        <v>35.997500000000002</v>
      </c>
      <c r="I4" s="51">
        <f>ROUNDUP(72,0)</f>
        <v>72</v>
      </c>
      <c r="J4" s="51">
        <f t="shared" si="1"/>
        <v>2591.8200000000002</v>
      </c>
      <c r="K4" s="93">
        <f>SUM(J2:J4)</f>
        <v>16499.945</v>
      </c>
    </row>
    <row r="5" spans="1:11" x14ac:dyDescent="0.25">
      <c r="A5" s="95" t="s">
        <v>58</v>
      </c>
      <c r="B5" s="29" t="s">
        <v>24</v>
      </c>
      <c r="C5" s="29" t="s">
        <v>59</v>
      </c>
      <c r="D5" s="30" t="s">
        <v>60</v>
      </c>
      <c r="E5" s="43" t="s">
        <v>102</v>
      </c>
      <c r="F5" s="87">
        <v>100</v>
      </c>
      <c r="G5" s="41">
        <v>29452.5</v>
      </c>
      <c r="H5" s="41">
        <f t="shared" ref="H5:H6" si="2">+G5/F5</f>
        <v>294.52499999999998</v>
      </c>
      <c r="I5" s="41">
        <f>ROUNDUP(50+21+60+20,0)</f>
        <v>151</v>
      </c>
      <c r="J5" s="41">
        <f t="shared" ref="J5:J7" si="3">+H5*I5</f>
        <v>44473.274999999994</v>
      </c>
      <c r="K5" s="48"/>
    </row>
    <row r="6" spans="1:11" x14ac:dyDescent="0.25">
      <c r="A6" s="96"/>
      <c r="B6" s="97"/>
      <c r="C6" s="97"/>
      <c r="D6" s="37"/>
      <c r="E6" s="38" t="s">
        <v>101</v>
      </c>
      <c r="F6" s="39">
        <v>1000</v>
      </c>
      <c r="G6" s="40">
        <v>26049.1</v>
      </c>
      <c r="H6" s="40">
        <f t="shared" si="2"/>
        <v>26.049099999999999</v>
      </c>
      <c r="I6" s="41">
        <f>ROUNDUP(100+65,0)</f>
        <v>165</v>
      </c>
      <c r="J6" s="41">
        <f t="shared" si="3"/>
        <v>4298.1014999999998</v>
      </c>
      <c r="K6" s="42"/>
    </row>
    <row r="7" spans="1:11" ht="27.75" thickBot="1" x14ac:dyDescent="0.3">
      <c r="A7" s="98"/>
      <c r="B7" s="46"/>
      <c r="C7" s="46"/>
      <c r="D7" s="47"/>
      <c r="E7" s="92" t="s">
        <v>98</v>
      </c>
      <c r="F7" s="50">
        <v>1000</v>
      </c>
      <c r="G7" s="51">
        <v>35997.5</v>
      </c>
      <c r="H7" s="51">
        <f>+G7/F7</f>
        <v>35.997500000000002</v>
      </c>
      <c r="I7" s="51">
        <f>ROUNDUP(120,0)</f>
        <v>120</v>
      </c>
      <c r="J7" s="51">
        <f t="shared" si="3"/>
        <v>4319.7000000000007</v>
      </c>
      <c r="K7" s="93">
        <f>SUM(J5:J7)</f>
        <v>53091.076499999996</v>
      </c>
    </row>
    <row r="8" spans="1:11" x14ac:dyDescent="0.25">
      <c r="A8" s="95" t="s">
        <v>55</v>
      </c>
      <c r="B8" s="29" t="s">
        <v>11</v>
      </c>
      <c r="C8" s="29" t="s">
        <v>56</v>
      </c>
      <c r="D8" s="30" t="s">
        <v>28</v>
      </c>
      <c r="E8" s="43" t="s">
        <v>102</v>
      </c>
      <c r="F8" s="87">
        <v>100</v>
      </c>
      <c r="G8" s="41">
        <v>29452.5</v>
      </c>
      <c r="H8" s="41">
        <f t="shared" ref="H8" si="4">+G8/F8</f>
        <v>294.52499999999998</v>
      </c>
      <c r="I8" s="41">
        <f>ROUNDUP(17+41+12+16,0)</f>
        <v>86</v>
      </c>
      <c r="J8" s="41">
        <f t="shared" ref="J8:J9" si="5">+H8*I8</f>
        <v>25329.149999999998</v>
      </c>
      <c r="K8" s="48"/>
    </row>
    <row r="9" spans="1:11" ht="27.75" thickBot="1" x14ac:dyDescent="0.3">
      <c r="A9" s="98"/>
      <c r="B9" s="46"/>
      <c r="C9" s="46"/>
      <c r="D9" s="47"/>
      <c r="E9" s="92" t="s">
        <v>98</v>
      </c>
      <c r="F9" s="50">
        <v>1000</v>
      </c>
      <c r="G9" s="51">
        <v>35997.5</v>
      </c>
      <c r="H9" s="51">
        <f>+G9/F9</f>
        <v>35.997500000000002</v>
      </c>
      <c r="I9" s="51">
        <f>ROUNDUP(46+8+56,0)</f>
        <v>110</v>
      </c>
      <c r="J9" s="51">
        <f t="shared" si="5"/>
        <v>3959.7250000000004</v>
      </c>
      <c r="K9" s="93">
        <f>SUM(J8:J9)</f>
        <v>29288.875</v>
      </c>
    </row>
    <row r="10" spans="1:11" x14ac:dyDescent="0.25">
      <c r="A10" s="95" t="s">
        <v>50</v>
      </c>
      <c r="B10" s="29" t="s">
        <v>19</v>
      </c>
      <c r="C10" s="29" t="s">
        <v>51</v>
      </c>
      <c r="D10" s="30" t="s">
        <v>52</v>
      </c>
      <c r="E10" s="43" t="s">
        <v>102</v>
      </c>
      <c r="F10" s="87">
        <v>100</v>
      </c>
      <c r="G10" s="41">
        <v>29452.5</v>
      </c>
      <c r="H10" s="41">
        <f t="shared" ref="H10" si="6">+G10/F10</f>
        <v>294.52499999999998</v>
      </c>
      <c r="I10" s="41">
        <f>ROUNDUP(30+24+5,0)</f>
        <v>59</v>
      </c>
      <c r="J10" s="41">
        <f t="shared" ref="J10:J13" si="7">+H10*I10</f>
        <v>17376.974999999999</v>
      </c>
      <c r="K10" s="48"/>
    </row>
    <row r="11" spans="1:11" ht="27.75" thickBot="1" x14ac:dyDescent="0.3">
      <c r="A11" s="98"/>
      <c r="B11" s="46"/>
      <c r="C11" s="46"/>
      <c r="D11" s="47"/>
      <c r="E11" s="43" t="s">
        <v>98</v>
      </c>
      <c r="F11" s="87">
        <v>1000</v>
      </c>
      <c r="G11" s="41">
        <v>35997.5</v>
      </c>
      <c r="H11" s="41">
        <f>+G11/F11</f>
        <v>35.997500000000002</v>
      </c>
      <c r="I11" s="41">
        <f>ROUNDUP(60,0)</f>
        <v>60</v>
      </c>
      <c r="J11" s="41">
        <f t="shared" si="7"/>
        <v>2159.8500000000004</v>
      </c>
      <c r="K11" s="104">
        <f>SUM(J10:J11)</f>
        <v>19536.824999999997</v>
      </c>
    </row>
    <row r="12" spans="1:11" x14ac:dyDescent="0.25">
      <c r="A12" s="95" t="s">
        <v>46</v>
      </c>
      <c r="B12" s="29" t="s">
        <v>24</v>
      </c>
      <c r="C12" s="29" t="s">
        <v>47</v>
      </c>
      <c r="D12" s="30" t="s">
        <v>26</v>
      </c>
      <c r="E12" s="91" t="s">
        <v>80</v>
      </c>
      <c r="F12" s="32">
        <v>50</v>
      </c>
      <c r="G12" s="33">
        <v>26049.1</v>
      </c>
      <c r="H12" s="33">
        <f t="shared" ref="H12" si="8">+G12/F12</f>
        <v>520.98199999999997</v>
      </c>
      <c r="I12" s="33">
        <f>ROUNDUP(15,0)</f>
        <v>15</v>
      </c>
      <c r="J12" s="33">
        <f t="shared" si="7"/>
        <v>7814.73</v>
      </c>
      <c r="K12" s="54"/>
    </row>
    <row r="13" spans="1:11" ht="27.75" thickBot="1" x14ac:dyDescent="0.3">
      <c r="A13" s="96"/>
      <c r="B13" s="97"/>
      <c r="C13" s="97"/>
      <c r="D13" s="37"/>
      <c r="E13" s="43" t="s">
        <v>98</v>
      </c>
      <c r="F13" s="87">
        <v>1000</v>
      </c>
      <c r="G13" s="41">
        <v>35997.5</v>
      </c>
      <c r="H13" s="41">
        <f>+G13/F13</f>
        <v>35.997500000000002</v>
      </c>
      <c r="I13" s="41">
        <f>ROUNDUP(36,0)</f>
        <v>36</v>
      </c>
      <c r="J13" s="41">
        <f t="shared" si="7"/>
        <v>1295.9100000000001</v>
      </c>
      <c r="K13" s="104">
        <f>SUM(J12:J13)</f>
        <v>9110.64</v>
      </c>
    </row>
    <row r="14" spans="1:11" x14ac:dyDescent="0.25">
      <c r="A14" s="95" t="s">
        <v>41</v>
      </c>
      <c r="B14" s="29" t="s">
        <v>11</v>
      </c>
      <c r="C14" s="29" t="s">
        <v>42</v>
      </c>
      <c r="D14" s="30" t="s">
        <v>43</v>
      </c>
      <c r="E14" s="108" t="s">
        <v>80</v>
      </c>
      <c r="F14" s="32">
        <v>50</v>
      </c>
      <c r="G14" s="33">
        <v>26049.1</v>
      </c>
      <c r="H14" s="33">
        <f t="shared" ref="H14" si="9">+G14/F14</f>
        <v>520.98199999999997</v>
      </c>
      <c r="I14" s="33">
        <f>ROUNDUP(24+11+11,0)</f>
        <v>46</v>
      </c>
      <c r="J14" s="33">
        <f t="shared" ref="J14:J16" si="10">+H14*I14</f>
        <v>23965.171999999999</v>
      </c>
      <c r="K14" s="54"/>
    </row>
    <row r="15" spans="1:11" ht="27" x14ac:dyDescent="0.25">
      <c r="A15" s="96"/>
      <c r="B15" s="97"/>
      <c r="C15" s="97"/>
      <c r="D15" s="37"/>
      <c r="E15" s="89" t="s">
        <v>98</v>
      </c>
      <c r="F15" s="87">
        <v>1000</v>
      </c>
      <c r="G15" s="41">
        <v>35997.5</v>
      </c>
      <c r="H15" s="41">
        <f>+G15/F15</f>
        <v>35.997500000000002</v>
      </c>
      <c r="I15" s="41">
        <f>ROUNDUP(68,0)</f>
        <v>68</v>
      </c>
      <c r="J15" s="41">
        <f t="shared" si="10"/>
        <v>2447.83</v>
      </c>
      <c r="K15" s="48"/>
    </row>
    <row r="16" spans="1:11" x14ac:dyDescent="0.25">
      <c r="A16" s="96"/>
      <c r="B16" s="97"/>
      <c r="C16" s="97"/>
      <c r="D16" s="37"/>
      <c r="E16" s="86" t="s">
        <v>89</v>
      </c>
      <c r="F16" s="87">
        <v>60</v>
      </c>
      <c r="G16" s="41">
        <v>27489</v>
      </c>
      <c r="H16" s="41">
        <f t="shared" ref="H16:H19" si="11">+G16/F16</f>
        <v>458.15</v>
      </c>
      <c r="I16" s="41">
        <f>ROUNDUP(16+44,0)</f>
        <v>60</v>
      </c>
      <c r="J16" s="41">
        <f t="shared" si="10"/>
        <v>27489</v>
      </c>
      <c r="K16" s="42"/>
    </row>
    <row r="17" spans="1:11" x14ac:dyDescent="0.25">
      <c r="A17" s="96"/>
      <c r="B17" s="97"/>
      <c r="C17" s="97"/>
      <c r="D17" s="37"/>
      <c r="E17" s="86" t="s">
        <v>82</v>
      </c>
      <c r="F17" s="87">
        <v>50</v>
      </c>
      <c r="G17" s="41">
        <v>28143.5</v>
      </c>
      <c r="H17" s="41">
        <f t="shared" si="11"/>
        <v>562.87</v>
      </c>
      <c r="I17" s="41">
        <f>ROUNDUP(10,0)</f>
        <v>10</v>
      </c>
      <c r="J17" s="41">
        <f t="shared" ref="J17:J20" si="12">+H17*I17</f>
        <v>5628.7</v>
      </c>
      <c r="K17" s="42"/>
    </row>
    <row r="18" spans="1:11" ht="15.75" thickBot="1" x14ac:dyDescent="0.3">
      <c r="A18" s="98"/>
      <c r="B18" s="46"/>
      <c r="C18" s="46"/>
      <c r="D18" s="47"/>
      <c r="E18" s="109" t="s">
        <v>101</v>
      </c>
      <c r="F18" s="56">
        <v>1000</v>
      </c>
      <c r="G18" s="57">
        <v>26049.1</v>
      </c>
      <c r="H18" s="57">
        <f t="shared" si="11"/>
        <v>26.049099999999999</v>
      </c>
      <c r="I18" s="51">
        <f>ROUNDUP(98,0)</f>
        <v>98</v>
      </c>
      <c r="J18" s="51">
        <f t="shared" si="12"/>
        <v>2552.8117999999999</v>
      </c>
      <c r="K18" s="93">
        <f>SUM(J14:J18)</f>
        <v>62083.513800000001</v>
      </c>
    </row>
    <row r="19" spans="1:11" x14ac:dyDescent="0.25">
      <c r="A19" s="28" t="s">
        <v>35</v>
      </c>
      <c r="B19" s="29" t="s">
        <v>11</v>
      </c>
      <c r="C19" s="29" t="s">
        <v>36</v>
      </c>
      <c r="D19" s="30" t="s">
        <v>37</v>
      </c>
      <c r="E19" s="89" t="s">
        <v>102</v>
      </c>
      <c r="F19" s="87">
        <v>100</v>
      </c>
      <c r="G19" s="41">
        <v>29452.5</v>
      </c>
      <c r="H19" s="41">
        <f t="shared" si="11"/>
        <v>294.52499999999998</v>
      </c>
      <c r="I19" s="41">
        <f>ROUNDUP(50+20+20,0)</f>
        <v>90</v>
      </c>
      <c r="J19" s="41">
        <f t="shared" si="12"/>
        <v>26507.249999999996</v>
      </c>
      <c r="K19" s="48"/>
    </row>
    <row r="20" spans="1:11" ht="27" x14ac:dyDescent="0.25">
      <c r="A20" s="35"/>
      <c r="B20" s="97"/>
      <c r="C20" s="97"/>
      <c r="D20" s="37"/>
      <c r="E20" s="89" t="s">
        <v>98</v>
      </c>
      <c r="F20" s="87">
        <v>1000</v>
      </c>
      <c r="G20" s="41">
        <v>35997.5</v>
      </c>
      <c r="H20" s="41">
        <f>+G20/F20</f>
        <v>35.997500000000002</v>
      </c>
      <c r="I20" s="41">
        <f>ROUNDUP(50,0)</f>
        <v>50</v>
      </c>
      <c r="J20" s="41">
        <f t="shared" si="12"/>
        <v>1799.875</v>
      </c>
      <c r="K20" s="48"/>
    </row>
    <row r="21" spans="1:11" ht="15.75" thickBot="1" x14ac:dyDescent="0.3">
      <c r="A21" s="45"/>
      <c r="B21" s="46"/>
      <c r="C21" s="46"/>
      <c r="D21" s="47"/>
      <c r="E21" s="106" t="s">
        <v>101</v>
      </c>
      <c r="F21" s="101">
        <v>1000</v>
      </c>
      <c r="G21" s="40">
        <v>26049.1</v>
      </c>
      <c r="H21" s="40">
        <f t="shared" ref="H21" si="13">+G21/F21</f>
        <v>26.049099999999999</v>
      </c>
      <c r="I21" s="41">
        <f>ROUNDUP(40,0)</f>
        <v>40</v>
      </c>
      <c r="J21" s="41">
        <f t="shared" ref="J21" si="14">+H21*I21</f>
        <v>1041.9639999999999</v>
      </c>
      <c r="K21" s="104">
        <f>SUM(J19:J21)</f>
        <v>29349.088999999996</v>
      </c>
    </row>
    <row r="22" spans="1:11" x14ac:dyDescent="0.25">
      <c r="A22" s="115"/>
      <c r="B22" s="29" t="s">
        <v>24</v>
      </c>
      <c r="C22" s="29" t="s">
        <v>25</v>
      </c>
      <c r="D22" s="30" t="s">
        <v>26</v>
      </c>
      <c r="E22" s="31" t="s">
        <v>102</v>
      </c>
      <c r="F22" s="32">
        <v>100</v>
      </c>
      <c r="G22" s="33">
        <v>29452.5</v>
      </c>
      <c r="H22" s="33">
        <f t="shared" ref="H22" si="15">+G22/F22</f>
        <v>294.52499999999998</v>
      </c>
      <c r="I22" s="33">
        <f>ROUNDUP(40+20,0)</f>
        <v>60</v>
      </c>
      <c r="J22" s="33">
        <f t="shared" ref="J22" si="16">+H22*I22</f>
        <v>17671.5</v>
      </c>
      <c r="K22" s="34"/>
    </row>
    <row r="23" spans="1:11" ht="15.75" thickBot="1" x14ac:dyDescent="0.3">
      <c r="A23" s="116"/>
      <c r="B23" s="46"/>
      <c r="C23" s="46"/>
      <c r="D23" s="47"/>
      <c r="E23" s="64" t="s">
        <v>101</v>
      </c>
      <c r="F23" s="56">
        <v>1000</v>
      </c>
      <c r="G23" s="57">
        <v>26049.1</v>
      </c>
      <c r="H23" s="57">
        <f t="shared" ref="H23:H26" si="17">+G23/F23</f>
        <v>26.049099999999999</v>
      </c>
      <c r="I23" s="51">
        <f>ROUNDUP(40+20,0)</f>
        <v>60</v>
      </c>
      <c r="J23" s="51">
        <f t="shared" ref="J23:J28" si="18">+H23*I23</f>
        <v>1562.9459999999999</v>
      </c>
      <c r="K23" s="93">
        <f>SUM(J22:J23)</f>
        <v>19234.446</v>
      </c>
    </row>
    <row r="24" spans="1:11" x14ac:dyDescent="0.25">
      <c r="A24" s="95" t="s">
        <v>18</v>
      </c>
      <c r="B24" s="100" t="s">
        <v>19</v>
      </c>
      <c r="C24" s="100" t="s">
        <v>20</v>
      </c>
      <c r="D24" s="99" t="s">
        <v>13</v>
      </c>
      <c r="E24" s="86" t="s">
        <v>80</v>
      </c>
      <c r="F24" s="87">
        <v>50</v>
      </c>
      <c r="G24" s="41">
        <v>26049.1</v>
      </c>
      <c r="H24" s="41">
        <f t="shared" si="17"/>
        <v>520.98199999999997</v>
      </c>
      <c r="I24" s="41">
        <f>ROUNDUP(10+4+10+4,0)</f>
        <v>28</v>
      </c>
      <c r="J24" s="41">
        <f t="shared" si="18"/>
        <v>14587.495999999999</v>
      </c>
      <c r="K24" s="42"/>
    </row>
    <row r="25" spans="1:11" ht="15.75" thickBot="1" x14ac:dyDescent="0.3">
      <c r="A25" s="98"/>
      <c r="B25" s="113"/>
      <c r="C25" s="113"/>
      <c r="D25" s="114"/>
      <c r="E25" s="106" t="s">
        <v>101</v>
      </c>
      <c r="F25" s="101">
        <v>1000</v>
      </c>
      <c r="G25" s="40">
        <v>26049.1</v>
      </c>
      <c r="H25" s="40">
        <f t="shared" si="17"/>
        <v>26.049099999999999</v>
      </c>
      <c r="I25" s="41">
        <f>ROUNDUP(26+12,0)</f>
        <v>38</v>
      </c>
      <c r="J25" s="41">
        <f t="shared" si="18"/>
        <v>989.86579999999992</v>
      </c>
      <c r="K25" s="104">
        <f>SUM(J24:J25)</f>
        <v>15577.361799999999</v>
      </c>
    </row>
    <row r="26" spans="1:11" x14ac:dyDescent="0.25">
      <c r="A26" s="95" t="s">
        <v>10</v>
      </c>
      <c r="B26" s="29" t="s">
        <v>11</v>
      </c>
      <c r="C26" s="29" t="s">
        <v>12</v>
      </c>
      <c r="D26" s="30" t="s">
        <v>13</v>
      </c>
      <c r="E26" s="31" t="s">
        <v>102</v>
      </c>
      <c r="F26" s="32">
        <v>100</v>
      </c>
      <c r="G26" s="33">
        <v>29452.5</v>
      </c>
      <c r="H26" s="33">
        <f t="shared" si="17"/>
        <v>294.52499999999998</v>
      </c>
      <c r="I26" s="33">
        <f>ROUNDUP(43+21,0)</f>
        <v>64</v>
      </c>
      <c r="J26" s="33">
        <f t="shared" si="18"/>
        <v>18849.599999999999</v>
      </c>
      <c r="K26" s="34"/>
    </row>
    <row r="27" spans="1:11" ht="27" x14ac:dyDescent="0.25">
      <c r="A27" s="96"/>
      <c r="B27" s="97"/>
      <c r="C27" s="97"/>
      <c r="D27" s="37"/>
      <c r="E27" s="43" t="s">
        <v>98</v>
      </c>
      <c r="F27" s="87">
        <v>1000</v>
      </c>
      <c r="G27" s="41">
        <v>35997.5</v>
      </c>
      <c r="H27" s="41">
        <f>+G27/F27</f>
        <v>35.997500000000002</v>
      </c>
      <c r="I27" s="41">
        <f>ROUNDUP(44+31+24,0)</f>
        <v>99</v>
      </c>
      <c r="J27" s="41">
        <f t="shared" si="18"/>
        <v>3563.7525000000001</v>
      </c>
      <c r="K27" s="104"/>
    </row>
    <row r="28" spans="1:11" ht="15.75" thickBot="1" x14ac:dyDescent="0.3">
      <c r="A28" s="98"/>
      <c r="B28" s="46"/>
      <c r="C28" s="46"/>
      <c r="D28" s="47"/>
      <c r="E28" s="49" t="s">
        <v>80</v>
      </c>
      <c r="F28" s="50">
        <v>50</v>
      </c>
      <c r="G28" s="51">
        <v>26049.1</v>
      </c>
      <c r="H28" s="51">
        <f t="shared" ref="H28" si="19">+G28/F28</f>
        <v>520.98199999999997</v>
      </c>
      <c r="I28" s="51">
        <f>ROUNDUP(18,0)</f>
        <v>18</v>
      </c>
      <c r="J28" s="51">
        <f t="shared" si="18"/>
        <v>9377.6759999999995</v>
      </c>
      <c r="K28" s="52">
        <f>SUM(J26:J28)</f>
        <v>31791.028499999997</v>
      </c>
    </row>
    <row r="29" spans="1:11" x14ac:dyDescent="0.25">
      <c r="A29" s="71"/>
      <c r="J29" s="74">
        <f>SUM(J2:J28)</f>
        <v>285562.80059999996</v>
      </c>
      <c r="K29" s="74">
        <f>SUM(K2:K28)</f>
        <v>285562.80060000002</v>
      </c>
    </row>
    <row r="30" spans="1:11" x14ac:dyDescent="0.25">
      <c r="A30" s="71"/>
      <c r="J30" s="74"/>
      <c r="K30" s="74"/>
    </row>
    <row r="31" spans="1:11" x14ac:dyDescent="0.25">
      <c r="A31" s="71"/>
      <c r="J31" s="74"/>
      <c r="K31" s="74"/>
    </row>
    <row r="32" spans="1:11" x14ac:dyDescent="0.25">
      <c r="A32" s="71"/>
      <c r="J32" s="74"/>
      <c r="K32" s="74"/>
    </row>
    <row r="33" spans="1:11" x14ac:dyDescent="0.25">
      <c r="A33" s="71"/>
      <c r="J33" s="74"/>
      <c r="K33" s="74"/>
    </row>
    <row r="34" spans="1:11" x14ac:dyDescent="0.25">
      <c r="A34" s="71"/>
      <c r="J34" s="74"/>
      <c r="K34" s="74"/>
    </row>
    <row r="35" spans="1:11" ht="15.75" thickBot="1" x14ac:dyDescent="0.3">
      <c r="A35" s="71"/>
      <c r="J35" s="74"/>
      <c r="K35" s="74"/>
    </row>
    <row r="36" spans="1:11" x14ac:dyDescent="0.25">
      <c r="A36" s="28"/>
      <c r="B36" s="29"/>
      <c r="C36" s="29"/>
      <c r="D36" s="30"/>
      <c r="E36" s="31" t="s">
        <v>102</v>
      </c>
      <c r="F36" s="32">
        <v>100</v>
      </c>
      <c r="G36" s="33">
        <v>29452.5</v>
      </c>
      <c r="H36" s="33">
        <f>+G36/F36</f>
        <v>294.52499999999998</v>
      </c>
      <c r="I36" s="33">
        <f>ROUNDUP(16+35+63+28+8+43+21+7,0)</f>
        <v>221</v>
      </c>
      <c r="J36" s="33">
        <f>+H36*I36</f>
        <v>65090.024999999994</v>
      </c>
      <c r="K36" s="34"/>
    </row>
    <row r="37" spans="1:11" x14ac:dyDescent="0.25">
      <c r="A37" s="35"/>
      <c r="B37" s="97"/>
      <c r="C37" s="97"/>
      <c r="D37" s="37"/>
      <c r="E37" s="53" t="s">
        <v>80</v>
      </c>
      <c r="F37" s="87">
        <v>50</v>
      </c>
      <c r="G37" s="41">
        <v>26049.1</v>
      </c>
      <c r="H37" s="41">
        <f>+G37/F37</f>
        <v>520.98199999999997</v>
      </c>
      <c r="I37" s="41">
        <f>ROUNDUP(31+5+32+18,0)</f>
        <v>86</v>
      </c>
      <c r="J37" s="41">
        <f>+H37*I37</f>
        <v>44804.451999999997</v>
      </c>
      <c r="K37" s="42"/>
    </row>
    <row r="38" spans="1:11" x14ac:dyDescent="0.25">
      <c r="A38" s="35"/>
      <c r="B38" s="97"/>
      <c r="C38" s="97"/>
      <c r="D38" s="37"/>
      <c r="E38" s="43" t="s">
        <v>96</v>
      </c>
      <c r="F38" s="87">
        <v>450</v>
      </c>
      <c r="G38" s="41">
        <v>121330</v>
      </c>
      <c r="H38" s="41">
        <f>+G38/F38</f>
        <v>269.62222222222221</v>
      </c>
      <c r="I38" s="41">
        <f>ROUNDUP(50+50+40+12,0)</f>
        <v>152</v>
      </c>
      <c r="J38" s="41">
        <f>+H38*I38</f>
        <v>40982.577777777777</v>
      </c>
      <c r="K38" s="42"/>
    </row>
    <row r="39" spans="1:11" x14ac:dyDescent="0.25">
      <c r="A39" s="35"/>
      <c r="B39" s="97"/>
      <c r="C39" s="97"/>
      <c r="D39" s="37"/>
      <c r="E39" s="38" t="s">
        <v>101</v>
      </c>
      <c r="F39" s="101">
        <v>1000</v>
      </c>
      <c r="G39" s="40">
        <v>26049.1</v>
      </c>
      <c r="H39" s="40">
        <f t="shared" ref="H39" si="20">+G39/F39</f>
        <v>26.049099999999999</v>
      </c>
      <c r="I39" s="41">
        <f>ROUNDUP(75+38+75+110+111+75+83,0)</f>
        <v>567</v>
      </c>
      <c r="J39" s="41">
        <f>+H39*I39</f>
        <v>14769.8397</v>
      </c>
      <c r="K39" s="48"/>
    </row>
    <row r="40" spans="1:11" ht="27" x14ac:dyDescent="0.25">
      <c r="A40" s="35"/>
      <c r="B40" s="97"/>
      <c r="C40" s="97"/>
      <c r="D40" s="37"/>
      <c r="E40" s="43" t="s">
        <v>98</v>
      </c>
      <c r="F40" s="87">
        <v>1000</v>
      </c>
      <c r="G40" s="41">
        <v>35997.5</v>
      </c>
      <c r="H40" s="41">
        <f>+G40/F40</f>
        <v>35.997500000000002</v>
      </c>
      <c r="I40" s="41">
        <f>ROUNDUP(47+82,0)</f>
        <v>129</v>
      </c>
      <c r="J40" s="41">
        <f>+H40*I40</f>
        <v>4643.6775000000007</v>
      </c>
      <c r="K40" s="104"/>
    </row>
    <row r="41" spans="1:11" ht="15.75" thickBot="1" x14ac:dyDescent="0.3">
      <c r="A41" s="45"/>
      <c r="B41" s="46"/>
      <c r="C41" s="46"/>
      <c r="D41" s="47"/>
      <c r="E41" s="64" t="s">
        <v>101</v>
      </c>
      <c r="F41" s="56">
        <v>1000</v>
      </c>
      <c r="G41" s="57">
        <v>26049.1</v>
      </c>
      <c r="H41" s="57">
        <f>+G41/F41</f>
        <v>26.049099999999999</v>
      </c>
      <c r="I41" s="51">
        <f>ROUNDUP(100,0)</f>
        <v>100</v>
      </c>
      <c r="J41" s="51">
        <f>+H41*I41</f>
        <v>2604.91</v>
      </c>
      <c r="K41" s="93">
        <f>SUM(J36:J41)</f>
        <v>172895.48197777776</v>
      </c>
    </row>
    <row r="42" spans="1:11" x14ac:dyDescent="0.25">
      <c r="A42" s="115"/>
      <c r="B42" s="117"/>
      <c r="C42" s="117"/>
      <c r="D42" s="34"/>
      <c r="E42" s="31" t="s">
        <v>96</v>
      </c>
      <c r="F42" s="32">
        <v>450</v>
      </c>
      <c r="G42" s="33">
        <v>121330</v>
      </c>
      <c r="H42" s="33">
        <f>+G42/F42</f>
        <v>269.62222222222221</v>
      </c>
      <c r="I42" s="33">
        <f>ROUNDUP(26+10,0)</f>
        <v>36</v>
      </c>
      <c r="J42" s="33">
        <f>+H42*I42</f>
        <v>9706.4</v>
      </c>
      <c r="K42" s="54"/>
    </row>
    <row r="43" spans="1:11" ht="27" x14ac:dyDescent="0.25">
      <c r="A43" s="118"/>
      <c r="B43" s="90"/>
      <c r="C43" s="90"/>
      <c r="D43" s="48"/>
      <c r="E43" s="43" t="s">
        <v>98</v>
      </c>
      <c r="F43" s="87">
        <v>1000</v>
      </c>
      <c r="G43" s="41">
        <v>35997.5</v>
      </c>
      <c r="H43" s="41">
        <f>+G43/F43</f>
        <v>35.997500000000002</v>
      </c>
      <c r="I43" s="41">
        <f>ROUNDUP(44+15+40+22,0)</f>
        <v>121</v>
      </c>
      <c r="J43" s="41">
        <f>+H43*I43</f>
        <v>4355.6975000000002</v>
      </c>
      <c r="K43" s="104"/>
    </row>
    <row r="44" spans="1:11" ht="15.75" thickBot="1" x14ac:dyDescent="0.3">
      <c r="A44" s="116"/>
      <c r="B44" s="119"/>
      <c r="C44" s="119"/>
      <c r="D44" s="120"/>
      <c r="E44" s="53" t="s">
        <v>82</v>
      </c>
      <c r="F44" s="87">
        <v>50</v>
      </c>
      <c r="G44" s="41">
        <v>28143.5</v>
      </c>
      <c r="H44" s="41">
        <f t="shared" ref="H44" si="21">+G44/F44</f>
        <v>562.87</v>
      </c>
      <c r="I44" s="41">
        <f>ROUNDUP(27+15,0)</f>
        <v>42</v>
      </c>
      <c r="J44" s="41">
        <f t="shared" ref="J44" si="22">+H44*I44</f>
        <v>23640.54</v>
      </c>
      <c r="K44" s="42">
        <f>SUM(J42:J44)</f>
        <v>37702.637499999997</v>
      </c>
    </row>
    <row r="45" spans="1:11" x14ac:dyDescent="0.25">
      <c r="A45" s="121"/>
      <c r="B45" s="100"/>
      <c r="C45" s="100"/>
      <c r="D45" s="99"/>
      <c r="E45" s="91" t="s">
        <v>74</v>
      </c>
      <c r="F45" s="32">
        <v>80</v>
      </c>
      <c r="G45" s="33">
        <v>60500</v>
      </c>
      <c r="H45" s="33">
        <f>+G45/F45</f>
        <v>756.25</v>
      </c>
      <c r="I45" s="33">
        <f>ROUNDUP(10+5,0)</f>
        <v>15</v>
      </c>
      <c r="J45" s="33">
        <f>+H45*I45</f>
        <v>11343.75</v>
      </c>
      <c r="K45" s="85"/>
    </row>
    <row r="46" spans="1:11" x14ac:dyDescent="0.25">
      <c r="A46" s="122"/>
      <c r="B46" s="107"/>
      <c r="C46" s="107"/>
      <c r="D46" s="94"/>
      <c r="E46" s="102" t="s">
        <v>90</v>
      </c>
      <c r="F46" s="101">
        <v>1000</v>
      </c>
      <c r="G46" s="40">
        <v>25701.5</v>
      </c>
      <c r="H46" s="40">
        <f t="shared" ref="H46" si="23">+G46/F46</f>
        <v>25.701499999999999</v>
      </c>
      <c r="I46" s="41">
        <f>ROUNDUP(10,0)</f>
        <v>10</v>
      </c>
      <c r="J46" s="41">
        <f>+H46*I46</f>
        <v>257.01499999999999</v>
      </c>
      <c r="K46" s="104"/>
    </row>
    <row r="47" spans="1:11" ht="15.75" thickBot="1" x14ac:dyDescent="0.3">
      <c r="A47" s="123"/>
      <c r="B47" s="113"/>
      <c r="C47" s="113"/>
      <c r="D47" s="114"/>
      <c r="E47" s="92" t="s">
        <v>102</v>
      </c>
      <c r="F47" s="50">
        <v>100</v>
      </c>
      <c r="G47" s="51">
        <v>29452.5</v>
      </c>
      <c r="H47" s="51">
        <f>+G47/F47</f>
        <v>294.52499999999998</v>
      </c>
      <c r="I47" s="51">
        <f>ROUNDUP(1+7+10+15,0)</f>
        <v>33</v>
      </c>
      <c r="J47" s="51">
        <f>+H47*I47</f>
        <v>9719.3249999999989</v>
      </c>
      <c r="K47" s="93">
        <f>SUM(J45:J47)</f>
        <v>21320.089999999997</v>
      </c>
    </row>
    <row r="48" spans="1:11" x14ac:dyDescent="0.25">
      <c r="A48" s="71"/>
      <c r="E48" s="43" t="s">
        <v>96</v>
      </c>
      <c r="F48" s="87">
        <v>450</v>
      </c>
      <c r="G48" s="41">
        <v>121330</v>
      </c>
      <c r="H48" s="41">
        <f>+G48/F48</f>
        <v>269.62222222222221</v>
      </c>
      <c r="I48" s="41">
        <f>ROUNDUP(25+25+26+20,0)</f>
        <v>96</v>
      </c>
      <c r="J48" s="41">
        <f>+H48*I48</f>
        <v>25883.73333333333</v>
      </c>
      <c r="K48" s="42"/>
    </row>
    <row r="49" spans="1:11" ht="27" x14ac:dyDescent="0.25">
      <c r="A49" s="71"/>
      <c r="E49" s="43" t="s">
        <v>98</v>
      </c>
      <c r="F49" s="87">
        <v>1000</v>
      </c>
      <c r="G49" s="41">
        <v>35997.5</v>
      </c>
      <c r="H49" s="41">
        <f>+G49/F49</f>
        <v>35.997500000000002</v>
      </c>
      <c r="I49" s="41">
        <f>ROUNDUP(50+50+64+44+75,0)</f>
        <v>283</v>
      </c>
      <c r="J49" s="41">
        <f>+H49*I49</f>
        <v>10187.292500000001</v>
      </c>
      <c r="K49" s="104"/>
    </row>
    <row r="50" spans="1:11" ht="15.75" thickBot="1" x14ac:dyDescent="0.3">
      <c r="A50" s="71"/>
      <c r="E50" s="92" t="s">
        <v>102</v>
      </c>
      <c r="F50" s="50">
        <v>100</v>
      </c>
      <c r="G50" s="51">
        <v>29452.5</v>
      </c>
      <c r="H50" s="51">
        <f>+G50/F50</f>
        <v>294.52499999999998</v>
      </c>
      <c r="I50" s="51">
        <f>ROUNDUP(20+10+20,0)</f>
        <v>50</v>
      </c>
      <c r="J50" s="51">
        <f>+H50*I50</f>
        <v>14726.249999999998</v>
      </c>
      <c r="K50" s="93">
        <f>SUM(J48:J50)</f>
        <v>50797.275833333333</v>
      </c>
    </row>
    <row r="51" spans="1:11" x14ac:dyDescent="0.25">
      <c r="A51" s="71"/>
      <c r="J51" s="74"/>
      <c r="K51" s="74"/>
    </row>
    <row r="52" spans="1:11" x14ac:dyDescent="0.25">
      <c r="A52" s="71"/>
      <c r="J52" s="74"/>
      <c r="K52" s="74"/>
    </row>
    <row r="53" spans="1:11" x14ac:dyDescent="0.25">
      <c r="A53" s="71"/>
      <c r="J53" s="74"/>
      <c r="K53" s="74"/>
    </row>
    <row r="54" spans="1:11" x14ac:dyDescent="0.25">
      <c r="A54" s="71"/>
      <c r="J54" s="74"/>
      <c r="K54" s="74"/>
    </row>
    <row r="55" spans="1:11" x14ac:dyDescent="0.25">
      <c r="A55" s="71"/>
      <c r="J55" s="74"/>
      <c r="K55" s="74"/>
    </row>
    <row r="56" spans="1:11" x14ac:dyDescent="0.25">
      <c r="A56" s="71"/>
      <c r="J56" s="74"/>
      <c r="K56" s="74"/>
    </row>
    <row r="57" spans="1:11" x14ac:dyDescent="0.25">
      <c r="A57" s="71"/>
      <c r="J57" s="74"/>
      <c r="K57" s="74"/>
    </row>
    <row r="58" spans="1:11" x14ac:dyDescent="0.25">
      <c r="A58" s="71"/>
      <c r="J58" s="74"/>
      <c r="K58" s="74"/>
    </row>
    <row r="59" spans="1:11" x14ac:dyDescent="0.25">
      <c r="A59" s="71"/>
      <c r="J59" s="74"/>
      <c r="K59" s="74"/>
    </row>
    <row r="60" spans="1:11" ht="15.75" thickBot="1" x14ac:dyDescent="0.3">
      <c r="A60" s="71"/>
      <c r="J60" s="74"/>
      <c r="K60" s="74"/>
    </row>
    <row r="61" spans="1:11" x14ac:dyDescent="0.25">
      <c r="A61" s="28">
        <v>45602</v>
      </c>
      <c r="B61" s="29" t="s">
        <v>19</v>
      </c>
      <c r="C61" s="29" t="s">
        <v>150</v>
      </c>
      <c r="D61" s="30" t="s">
        <v>37</v>
      </c>
      <c r="E61" s="31" t="s">
        <v>102</v>
      </c>
      <c r="F61" s="32">
        <v>100</v>
      </c>
      <c r="G61" s="33">
        <v>29452.5</v>
      </c>
      <c r="H61" s="33">
        <f t="shared" ref="H61" si="24">+G61/F61</f>
        <v>294.52499999999998</v>
      </c>
      <c r="I61" s="33">
        <f>ROUNDUP(40+30+15+5+5+15,0)</f>
        <v>110</v>
      </c>
      <c r="J61" s="33">
        <f t="shared" ref="J61:J85" si="25">+H61*I61</f>
        <v>32397.749999999996</v>
      </c>
      <c r="K61" s="34"/>
    </row>
    <row r="62" spans="1:11" ht="27" x14ac:dyDescent="0.25">
      <c r="A62" s="35"/>
      <c r="B62" s="36"/>
      <c r="C62" s="36"/>
      <c r="D62" s="37"/>
      <c r="E62" s="38" t="s">
        <v>98</v>
      </c>
      <c r="F62" s="39">
        <v>1000</v>
      </c>
      <c r="G62" s="40">
        <v>35997.5</v>
      </c>
      <c r="H62" s="41">
        <f>+G62/F62</f>
        <v>35.997500000000002</v>
      </c>
      <c r="I62" s="41">
        <f>ROUNDUP(80+60+10,0)</f>
        <v>150</v>
      </c>
      <c r="J62" s="41">
        <f t="shared" si="25"/>
        <v>5399.625</v>
      </c>
      <c r="K62" s="42"/>
    </row>
    <row r="63" spans="1:11" x14ac:dyDescent="0.25">
      <c r="A63" s="35"/>
      <c r="B63" s="36"/>
      <c r="C63" s="36"/>
      <c r="D63" s="37"/>
      <c r="E63" s="43" t="s">
        <v>96</v>
      </c>
      <c r="F63" s="44">
        <v>450</v>
      </c>
      <c r="G63" s="41">
        <v>121330</v>
      </c>
      <c r="H63" s="41">
        <f t="shared" ref="H63:H69" si="26">+G63/F63</f>
        <v>269.62222222222221</v>
      </c>
      <c r="I63" s="41">
        <f>ROUNDUP(4+1+1,0)</f>
        <v>6</v>
      </c>
      <c r="J63" s="41">
        <f t="shared" si="25"/>
        <v>1617.7333333333331</v>
      </c>
      <c r="K63" s="42"/>
    </row>
    <row r="64" spans="1:11" ht="15.75" thickBot="1" x14ac:dyDescent="0.3">
      <c r="A64" s="45"/>
      <c r="B64" s="46"/>
      <c r="C64" s="46"/>
      <c r="D64" s="47"/>
      <c r="E64" s="38" t="s">
        <v>101</v>
      </c>
      <c r="F64" s="39">
        <v>1000</v>
      </c>
      <c r="G64" s="40">
        <v>26049.1</v>
      </c>
      <c r="H64" s="40">
        <f t="shared" si="26"/>
        <v>26.049099999999999</v>
      </c>
      <c r="I64" s="41">
        <f>ROUNDUP(24,0)</f>
        <v>24</v>
      </c>
      <c r="J64" s="41">
        <f t="shared" si="25"/>
        <v>625.17840000000001</v>
      </c>
      <c r="K64" s="42">
        <f>SUM(J61:J64)</f>
        <v>40040.286733333327</v>
      </c>
    </row>
    <row r="65" spans="1:11" x14ac:dyDescent="0.25">
      <c r="A65" s="28">
        <v>45602</v>
      </c>
      <c r="B65" s="29" t="s">
        <v>19</v>
      </c>
      <c r="C65" s="29" t="s">
        <v>151</v>
      </c>
      <c r="D65" s="30" t="s">
        <v>26</v>
      </c>
      <c r="E65" s="31" t="s">
        <v>102</v>
      </c>
      <c r="F65" s="32">
        <v>100</v>
      </c>
      <c r="G65" s="33">
        <v>29452.5</v>
      </c>
      <c r="H65" s="33">
        <f t="shared" si="26"/>
        <v>294.52499999999998</v>
      </c>
      <c r="I65" s="33">
        <f>ROUNDUP(20+7+20+7+7+11+14,0)</f>
        <v>86</v>
      </c>
      <c r="J65" s="33">
        <f t="shared" si="25"/>
        <v>25329.149999999998</v>
      </c>
      <c r="K65" s="34"/>
    </row>
    <row r="66" spans="1:11" x14ac:dyDescent="0.25">
      <c r="A66" s="35"/>
      <c r="B66" s="36"/>
      <c r="C66" s="36"/>
      <c r="D66" s="37"/>
      <c r="E66" s="38" t="s">
        <v>101</v>
      </c>
      <c r="F66" s="39">
        <v>1000</v>
      </c>
      <c r="G66" s="40">
        <v>26049.1</v>
      </c>
      <c r="H66" s="40">
        <f t="shared" si="26"/>
        <v>26.049099999999999</v>
      </c>
      <c r="I66" s="41">
        <f>ROUNDUP(60+20+9,0)</f>
        <v>89</v>
      </c>
      <c r="J66" s="41">
        <f t="shared" si="25"/>
        <v>2318.3699000000001</v>
      </c>
      <c r="K66" s="48"/>
    </row>
    <row r="67" spans="1:11" x14ac:dyDescent="0.25">
      <c r="A67" s="35"/>
      <c r="B67" s="36"/>
      <c r="C67" s="36"/>
      <c r="D67" s="37"/>
      <c r="E67" s="38" t="s">
        <v>81</v>
      </c>
      <c r="F67" s="39">
        <v>1000</v>
      </c>
      <c r="G67" s="40">
        <v>23823.8</v>
      </c>
      <c r="H67" s="40">
        <v>23.823799999999999</v>
      </c>
      <c r="I67" s="41">
        <f>ROUNDUP(16+24,0)</f>
        <v>40</v>
      </c>
      <c r="J67" s="41">
        <f t="shared" si="25"/>
        <v>952.952</v>
      </c>
      <c r="K67" s="48"/>
    </row>
    <row r="68" spans="1:11" ht="15" customHeight="1" thickBot="1" x14ac:dyDescent="0.3">
      <c r="A68" s="45"/>
      <c r="B68" s="46"/>
      <c r="C68" s="46"/>
      <c r="D68" s="47"/>
      <c r="E68" s="49" t="s">
        <v>80</v>
      </c>
      <c r="F68" s="50">
        <v>50</v>
      </c>
      <c r="G68" s="51">
        <v>26049.1</v>
      </c>
      <c r="H68" s="51">
        <f t="shared" si="26"/>
        <v>520.98199999999997</v>
      </c>
      <c r="I68" s="51">
        <f>ROUNDUP(11+3,0)</f>
        <v>14</v>
      </c>
      <c r="J68" s="51">
        <f t="shared" si="25"/>
        <v>7293.7479999999996</v>
      </c>
      <c r="K68" s="52">
        <f>SUM(J65:J68)</f>
        <v>35894.219899999996</v>
      </c>
    </row>
    <row r="69" spans="1:11" x14ac:dyDescent="0.25">
      <c r="A69" s="28">
        <v>45604</v>
      </c>
      <c r="B69" s="29" t="s">
        <v>24</v>
      </c>
      <c r="C69" s="29" t="s">
        <v>152</v>
      </c>
      <c r="D69" s="30" t="s">
        <v>13</v>
      </c>
      <c r="E69" s="43" t="s">
        <v>102</v>
      </c>
      <c r="F69" s="44">
        <v>100</v>
      </c>
      <c r="G69" s="41">
        <v>29452.5</v>
      </c>
      <c r="H69" s="41">
        <f t="shared" si="26"/>
        <v>294.52499999999998</v>
      </c>
      <c r="I69" s="41">
        <f>ROUNDUP(26,0)</f>
        <v>26</v>
      </c>
      <c r="J69" s="41">
        <f t="shared" si="25"/>
        <v>7657.65</v>
      </c>
      <c r="K69" s="48"/>
    </row>
    <row r="70" spans="1:11" ht="27" x14ac:dyDescent="0.25">
      <c r="A70" s="35"/>
      <c r="B70" s="36"/>
      <c r="C70" s="36"/>
      <c r="D70" s="37"/>
      <c r="E70" s="38" t="s">
        <v>98</v>
      </c>
      <c r="F70" s="39">
        <v>1000</v>
      </c>
      <c r="G70" s="40">
        <v>35997.5</v>
      </c>
      <c r="H70" s="41">
        <f>+G70/F70</f>
        <v>35.997500000000002</v>
      </c>
      <c r="I70" s="41">
        <f>ROUNDUP(86,0)</f>
        <v>86</v>
      </c>
      <c r="J70" s="41">
        <f t="shared" si="25"/>
        <v>3095.7850000000003</v>
      </c>
      <c r="K70" s="42"/>
    </row>
    <row r="71" spans="1:11" ht="15.75" thickBot="1" x14ac:dyDescent="0.3">
      <c r="A71" s="45"/>
      <c r="B71" s="46"/>
      <c r="C71" s="46"/>
      <c r="D71" s="47"/>
      <c r="E71" s="43" t="s">
        <v>91</v>
      </c>
      <c r="F71" s="44">
        <v>60</v>
      </c>
      <c r="G71" s="41">
        <v>25918.2</v>
      </c>
      <c r="H71" s="41">
        <f t="shared" ref="H71:H75" si="27">+G71/F71</f>
        <v>431.97</v>
      </c>
      <c r="I71" s="41">
        <f>ROUNDUP(60,0)</f>
        <v>60</v>
      </c>
      <c r="J71" s="41">
        <f t="shared" si="25"/>
        <v>25918.2</v>
      </c>
      <c r="K71" s="42">
        <f>SUM(J69:J71)</f>
        <v>36671.635000000002</v>
      </c>
    </row>
    <row r="72" spans="1:11" x14ac:dyDescent="0.25">
      <c r="A72" s="28">
        <v>45605</v>
      </c>
      <c r="B72" s="29" t="s">
        <v>19</v>
      </c>
      <c r="C72" s="29" t="s">
        <v>153</v>
      </c>
      <c r="D72" s="30" t="s">
        <v>13</v>
      </c>
      <c r="E72" s="31" t="s">
        <v>102</v>
      </c>
      <c r="F72" s="32">
        <v>100</v>
      </c>
      <c r="G72" s="33">
        <v>29452.5</v>
      </c>
      <c r="H72" s="33">
        <f t="shared" si="27"/>
        <v>294.52499999999998</v>
      </c>
      <c r="I72" s="33">
        <f>ROUNDUP(42,0)</f>
        <v>42</v>
      </c>
      <c r="J72" s="33">
        <f t="shared" si="25"/>
        <v>12370.05</v>
      </c>
      <c r="K72" s="34"/>
    </row>
    <row r="73" spans="1:11" x14ac:dyDescent="0.25">
      <c r="A73" s="35"/>
      <c r="B73" s="36"/>
      <c r="C73" s="36"/>
      <c r="D73" s="37"/>
      <c r="E73" s="53" t="s">
        <v>80</v>
      </c>
      <c r="F73" s="44">
        <v>50</v>
      </c>
      <c r="G73" s="41">
        <v>26049.1</v>
      </c>
      <c r="H73" s="41">
        <f t="shared" si="27"/>
        <v>520.98199999999997</v>
      </c>
      <c r="I73" s="41">
        <f>ROUNDUP(14+15+2,0)</f>
        <v>31</v>
      </c>
      <c r="J73" s="41">
        <f t="shared" si="25"/>
        <v>16150.441999999999</v>
      </c>
      <c r="K73" s="48"/>
    </row>
    <row r="74" spans="1:11" ht="15.75" thickBot="1" x14ac:dyDescent="0.3">
      <c r="A74" s="45"/>
      <c r="B74" s="46"/>
      <c r="C74" s="46"/>
      <c r="D74" s="47"/>
      <c r="E74" s="38" t="s">
        <v>101</v>
      </c>
      <c r="F74" s="39">
        <v>1000</v>
      </c>
      <c r="G74" s="40">
        <v>26049.1</v>
      </c>
      <c r="H74" s="40">
        <f t="shared" si="27"/>
        <v>26.049099999999999</v>
      </c>
      <c r="I74" s="41">
        <f>ROUNDUP(56+24,0)</f>
        <v>80</v>
      </c>
      <c r="J74" s="41">
        <f t="shared" si="25"/>
        <v>2083.9279999999999</v>
      </c>
      <c r="K74" s="42">
        <f>SUM(J72:J74)</f>
        <v>30604.42</v>
      </c>
    </row>
    <row r="75" spans="1:11" x14ac:dyDescent="0.25">
      <c r="A75" s="28">
        <v>45605</v>
      </c>
      <c r="B75" s="29" t="s">
        <v>11</v>
      </c>
      <c r="C75" s="29" t="s">
        <v>154</v>
      </c>
      <c r="D75" s="30" t="s">
        <v>60</v>
      </c>
      <c r="E75" s="31" t="s">
        <v>96</v>
      </c>
      <c r="F75" s="32">
        <v>450</v>
      </c>
      <c r="G75" s="33">
        <v>121330</v>
      </c>
      <c r="H75" s="33">
        <f t="shared" si="27"/>
        <v>269.62222222222221</v>
      </c>
      <c r="I75" s="33">
        <f>ROUNDUP(50+26,0)</f>
        <v>76</v>
      </c>
      <c r="J75" s="33">
        <f t="shared" si="25"/>
        <v>20491.288888888888</v>
      </c>
      <c r="K75" s="54"/>
    </row>
    <row r="76" spans="1:11" ht="27" x14ac:dyDescent="0.25">
      <c r="A76" s="35"/>
      <c r="B76" s="36"/>
      <c r="C76" s="36"/>
      <c r="D76" s="37"/>
      <c r="E76" s="38" t="s">
        <v>98</v>
      </c>
      <c r="F76" s="39">
        <v>1000</v>
      </c>
      <c r="G76" s="40">
        <v>35997.5</v>
      </c>
      <c r="H76" s="41">
        <f>+G76/F76</f>
        <v>35.997500000000002</v>
      </c>
      <c r="I76" s="41">
        <f>ROUNDUP(75+16+63,0)</f>
        <v>154</v>
      </c>
      <c r="J76" s="41">
        <f t="shared" si="25"/>
        <v>5543.6150000000007</v>
      </c>
      <c r="K76" s="42"/>
    </row>
    <row r="77" spans="1:11" x14ac:dyDescent="0.25">
      <c r="A77" s="35"/>
      <c r="B77" s="36"/>
      <c r="C77" s="36"/>
      <c r="D77" s="37"/>
      <c r="E77" s="43" t="s">
        <v>102</v>
      </c>
      <c r="F77" s="44">
        <v>100</v>
      </c>
      <c r="G77" s="41">
        <v>29452.5</v>
      </c>
      <c r="H77" s="41">
        <f t="shared" ref="H77:H84" si="28">+G77/F77</f>
        <v>294.52499999999998</v>
      </c>
      <c r="I77" s="41">
        <f>ROUNDUP(8+33,0)</f>
        <v>41</v>
      </c>
      <c r="J77" s="41">
        <f t="shared" si="25"/>
        <v>12075.525</v>
      </c>
      <c r="K77" s="42"/>
    </row>
    <row r="78" spans="1:11" x14ac:dyDescent="0.25">
      <c r="A78" s="35"/>
      <c r="B78" s="36"/>
      <c r="C78" s="36"/>
      <c r="D78" s="37"/>
      <c r="E78" s="53" t="s">
        <v>89</v>
      </c>
      <c r="F78" s="44">
        <v>60</v>
      </c>
      <c r="G78" s="41">
        <v>27489</v>
      </c>
      <c r="H78" s="41">
        <f t="shared" si="28"/>
        <v>458.15</v>
      </c>
      <c r="I78" s="41">
        <f>ROUNDUP(11,0)</f>
        <v>11</v>
      </c>
      <c r="J78" s="41">
        <f t="shared" si="25"/>
        <v>5039.6499999999996</v>
      </c>
      <c r="K78" s="42"/>
    </row>
    <row r="79" spans="1:11" ht="15.75" thickBot="1" x14ac:dyDescent="0.3">
      <c r="A79" s="45"/>
      <c r="B79" s="46"/>
      <c r="C79" s="46"/>
      <c r="D79" s="47"/>
      <c r="E79" s="38" t="s">
        <v>101</v>
      </c>
      <c r="F79" s="39">
        <v>1000</v>
      </c>
      <c r="G79" s="40">
        <v>26049.1</v>
      </c>
      <c r="H79" s="40">
        <f t="shared" si="28"/>
        <v>26.049099999999999</v>
      </c>
      <c r="I79" s="41">
        <f>ROUNDUP(63,0)</f>
        <v>63</v>
      </c>
      <c r="J79" s="41">
        <f t="shared" si="25"/>
        <v>1641.0933</v>
      </c>
      <c r="K79" s="42">
        <f>SUM(J75:J79)</f>
        <v>44791.172188888893</v>
      </c>
    </row>
    <row r="80" spans="1:11" x14ac:dyDescent="0.25">
      <c r="A80" s="28">
        <v>45609</v>
      </c>
      <c r="B80" s="29" t="s">
        <v>19</v>
      </c>
      <c r="C80" s="29" t="s">
        <v>155</v>
      </c>
      <c r="D80" s="30" t="s">
        <v>26</v>
      </c>
      <c r="E80" s="31" t="s">
        <v>102</v>
      </c>
      <c r="F80" s="32">
        <v>100</v>
      </c>
      <c r="G80" s="33">
        <v>29452.5</v>
      </c>
      <c r="H80" s="33">
        <f t="shared" si="28"/>
        <v>294.52499999999998</v>
      </c>
      <c r="I80" s="33">
        <f>ROUNDUP(8+8+30+15+11+1+1+5+3+11+22,0)</f>
        <v>115</v>
      </c>
      <c r="J80" s="33">
        <f t="shared" si="25"/>
        <v>33870.375</v>
      </c>
      <c r="K80" s="54"/>
    </row>
    <row r="81" spans="1:11" x14ac:dyDescent="0.25">
      <c r="A81" s="35"/>
      <c r="B81" s="36"/>
      <c r="C81" s="36"/>
      <c r="D81" s="37"/>
      <c r="E81" s="43" t="s">
        <v>96</v>
      </c>
      <c r="F81" s="44">
        <v>450</v>
      </c>
      <c r="G81" s="41">
        <v>121330</v>
      </c>
      <c r="H81" s="41">
        <f t="shared" si="28"/>
        <v>269.62222222222221</v>
      </c>
      <c r="I81" s="41">
        <f>ROUNDUP(15+16+10,0)</f>
        <v>41</v>
      </c>
      <c r="J81" s="41">
        <f t="shared" si="25"/>
        <v>11054.511111111111</v>
      </c>
      <c r="K81" s="42"/>
    </row>
    <row r="82" spans="1:11" ht="15.75" thickBot="1" x14ac:dyDescent="0.3">
      <c r="A82" s="45"/>
      <c r="B82" s="46"/>
      <c r="C82" s="46"/>
      <c r="D82" s="47"/>
      <c r="E82" s="55" t="s">
        <v>92</v>
      </c>
      <c r="F82" s="56">
        <v>1000</v>
      </c>
      <c r="G82" s="57">
        <v>25391.3</v>
      </c>
      <c r="H82" s="57">
        <f t="shared" si="28"/>
        <v>25.391299999999998</v>
      </c>
      <c r="I82" s="51">
        <f>ROUNDUP(30+25+20+27+50,0)</f>
        <v>152</v>
      </c>
      <c r="J82" s="51">
        <f t="shared" si="25"/>
        <v>3859.4775999999997</v>
      </c>
      <c r="K82" s="52">
        <f>SUM(J80:J82)</f>
        <v>48784.363711111109</v>
      </c>
    </row>
    <row r="83" spans="1:11" x14ac:dyDescent="0.25">
      <c r="A83" s="28">
        <v>45610</v>
      </c>
      <c r="B83" s="58" t="s">
        <v>24</v>
      </c>
      <c r="C83" s="59" t="s">
        <v>156</v>
      </c>
      <c r="D83" s="60" t="s">
        <v>37</v>
      </c>
      <c r="E83" s="31" t="s">
        <v>102</v>
      </c>
      <c r="F83" s="32">
        <v>100</v>
      </c>
      <c r="G83" s="33">
        <v>29452.5</v>
      </c>
      <c r="H83" s="33">
        <f t="shared" si="28"/>
        <v>294.52499999999998</v>
      </c>
      <c r="I83" s="33">
        <f>ROUNDUP(50+40+15+10+5,0)</f>
        <v>120</v>
      </c>
      <c r="J83" s="33">
        <f t="shared" si="25"/>
        <v>35343</v>
      </c>
      <c r="K83" s="54"/>
    </row>
    <row r="84" spans="1:11" ht="15.75" thickBot="1" x14ac:dyDescent="0.3">
      <c r="A84" s="45"/>
      <c r="B84" s="61"/>
      <c r="C84" s="62"/>
      <c r="D84" s="63"/>
      <c r="E84" s="64" t="s">
        <v>101</v>
      </c>
      <c r="F84" s="56">
        <v>1000</v>
      </c>
      <c r="G84" s="57">
        <v>26049.1</v>
      </c>
      <c r="H84" s="57">
        <f t="shared" si="28"/>
        <v>26.049099999999999</v>
      </c>
      <c r="I84" s="51">
        <f>ROUNDUP(75+75+30,0)</f>
        <v>180</v>
      </c>
      <c r="J84" s="51">
        <f t="shared" si="25"/>
        <v>4688.8379999999997</v>
      </c>
      <c r="K84" s="52">
        <f>SUM(J83:J84)</f>
        <v>40031.838000000003</v>
      </c>
    </row>
    <row r="85" spans="1:11" ht="15.75" thickBot="1" x14ac:dyDescent="0.3">
      <c r="A85" s="65"/>
      <c r="B85" s="66" t="s">
        <v>24</v>
      </c>
      <c r="C85" s="67" t="s">
        <v>157</v>
      </c>
      <c r="D85" s="68" t="s">
        <v>158</v>
      </c>
      <c r="E85" s="69" t="s">
        <v>74</v>
      </c>
      <c r="F85" s="67"/>
      <c r="G85" s="70">
        <v>60500</v>
      </c>
      <c r="H85" s="67">
        <v>756</v>
      </c>
      <c r="I85" s="70">
        <f>ROUNDUP(80,0)</f>
        <v>80</v>
      </c>
      <c r="J85" s="70">
        <f t="shared" si="25"/>
        <v>60480</v>
      </c>
      <c r="K85" s="68"/>
    </row>
    <row r="86" spans="1:11" ht="15.75" thickBot="1" x14ac:dyDescent="0.3">
      <c r="A86" s="71"/>
      <c r="B86" s="72"/>
      <c r="J86" s="74"/>
      <c r="K86" s="74">
        <f>SUM(K61:K84)</f>
        <v>276817.93553333334</v>
      </c>
    </row>
    <row r="87" spans="1:11" x14ac:dyDescent="0.25">
      <c r="A87" s="71"/>
      <c r="J87" s="74"/>
      <c r="K87" s="74"/>
    </row>
    <row r="88" spans="1:11" x14ac:dyDescent="0.25">
      <c r="A88" s="71"/>
      <c r="J88" s="74"/>
      <c r="K88" s="74"/>
    </row>
    <row r="89" spans="1:11" x14ac:dyDescent="0.25">
      <c r="A89" s="71"/>
      <c r="J89" s="74"/>
      <c r="K89" s="74"/>
    </row>
    <row r="90" spans="1:11" x14ac:dyDescent="0.25">
      <c r="A90" s="71"/>
      <c r="J90" s="74"/>
      <c r="K90" s="74"/>
    </row>
    <row r="91" spans="1:11" x14ac:dyDescent="0.25">
      <c r="A91" s="71"/>
      <c r="J91" s="74"/>
      <c r="K91" s="74"/>
    </row>
    <row r="92" spans="1:11" ht="15.75" thickBot="1" x14ac:dyDescent="0.3">
      <c r="A92" s="71"/>
      <c r="J92" s="74"/>
      <c r="K92" s="74"/>
    </row>
    <row r="93" spans="1:11" x14ac:dyDescent="0.25">
      <c r="A93" s="71"/>
      <c r="C93" s="103">
        <v>45616</v>
      </c>
      <c r="D93" s="30" t="s">
        <v>159</v>
      </c>
      <c r="E93" s="91" t="s">
        <v>96</v>
      </c>
      <c r="F93" s="32">
        <v>450</v>
      </c>
      <c r="G93" s="33">
        <v>121330</v>
      </c>
      <c r="H93" s="33">
        <f t="shared" ref="H93" si="29">+G93/F93</f>
        <v>269.62222222222221</v>
      </c>
      <c r="I93" s="33">
        <f>ROUNDUP(30,0)</f>
        <v>30</v>
      </c>
      <c r="J93" s="33">
        <f t="shared" ref="J93:J128" si="30">+H93*I93</f>
        <v>8088.6666666666661</v>
      </c>
      <c r="K93" s="54"/>
    </row>
    <row r="94" spans="1:11" x14ac:dyDescent="0.25">
      <c r="A94" s="71"/>
      <c r="C94" s="103"/>
      <c r="D94" s="37"/>
      <c r="E94" s="102" t="s">
        <v>94</v>
      </c>
      <c r="F94" s="101">
        <v>1000</v>
      </c>
      <c r="G94" s="40">
        <v>38877.300000000003</v>
      </c>
      <c r="H94" s="40">
        <f t="shared" ref="H94:H96" si="31">+G94/F94</f>
        <v>38.877300000000005</v>
      </c>
      <c r="I94" s="41">
        <f>ROUNDUP(50,0)</f>
        <v>50</v>
      </c>
      <c r="J94" s="41">
        <f t="shared" ref="J94:J99" si="32">+H94*I94</f>
        <v>1943.8650000000002</v>
      </c>
      <c r="K94" s="42"/>
    </row>
    <row r="95" spans="1:11" ht="15.75" thickBot="1" x14ac:dyDescent="0.3">
      <c r="A95" s="71"/>
      <c r="C95" s="103"/>
      <c r="D95" s="37"/>
      <c r="E95" s="92" t="s">
        <v>102</v>
      </c>
      <c r="F95" s="50">
        <v>100</v>
      </c>
      <c r="G95" s="51">
        <v>29452.5</v>
      </c>
      <c r="H95" s="51">
        <f t="shared" si="31"/>
        <v>294.52499999999998</v>
      </c>
      <c r="I95" s="51">
        <f>ROUNDUP(20+2,0)</f>
        <v>22</v>
      </c>
      <c r="J95" s="51">
        <f t="shared" si="32"/>
        <v>6479.5499999999993</v>
      </c>
      <c r="K95" s="52">
        <f>SUM(J93:J95)</f>
        <v>16512.081666666665</v>
      </c>
    </row>
    <row r="96" spans="1:11" x14ac:dyDescent="0.25">
      <c r="A96" s="71"/>
      <c r="D96" s="77" t="s">
        <v>160</v>
      </c>
      <c r="E96" s="31" t="s">
        <v>102</v>
      </c>
      <c r="F96" s="32">
        <v>100</v>
      </c>
      <c r="G96" s="33">
        <v>29452.5</v>
      </c>
      <c r="H96" s="33">
        <f t="shared" si="31"/>
        <v>294.52499999999998</v>
      </c>
      <c r="I96" s="33">
        <f>ROUNDUP(35,0)</f>
        <v>35</v>
      </c>
      <c r="J96" s="33">
        <f t="shared" si="32"/>
        <v>10308.375</v>
      </c>
      <c r="K96" s="42"/>
    </row>
    <row r="97" spans="1:11" ht="27" x14ac:dyDescent="0.25">
      <c r="A97" s="71"/>
      <c r="D97" s="82"/>
      <c r="E97" s="43" t="s">
        <v>98</v>
      </c>
      <c r="F97" s="87">
        <v>1000</v>
      </c>
      <c r="G97" s="41">
        <v>35997.5</v>
      </c>
      <c r="H97" s="41">
        <f>+G97/F97</f>
        <v>35.997500000000002</v>
      </c>
      <c r="I97" s="41">
        <f>ROUNDUP(70+90+60+70,0)</f>
        <v>290</v>
      </c>
      <c r="J97" s="41">
        <f t="shared" si="32"/>
        <v>10439.275000000001</v>
      </c>
      <c r="K97" s="42"/>
    </row>
    <row r="98" spans="1:11" x14ac:dyDescent="0.25">
      <c r="A98" s="71"/>
      <c r="D98" s="82"/>
      <c r="E98" s="53" t="s">
        <v>78</v>
      </c>
      <c r="F98" s="87">
        <v>60</v>
      </c>
      <c r="G98" s="41">
        <v>30892.400000000001</v>
      </c>
      <c r="H98" s="41">
        <f t="shared" ref="H98:H99" si="33">+G98/F98</f>
        <v>514.87333333333333</v>
      </c>
      <c r="I98" s="41">
        <f>ROUNDUP(60,0)</f>
        <v>60</v>
      </c>
      <c r="J98" s="41">
        <f t="shared" si="32"/>
        <v>30892.400000000001</v>
      </c>
      <c r="K98" s="42"/>
    </row>
    <row r="99" spans="1:11" ht="15.75" thickBot="1" x14ac:dyDescent="0.3">
      <c r="A99" s="71"/>
      <c r="D99" s="78"/>
      <c r="E99" s="49" t="s">
        <v>80</v>
      </c>
      <c r="F99" s="50">
        <v>50</v>
      </c>
      <c r="G99" s="51">
        <v>26049.1</v>
      </c>
      <c r="H99" s="51">
        <f t="shared" si="33"/>
        <v>520.98199999999997</v>
      </c>
      <c r="I99" s="51">
        <f>ROUNDUP(50,0)</f>
        <v>50</v>
      </c>
      <c r="J99" s="51">
        <f t="shared" si="32"/>
        <v>26049.1</v>
      </c>
      <c r="K99" s="52">
        <f>SUM(J96:J99)</f>
        <v>77689.149999999994</v>
      </c>
    </row>
    <row r="100" spans="1:11" x14ac:dyDescent="0.25">
      <c r="A100" s="71"/>
      <c r="D100" s="77" t="s">
        <v>159</v>
      </c>
      <c r="E100" s="31" t="s">
        <v>96</v>
      </c>
      <c r="F100" s="32">
        <v>450</v>
      </c>
      <c r="G100" s="33">
        <v>121330</v>
      </c>
      <c r="H100" s="33">
        <f t="shared" ref="H100:H102" si="34">+G100/F100</f>
        <v>269.62222222222221</v>
      </c>
      <c r="I100" s="33">
        <f>ROUNDUP(30+20+30+10+15+8,0)</f>
        <v>113</v>
      </c>
      <c r="J100" s="33">
        <f>+H100*I100</f>
        <v>30467.31111111111</v>
      </c>
      <c r="K100" s="54"/>
    </row>
    <row r="101" spans="1:11" x14ac:dyDescent="0.25">
      <c r="A101" s="71"/>
      <c r="D101" s="82"/>
      <c r="E101" s="102" t="s">
        <v>92</v>
      </c>
      <c r="F101" s="101">
        <v>1000</v>
      </c>
      <c r="G101" s="40">
        <v>25391.3</v>
      </c>
      <c r="H101" s="40">
        <f t="shared" si="34"/>
        <v>25.391299999999998</v>
      </c>
      <c r="I101" s="41">
        <f>ROUNDUP(45+36+45+16+22+12,0)</f>
        <v>176</v>
      </c>
      <c r="J101" s="41">
        <f>+H101*I101</f>
        <v>4468.8687999999993</v>
      </c>
      <c r="K101" s="42"/>
    </row>
    <row r="102" spans="1:11" x14ac:dyDescent="0.25">
      <c r="A102" s="71"/>
      <c r="D102" s="82"/>
      <c r="E102" s="43" t="s">
        <v>102</v>
      </c>
      <c r="F102" s="87">
        <v>100</v>
      </c>
      <c r="G102" s="41">
        <v>29452.5</v>
      </c>
      <c r="H102" s="41">
        <f t="shared" si="34"/>
        <v>294.52499999999998</v>
      </c>
      <c r="I102" s="41">
        <f>ROUNDUP(12+5+12+5,0)</f>
        <v>34</v>
      </c>
      <c r="J102" s="41">
        <f>+H102*I102</f>
        <v>10013.849999999999</v>
      </c>
      <c r="K102" s="48"/>
    </row>
    <row r="103" spans="1:11" ht="27.75" thickBot="1" x14ac:dyDescent="0.3">
      <c r="A103" s="71"/>
      <c r="D103" s="78"/>
      <c r="E103" s="92" t="s">
        <v>98</v>
      </c>
      <c r="F103" s="50">
        <v>1000</v>
      </c>
      <c r="G103" s="51">
        <v>35997.5</v>
      </c>
      <c r="H103" s="51">
        <f>+G103/F103</f>
        <v>35.997500000000002</v>
      </c>
      <c r="I103" s="51">
        <f>ROUNDUP(24+15,0)</f>
        <v>39</v>
      </c>
      <c r="J103" s="51">
        <f>+H103*I103</f>
        <v>1403.9025000000001</v>
      </c>
      <c r="K103" s="93">
        <f>SUM(J100:J103)</f>
        <v>46353.932411111105</v>
      </c>
    </row>
    <row r="104" spans="1:11" x14ac:dyDescent="0.25">
      <c r="A104" s="71"/>
      <c r="D104" s="77" t="s">
        <v>160</v>
      </c>
      <c r="E104" s="43" t="s">
        <v>102</v>
      </c>
      <c r="F104" s="87">
        <v>100</v>
      </c>
      <c r="G104" s="41">
        <v>29452.5</v>
      </c>
      <c r="H104" s="41">
        <f t="shared" ref="H104" si="35">+G104/F104</f>
        <v>294.52499999999998</v>
      </c>
      <c r="I104" s="41">
        <f>ROUNDUP(31,0)</f>
        <v>31</v>
      </c>
      <c r="J104" s="41">
        <f>+H104*I104</f>
        <v>9130.2749999999996</v>
      </c>
      <c r="K104" s="48"/>
    </row>
    <row r="105" spans="1:11" ht="27.75" thickBot="1" x14ac:dyDescent="0.3">
      <c r="A105" s="71"/>
      <c r="D105" s="78"/>
      <c r="E105" s="92" t="s">
        <v>98</v>
      </c>
      <c r="F105" s="50">
        <v>1000</v>
      </c>
      <c r="G105" s="51">
        <v>35997.5</v>
      </c>
      <c r="H105" s="51">
        <f>+G105/F105</f>
        <v>35.997500000000002</v>
      </c>
      <c r="I105" s="51">
        <f>ROUNDUP(40,0)</f>
        <v>40</v>
      </c>
      <c r="J105" s="51">
        <f>+H105*I105</f>
        <v>1439.9</v>
      </c>
      <c r="K105" s="93">
        <f>SUM(J104:J105)</f>
        <v>10570.174999999999</v>
      </c>
    </row>
    <row r="106" spans="1:11" ht="15.75" thickBot="1" x14ac:dyDescent="0.3">
      <c r="A106" s="71"/>
      <c r="D106" s="110" t="s">
        <v>159</v>
      </c>
      <c r="E106" s="75" t="s">
        <v>102</v>
      </c>
      <c r="F106" s="76">
        <v>100</v>
      </c>
      <c r="G106" s="70">
        <v>29452.5</v>
      </c>
      <c r="H106" s="70">
        <f t="shared" ref="H106" si="36">+G106/F106</f>
        <v>294.52499999999998</v>
      </c>
      <c r="I106" s="70">
        <v>100</v>
      </c>
      <c r="J106" s="70">
        <f>+H106*I106</f>
        <v>29452.499999999996</v>
      </c>
      <c r="K106" s="112">
        <f>+J106</f>
        <v>29452.499999999996</v>
      </c>
    </row>
    <row r="107" spans="1:11" x14ac:dyDescent="0.25">
      <c r="A107" s="71"/>
      <c r="D107" s="111"/>
      <c r="E107" s="86"/>
      <c r="F107" s="87"/>
      <c r="G107" s="41"/>
      <c r="H107" s="41"/>
      <c r="I107" s="41"/>
      <c r="J107" s="41"/>
      <c r="K107" s="88"/>
    </row>
    <row r="108" spans="1:11" x14ac:dyDescent="0.25">
      <c r="A108" s="71"/>
      <c r="D108" s="111"/>
      <c r="E108" s="86"/>
      <c r="F108" s="87"/>
      <c r="G108" s="41"/>
      <c r="H108" s="41"/>
      <c r="I108" s="41"/>
      <c r="J108" s="41"/>
      <c r="K108" s="88"/>
    </row>
    <row r="109" spans="1:11" x14ac:dyDescent="0.25">
      <c r="A109" s="71"/>
      <c r="D109" s="111"/>
      <c r="E109" s="86"/>
      <c r="F109" s="87"/>
      <c r="G109" s="41"/>
      <c r="H109" s="41"/>
      <c r="I109" s="41"/>
      <c r="J109" s="41"/>
      <c r="K109" s="88"/>
    </row>
    <row r="110" spans="1:11" x14ac:dyDescent="0.25">
      <c r="A110" s="71"/>
      <c r="D110" s="111"/>
      <c r="E110" s="86"/>
      <c r="F110" s="87"/>
      <c r="G110" s="41"/>
      <c r="H110" s="41"/>
      <c r="I110" s="41"/>
      <c r="J110" s="41"/>
      <c r="K110" s="88"/>
    </row>
    <row r="111" spans="1:11" x14ac:dyDescent="0.25">
      <c r="A111" s="71"/>
      <c r="D111" s="111"/>
      <c r="E111" s="86"/>
      <c r="F111" s="87"/>
      <c r="G111" s="41"/>
      <c r="H111" s="41"/>
      <c r="I111" s="41"/>
      <c r="J111" s="41"/>
      <c r="K111" s="88"/>
    </row>
    <row r="112" spans="1:11" x14ac:dyDescent="0.25">
      <c r="A112" s="71"/>
      <c r="D112" s="111"/>
      <c r="E112" s="86"/>
      <c r="F112" s="87"/>
      <c r="G112" s="41"/>
      <c r="H112" s="41"/>
      <c r="I112" s="41"/>
      <c r="J112" s="41"/>
      <c r="K112" s="88"/>
    </row>
    <row r="113" spans="1:11" x14ac:dyDescent="0.25">
      <c r="A113" s="71"/>
      <c r="D113" s="111"/>
      <c r="E113" s="86"/>
      <c r="F113" s="87"/>
      <c r="G113" s="41"/>
      <c r="H113" s="41"/>
      <c r="I113" s="41"/>
      <c r="J113" s="41"/>
      <c r="K113" s="88"/>
    </row>
    <row r="114" spans="1:11" x14ac:dyDescent="0.25">
      <c r="A114" s="71"/>
      <c r="D114" s="111"/>
      <c r="E114" s="86"/>
      <c r="F114" s="87"/>
      <c r="G114" s="41"/>
      <c r="H114" s="41"/>
      <c r="I114" s="41"/>
      <c r="J114" s="41"/>
      <c r="K114" s="88"/>
    </row>
    <row r="115" spans="1:11" x14ac:dyDescent="0.25">
      <c r="A115" s="71"/>
      <c r="D115" s="111"/>
      <c r="E115" s="86"/>
      <c r="F115" s="87"/>
      <c r="G115" s="41"/>
      <c r="H115" s="41"/>
      <c r="I115" s="41"/>
      <c r="J115" s="41"/>
      <c r="K115" s="88"/>
    </row>
    <row r="116" spans="1:11" x14ac:dyDescent="0.25">
      <c r="A116" s="71"/>
      <c r="D116" s="111"/>
      <c r="E116" s="86"/>
      <c r="F116" s="87"/>
      <c r="G116" s="41"/>
      <c r="H116" s="41"/>
      <c r="I116" s="41"/>
      <c r="J116" s="41"/>
      <c r="K116" s="88"/>
    </row>
    <row r="117" spans="1:11" x14ac:dyDescent="0.25">
      <c r="A117" s="71"/>
      <c r="D117" s="111"/>
      <c r="E117" s="86"/>
      <c r="F117" s="87"/>
      <c r="G117" s="41"/>
      <c r="H117" s="41"/>
      <c r="I117" s="41"/>
      <c r="J117" s="41"/>
      <c r="K117" s="88"/>
    </row>
    <row r="118" spans="1:11" x14ac:dyDescent="0.25">
      <c r="A118" s="71"/>
      <c r="D118" s="111"/>
      <c r="E118" s="86"/>
      <c r="F118" s="87"/>
      <c r="G118" s="41"/>
      <c r="H118" s="41"/>
      <c r="I118" s="41"/>
      <c r="J118" s="41"/>
      <c r="K118" s="88"/>
    </row>
    <row r="119" spans="1:11" x14ac:dyDescent="0.25">
      <c r="A119" s="71"/>
      <c r="D119" s="111"/>
      <c r="E119" s="86"/>
      <c r="F119" s="87"/>
      <c r="G119" s="41"/>
      <c r="H119" s="41"/>
      <c r="I119" s="41"/>
      <c r="J119" s="41"/>
      <c r="K119" s="88"/>
    </row>
    <row r="120" spans="1:11" x14ac:dyDescent="0.25">
      <c r="A120" s="71"/>
      <c r="D120" s="105"/>
      <c r="E120" s="86"/>
      <c r="F120" s="87"/>
      <c r="G120" s="41"/>
      <c r="H120" s="41"/>
      <c r="I120" s="41"/>
      <c r="J120" s="41"/>
      <c r="K120" s="88"/>
    </row>
    <row r="121" spans="1:11" x14ac:dyDescent="0.25">
      <c r="A121" s="71"/>
      <c r="J121" s="74"/>
      <c r="K121" s="74"/>
    </row>
    <row r="122" spans="1:11" x14ac:dyDescent="0.25">
      <c r="A122" s="71"/>
      <c r="J122" s="74"/>
      <c r="K122" s="74"/>
    </row>
    <row r="123" spans="1:11" ht="15.75" thickBot="1" x14ac:dyDescent="0.3">
      <c r="A123" s="71"/>
      <c r="J123" s="74"/>
      <c r="K123" s="74"/>
    </row>
    <row r="124" spans="1:11" x14ac:dyDescent="0.25">
      <c r="A124" s="71"/>
      <c r="D124" s="77" t="s">
        <v>160</v>
      </c>
      <c r="E124" s="31" t="s">
        <v>102</v>
      </c>
      <c r="F124" s="32">
        <v>100</v>
      </c>
      <c r="G124" s="33">
        <v>29452.5</v>
      </c>
      <c r="H124" s="33">
        <f t="shared" ref="H124:H128" si="37">+G124/F124</f>
        <v>294.52499999999998</v>
      </c>
      <c r="I124" s="33">
        <f>ROUNDUP(25+78,0)</f>
        <v>103</v>
      </c>
      <c r="J124" s="33">
        <f t="shared" si="30"/>
        <v>30336.074999999997</v>
      </c>
      <c r="K124" s="54"/>
    </row>
    <row r="125" spans="1:11" ht="15.75" thickBot="1" x14ac:dyDescent="0.3">
      <c r="A125" s="71"/>
      <c r="D125" s="78"/>
      <c r="E125" s="79" t="s">
        <v>85</v>
      </c>
      <c r="F125" s="80">
        <v>500</v>
      </c>
      <c r="G125" s="81">
        <v>111251.8</v>
      </c>
      <c r="H125" s="81">
        <f t="shared" si="37"/>
        <v>222.50360000000001</v>
      </c>
      <c r="I125" s="51">
        <f>ROUNDUP(90,0)</f>
        <v>90</v>
      </c>
      <c r="J125" s="51">
        <f t="shared" si="30"/>
        <v>20025.324000000001</v>
      </c>
      <c r="K125" s="52">
        <f>SUM(J124:J125)</f>
        <v>50361.398999999998</v>
      </c>
    </row>
    <row r="126" spans="1:11" x14ac:dyDescent="0.25">
      <c r="A126" s="71"/>
      <c r="D126" s="77" t="s">
        <v>160</v>
      </c>
      <c r="E126" s="31" t="s">
        <v>102</v>
      </c>
      <c r="F126" s="32">
        <v>100</v>
      </c>
      <c r="G126" s="33">
        <v>29452.5</v>
      </c>
      <c r="H126" s="33">
        <f t="shared" si="37"/>
        <v>294.52499999999998</v>
      </c>
      <c r="I126" s="33">
        <f>ROUNDUP(50+34,0)</f>
        <v>84</v>
      </c>
      <c r="J126" s="33">
        <f t="shared" si="30"/>
        <v>24740.1</v>
      </c>
      <c r="K126" s="54"/>
    </row>
    <row r="127" spans="1:11" x14ac:dyDescent="0.25">
      <c r="A127" s="71"/>
      <c r="D127" s="82"/>
      <c r="E127" s="43" t="s">
        <v>91</v>
      </c>
      <c r="F127" s="44">
        <v>60</v>
      </c>
      <c r="G127" s="41">
        <v>25918.2</v>
      </c>
      <c r="H127" s="41">
        <f t="shared" si="37"/>
        <v>431.97</v>
      </c>
      <c r="I127" s="41">
        <f>ROUNDUP(14+7,0)</f>
        <v>21</v>
      </c>
      <c r="J127" s="41">
        <f t="shared" si="30"/>
        <v>9071.3700000000008</v>
      </c>
      <c r="K127" s="42"/>
    </row>
    <row r="128" spans="1:11" ht="15.75" thickBot="1" x14ac:dyDescent="0.3">
      <c r="A128" s="71"/>
      <c r="D128" s="78"/>
      <c r="E128" s="64" t="s">
        <v>101</v>
      </c>
      <c r="F128" s="56">
        <v>1000</v>
      </c>
      <c r="G128" s="57">
        <v>26049.1</v>
      </c>
      <c r="H128" s="57">
        <f t="shared" si="37"/>
        <v>26.049099999999999</v>
      </c>
      <c r="I128" s="51">
        <f>ROUNDUP(80,0)</f>
        <v>80</v>
      </c>
      <c r="J128" s="51">
        <f t="shared" si="30"/>
        <v>2083.9279999999999</v>
      </c>
      <c r="K128" s="52">
        <f>SUM(J126:J128)</f>
        <v>35895.398000000001</v>
      </c>
    </row>
    <row r="129" spans="1:11" ht="20.25" customHeight="1" x14ac:dyDescent="0.25">
      <c r="A129" s="71"/>
      <c r="D129" s="83"/>
      <c r="J129" s="74">
        <f>SUM(J93:J128)</f>
        <v>266834.63607777777</v>
      </c>
      <c r="K129" s="74">
        <f>SUM(K93:K128)</f>
        <v>266834.63607777777</v>
      </c>
    </row>
    <row r="130" spans="1:11" ht="15.75" customHeight="1" x14ac:dyDescent="0.25">
      <c r="A130" s="71"/>
      <c r="J130" s="74"/>
      <c r="K130" s="74"/>
    </row>
    <row r="131" spans="1:11" x14ac:dyDescent="0.25">
      <c r="A131" s="71"/>
      <c r="J131" s="74"/>
      <c r="K131" s="74"/>
    </row>
    <row r="132" spans="1:11" x14ac:dyDescent="0.25">
      <c r="A132" s="71"/>
      <c r="J132" s="74"/>
      <c r="K132" s="74"/>
    </row>
    <row r="133" spans="1:11" x14ac:dyDescent="0.25">
      <c r="A133" s="71"/>
      <c r="E133" s="73" t="s">
        <v>161</v>
      </c>
      <c r="J133" s="74"/>
      <c r="K133" s="74"/>
    </row>
    <row r="134" spans="1:11" x14ac:dyDescent="0.25">
      <c r="A134" s="71"/>
      <c r="J134" s="74"/>
      <c r="K134" s="74"/>
    </row>
    <row r="135" spans="1:11" x14ac:dyDescent="0.25">
      <c r="A135" s="71"/>
      <c r="J135" s="74"/>
      <c r="K135" s="74"/>
    </row>
  </sheetData>
  <mergeCells count="82">
    <mergeCell ref="A24:A25"/>
    <mergeCell ref="D26:D28"/>
    <mergeCell ref="C26:C28"/>
    <mergeCell ref="B26:B28"/>
    <mergeCell ref="A26:A28"/>
    <mergeCell ref="D45:D47"/>
    <mergeCell ref="C45:C47"/>
    <mergeCell ref="B45:B47"/>
    <mergeCell ref="A45:A47"/>
    <mergeCell ref="A19:A21"/>
    <mergeCell ref="D36:D41"/>
    <mergeCell ref="C36:C41"/>
    <mergeCell ref="B36:B41"/>
    <mergeCell ref="A36:A41"/>
    <mergeCell ref="D22:D23"/>
    <mergeCell ref="C22:C23"/>
    <mergeCell ref="B22:B23"/>
    <mergeCell ref="A12:A13"/>
    <mergeCell ref="D14:D18"/>
    <mergeCell ref="C14:C18"/>
    <mergeCell ref="B14:B18"/>
    <mergeCell ref="A14:A18"/>
    <mergeCell ref="D104:D105"/>
    <mergeCell ref="D19:D21"/>
    <mergeCell ref="C19:C21"/>
    <mergeCell ref="B19:B21"/>
    <mergeCell ref="D96:D99"/>
    <mergeCell ref="D100:D103"/>
    <mergeCell ref="D12:D13"/>
    <mergeCell ref="C12:C13"/>
    <mergeCell ref="B12:B13"/>
    <mergeCell ref="D24:D25"/>
    <mergeCell ref="C24:C25"/>
    <mergeCell ref="B24:B25"/>
    <mergeCell ref="D8:D9"/>
    <mergeCell ref="C8:C9"/>
    <mergeCell ref="B8:B9"/>
    <mergeCell ref="A8:A9"/>
    <mergeCell ref="D10:D11"/>
    <mergeCell ref="C10:C11"/>
    <mergeCell ref="B10:B11"/>
    <mergeCell ref="A10:A11"/>
    <mergeCell ref="D2:D4"/>
    <mergeCell ref="C2:C4"/>
    <mergeCell ref="B2:B4"/>
    <mergeCell ref="A2:A4"/>
    <mergeCell ref="D5:D7"/>
    <mergeCell ref="C5:C7"/>
    <mergeCell ref="B5:B7"/>
    <mergeCell ref="A5:A7"/>
    <mergeCell ref="A83:A84"/>
    <mergeCell ref="B83:B84"/>
    <mergeCell ref="C83:C84"/>
    <mergeCell ref="D83:D84"/>
    <mergeCell ref="D124:D125"/>
    <mergeCell ref="D126:D128"/>
    <mergeCell ref="D93:D95"/>
    <mergeCell ref="C93:C95"/>
    <mergeCell ref="A75:A79"/>
    <mergeCell ref="B75:B79"/>
    <mergeCell ref="C75:C79"/>
    <mergeCell ref="D75:D79"/>
    <mergeCell ref="A80:A82"/>
    <mergeCell ref="B80:B82"/>
    <mergeCell ref="C80:C82"/>
    <mergeCell ref="D80:D82"/>
    <mergeCell ref="A69:A71"/>
    <mergeCell ref="B69:B71"/>
    <mergeCell ref="C69:C71"/>
    <mergeCell ref="D69:D71"/>
    <mergeCell ref="A72:A74"/>
    <mergeCell ref="B72:B74"/>
    <mergeCell ref="C72:C74"/>
    <mergeCell ref="D72:D74"/>
    <mergeCell ref="A61:A64"/>
    <mergeCell ref="B61:B64"/>
    <mergeCell ref="C61:C64"/>
    <mergeCell ref="D61:D64"/>
    <mergeCell ref="A65:A68"/>
    <mergeCell ref="B65:B68"/>
    <mergeCell ref="C65:C68"/>
    <mergeCell ref="D65:D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2" max="2" width="15.7109375" bestFit="1" customWidth="1"/>
    <col min="3" max="3" width="19.42578125" bestFit="1" customWidth="1"/>
    <col min="4" max="4" width="23" bestFit="1" customWidth="1"/>
    <col min="5" max="5" width="45.7109375" bestFit="1" customWidth="1"/>
    <col min="6" max="6" width="13.7109375" bestFit="1" customWidth="1"/>
    <col min="7" max="7" width="7" bestFit="1" customWidth="1"/>
    <col min="8" max="8" width="12.140625" bestFit="1" customWidth="1"/>
    <col min="9" max="9" width="14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63</v>
      </c>
      <c r="B2" t="s">
        <v>64</v>
      </c>
      <c r="C2" t="s">
        <v>65</v>
      </c>
      <c r="D2" t="s">
        <v>25</v>
      </c>
      <c r="E2" t="s">
        <v>26</v>
      </c>
      <c r="F2" t="s">
        <v>27</v>
      </c>
      <c r="G2" t="s">
        <v>66</v>
      </c>
      <c r="H2" t="s">
        <v>16</v>
      </c>
      <c r="I2">
        <v>16500</v>
      </c>
    </row>
    <row r="3" spans="1:9" x14ac:dyDescent="0.25">
      <c r="A3" t="s">
        <v>57</v>
      </c>
      <c r="B3" t="s">
        <v>58</v>
      </c>
      <c r="C3" t="s">
        <v>24</v>
      </c>
      <c r="D3" t="s">
        <v>59</v>
      </c>
      <c r="E3" t="s">
        <v>60</v>
      </c>
      <c r="F3" t="s">
        <v>61</v>
      </c>
      <c r="G3" t="s">
        <v>62</v>
      </c>
      <c r="H3" t="s">
        <v>16</v>
      </c>
      <c r="I3">
        <v>53091</v>
      </c>
    </row>
    <row r="4" spans="1:9" x14ac:dyDescent="0.25">
      <c r="A4" t="s">
        <v>54</v>
      </c>
      <c r="B4" t="s">
        <v>55</v>
      </c>
      <c r="C4" t="s">
        <v>11</v>
      </c>
      <c r="D4" t="s">
        <v>56</v>
      </c>
      <c r="E4" t="s">
        <v>28</v>
      </c>
      <c r="F4" t="s">
        <v>29</v>
      </c>
      <c r="G4" t="s">
        <v>29</v>
      </c>
      <c r="H4" t="s">
        <v>16</v>
      </c>
      <c r="I4">
        <v>29289</v>
      </c>
    </row>
    <row r="5" spans="1:9" x14ac:dyDescent="0.25">
      <c r="A5" t="s">
        <v>54</v>
      </c>
      <c r="B5" t="s">
        <v>55</v>
      </c>
      <c r="C5" t="s">
        <v>11</v>
      </c>
      <c r="D5" t="s">
        <v>56</v>
      </c>
      <c r="E5" t="s">
        <v>26</v>
      </c>
      <c r="F5" t="s">
        <v>27</v>
      </c>
      <c r="G5" t="s">
        <v>14</v>
      </c>
      <c r="H5" t="s">
        <v>16</v>
      </c>
      <c r="I5">
        <v>0</v>
      </c>
    </row>
    <row r="6" spans="1:9" x14ac:dyDescent="0.25">
      <c r="A6" t="s">
        <v>49</v>
      </c>
      <c r="B6" t="s">
        <v>50</v>
      </c>
      <c r="C6" t="s">
        <v>19</v>
      </c>
      <c r="D6" t="s">
        <v>51</v>
      </c>
      <c r="E6" t="s">
        <v>52</v>
      </c>
      <c r="F6" t="s">
        <v>53</v>
      </c>
      <c r="G6" t="s">
        <v>15</v>
      </c>
      <c r="H6" t="s">
        <v>16</v>
      </c>
      <c r="I6">
        <v>19537</v>
      </c>
    </row>
    <row r="7" spans="1:9" x14ac:dyDescent="0.25">
      <c r="A7" t="s">
        <v>45</v>
      </c>
      <c r="B7" t="s">
        <v>46</v>
      </c>
      <c r="C7" t="s">
        <v>24</v>
      </c>
      <c r="D7" t="s">
        <v>47</v>
      </c>
      <c r="E7" t="s">
        <v>26</v>
      </c>
      <c r="F7" t="s">
        <v>27</v>
      </c>
      <c r="G7" t="s">
        <v>48</v>
      </c>
      <c r="H7" t="s">
        <v>16</v>
      </c>
      <c r="I7">
        <v>9111</v>
      </c>
    </row>
    <row r="8" spans="1:9" x14ac:dyDescent="0.25">
      <c r="A8" t="s">
        <v>40</v>
      </c>
      <c r="B8" t="s">
        <v>41</v>
      </c>
      <c r="C8" t="s">
        <v>11</v>
      </c>
      <c r="D8" t="s">
        <v>42</v>
      </c>
      <c r="E8" t="s">
        <v>43</v>
      </c>
      <c r="F8" t="s">
        <v>21</v>
      </c>
      <c r="G8" t="s">
        <v>29</v>
      </c>
      <c r="H8" t="s">
        <v>16</v>
      </c>
      <c r="I8">
        <v>62084</v>
      </c>
    </row>
    <row r="9" spans="1:9" x14ac:dyDescent="0.25">
      <c r="A9" t="s">
        <v>40</v>
      </c>
      <c r="B9" t="s">
        <v>41</v>
      </c>
      <c r="C9" t="s">
        <v>11</v>
      </c>
      <c r="D9" t="s">
        <v>42</v>
      </c>
      <c r="E9" t="s">
        <v>28</v>
      </c>
      <c r="F9" t="s">
        <v>29</v>
      </c>
      <c r="G9" t="s">
        <v>44</v>
      </c>
      <c r="H9" t="s">
        <v>16</v>
      </c>
      <c r="I9">
        <v>0</v>
      </c>
    </row>
    <row r="10" spans="1:9" x14ac:dyDescent="0.25">
      <c r="A10" t="s">
        <v>40</v>
      </c>
      <c r="B10" t="s">
        <v>41</v>
      </c>
      <c r="C10" t="s">
        <v>11</v>
      </c>
      <c r="D10" t="s">
        <v>42</v>
      </c>
      <c r="E10" t="s">
        <v>26</v>
      </c>
      <c r="F10" t="s">
        <v>27</v>
      </c>
      <c r="G10" t="s">
        <v>21</v>
      </c>
      <c r="H10" t="s">
        <v>16</v>
      </c>
      <c r="I10">
        <v>0</v>
      </c>
    </row>
    <row r="11" spans="1:9" x14ac:dyDescent="0.25">
      <c r="A11" t="s">
        <v>34</v>
      </c>
      <c r="B11" t="s">
        <v>35</v>
      </c>
      <c r="C11" t="s">
        <v>11</v>
      </c>
      <c r="D11" t="s">
        <v>36</v>
      </c>
      <c r="E11" t="s">
        <v>37</v>
      </c>
      <c r="F11" t="s">
        <v>38</v>
      </c>
      <c r="G11" t="s">
        <v>39</v>
      </c>
      <c r="H11" t="s">
        <v>16</v>
      </c>
      <c r="I11">
        <v>29349</v>
      </c>
    </row>
    <row r="12" spans="1:9" x14ac:dyDescent="0.25">
      <c r="A12" t="s">
        <v>30</v>
      </c>
      <c r="B12" t="s">
        <v>31</v>
      </c>
      <c r="C12" t="s">
        <v>24</v>
      </c>
      <c r="D12" t="s">
        <v>32</v>
      </c>
      <c r="E12" t="s">
        <v>13</v>
      </c>
      <c r="F12" t="s">
        <v>14</v>
      </c>
      <c r="G12" t="s">
        <v>33</v>
      </c>
      <c r="H12" t="s">
        <v>16</v>
      </c>
    </row>
    <row r="13" spans="1:9" x14ac:dyDescent="0.2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27</v>
      </c>
      <c r="H13" t="s">
        <v>16</v>
      </c>
      <c r="I13">
        <v>19234</v>
      </c>
    </row>
    <row r="14" spans="1:9" x14ac:dyDescent="0.25">
      <c r="A14" t="s">
        <v>22</v>
      </c>
      <c r="B14" t="s">
        <v>23</v>
      </c>
      <c r="C14" t="s">
        <v>24</v>
      </c>
      <c r="D14" t="s">
        <v>25</v>
      </c>
      <c r="E14" t="s">
        <v>28</v>
      </c>
      <c r="F14" t="s">
        <v>29</v>
      </c>
      <c r="G14" t="s">
        <v>21</v>
      </c>
      <c r="H14" t="s">
        <v>16</v>
      </c>
    </row>
    <row r="15" spans="1:9" x14ac:dyDescent="0.25">
      <c r="A15" t="s">
        <v>17</v>
      </c>
      <c r="B15" t="s">
        <v>18</v>
      </c>
      <c r="C15" t="s">
        <v>19</v>
      </c>
      <c r="D15" t="s">
        <v>20</v>
      </c>
      <c r="E15" t="s">
        <v>13</v>
      </c>
      <c r="F15" t="s">
        <v>14</v>
      </c>
      <c r="G15" t="s">
        <v>21</v>
      </c>
      <c r="H15" t="s">
        <v>16</v>
      </c>
      <c r="I15">
        <v>15577</v>
      </c>
    </row>
    <row r="16" spans="1:9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>
        <v>31791</v>
      </c>
    </row>
  </sheetData>
  <sortState xmlns:xlrd2="http://schemas.microsoft.com/office/spreadsheetml/2017/richdata2" ref="A2:I16">
    <sortCondition ref="B2:B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958A-6B31-4C15-A2B9-09AE6309AA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2022-desde el 16 de agosto  (2)</vt:lpstr>
      <vt:lpstr>Producto del 1  al 15 de Noviem</vt:lpstr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Arevalo</dc:creator>
  <cp:lastModifiedBy>Carlos Yesid Arevalo Amaya</cp:lastModifiedBy>
  <dcterms:created xsi:type="dcterms:W3CDTF">2024-11-30T13:50:12Z</dcterms:created>
  <dcterms:modified xsi:type="dcterms:W3CDTF">2024-12-02T22:14:05Z</dcterms:modified>
</cp:coreProperties>
</file>