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FEF5965F-A9D8-41BA-AD96-FB5CED3C8186}" xr6:coauthVersionLast="47" xr6:coauthVersionMax="47" xr10:uidLastSave="{00000000-0000-0000-0000-000000000000}"/>
  <bookViews>
    <workbookView xWindow="-120" yWindow="-120" windowWidth="20730" windowHeight="11040" xr2:uid="{366CE112-9B42-4DF4-A887-B103D3301787}"/>
  </bookViews>
  <sheets>
    <sheet name="Hoja1" sheetId="3" r:id="rId1"/>
    <sheet name="Costeo productos de venta" sheetId="1" r:id="rId2"/>
    <sheet name="Hoja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H6" i="1"/>
  <c r="H11" i="1"/>
  <c r="G4" i="4" l="1"/>
  <c r="E4" i="4"/>
  <c r="F4" i="4" s="1"/>
  <c r="H4" i="4" s="1"/>
  <c r="B4" i="4"/>
  <c r="K3" i="4"/>
  <c r="E3" i="4"/>
  <c r="C3" i="4"/>
  <c r="T5" i="3"/>
  <c r="F5" i="3"/>
  <c r="G5" i="3" s="1"/>
  <c r="H5" i="3" s="1"/>
  <c r="O5" i="3" s="1"/>
  <c r="T4" i="3"/>
  <c r="F4" i="3"/>
  <c r="G4" i="3" s="1"/>
  <c r="H4" i="3" s="1"/>
  <c r="O4" i="3" s="1"/>
  <c r="T6" i="3"/>
  <c r="F6" i="3"/>
  <c r="G6" i="3" s="1"/>
  <c r="H6" i="3" s="1"/>
  <c r="O6" i="3" s="1"/>
  <c r="T9" i="3"/>
  <c r="F9" i="3"/>
  <c r="G9" i="3" s="1"/>
  <c r="H9" i="3" s="1"/>
  <c r="O9" i="3" s="1"/>
  <c r="T3" i="3"/>
  <c r="F3" i="3"/>
  <c r="G3" i="3" s="1"/>
  <c r="H3" i="3" s="1"/>
  <c r="O3" i="3" s="1"/>
  <c r="T16" i="3"/>
  <c r="F16" i="3"/>
  <c r="G16" i="3" s="1"/>
  <c r="H16" i="3" s="1"/>
  <c r="O16" i="3" s="1"/>
  <c r="T22" i="3"/>
  <c r="F22" i="3"/>
  <c r="G22" i="3" s="1"/>
  <c r="H22" i="3" s="1"/>
  <c r="T7" i="3"/>
  <c r="F7" i="3"/>
  <c r="G7" i="3" s="1"/>
  <c r="H7" i="3" s="1"/>
  <c r="O7" i="3" s="1"/>
  <c r="T15" i="3"/>
  <c r="F15" i="3"/>
  <c r="G15" i="3" s="1"/>
  <c r="H15" i="3" s="1"/>
  <c r="O15" i="3" s="1"/>
  <c r="T14" i="3"/>
  <c r="T12" i="3"/>
  <c r="F14" i="3"/>
  <c r="G14" i="3" s="1"/>
  <c r="H14" i="3" s="1"/>
  <c r="O14" i="3" s="1"/>
  <c r="T21" i="3"/>
  <c r="F21" i="3"/>
  <c r="G21" i="3" s="1"/>
  <c r="H21" i="3" s="1"/>
  <c r="O21" i="3" s="1"/>
  <c r="T20" i="3"/>
  <c r="F20" i="3"/>
  <c r="G20" i="3" s="1"/>
  <c r="H20" i="3" s="1"/>
  <c r="O20" i="3" s="1"/>
  <c r="T13" i="3"/>
  <c r="F13" i="3"/>
  <c r="G13" i="3" s="1"/>
  <c r="H13" i="3" s="1"/>
  <c r="O13" i="3" s="1"/>
  <c r="T18" i="3"/>
  <c r="F18" i="3"/>
  <c r="G18" i="3" s="1"/>
  <c r="H18" i="3" s="1"/>
  <c r="O18" i="3" s="1"/>
  <c r="T17" i="3"/>
  <c r="F17" i="3"/>
  <c r="G17" i="3" s="1"/>
  <c r="H17" i="3" s="1"/>
  <c r="O17" i="3" s="1"/>
  <c r="F12" i="3"/>
  <c r="G12" i="3" s="1"/>
  <c r="H12" i="3" s="1"/>
  <c r="O12" i="3" s="1"/>
  <c r="T11" i="3"/>
  <c r="F11" i="3"/>
  <c r="G11" i="3" s="1"/>
  <c r="H11" i="3" s="1"/>
  <c r="O11" i="3" s="1"/>
  <c r="T10" i="3"/>
  <c r="F10" i="3"/>
  <c r="G10" i="3" s="1"/>
  <c r="H10" i="3" s="1"/>
  <c r="O10" i="3" s="1"/>
  <c r="Q20" i="3" l="1"/>
  <c r="W7" i="3"/>
  <c r="Q9" i="3"/>
  <c r="W12" i="3"/>
  <c r="O22" i="3"/>
  <c r="W9" i="3" s="1"/>
  <c r="Q6" i="3"/>
  <c r="W13" i="3"/>
  <c r="Q7" i="3"/>
  <c r="R7" i="3" s="1"/>
  <c r="Q14" i="3"/>
  <c r="W20" i="3"/>
  <c r="Q17" i="3"/>
  <c r="R17" i="3" s="1"/>
  <c r="W4" i="3"/>
  <c r="Q10" i="3"/>
  <c r="W17" i="3"/>
  <c r="Q16" i="3"/>
  <c r="R16" i="3" s="1"/>
  <c r="W10" i="3"/>
  <c r="Q4" i="3"/>
  <c r="W14" i="3"/>
  <c r="Q21" i="3"/>
  <c r="Q18" i="3"/>
  <c r="R18" i="3" s="1"/>
  <c r="W5" i="3"/>
  <c r="Q13" i="3"/>
  <c r="R13" i="3" s="1"/>
  <c r="W6" i="3"/>
  <c r="Q12" i="3"/>
  <c r="Q11" i="3"/>
  <c r="R11" i="3" s="1"/>
  <c r="W18" i="3"/>
  <c r="Q15" i="3"/>
  <c r="R15" i="3" s="1"/>
  <c r="W21" i="3"/>
  <c r="Q3" i="3"/>
  <c r="W11" i="3"/>
  <c r="Q5" i="3"/>
  <c r="W15" i="3"/>
  <c r="J20" i="3"/>
  <c r="J10" i="3"/>
  <c r="J22" i="3"/>
  <c r="J21" i="3"/>
  <c r="J5" i="3"/>
  <c r="J7" i="3"/>
  <c r="J4" i="3"/>
  <c r="J13" i="3"/>
  <c r="J15" i="3"/>
  <c r="J6" i="3"/>
  <c r="J18" i="3"/>
  <c r="J14" i="3"/>
  <c r="J9" i="3"/>
  <c r="J17" i="3"/>
  <c r="J12" i="3"/>
  <c r="J3" i="3"/>
  <c r="J11" i="3"/>
  <c r="J16" i="3"/>
  <c r="F3" i="4"/>
  <c r="I4" i="4"/>
  <c r="H3" i="4"/>
  <c r="G3" i="4"/>
  <c r="I3" i="4" s="1"/>
  <c r="R5" i="3"/>
  <c r="R4" i="3"/>
  <c r="R6" i="3"/>
  <c r="R9" i="3"/>
  <c r="R3" i="3"/>
  <c r="R14" i="3"/>
  <c r="R21" i="3"/>
  <c r="R20" i="3"/>
  <c r="R12" i="3"/>
  <c r="R10" i="3"/>
  <c r="W22" i="3" l="1"/>
  <c r="K15" i="3"/>
  <c r="V21" i="3"/>
  <c r="K3" i="3"/>
  <c r="V11" i="3"/>
  <c r="K13" i="3"/>
  <c r="V6" i="3"/>
  <c r="K12" i="3"/>
  <c r="K17" i="3"/>
  <c r="V4" i="3"/>
  <c r="K9" i="3"/>
  <c r="V12" i="3"/>
  <c r="K5" i="3"/>
  <c r="V15" i="3"/>
  <c r="K14" i="3"/>
  <c r="V20" i="3"/>
  <c r="K21" i="3"/>
  <c r="K20" i="3"/>
  <c r="V7" i="3"/>
  <c r="K4" i="3"/>
  <c r="V14" i="3"/>
  <c r="K7" i="3"/>
  <c r="V22" i="3"/>
  <c r="K18" i="3"/>
  <c r="V5" i="3"/>
  <c r="K22" i="3"/>
  <c r="V9" i="3"/>
  <c r="K11" i="3"/>
  <c r="V18" i="3"/>
  <c r="Q22" i="3"/>
  <c r="R22" i="3" s="1"/>
  <c r="K16" i="3"/>
  <c r="V10" i="3"/>
  <c r="K6" i="3"/>
  <c r="V13" i="3"/>
  <c r="K10" i="3"/>
  <c r="V17" i="3"/>
  <c r="M3" i="3"/>
  <c r="M13" i="3"/>
  <c r="M12" i="3"/>
  <c r="M4" i="3"/>
  <c r="M17" i="3"/>
  <c r="M7" i="3"/>
  <c r="M9" i="3"/>
  <c r="M5" i="3"/>
  <c r="M14" i="3"/>
  <c r="M21" i="3"/>
  <c r="M18" i="3"/>
  <c r="M22" i="3"/>
  <c r="M16" i="3"/>
  <c r="M6" i="3"/>
  <c r="M10" i="3"/>
  <c r="M11" i="3"/>
  <c r="M15" i="3"/>
  <c r="M20" i="3"/>
  <c r="T8" i="3"/>
  <c r="F8" i="3"/>
  <c r="G8" i="3" s="1"/>
  <c r="H8" i="3" s="1"/>
  <c r="T19" i="3"/>
  <c r="F19" i="3"/>
  <c r="G19" i="3" s="1"/>
  <c r="H173" i="1"/>
  <c r="H174" i="1" s="1"/>
  <c r="H171" i="1"/>
  <c r="F167" i="1"/>
  <c r="G167" i="1" s="1"/>
  <c r="H167" i="1" s="1"/>
  <c r="H161" i="1"/>
  <c r="H162" i="1" s="1"/>
  <c r="H159" i="1"/>
  <c r="F155" i="1"/>
  <c r="G155" i="1" s="1"/>
  <c r="H155" i="1" s="1"/>
  <c r="H150" i="1"/>
  <c r="H151" i="1" s="1"/>
  <c r="H148" i="1"/>
  <c r="F144" i="1"/>
  <c r="G144" i="1" s="1"/>
  <c r="H144" i="1" s="1"/>
  <c r="H140" i="1"/>
  <c r="H139" i="1"/>
  <c r="H135" i="1"/>
  <c r="H136" i="1" s="1"/>
  <c r="H133" i="1"/>
  <c r="F129" i="1"/>
  <c r="G129" i="1" s="1"/>
  <c r="H129" i="1" s="1"/>
  <c r="H123" i="1"/>
  <c r="H124" i="1" s="1"/>
  <c r="H121" i="1"/>
  <c r="F117" i="1"/>
  <c r="G117" i="1" s="1"/>
  <c r="H117" i="1" s="1"/>
  <c r="H111" i="1"/>
  <c r="H112" i="1" s="1"/>
  <c r="H109" i="1"/>
  <c r="F105" i="1"/>
  <c r="G105" i="1" s="1"/>
  <c r="H105" i="1" s="1"/>
  <c r="H99" i="1"/>
  <c r="H100" i="1" s="1"/>
  <c r="H97" i="1"/>
  <c r="F93" i="1"/>
  <c r="G93" i="1" s="1"/>
  <c r="H93" i="1" s="1"/>
  <c r="H87" i="1"/>
  <c r="F81" i="1"/>
  <c r="G81" i="1" s="1"/>
  <c r="H81" i="1" s="1"/>
  <c r="H75" i="1"/>
  <c r="F69" i="1"/>
  <c r="G69" i="1" s="1"/>
  <c r="H69" i="1" s="1"/>
  <c r="H71" i="1" s="1"/>
  <c r="G70" i="1" s="1"/>
  <c r="H62" i="1"/>
  <c r="F56" i="1"/>
  <c r="G56" i="1" s="1"/>
  <c r="H56" i="1" s="1"/>
  <c r="H58" i="1" s="1"/>
  <c r="H50" i="1"/>
  <c r="F44" i="1"/>
  <c r="G44" i="1" s="1"/>
  <c r="H44" i="1" s="1"/>
  <c r="H46" i="1" s="1"/>
  <c r="H39" i="1"/>
  <c r="H10" i="1"/>
  <c r="H20" i="1"/>
  <c r="F33" i="1"/>
  <c r="G33" i="1" s="1"/>
  <c r="H33" i="1" s="1"/>
  <c r="H35" i="1" s="1"/>
  <c r="F14" i="1"/>
  <c r="G14" i="1" s="1"/>
  <c r="H14" i="1" s="1"/>
  <c r="H16" i="1" s="1"/>
  <c r="F25" i="1"/>
  <c r="G25" i="1" s="1"/>
  <c r="H25" i="1" s="1"/>
  <c r="H27" i="1" s="1"/>
  <c r="H29" i="1" s="1"/>
  <c r="H19" i="3" l="1"/>
  <c r="O19" i="3" s="1"/>
  <c r="O8" i="3"/>
  <c r="W8" i="3" s="1"/>
  <c r="J8" i="3"/>
  <c r="V8" i="3" s="1"/>
  <c r="H8" i="1"/>
  <c r="H9" i="1" s="1"/>
  <c r="H51" i="1"/>
  <c r="H172" i="1"/>
  <c r="G168" i="1"/>
  <c r="G156" i="1"/>
  <c r="H160" i="1"/>
  <c r="H149" i="1"/>
  <c r="G145" i="1"/>
  <c r="H134" i="1"/>
  <c r="G130" i="1"/>
  <c r="G118" i="1"/>
  <c r="H122" i="1"/>
  <c r="H110" i="1"/>
  <c r="G106" i="1"/>
  <c r="H98" i="1"/>
  <c r="G94" i="1"/>
  <c r="H76" i="1"/>
  <c r="H73" i="1"/>
  <c r="H63" i="1"/>
  <c r="H60" i="1"/>
  <c r="H61" i="1" s="1"/>
  <c r="H48" i="1"/>
  <c r="H49" i="1" s="1"/>
  <c r="H40" i="1"/>
  <c r="H21" i="1"/>
  <c r="H37" i="1"/>
  <c r="H38" i="1" s="1"/>
  <c r="H18" i="1"/>
  <c r="H19" i="1" s="1"/>
  <c r="H30" i="1"/>
  <c r="W3" i="3" l="1"/>
  <c r="W19" i="3"/>
  <c r="K8" i="3"/>
  <c r="V16" i="3"/>
  <c r="Q8" i="3"/>
  <c r="R8" i="3" s="1"/>
  <c r="W16" i="3"/>
  <c r="Q19" i="3"/>
  <c r="R19" i="3" s="1"/>
  <c r="J19" i="3"/>
  <c r="V19" i="3" s="1"/>
  <c r="M8" i="3"/>
  <c r="H88" i="1"/>
  <c r="G82" i="1"/>
  <c r="H85" i="1"/>
  <c r="H74" i="1"/>
  <c r="W24" i="3" l="1"/>
  <c r="K19" i="3"/>
  <c r="V3" i="3"/>
  <c r="V24" i="3" s="1"/>
  <c r="M19" i="3"/>
  <c r="H86" i="1"/>
  <c r="H4" i="1"/>
</calcChain>
</file>

<file path=xl/sharedStrings.xml><?xml version="1.0" encoding="utf-8"?>
<sst xmlns="http://schemas.openxmlformats.org/spreadsheetml/2006/main" count="278" uniqueCount="59">
  <si>
    <t>Sin IVA</t>
  </si>
  <si>
    <t>Cantidad del Empaque</t>
  </si>
  <si>
    <t>IVA</t>
  </si>
  <si>
    <t>Total</t>
  </si>
  <si>
    <t>Valor Unidad</t>
  </si>
  <si>
    <t>Producto</t>
  </si>
  <si>
    <t>Energizing Intensive Lotion</t>
  </si>
  <si>
    <t>Margen para el vendedor</t>
  </si>
  <si>
    <t>Precio</t>
  </si>
  <si>
    <t>Participación Producto</t>
  </si>
  <si>
    <t>Valor Producto utilizado</t>
  </si>
  <si>
    <t>Participación Transacción</t>
  </si>
  <si>
    <t>Valor Transacción</t>
  </si>
  <si>
    <t>Valor Neto</t>
  </si>
  <si>
    <t>Participación Profesional</t>
  </si>
  <si>
    <t>Participación Salón</t>
  </si>
  <si>
    <t>%</t>
  </si>
  <si>
    <t>Valor para el vendedor</t>
  </si>
  <si>
    <t xml:space="preserve">Precio de venta </t>
  </si>
  <si>
    <t>Margen real</t>
  </si>
  <si>
    <t>Margen del 50%</t>
  </si>
  <si>
    <t>Silk Oil Intensitive Lotion Rinse -Off</t>
  </si>
  <si>
    <t>PVP sugerido</t>
  </si>
  <si>
    <t>Margen de rentabilidad sobre el PVP Sugerido</t>
  </si>
  <si>
    <t>Silver Maintain Shampoo 100 ML</t>
  </si>
  <si>
    <t>Silk oil Iluminating Lotion Leave in</t>
  </si>
  <si>
    <t>Referencia</t>
  </si>
  <si>
    <t>Pre- pare</t>
  </si>
  <si>
    <t>Proteins and Mionerals of egg Ampolleta a + b</t>
  </si>
  <si>
    <t>Color Care Shampoo  100 ml</t>
  </si>
  <si>
    <t>Hasty Too Spray</t>
  </si>
  <si>
    <t>Hasty Too MOUSE</t>
  </si>
  <si>
    <t xml:space="preserve"> Aroma Treatment </t>
  </si>
  <si>
    <t>Utilities Len´Oil</t>
  </si>
  <si>
    <t>Soothing Treatment 150 ml</t>
  </si>
  <si>
    <t xml:space="preserve"> Treatment  Oil</t>
  </si>
  <si>
    <t>PVP sugerido  por la Casa Comercial</t>
  </si>
  <si>
    <t>PVP sugerido  por la Casa Comercial por Unidad</t>
  </si>
  <si>
    <t>Margen del Salón</t>
  </si>
  <si>
    <t>AF0403</t>
  </si>
  <si>
    <t>Acai Oil Hair Treatment 4 oz</t>
  </si>
  <si>
    <t>AS0803</t>
  </si>
  <si>
    <t>Tucuma Color Preservation Shampoo 8,5 Oz</t>
  </si>
  <si>
    <t>AC0802</t>
  </si>
  <si>
    <t>Tucuma Color Preservation Conditioner  8,5 Oz</t>
  </si>
  <si>
    <t>ASG1001</t>
  </si>
  <si>
    <t>D´oro 24k age defying shampoo 10,1 oz</t>
  </si>
  <si>
    <t>UKT0001</t>
  </si>
  <si>
    <t>Booster Reviving Tratment 2 ox</t>
  </si>
  <si>
    <t>UKS1101</t>
  </si>
  <si>
    <t>Reviver Hair Repair Shampoo</t>
  </si>
  <si>
    <t>AS1602</t>
  </si>
  <si>
    <t>Pure Deep Cleansing Shampoo 16 oz</t>
  </si>
  <si>
    <t>Columna1</t>
  </si>
  <si>
    <t>Precio Base</t>
  </si>
  <si>
    <t>Margen de Ganancia</t>
  </si>
  <si>
    <t>Precio de Venta</t>
  </si>
  <si>
    <t>Utilidad</t>
  </si>
  <si>
    <t>Valor para el vendedor2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</si>
</sst>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_(* #,##0.00_);_(* \(#,##0.00\);_(* &quot;-&quot;??_);_(@_)"/>
    <numFmt numFmtId="166" formatCode="_-* #,##0_-;\-* #,##0_-;_-* &quot;-&quot;??_-;_-@_-"/>
    <numFmt numFmtId="167" formatCode="_-&quot;$&quot;* #,##0_-;\-&quot;$&quot;* #,##0_-;_-&quot;$&quot;* &quot;-&quot;??_-;_-@_-"/>
    <numFmt numFmtId="168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Open Sans"/>
    </font>
    <font>
      <sz val="11"/>
      <color theme="1"/>
      <name val="Open Sans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22C488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CCFFFF"/>
      </left>
      <right style="thick">
        <color rgb="FFCCFFFF"/>
      </right>
      <top style="thick">
        <color rgb="FFCCFFFF"/>
      </top>
      <bottom style="thick">
        <color rgb="FFCCFFFF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9">
    <xf numFmtId="0" fontId="0" fillId="0" borderId="0" xfId="0"/>
    <xf numFmtId="9" fontId="0" fillId="0" borderId="0" xfId="0" applyNumberFormat="1"/>
    <xf numFmtId="164" fontId="0" fillId="0" borderId="0" xfId="3" applyFont="1"/>
    <xf numFmtId="0" fontId="3" fillId="2" borderId="0" xfId="0" applyFont="1" applyFill="1"/>
    <xf numFmtId="0" fontId="2" fillId="0" borderId="0" xfId="0" applyFont="1"/>
    <xf numFmtId="164" fontId="2" fillId="0" borderId="0" xfId="3" applyFont="1"/>
    <xf numFmtId="9" fontId="0" fillId="0" borderId="0" xfId="2" applyFont="1" applyFill="1" applyAlignment="1">
      <alignment horizontal="center"/>
    </xf>
    <xf numFmtId="166" fontId="0" fillId="0" borderId="0" xfId="1" applyNumberFormat="1" applyFont="1" applyFill="1"/>
    <xf numFmtId="9" fontId="0" fillId="0" borderId="0" xfId="2" applyFont="1" applyFill="1"/>
    <xf numFmtId="167" fontId="0" fillId="0" borderId="0" xfId="3" applyNumberFormat="1" applyFont="1" applyFill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5" fontId="4" fillId="3" borderId="0" xfId="1" applyFont="1" applyFill="1"/>
    <xf numFmtId="9" fontId="4" fillId="3" borderId="0" xfId="2" applyFont="1" applyFill="1" applyAlignment="1">
      <alignment horizontal="center"/>
    </xf>
    <xf numFmtId="166" fontId="4" fillId="3" borderId="0" xfId="1" applyNumberFormat="1" applyFont="1" applyFill="1" applyAlignment="1">
      <alignment horizontal="center"/>
    </xf>
    <xf numFmtId="164" fontId="0" fillId="0" borderId="0" xfId="0" applyNumberFormat="1"/>
    <xf numFmtId="10" fontId="0" fillId="0" borderId="0" xfId="0" applyNumberFormat="1"/>
    <xf numFmtId="164" fontId="3" fillId="4" borderId="0" xfId="3" applyFont="1" applyFill="1"/>
    <xf numFmtId="0" fontId="5" fillId="4" borderId="0" xfId="0" applyFont="1" applyFill="1"/>
    <xf numFmtId="164" fontId="5" fillId="4" borderId="0" xfId="3" applyFont="1" applyFill="1"/>
    <xf numFmtId="0" fontId="5" fillId="6" borderId="0" xfId="0" applyFont="1" applyFill="1"/>
    <xf numFmtId="164" fontId="5" fillId="6" borderId="0" xfId="3" applyFont="1" applyFill="1"/>
    <xf numFmtId="0" fontId="2" fillId="5" borderId="0" xfId="0" applyFont="1" applyFill="1"/>
    <xf numFmtId="164" fontId="2" fillId="5" borderId="0" xfId="3" applyFont="1" applyFill="1"/>
    <xf numFmtId="9" fontId="3" fillId="2" borderId="2" xfId="2" applyFont="1" applyFill="1" applyBorder="1"/>
    <xf numFmtId="9" fontId="5" fillId="2" borderId="2" xfId="2" applyFont="1" applyFill="1" applyBorder="1"/>
    <xf numFmtId="168" fontId="2" fillId="7" borderId="1" xfId="1" applyNumberFormat="1" applyFont="1" applyFill="1" applyBorder="1"/>
    <xf numFmtId="167" fontId="0" fillId="0" borderId="0" xfId="3" applyNumberFormat="1" applyFont="1"/>
    <xf numFmtId="9" fontId="2" fillId="7" borderId="1" xfId="2" applyFont="1" applyFill="1" applyBorder="1"/>
    <xf numFmtId="0" fontId="2" fillId="8" borderId="0" xfId="0" applyFont="1" applyFill="1"/>
    <xf numFmtId="164" fontId="2" fillId="8" borderId="0" xfId="3" applyFont="1" applyFill="1"/>
    <xf numFmtId="165" fontId="6" fillId="0" borderId="0" xfId="1" applyFont="1" applyFill="1"/>
    <xf numFmtId="0" fontId="0" fillId="0" borderId="0" xfId="0" applyFill="1"/>
    <xf numFmtId="167" fontId="0" fillId="0" borderId="0" xfId="3" applyNumberFormat="1" applyFont="1" applyFill="1"/>
    <xf numFmtId="0" fontId="6" fillId="0" borderId="0" xfId="0" applyFont="1" applyFill="1"/>
    <xf numFmtId="0" fontId="7" fillId="10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164" fontId="8" fillId="0" borderId="0" xfId="3" applyFont="1" applyFill="1" applyAlignment="1">
      <alignment vertical="center"/>
    </xf>
    <xf numFmtId="9" fontId="8" fillId="0" borderId="0" xfId="0" applyNumberFormat="1" applyFont="1" applyFill="1" applyAlignment="1">
      <alignment vertical="center"/>
    </xf>
    <xf numFmtId="164" fontId="7" fillId="7" borderId="1" xfId="3" applyFont="1" applyFill="1" applyBorder="1" applyAlignment="1">
      <alignment vertical="center"/>
    </xf>
    <xf numFmtId="167" fontId="8" fillId="0" borderId="0" xfId="3" applyNumberFormat="1" applyFont="1" applyFill="1" applyAlignment="1">
      <alignment vertical="center"/>
    </xf>
    <xf numFmtId="9" fontId="7" fillId="0" borderId="1" xfId="2" applyFont="1" applyFill="1" applyBorder="1" applyAlignment="1">
      <alignment vertical="center"/>
    </xf>
    <xf numFmtId="0" fontId="8" fillId="0" borderId="0" xfId="0" applyFont="1" applyAlignment="1">
      <alignment vertical="center"/>
    </xf>
    <xf numFmtId="9" fontId="8" fillId="9" borderId="0" xfId="2" applyFont="1" applyFill="1" applyAlignment="1">
      <alignment vertical="center"/>
    </xf>
    <xf numFmtId="9" fontId="7" fillId="10" borderId="0" xfId="2" applyFont="1" applyFill="1" applyAlignment="1">
      <alignment horizontal="center" vertical="center" wrapText="1"/>
    </xf>
    <xf numFmtId="9" fontId="8" fillId="0" borderId="0" xfId="2" applyFont="1" applyFill="1" applyAlignment="1">
      <alignment vertical="center"/>
    </xf>
    <xf numFmtId="9" fontId="8" fillId="0" borderId="0" xfId="2" applyFont="1" applyAlignment="1">
      <alignment vertical="center"/>
    </xf>
    <xf numFmtId="9" fontId="8" fillId="0" borderId="0" xfId="2" applyFont="1" applyFill="1" applyAlignment="1">
      <alignment horizontal="center" vertical="center"/>
    </xf>
    <xf numFmtId="164" fontId="8" fillId="0" borderId="0" xfId="3" applyFont="1" applyFill="1" applyAlignment="1">
      <alignment horizontal="center" vertical="center"/>
    </xf>
    <xf numFmtId="164" fontId="8" fillId="11" borderId="0" xfId="3" applyFont="1" applyFill="1" applyAlignment="1">
      <alignment vertical="center"/>
    </xf>
    <xf numFmtId="164" fontId="8" fillId="2" borderId="0" xfId="3" applyFont="1" applyFill="1" applyAlignment="1">
      <alignment vertical="center"/>
    </xf>
    <xf numFmtId="164" fontId="8" fillId="9" borderId="0" xfId="3" applyFont="1" applyFill="1" applyAlignment="1">
      <alignment vertical="center"/>
    </xf>
    <xf numFmtId="164" fontId="8" fillId="0" borderId="0" xfId="3" applyFont="1" applyAlignment="1">
      <alignment vertical="center"/>
    </xf>
    <xf numFmtId="164" fontId="8" fillId="0" borderId="0" xfId="0" applyNumberFormat="1" applyFont="1" applyFill="1" applyAlignment="1">
      <alignment vertical="center"/>
    </xf>
    <xf numFmtId="9" fontId="8" fillId="0" borderId="0" xfId="2" applyFont="1" applyAlignment="1">
      <alignment horizontal="center" vertical="center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7" formatCode="_-&quot;$&quot;* #,##0_-;\-&quot;$&quot;* #,##0_-;_-&quot;$&quot;* &quot;-&quot;??_-;_-@_-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_-&quot;$&quot;* #,##0.00_-;\-&quot;$&quot;* #,##0.00_-;_-&quot;$&quot;* &quot;-&quot;??_-;_-@_-"/>
      <fill>
        <patternFill patternType="solid">
          <fgColor indexed="64"/>
          <bgColor rgb="FFFF00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64" formatCode="_-&quot;$&quot;* #,##0.00_-;\-&quot;$&quot;* #,##0.00_-;_-&quot;$&quot;* &quot;-&quot;??_-;_-@_-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3" formatCode="0%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13" formatCode="0%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fill>
        <patternFill patternType="solid">
          <fgColor indexed="64"/>
          <bgColor rgb="FF00FF00"/>
        </patternFill>
      </fill>
      <alignment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FF00"/>
      <color rgb="FFCCFFFF"/>
      <color rgb="FFFFCC00"/>
      <color rgb="FFFF66CC"/>
      <color rgb="FF9966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61A76D-27A1-4234-A3BD-DB4BB3430DBC}" name="Tabla1" displayName="Tabla1" ref="B2:T22" totalsRowShown="0" headerRowDxfId="12" dataDxfId="11">
  <autoFilter ref="B2:T22" xr:uid="{BE61A76D-27A1-4234-A3BD-DB4BB3430DBC}"/>
  <sortState xmlns:xlrd2="http://schemas.microsoft.com/office/spreadsheetml/2017/richdata2" ref="B3:T22">
    <sortCondition ref="N2:N22"/>
  </sortState>
  <tableColumns count="19">
    <tableColumn id="1" xr3:uid="{44E1A150-68B6-4260-B41A-F90234413413}" name="Referencia" dataDxfId="20"/>
    <tableColumn id="2" xr3:uid="{00027357-3D10-4F51-9054-AE3BC635F5EB}" name="Producto" dataDxfId="10"/>
    <tableColumn id="3" xr3:uid="{7D184980-A707-45DB-A9B1-BAACA4487CA0}" name="Cantidad del Empaque" dataDxfId="8"/>
    <tableColumn id="4" xr3:uid="{58A859CB-6F73-4DC8-92C5-963ED2722F39}" name="Sin IVA" dataDxfId="9" dataCellStyle="Moneda"/>
    <tableColumn id="5" xr3:uid="{9D8CA6E6-2DFF-4588-AF24-7C2ABE9D0E62}" name="IVA" dataDxfId="19" dataCellStyle="Moneda">
      <calculatedColumnFormula>+E3*19%</calculatedColumnFormula>
    </tableColumn>
    <tableColumn id="6" xr3:uid="{139F722E-5599-483F-A66D-CC210FB41FBA}" name="Total" dataDxfId="18" dataCellStyle="Moneda">
      <calculatedColumnFormula>+E3+F3</calculatedColumnFormula>
    </tableColumn>
    <tableColumn id="7" xr3:uid="{832F4E6C-5DE3-419D-B6C8-79CAFE45DEF7}" name="Precio Base" dataDxfId="7" dataCellStyle="Moneda">
      <calculatedColumnFormula>+G3/D3</calculatedColumnFormula>
    </tableColumn>
    <tableColumn id="16" xr3:uid="{D7B8AD0C-5705-44AD-A7B1-2483113ED781}" name="Margen de Ganancia" dataDxfId="5" dataCellStyle="Porcentaje"/>
    <tableColumn id="15" xr3:uid="{1183A2FB-9E8C-4A1D-B7B2-EF52CAAF0384}" name="Precio de Venta" dataDxfId="3" dataCellStyle="Moneda">
      <calculatedColumnFormula>+Tabla1[[#This Row],[Precio Base]]/(1-Tabla1[[#This Row],[Margen de Ganancia]])</calculatedColumnFormula>
    </tableColumn>
    <tableColumn id="19" xr3:uid="{1E0ACE58-0E54-4F1F-90EE-DE7A7AB4183F}" name="Valor para el vendedor" dataDxfId="1" dataCellStyle="Moneda">
      <calculatedColumnFormula>+(Tabla1[[#This Row],[Precio de Venta]]-(Tabla1[[#This Row],[Precio de Venta]]*20%))</calculatedColumnFormula>
    </tableColumn>
    <tableColumn id="20" xr3:uid="{9D0068B7-606B-410E-8768-2ADDABFAF68E}" name="Columna1" dataDxfId="0" dataCellStyle="Moneda"/>
    <tableColumn id="17" xr3:uid="{A4719573-86EF-4E92-92CA-FC22E5313E67}" name="Utilidad" dataDxfId="4" dataCellStyle="Moneda">
      <calculatedColumnFormula>+Tabla1[[#This Row],[Precio de Venta]]-Tabla1[[#This Row],[Precio de venta ]]</calculatedColumnFormula>
    </tableColumn>
    <tableColumn id="8" xr3:uid="{8F68CBBD-CEAC-49AC-9859-CB76115EBED5}" name="Margen del Salón" dataDxfId="6"/>
    <tableColumn id="9" xr3:uid="{CF83EA96-00B3-4726-B3A2-867496ADA441}" name="Precio de venta " dataDxfId="17" dataCellStyle="Moneda">
      <calculatedColumnFormula>+H3/(1-N3)</calculatedColumnFormula>
    </tableColumn>
    <tableColumn id="10" xr3:uid="{1FBA60DC-DE9A-4120-84C5-8CDDAB7E6339}" name="Margen para el vendedor" dataDxfId="16"/>
    <tableColumn id="11" xr3:uid="{054F9335-0070-4A18-BA00-8C4B3E8755EC}" name="Valor para el vendedor2" dataDxfId="2" dataCellStyle="Moneda">
      <calculatedColumnFormula>+(O3-(O3*19%))*P3</calculatedColumnFormula>
    </tableColumn>
    <tableColumn id="12" xr3:uid="{2A98A240-7C3F-4385-AF94-15696690AC07}" name="Margen real" dataDxfId="15" dataCellStyle="Porcentaje">
      <calculatedColumnFormula>(+O3-H3-Q3)/O3</calculatedColumnFormula>
    </tableColumn>
    <tableColumn id="13" xr3:uid="{4F79A64C-F832-429D-BE63-8C1A5A9F8B98}" name="PVP sugerido  por la Casa Comercial" dataDxfId="14" dataCellStyle="Moneda"/>
    <tableColumn id="14" xr3:uid="{EE8B529E-0059-4C04-9220-F3B6D156E17B}" name="PVP sugerido  por la Casa Comercial por Unidad" dataDxfId="13" dataCellStyle="Moneda">
      <calculatedColumnFormula>+S3/D3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5080-4177-4C99-8AC5-368C5218BBE2}">
  <dimension ref="A1:Z28"/>
  <sheetViews>
    <sheetView tabSelected="1" workbookViewId="0"/>
  </sheetViews>
  <sheetFormatPr baseColWidth="10" defaultRowHeight="18.75" x14ac:dyDescent="0.25"/>
  <cols>
    <col min="1" max="1" width="2.5703125" style="36" bestFit="1" customWidth="1"/>
    <col min="2" max="2" width="17.5703125" style="38" bestFit="1" customWidth="1"/>
    <col min="3" max="3" width="48.5703125" style="46" bestFit="1" customWidth="1"/>
    <col min="4" max="4" width="30.140625" style="38" customWidth="1"/>
    <col min="5" max="5" width="15.42578125" style="46" customWidth="1"/>
    <col min="6" max="6" width="14.140625" style="46" customWidth="1"/>
    <col min="7" max="7" width="15.42578125" style="46" customWidth="1"/>
    <col min="8" max="8" width="18.140625" style="46" customWidth="1"/>
    <col min="9" max="9" width="28.140625" style="50" customWidth="1"/>
    <col min="10" max="10" width="22.85546875" style="46" bestFit="1" customWidth="1"/>
    <col min="11" max="12" width="22.85546875" style="56" customWidth="1"/>
    <col min="13" max="13" width="17" style="46" customWidth="1"/>
    <col min="14" max="14" width="21.5703125" style="46" customWidth="1"/>
    <col min="15" max="15" width="20.42578125" style="46" customWidth="1"/>
    <col min="16" max="16" width="30" style="46" customWidth="1"/>
    <col min="17" max="17" width="27.5703125" style="46" customWidth="1"/>
    <col min="18" max="18" width="16.140625" style="46" customWidth="1"/>
    <col min="19" max="19" width="41.28515625" style="46" customWidth="1"/>
    <col min="20" max="20" width="53.5703125" style="46" customWidth="1"/>
    <col min="21" max="21" width="11.42578125" style="46"/>
    <col min="22" max="22" width="11.5703125" style="50" bestFit="1" customWidth="1"/>
    <col min="23" max="23" width="13.28515625" style="50" bestFit="1" customWidth="1"/>
    <col min="24" max="24" width="11.42578125" style="50"/>
    <col min="25" max="25" width="11.42578125" style="46"/>
    <col min="26" max="26" width="14.140625" style="46" bestFit="1" customWidth="1"/>
    <col min="27" max="16384" width="11.42578125" style="46"/>
  </cols>
  <sheetData>
    <row r="1" spans="1:26" s="36" customFormat="1" x14ac:dyDescent="0.25">
      <c r="B1" s="37"/>
      <c r="D1" s="37"/>
      <c r="I1" s="47"/>
      <c r="K1" s="55"/>
      <c r="L1" s="55"/>
      <c r="V1" s="47"/>
      <c r="W1" s="47"/>
      <c r="X1" s="47"/>
    </row>
    <row r="2" spans="1:26" s="38" customFormat="1" ht="19.5" customHeight="1" thickBot="1" x14ac:dyDescent="0.3">
      <c r="A2" s="37"/>
      <c r="B2" s="34" t="s">
        <v>26</v>
      </c>
      <c r="C2" s="34" t="s">
        <v>5</v>
      </c>
      <c r="D2" s="34" t="s">
        <v>1</v>
      </c>
      <c r="E2" s="34" t="s">
        <v>0</v>
      </c>
      <c r="F2" s="34" t="s">
        <v>2</v>
      </c>
      <c r="G2" s="34" t="s">
        <v>3</v>
      </c>
      <c r="H2" s="35" t="s">
        <v>54</v>
      </c>
      <c r="I2" s="48" t="s">
        <v>55</v>
      </c>
      <c r="J2" s="35" t="s">
        <v>56</v>
      </c>
      <c r="K2" s="35" t="s">
        <v>17</v>
      </c>
      <c r="L2" s="35" t="s">
        <v>53</v>
      </c>
      <c r="M2" s="35" t="s">
        <v>57</v>
      </c>
      <c r="N2" s="35" t="s">
        <v>38</v>
      </c>
      <c r="O2" s="35" t="s">
        <v>18</v>
      </c>
      <c r="P2" s="35" t="s">
        <v>7</v>
      </c>
      <c r="Q2" s="35" t="s">
        <v>58</v>
      </c>
      <c r="R2" s="35" t="s">
        <v>19</v>
      </c>
      <c r="S2" s="35" t="s">
        <v>36</v>
      </c>
      <c r="T2" s="35" t="s">
        <v>37</v>
      </c>
      <c r="V2" s="58"/>
      <c r="W2" s="58"/>
      <c r="X2" s="58"/>
    </row>
    <row r="3" spans="1:26" s="40" customFormat="1" ht="19.5" customHeight="1" thickBot="1" x14ac:dyDescent="0.3">
      <c r="A3" s="36"/>
      <c r="B3" s="39">
        <v>4168</v>
      </c>
      <c r="C3" s="40" t="s">
        <v>30</v>
      </c>
      <c r="D3" s="39">
        <v>1</v>
      </c>
      <c r="E3" s="41">
        <v>48000</v>
      </c>
      <c r="F3" s="41">
        <f>+E3*19%</f>
        <v>9120</v>
      </c>
      <c r="G3" s="41">
        <f>+E3+F3</f>
        <v>57120</v>
      </c>
      <c r="H3" s="41">
        <f>+G3/D3</f>
        <v>57120</v>
      </c>
      <c r="I3" s="51">
        <v>0.5</v>
      </c>
      <c r="J3" s="54">
        <f>+Tabla1[[#This Row],[Precio Base]]/(1-Tabla1[[#This Row],[Margen de Ganancia]])</f>
        <v>114240</v>
      </c>
      <c r="K3" s="52">
        <f>+(Tabla1[[#This Row],[Precio de Venta]]-(Tabla1[[#This Row],[Precio de Venta]]*20%))</f>
        <v>91392</v>
      </c>
      <c r="L3" s="52"/>
      <c r="M3" s="53">
        <f>+Tabla1[[#This Row],[Precio de Venta]]-Tabla1[[#This Row],[Precio de venta ]]</f>
        <v>22739.999819253062</v>
      </c>
      <c r="N3" s="42">
        <v>0.37573770615118568</v>
      </c>
      <c r="O3" s="43">
        <f>+H3/(1-N3)</f>
        <v>91500.000180746938</v>
      </c>
      <c r="P3" s="42">
        <v>0.2</v>
      </c>
      <c r="Q3" s="44">
        <f>+(O3-(O3*19%))*P3</f>
        <v>14823.000029281004</v>
      </c>
      <c r="R3" s="45">
        <f>(+O3-H3-Q3)/O3</f>
        <v>0.21373770615118579</v>
      </c>
      <c r="S3" s="41">
        <v>83000</v>
      </c>
      <c r="T3" s="41">
        <f>+S3/D3</f>
        <v>83000</v>
      </c>
      <c r="V3" s="49">
        <f>1-(Tabla1[[#This Row],[Precio de Venta]]/Tabla1[[#This Row],[PVP sugerido  por la Casa Comercial por Unidad]])</f>
        <v>-0.37638554216867459</v>
      </c>
      <c r="W3" s="49">
        <f>1-(Tabla1[[#This Row],[Precio de venta ]]/Tabla1[[#This Row],[PVP sugerido  por la Casa Comercial por Unidad]])</f>
        <v>-0.10240964073189085</v>
      </c>
      <c r="X3" s="49"/>
      <c r="Z3" s="57"/>
    </row>
    <row r="4" spans="1:26" s="40" customFormat="1" ht="19.5" thickBot="1" x14ac:dyDescent="0.3">
      <c r="A4" s="36"/>
      <c r="B4" s="39">
        <v>9184</v>
      </c>
      <c r="C4" s="40" t="s">
        <v>32</v>
      </c>
      <c r="D4" s="39">
        <v>1</v>
      </c>
      <c r="E4" s="41">
        <v>76000</v>
      </c>
      <c r="F4" s="41">
        <f>+E4*19%</f>
        <v>14440</v>
      </c>
      <c r="G4" s="41">
        <f>+E4+F4</f>
        <v>90440</v>
      </c>
      <c r="H4" s="41">
        <f>+G4/D4</f>
        <v>90440</v>
      </c>
      <c r="I4" s="51">
        <v>0.5</v>
      </c>
      <c r="J4" s="54">
        <f>+Tabla1[[#This Row],[Precio Base]]/(1-Tabla1[[#This Row],[Margen de Ganancia]])</f>
        <v>180880</v>
      </c>
      <c r="K4" s="52">
        <f>+(Tabla1[[#This Row],[Precio de Venta]]-(Tabla1[[#This Row],[Precio de Venta]]*20%))</f>
        <v>144704</v>
      </c>
      <c r="L4" s="52"/>
      <c r="M4" s="53">
        <f>+Tabla1[[#This Row],[Precio de Venta]]-Tabla1[[#This Row],[Precio de venta ]]</f>
        <v>31980.000000054191</v>
      </c>
      <c r="N4" s="42">
        <v>0.3926124916048831</v>
      </c>
      <c r="O4" s="43">
        <f>+H4/(1-N4)</f>
        <v>148899.99999994581</v>
      </c>
      <c r="P4" s="42">
        <v>0.2</v>
      </c>
      <c r="Q4" s="44">
        <f>+(O4-(O4*19%))*P4</f>
        <v>24121.799999991224</v>
      </c>
      <c r="R4" s="45">
        <f>(+O4-H4-Q4)/O4</f>
        <v>0.23061249160488298</v>
      </c>
      <c r="S4" s="41">
        <v>135000</v>
      </c>
      <c r="T4" s="41">
        <f>+S4/D4</f>
        <v>135000</v>
      </c>
      <c r="V4" s="49">
        <f>1-(Tabla1[[#This Row],[Precio de Venta]]/Tabla1[[#This Row],[PVP sugerido  por la Casa Comercial por Unidad]])</f>
        <v>-0.33985185185185185</v>
      </c>
      <c r="W4" s="49">
        <f>1-(Tabla1[[#This Row],[Precio de venta ]]/Tabla1[[#This Row],[PVP sugerido  por la Casa Comercial por Unidad]])</f>
        <v>-0.10296296296256147</v>
      </c>
      <c r="X4" s="49"/>
    </row>
    <row r="5" spans="1:26" s="40" customFormat="1" ht="19.5" thickBot="1" x14ac:dyDescent="0.3">
      <c r="A5" s="36"/>
      <c r="B5" s="39">
        <v>9187</v>
      </c>
      <c r="C5" s="40" t="s">
        <v>34</v>
      </c>
      <c r="D5" s="39">
        <v>1</v>
      </c>
      <c r="E5" s="41">
        <v>76000</v>
      </c>
      <c r="F5" s="41">
        <f>+E5*19%</f>
        <v>14440</v>
      </c>
      <c r="G5" s="41">
        <f>+E5+F5</f>
        <v>90440</v>
      </c>
      <c r="H5" s="41">
        <f>+G5/D5</f>
        <v>90440</v>
      </c>
      <c r="I5" s="51">
        <v>0.5</v>
      </c>
      <c r="J5" s="54">
        <f>+Tabla1[[#This Row],[Precio Base]]/(1-Tabla1[[#This Row],[Margen de Ganancia]])</f>
        <v>180880</v>
      </c>
      <c r="K5" s="52">
        <f>+(Tabla1[[#This Row],[Precio de Venta]]-(Tabla1[[#This Row],[Precio de Venta]]*20%))</f>
        <v>144704</v>
      </c>
      <c r="L5" s="52"/>
      <c r="M5" s="53">
        <f>+Tabla1[[#This Row],[Precio de Venta]]-Tabla1[[#This Row],[Precio de venta ]]</f>
        <v>31980.000000054191</v>
      </c>
      <c r="N5" s="42">
        <v>0.3926124916048831</v>
      </c>
      <c r="O5" s="43">
        <f>+H5/(1-N5)</f>
        <v>148899.99999994581</v>
      </c>
      <c r="P5" s="42">
        <v>0.2</v>
      </c>
      <c r="Q5" s="44">
        <f>+(O5-(O5*19%))*P5</f>
        <v>24121.799999991224</v>
      </c>
      <c r="R5" s="45">
        <f>(+O5-H5-Q5)/O5</f>
        <v>0.23061249160488298</v>
      </c>
      <c r="S5" s="41">
        <v>135000</v>
      </c>
      <c r="T5" s="41">
        <f>+S5/D5</f>
        <v>135000</v>
      </c>
      <c r="V5" s="49">
        <f>1-(Tabla1[[#This Row],[Precio de Venta]]/Tabla1[[#This Row],[PVP sugerido  por la Casa Comercial por Unidad]])</f>
        <v>-0.33985185185185185</v>
      </c>
      <c r="W5" s="49">
        <f>1-(Tabla1[[#This Row],[Precio de venta ]]/Tabla1[[#This Row],[PVP sugerido  por la Casa Comercial por Unidad]])</f>
        <v>-0.10296296296256147</v>
      </c>
      <c r="X5" s="49"/>
    </row>
    <row r="6" spans="1:26" s="40" customFormat="1" ht="19.5" thickBot="1" x14ac:dyDescent="0.3">
      <c r="A6" s="36"/>
      <c r="B6" s="39">
        <v>4656</v>
      </c>
      <c r="C6" s="40" t="s">
        <v>33</v>
      </c>
      <c r="D6" s="39">
        <v>1</v>
      </c>
      <c r="E6" s="41">
        <v>83895</v>
      </c>
      <c r="F6" s="41">
        <f>+E6*19%</f>
        <v>15940.050000000001</v>
      </c>
      <c r="G6" s="41">
        <f>+E6+F6</f>
        <v>99835.05</v>
      </c>
      <c r="H6" s="41">
        <f>+G6/D6</f>
        <v>99835.05</v>
      </c>
      <c r="I6" s="51">
        <v>0.5</v>
      </c>
      <c r="J6" s="54">
        <f>+Tabla1[[#This Row],[Precio Base]]/(1-Tabla1[[#This Row],[Margen de Ganancia]])</f>
        <v>199670.1</v>
      </c>
      <c r="K6" s="52">
        <f>+(Tabla1[[#This Row],[Precio de Venta]]-(Tabla1[[#This Row],[Precio de Venta]]*20%))</f>
        <v>159736.08000000002</v>
      </c>
      <c r="L6" s="52"/>
      <c r="M6" s="53">
        <f>+Tabla1[[#This Row],[Precio de Venta]]-Tabla1[[#This Row],[Precio de venta ]]</f>
        <v>34770.099722112122</v>
      </c>
      <c r="N6" s="42">
        <v>0.39457216596871475</v>
      </c>
      <c r="O6" s="43">
        <f>+H6/(1-N6)</f>
        <v>164900.00027788788</v>
      </c>
      <c r="P6" s="42">
        <v>0.2</v>
      </c>
      <c r="Q6" s="44">
        <f>+(O6-(O6*19%))*P6</f>
        <v>26713.800045017841</v>
      </c>
      <c r="R6" s="45">
        <f>(+O6-H6-Q6)/O6</f>
        <v>0.23257216596871472</v>
      </c>
      <c r="S6" s="41">
        <v>135000</v>
      </c>
      <c r="T6" s="41">
        <f>+S6/D6</f>
        <v>135000</v>
      </c>
      <c r="V6" s="49">
        <f>1-(Tabla1[[#This Row],[Precio de Venta]]/Tabla1[[#This Row],[PVP sugerido  por la Casa Comercial por Unidad]])</f>
        <v>-0.4790377777777779</v>
      </c>
      <c r="W6" s="49">
        <f>1-(Tabla1[[#This Row],[Precio de venta ]]/Tabla1[[#This Row],[PVP sugerido  por la Casa Comercial por Unidad]])</f>
        <v>-0.22148148353991015</v>
      </c>
      <c r="X6" s="49"/>
    </row>
    <row r="7" spans="1:26" s="40" customFormat="1" ht="19.5" thickBot="1" x14ac:dyDescent="0.3">
      <c r="A7" s="36"/>
      <c r="B7" s="39" t="s">
        <v>51</v>
      </c>
      <c r="C7" s="40" t="s">
        <v>52</v>
      </c>
      <c r="D7" s="39">
        <v>1</v>
      </c>
      <c r="E7" s="41">
        <v>58700</v>
      </c>
      <c r="F7" s="41">
        <f>+E7*19%</f>
        <v>11153</v>
      </c>
      <c r="G7" s="41">
        <f>+E7+F7</f>
        <v>69853</v>
      </c>
      <c r="H7" s="41">
        <f>+G7/D7</f>
        <v>69853</v>
      </c>
      <c r="I7" s="51">
        <v>0.5</v>
      </c>
      <c r="J7" s="54">
        <f>+Tabla1[[#This Row],[Precio Base]]/(1-Tabla1[[#This Row],[Margen de Ganancia]])</f>
        <v>139706</v>
      </c>
      <c r="K7" s="52">
        <f>+(Tabla1[[#This Row],[Precio de Venta]]-(Tabla1[[#This Row],[Precio de Venta]]*20%))</f>
        <v>111764.8</v>
      </c>
      <c r="L7" s="52"/>
      <c r="M7" s="53">
        <f>+Tabla1[[#This Row],[Precio de Venta]]-Tabla1[[#This Row],[Precio de venta ]]</f>
        <v>19705.99999868311</v>
      </c>
      <c r="N7" s="42">
        <v>0.41789166667305472</v>
      </c>
      <c r="O7" s="43">
        <f>+H7/(1-N7)</f>
        <v>120000.00000131689</v>
      </c>
      <c r="P7" s="42">
        <v>0.2</v>
      </c>
      <c r="Q7" s="44">
        <f>+(O7-(O7*19%))*P7</f>
        <v>19440.000000213338</v>
      </c>
      <c r="R7" s="45">
        <f>(+O7-H7-Q7)/O7</f>
        <v>0.25589166667305474</v>
      </c>
      <c r="S7" s="41">
        <v>71000</v>
      </c>
      <c r="T7" s="41">
        <f>+S7/D7</f>
        <v>71000</v>
      </c>
      <c r="V7" s="49">
        <f>1-(Tabla1[[#This Row],[Precio de Venta]]/Tabla1[[#This Row],[PVP sugerido  por la Casa Comercial por Unidad]])</f>
        <v>-0.96769014084507043</v>
      </c>
      <c r="W7" s="49">
        <f>1-(Tabla1[[#This Row],[Precio de venta ]]/Tabla1[[#This Row],[PVP sugerido  por la Casa Comercial por Unidad]])</f>
        <v>-0.69014084508897033</v>
      </c>
      <c r="X7" s="49"/>
    </row>
    <row r="8" spans="1:26" s="40" customFormat="1" ht="19.5" thickBot="1" x14ac:dyDescent="0.3">
      <c r="A8" s="36"/>
      <c r="B8" s="39" t="s">
        <v>39</v>
      </c>
      <c r="C8" s="40" t="s">
        <v>40</v>
      </c>
      <c r="D8" s="39">
        <v>1</v>
      </c>
      <c r="E8" s="41">
        <v>75000</v>
      </c>
      <c r="F8" s="41">
        <f>+E8*19%</f>
        <v>14250</v>
      </c>
      <c r="G8" s="41">
        <f>+E8+F8</f>
        <v>89250</v>
      </c>
      <c r="H8" s="41">
        <f>+G8/D8</f>
        <v>89250</v>
      </c>
      <c r="I8" s="51">
        <v>0.5</v>
      </c>
      <c r="J8" s="54">
        <f>+Tabla1[[#This Row],[Precio Base]]/(1-Tabla1[[#This Row],[Margen de Ganancia]])</f>
        <v>178500</v>
      </c>
      <c r="K8" s="52">
        <f>+(Tabla1[[#This Row],[Precio de Venta]]-(Tabla1[[#This Row],[Precio de Venta]]*20%))</f>
        <v>142800</v>
      </c>
      <c r="L8" s="52"/>
      <c r="M8" s="53">
        <f>+Tabla1[[#This Row],[Precio de Venta]]-Tabla1[[#This Row],[Precio de venta ]]</f>
        <v>19499.999986947514</v>
      </c>
      <c r="N8" s="42">
        <v>0.4386792453290983</v>
      </c>
      <c r="O8" s="43">
        <f>+H8/(1-N8)</f>
        <v>159000.00001305249</v>
      </c>
      <c r="P8" s="42">
        <v>0.2</v>
      </c>
      <c r="Q8" s="44">
        <f>+(O8-(O8*19%))*P8</f>
        <v>25758.000002114506</v>
      </c>
      <c r="R8" s="45">
        <f>(+O8-H8-Q8)/O8</f>
        <v>0.27667924532909827</v>
      </c>
      <c r="S8" s="41">
        <v>149000</v>
      </c>
      <c r="T8" s="41">
        <f>+S8/D8</f>
        <v>149000</v>
      </c>
      <c r="V8" s="49">
        <f>1-(Tabla1[[#This Row],[Precio de Venta]]/Tabla1[[#This Row],[PVP sugerido  por la Casa Comercial por Unidad]])</f>
        <v>-0.19798657718120816</v>
      </c>
      <c r="W8" s="49">
        <f>1-(Tabla1[[#This Row],[Precio de venta ]]/Tabla1[[#This Row],[PVP sugerido  por la Casa Comercial por Unidad]])</f>
        <v>-6.711409404733204E-2</v>
      </c>
      <c r="X8" s="49"/>
    </row>
    <row r="9" spans="1:26" s="40" customFormat="1" ht="19.5" thickBot="1" x14ac:dyDescent="0.3">
      <c r="A9" s="36"/>
      <c r="B9" s="39">
        <v>4161</v>
      </c>
      <c r="C9" s="40" t="s">
        <v>31</v>
      </c>
      <c r="D9" s="39">
        <v>1</v>
      </c>
      <c r="E9" s="41">
        <v>40000</v>
      </c>
      <c r="F9" s="41">
        <f>+E9*19%</f>
        <v>7600</v>
      </c>
      <c r="G9" s="41">
        <f>+E9+F9</f>
        <v>47600</v>
      </c>
      <c r="H9" s="41">
        <f>+G9/D9</f>
        <v>47600</v>
      </c>
      <c r="I9" s="51">
        <v>0.5</v>
      </c>
      <c r="J9" s="54">
        <f>+Tabla1[[#This Row],[Precio Base]]/(1-Tabla1[[#This Row],[Margen de Ganancia]])</f>
        <v>95200</v>
      </c>
      <c r="K9" s="52">
        <f>+(Tabla1[[#This Row],[Precio de Venta]]-(Tabla1[[#This Row],[Precio de Venta]]*20%))</f>
        <v>76160</v>
      </c>
      <c r="L9" s="52"/>
      <c r="M9" s="53">
        <f>+Tabla1[[#This Row],[Precio de Venta]]-Tabla1[[#This Row],[Precio de venta ]]</f>
        <v>9299.9999958215631</v>
      </c>
      <c r="N9" s="42">
        <v>0.44586728757061012</v>
      </c>
      <c r="O9" s="43">
        <f>+H9/(1-N9)</f>
        <v>85900.000004178437</v>
      </c>
      <c r="P9" s="42">
        <v>0.2</v>
      </c>
      <c r="Q9" s="44">
        <f>+(O9-(O9*19%))*P9</f>
        <v>13915.800000676907</v>
      </c>
      <c r="R9" s="45">
        <f>(+O9-H9-Q9)/O9</f>
        <v>0.28386728757061008</v>
      </c>
      <c r="S9" s="41">
        <v>71000</v>
      </c>
      <c r="T9" s="41">
        <f>+S9/D9</f>
        <v>71000</v>
      </c>
      <c r="V9" s="49">
        <f>1-(Tabla1[[#This Row],[Precio de Venta]]/Tabla1[[#This Row],[PVP sugerido  por la Casa Comercial por Unidad]])</f>
        <v>-0.3408450704225352</v>
      </c>
      <c r="W9" s="49">
        <f>1-(Tabla1[[#This Row],[Precio de venta ]]/Tabla1[[#This Row],[PVP sugerido  por la Casa Comercial por Unidad]])</f>
        <v>-0.20985915498842878</v>
      </c>
      <c r="X9" s="49"/>
    </row>
    <row r="10" spans="1:26" s="40" customFormat="1" ht="19.5" thickBot="1" x14ac:dyDescent="0.3">
      <c r="A10" s="36"/>
      <c r="B10" s="39" t="s">
        <v>41</v>
      </c>
      <c r="C10" s="40" t="s">
        <v>42</v>
      </c>
      <c r="D10" s="39">
        <v>1</v>
      </c>
      <c r="E10" s="41">
        <v>56200</v>
      </c>
      <c r="F10" s="41">
        <f>+E10*19%</f>
        <v>10678</v>
      </c>
      <c r="G10" s="41">
        <f>+E10+F10</f>
        <v>66878</v>
      </c>
      <c r="H10" s="41">
        <f>+G10/D10</f>
        <v>66878</v>
      </c>
      <c r="I10" s="51">
        <v>0.5</v>
      </c>
      <c r="J10" s="54">
        <f>+Tabla1[[#This Row],[Precio Base]]/(1-Tabla1[[#This Row],[Margen de Ganancia]])</f>
        <v>133756</v>
      </c>
      <c r="K10" s="52">
        <f>+(Tabla1[[#This Row],[Precio de Venta]]-(Tabla1[[#This Row],[Precio de Venta]]*20%))</f>
        <v>107004.8</v>
      </c>
      <c r="L10" s="52"/>
      <c r="M10" s="53">
        <f>+Tabla1[[#This Row],[Precio de Venta]]-Tabla1[[#This Row],[Precio de venta ]]</f>
        <v>11756.000285447823</v>
      </c>
      <c r="N10" s="42">
        <v>0.45181967084855013</v>
      </c>
      <c r="O10" s="43">
        <f>+H10/(1-N10)</f>
        <v>121999.99971455218</v>
      </c>
      <c r="P10" s="42">
        <v>0.2</v>
      </c>
      <c r="Q10" s="44">
        <f>+(O10-(O10*19%))*P10</f>
        <v>19763.999953757455</v>
      </c>
      <c r="R10" s="45">
        <f>(+O10-H10-Q10)/O10</f>
        <v>0.28981967084855015</v>
      </c>
      <c r="S10" s="41">
        <v>111000</v>
      </c>
      <c r="T10" s="41">
        <f>+S10/D10</f>
        <v>111000</v>
      </c>
      <c r="V10" s="49">
        <f>1-(Tabla1[[#This Row],[Precio de Venta]]/Tabla1[[#This Row],[PVP sugerido  por la Casa Comercial por Unidad]])</f>
        <v>-0.20500900900900909</v>
      </c>
      <c r="W10" s="49">
        <f>1-(Tabla1[[#This Row],[Precio de venta ]]/Tabla1[[#This Row],[PVP sugerido  por la Casa Comercial por Unidad]])</f>
        <v>-9.9099096527497155E-2</v>
      </c>
      <c r="X10" s="49"/>
    </row>
    <row r="11" spans="1:26" s="40" customFormat="1" ht="19.5" thickBot="1" x14ac:dyDescent="0.3">
      <c r="A11" s="36"/>
      <c r="B11" s="39" t="s">
        <v>43</v>
      </c>
      <c r="C11" s="40" t="s">
        <v>44</v>
      </c>
      <c r="D11" s="39">
        <v>1</v>
      </c>
      <c r="E11" s="41">
        <v>58100</v>
      </c>
      <c r="F11" s="41">
        <f>+E11*19%</f>
        <v>11039</v>
      </c>
      <c r="G11" s="41">
        <f>+E11+F11</f>
        <v>69139</v>
      </c>
      <c r="H11" s="41">
        <f>+G11/D11</f>
        <v>69139</v>
      </c>
      <c r="I11" s="51">
        <v>0.5</v>
      </c>
      <c r="J11" s="54">
        <f>+Tabla1[[#This Row],[Precio Base]]/(1-Tabla1[[#This Row],[Margen de Ganancia]])</f>
        <v>138278</v>
      </c>
      <c r="K11" s="52">
        <f>+(Tabla1[[#This Row],[Precio de Venta]]-(Tabla1[[#This Row],[Precio de Venta]]*20%))</f>
        <v>110622.39999999999</v>
      </c>
      <c r="L11" s="52"/>
      <c r="M11" s="53">
        <f>+Tabla1[[#This Row],[Precio de Venta]]-Tabla1[[#This Row],[Precio de venta ]]</f>
        <v>11777.999999834065</v>
      </c>
      <c r="N11" s="42">
        <v>0.4534466403169225</v>
      </c>
      <c r="O11" s="43">
        <f>+H11/(1-N11)</f>
        <v>126500.00000016594</v>
      </c>
      <c r="P11" s="42">
        <v>0.2</v>
      </c>
      <c r="Q11" s="44">
        <f>+(O11-(O11*19%))*P11</f>
        <v>20493.000000026881</v>
      </c>
      <c r="R11" s="45">
        <f>(+O11-H11-Q11)/O11</f>
        <v>0.29144664031692252</v>
      </c>
      <c r="S11" s="41">
        <v>115000</v>
      </c>
      <c r="T11" s="41">
        <f>+S11/D11</f>
        <v>115000</v>
      </c>
      <c r="V11" s="49">
        <f>1-(Tabla1[[#This Row],[Precio de Venta]]/Tabla1[[#This Row],[PVP sugerido  por la Casa Comercial por Unidad]])</f>
        <v>-0.20241739130434788</v>
      </c>
      <c r="W11" s="49">
        <f>1-(Tabla1[[#This Row],[Precio de venta ]]/Tabla1[[#This Row],[PVP sugerido  por la Casa Comercial por Unidad]])</f>
        <v>-0.10000000000144293</v>
      </c>
      <c r="X11" s="49"/>
    </row>
    <row r="12" spans="1:26" s="40" customFormat="1" ht="19.5" thickBot="1" x14ac:dyDescent="0.3">
      <c r="A12" s="36"/>
      <c r="B12" s="39" t="s">
        <v>45</v>
      </c>
      <c r="C12" s="40" t="s">
        <v>46</v>
      </c>
      <c r="D12" s="39">
        <v>1</v>
      </c>
      <c r="E12" s="41">
        <v>65400</v>
      </c>
      <c r="F12" s="41">
        <f>+E12*19%</f>
        <v>12426</v>
      </c>
      <c r="G12" s="41">
        <f>+E12+F12</f>
        <v>77826</v>
      </c>
      <c r="H12" s="41">
        <f>+G12/D12</f>
        <v>77826</v>
      </c>
      <c r="I12" s="51">
        <v>0.5</v>
      </c>
      <c r="J12" s="54">
        <f>+Tabla1[[#This Row],[Precio Base]]/(1-Tabla1[[#This Row],[Margen de Ganancia]])</f>
        <v>155652</v>
      </c>
      <c r="K12" s="52">
        <f>+(Tabla1[[#This Row],[Precio de Venta]]-(Tabla1[[#This Row],[Precio de Venta]]*20%))</f>
        <v>124521.60000000001</v>
      </c>
      <c r="L12" s="52"/>
      <c r="M12" s="53">
        <f>+Tabla1[[#This Row],[Precio de Venta]]-Tabla1[[#This Row],[Precio de venta ]]</f>
        <v>12651.999999824591</v>
      </c>
      <c r="N12" s="42">
        <v>0.45576223776290536</v>
      </c>
      <c r="O12" s="43">
        <f>+H12/(1-N12)</f>
        <v>143000.00000017541</v>
      </c>
      <c r="P12" s="42">
        <v>0.2</v>
      </c>
      <c r="Q12" s="44">
        <f>+(O12-(O12*19%))*P12</f>
        <v>23166.00000002842</v>
      </c>
      <c r="R12" s="45">
        <f>(+O12-H12-Q12)/O12</f>
        <v>0.29376223776290533</v>
      </c>
      <c r="S12" s="41">
        <v>130000</v>
      </c>
      <c r="T12" s="41">
        <f>+S12/D12</f>
        <v>130000</v>
      </c>
      <c r="V12" s="49">
        <f>1-(Tabla1[[#This Row],[Precio de Venta]]/Tabla1[[#This Row],[PVP sugerido  por la Casa Comercial por Unidad]])</f>
        <v>-0.19732307692307693</v>
      </c>
      <c r="W12" s="49">
        <f>1-(Tabla1[[#This Row],[Precio de venta ]]/Tabla1[[#This Row],[PVP sugerido  por la Casa Comercial por Unidad]])</f>
        <v>-0.10000000000134923</v>
      </c>
      <c r="X12" s="49"/>
    </row>
    <row r="13" spans="1:26" s="40" customFormat="1" ht="19.5" thickBot="1" x14ac:dyDescent="0.3">
      <c r="A13" s="36"/>
      <c r="B13" s="39">
        <v>32072</v>
      </c>
      <c r="C13" s="40" t="s">
        <v>24</v>
      </c>
      <c r="D13" s="39">
        <v>1</v>
      </c>
      <c r="E13" s="41">
        <v>15900</v>
      </c>
      <c r="F13" s="41">
        <f>+E13*19%</f>
        <v>3021</v>
      </c>
      <c r="G13" s="41">
        <f>+E13+F13</f>
        <v>18921</v>
      </c>
      <c r="H13" s="41">
        <f>+G13/D13</f>
        <v>18921</v>
      </c>
      <c r="I13" s="51">
        <v>0.5</v>
      </c>
      <c r="J13" s="54">
        <f>+Tabla1[[#This Row],[Precio Base]]/(1-Tabla1[[#This Row],[Margen de Ganancia]])</f>
        <v>37842</v>
      </c>
      <c r="K13" s="52">
        <f>+(Tabla1[[#This Row],[Precio de Venta]]-(Tabla1[[#This Row],[Precio de Venta]]*20%))</f>
        <v>30273.599999999999</v>
      </c>
      <c r="L13" s="52"/>
      <c r="M13" s="53">
        <f>+Tabla1[[#This Row],[Precio de Venta]]-Tabla1[[#This Row],[Precio de venta ]]</f>
        <v>1941.9998453006119</v>
      </c>
      <c r="N13" s="42">
        <v>0.47295264851069363</v>
      </c>
      <c r="O13" s="43">
        <f>+H13/(1-N13)</f>
        <v>35900.000154699388</v>
      </c>
      <c r="P13" s="42">
        <v>0.2</v>
      </c>
      <c r="Q13" s="44">
        <f>+(O13-(O13*19%))*P13</f>
        <v>5815.8000250613013</v>
      </c>
      <c r="R13" s="45">
        <f>(+O13-H13-Q13)/O13</f>
        <v>0.31095264851069371</v>
      </c>
      <c r="S13" s="41">
        <v>29000</v>
      </c>
      <c r="T13" s="41">
        <f>+S13/D13</f>
        <v>29000</v>
      </c>
      <c r="V13" s="49">
        <f>1-(Tabla1[[#This Row],[Precio de Venta]]/Tabla1[[#This Row],[PVP sugerido  por la Casa Comercial por Unidad]])</f>
        <v>-0.30489655172413799</v>
      </c>
      <c r="W13" s="49">
        <f>1-(Tabla1[[#This Row],[Precio de venta ]]/Tabla1[[#This Row],[PVP sugerido  por la Casa Comercial por Unidad]])</f>
        <v>-0.2379310398172203</v>
      </c>
      <c r="X13" s="49"/>
    </row>
    <row r="14" spans="1:26" s="40" customFormat="1" ht="19.5" thickBot="1" x14ac:dyDescent="0.3">
      <c r="A14" s="36"/>
      <c r="B14" s="39" t="s">
        <v>47</v>
      </c>
      <c r="C14" s="40" t="s">
        <v>48</v>
      </c>
      <c r="D14" s="39">
        <v>1</v>
      </c>
      <c r="E14" s="41">
        <v>63800</v>
      </c>
      <c r="F14" s="41">
        <f>+E14*19%</f>
        <v>12122</v>
      </c>
      <c r="G14" s="41">
        <f>+E14+F14</f>
        <v>75922</v>
      </c>
      <c r="H14" s="41">
        <f>+G14/D14</f>
        <v>75922</v>
      </c>
      <c r="I14" s="51">
        <v>0.5</v>
      </c>
      <c r="J14" s="54">
        <f>+Tabla1[[#This Row],[Precio Base]]/(1-Tabla1[[#This Row],[Margen de Ganancia]])</f>
        <v>151844</v>
      </c>
      <c r="K14" s="52">
        <f>+(Tabla1[[#This Row],[Precio de Venta]]-(Tabla1[[#This Row],[Precio de Venta]]*20%))</f>
        <v>121475.2</v>
      </c>
      <c r="L14" s="52"/>
      <c r="M14" s="53">
        <f>+Tabla1[[#This Row],[Precio de Venta]]-Tabla1[[#This Row],[Precio de venta ]]</f>
        <v>4343.9999999705178</v>
      </c>
      <c r="N14" s="42">
        <v>0.48527457627128934</v>
      </c>
      <c r="O14" s="43">
        <f>+H14/(1-N14)</f>
        <v>147500.00000002948</v>
      </c>
      <c r="P14" s="42">
        <v>0.2</v>
      </c>
      <c r="Q14" s="44">
        <f>+(O14-(O14*19%))*P14</f>
        <v>23895.000000004777</v>
      </c>
      <c r="R14" s="45">
        <f>(+O14-H14-Q14)/O14</f>
        <v>0.32327457627128936</v>
      </c>
      <c r="S14" s="41">
        <v>134000</v>
      </c>
      <c r="T14" s="41">
        <f>+S14/D14</f>
        <v>134000</v>
      </c>
      <c r="V14" s="49">
        <f>1-(Tabla1[[#This Row],[Precio de Venta]]/Tabla1[[#This Row],[PVP sugerido  por la Casa Comercial por Unidad]])</f>
        <v>-0.13316417910447753</v>
      </c>
      <c r="W14" s="49">
        <f>1-(Tabla1[[#This Row],[Precio de venta ]]/Tabla1[[#This Row],[PVP sugerido  por la Casa Comercial por Unidad]])</f>
        <v>-0.10074626865693648</v>
      </c>
      <c r="X14" s="49"/>
    </row>
    <row r="15" spans="1:26" s="40" customFormat="1" ht="19.5" thickBot="1" x14ac:dyDescent="0.3">
      <c r="A15" s="36"/>
      <c r="B15" s="39" t="s">
        <v>49</v>
      </c>
      <c r="C15" s="40" t="s">
        <v>50</v>
      </c>
      <c r="D15" s="39">
        <v>1</v>
      </c>
      <c r="E15" s="41">
        <v>42800</v>
      </c>
      <c r="F15" s="41">
        <f>+E15*19%</f>
        <v>8132</v>
      </c>
      <c r="G15" s="41">
        <f>+E15+F15</f>
        <v>50932</v>
      </c>
      <c r="H15" s="41">
        <f>+G15/D15</f>
        <v>50932</v>
      </c>
      <c r="I15" s="51">
        <v>0.5</v>
      </c>
      <c r="J15" s="54">
        <f>+Tabla1[[#This Row],[Precio Base]]/(1-Tabla1[[#This Row],[Margen de Ganancia]])</f>
        <v>101864</v>
      </c>
      <c r="K15" s="52">
        <f>+(Tabla1[[#This Row],[Precio de Venta]]-(Tabla1[[#This Row],[Precio de Venta]]*20%))</f>
        <v>81491.199999999997</v>
      </c>
      <c r="L15" s="52"/>
      <c r="M15" s="53">
        <f>+Tabla1[[#This Row],[Precio de Venta]]-Tabla1[[#This Row],[Precio de venta ]]</f>
        <v>2863.999999981912</v>
      </c>
      <c r="N15" s="42">
        <v>0.48553535353544752</v>
      </c>
      <c r="O15" s="43">
        <f>+H15/(1-N15)</f>
        <v>99000.000000018088</v>
      </c>
      <c r="P15" s="42">
        <v>0.2</v>
      </c>
      <c r="Q15" s="44">
        <f>+(O15-(O15*19%))*P15</f>
        <v>16038.000000002932</v>
      </c>
      <c r="R15" s="45">
        <f>(+O15-H15-Q15)/O15</f>
        <v>0.32353535353544749</v>
      </c>
      <c r="S15" s="41">
        <v>90000</v>
      </c>
      <c r="T15" s="41">
        <f>+S15/D15</f>
        <v>90000</v>
      </c>
      <c r="V15" s="49">
        <f>1-(Tabla1[[#This Row],[Precio de Venta]]/Tabla1[[#This Row],[PVP sugerido  por la Casa Comercial por Unidad]])</f>
        <v>-0.13182222222222229</v>
      </c>
      <c r="W15" s="49">
        <f>1-(Tabla1[[#This Row],[Precio de venta ]]/Tabla1[[#This Row],[PVP sugerido  por la Casa Comercial por Unidad]])</f>
        <v>-0.10000000000020104</v>
      </c>
      <c r="X15" s="49"/>
    </row>
    <row r="16" spans="1:26" s="40" customFormat="1" ht="19.5" thickBot="1" x14ac:dyDescent="0.3">
      <c r="A16" s="36"/>
      <c r="B16" s="39">
        <v>35038</v>
      </c>
      <c r="C16" s="40" t="s">
        <v>29</v>
      </c>
      <c r="D16" s="39">
        <v>1</v>
      </c>
      <c r="E16" s="41">
        <v>14600</v>
      </c>
      <c r="F16" s="41">
        <f>+E16*19%</f>
        <v>2774</v>
      </c>
      <c r="G16" s="41">
        <f>+E16+F16</f>
        <v>17374</v>
      </c>
      <c r="H16" s="41">
        <f>+G16/D16</f>
        <v>17374</v>
      </c>
      <c r="I16" s="51">
        <v>0.5</v>
      </c>
      <c r="J16" s="54">
        <f>+Tabla1[[#This Row],[Precio Base]]/(1-Tabla1[[#This Row],[Margen de Ganancia]])</f>
        <v>34748</v>
      </c>
      <c r="K16" s="52">
        <f>+(Tabla1[[#This Row],[Precio de Venta]]-(Tabla1[[#This Row],[Precio de Venta]]*20%))</f>
        <v>27798.400000000001</v>
      </c>
      <c r="L16" s="52"/>
      <c r="M16" s="53">
        <f>+Tabla1[[#This Row],[Precio de Venta]]-Tabla1[[#This Row],[Precio de venta ]]</f>
        <v>-1152.000500894399</v>
      </c>
      <c r="N16" s="42">
        <v>0.51604457499750866</v>
      </c>
      <c r="O16" s="43">
        <f>+H16/(1-N16)</f>
        <v>35900.000500894399</v>
      </c>
      <c r="P16" s="42">
        <v>0.2</v>
      </c>
      <c r="Q16" s="44">
        <f>+(O16-(O16*19%))*P16</f>
        <v>5815.8000811448928</v>
      </c>
      <c r="R16" s="45">
        <f>(+O16-H16-Q16)/O16</f>
        <v>0.35404457499750869</v>
      </c>
      <c r="S16" s="41">
        <v>26000</v>
      </c>
      <c r="T16" s="41">
        <f>+S16/D16</f>
        <v>26000</v>
      </c>
      <c r="V16" s="49">
        <f>1-(Tabla1[[#This Row],[Precio de Venta]]/Tabla1[[#This Row],[PVP sugerido  por la Casa Comercial por Unidad]])</f>
        <v>-0.33646153846153837</v>
      </c>
      <c r="W16" s="49">
        <f>1-(Tabla1[[#This Row],[Precio de venta ]]/Tabla1[[#This Row],[PVP sugerido  por la Casa Comercial por Unidad]])</f>
        <v>-0.38076925003439999</v>
      </c>
      <c r="X16" s="49"/>
    </row>
    <row r="17" spans="1:24" s="40" customFormat="1" ht="19.5" thickBot="1" x14ac:dyDescent="0.3">
      <c r="A17" s="36"/>
      <c r="B17" s="39">
        <v>2156</v>
      </c>
      <c r="C17" s="40" t="s">
        <v>21</v>
      </c>
      <c r="D17" s="39">
        <v>12</v>
      </c>
      <c r="E17" s="41">
        <v>115000</v>
      </c>
      <c r="F17" s="41">
        <f>+E17*19%</f>
        <v>21850</v>
      </c>
      <c r="G17" s="41">
        <f>+E17+F17</f>
        <v>136850</v>
      </c>
      <c r="H17" s="41">
        <f>+G17/D17</f>
        <v>11404.166666666666</v>
      </c>
      <c r="I17" s="51">
        <v>0.5</v>
      </c>
      <c r="J17" s="54">
        <f>+Tabla1[[#This Row],[Precio Base]]/(1-Tabla1[[#This Row],[Margen de Ganancia]])</f>
        <v>22808.333333333332</v>
      </c>
      <c r="K17" s="52">
        <f>+(Tabla1[[#This Row],[Precio de Venta]]-(Tabla1[[#This Row],[Precio de Venta]]*20%))</f>
        <v>18246.666666666664</v>
      </c>
      <c r="L17" s="52"/>
      <c r="M17" s="53">
        <f>+Tabla1[[#This Row],[Precio de Venta]]-Tabla1[[#This Row],[Precio de venta ]]</f>
        <v>-2091.6658860489661</v>
      </c>
      <c r="N17" s="42">
        <v>0.54200132432977755</v>
      </c>
      <c r="O17" s="43">
        <f>+H17/(1-N17)</f>
        <v>24899.999219382298</v>
      </c>
      <c r="P17" s="42">
        <v>0.2</v>
      </c>
      <c r="Q17" s="44">
        <f>+(O17-(O17*19%))*P17</f>
        <v>4033.7998735399324</v>
      </c>
      <c r="R17" s="45">
        <f>(+O17-H17-Q17)/O17</f>
        <v>0.38000132432977751</v>
      </c>
      <c r="S17" s="41">
        <v>205000</v>
      </c>
      <c r="T17" s="41">
        <f>+S17/D17</f>
        <v>17083.333333333332</v>
      </c>
      <c r="V17" s="49">
        <f>1-(Tabla1[[#This Row],[Precio de Venta]]/Tabla1[[#This Row],[PVP sugerido  por la Casa Comercial por Unidad]])</f>
        <v>-0.33512195121951227</v>
      </c>
      <c r="W17" s="49">
        <f>1-(Tabla1[[#This Row],[Precio de venta ]]/Tabla1[[#This Row],[PVP sugerido  por la Casa Comercial por Unidad]])</f>
        <v>-0.45756092991506137</v>
      </c>
      <c r="X17" s="49"/>
    </row>
    <row r="18" spans="1:24" s="40" customFormat="1" ht="19.5" thickBot="1" x14ac:dyDescent="0.3">
      <c r="A18" s="36"/>
      <c r="B18" s="39">
        <v>2155</v>
      </c>
      <c r="C18" s="40" t="s">
        <v>25</v>
      </c>
      <c r="D18" s="39">
        <v>12</v>
      </c>
      <c r="E18" s="41">
        <v>108500</v>
      </c>
      <c r="F18" s="41">
        <f>+E18*19%</f>
        <v>20615</v>
      </c>
      <c r="G18" s="41">
        <f>+E18+F18</f>
        <v>129115</v>
      </c>
      <c r="H18" s="41">
        <f>+G18/D18</f>
        <v>10759.583333333334</v>
      </c>
      <c r="I18" s="51">
        <v>0.5</v>
      </c>
      <c r="J18" s="54">
        <f>+Tabla1[[#This Row],[Precio Base]]/(1-Tabla1[[#This Row],[Margen de Ganancia]])</f>
        <v>21519.166666666668</v>
      </c>
      <c r="K18" s="52">
        <f>+(Tabla1[[#This Row],[Precio de Venta]]-(Tabla1[[#This Row],[Precio de Venta]]*20%))</f>
        <v>17215.333333333336</v>
      </c>
      <c r="L18" s="52"/>
      <c r="M18" s="53">
        <f>+Tabla1[[#This Row],[Precio de Venta]]-Tabla1[[#This Row],[Precio de venta ]]</f>
        <v>-3380.8332979184852</v>
      </c>
      <c r="N18" s="42">
        <v>0.56788821893026076</v>
      </c>
      <c r="O18" s="43">
        <f>+H18/(1-N18)</f>
        <v>24899.999964585153</v>
      </c>
      <c r="P18" s="42">
        <v>0.2</v>
      </c>
      <c r="Q18" s="44">
        <f>+(O18-(O18*19%))*P18</f>
        <v>4033.7999942627948</v>
      </c>
      <c r="R18" s="45">
        <f>(+O18-H18-Q18)/O18</f>
        <v>0.40588821893026072</v>
      </c>
      <c r="S18" s="41">
        <v>193000</v>
      </c>
      <c r="T18" s="41">
        <f>+S18/D18</f>
        <v>16083.333333333334</v>
      </c>
      <c r="V18" s="49">
        <f>1-(Tabla1[[#This Row],[Precio de Venta]]/Tabla1[[#This Row],[PVP sugerido  por la Casa Comercial por Unidad]])</f>
        <v>-0.33797927461139898</v>
      </c>
      <c r="W18" s="49">
        <f>1-(Tabla1[[#This Row],[Precio de venta ]]/Tabla1[[#This Row],[PVP sugerido  por la Casa Comercial por Unidad]])</f>
        <v>-0.54818652629544995</v>
      </c>
      <c r="X18" s="49"/>
    </row>
    <row r="19" spans="1:24" s="40" customFormat="1" ht="19.5" thickBot="1" x14ac:dyDescent="0.3">
      <c r="A19" s="36"/>
      <c r="B19" s="39">
        <v>9192</v>
      </c>
      <c r="C19" s="40" t="s">
        <v>6</v>
      </c>
      <c r="D19" s="39">
        <v>12</v>
      </c>
      <c r="E19" s="41">
        <v>126500</v>
      </c>
      <c r="F19" s="41">
        <f>+E19*19%</f>
        <v>24035</v>
      </c>
      <c r="G19" s="41">
        <f>+E19+F19</f>
        <v>150535</v>
      </c>
      <c r="H19" s="41">
        <f>+G19/D19</f>
        <v>12544.583333333334</v>
      </c>
      <c r="I19" s="51">
        <v>0.5</v>
      </c>
      <c r="J19" s="54">
        <f>+Tabla1[[#This Row],[Precio Base]]/(1-Tabla1[[#This Row],[Margen de Ganancia]])</f>
        <v>25089.166666666668</v>
      </c>
      <c r="K19" s="52">
        <f>+(Tabla1[[#This Row],[Precio de Venta]]-(Tabla1[[#This Row],[Precio de Venta]]*20%))</f>
        <v>20071.333333333336</v>
      </c>
      <c r="L19" s="52"/>
      <c r="M19" s="53">
        <f>+Tabla1[[#This Row],[Precio de Venta]]-Tabla1[[#This Row],[Precio de venta ]]</f>
        <v>-8910.8329896976757</v>
      </c>
      <c r="N19" s="42">
        <v>0.6310416629376302</v>
      </c>
      <c r="O19" s="43">
        <f>+H19/(1-N19)</f>
        <v>33999.999656364344</v>
      </c>
      <c r="P19" s="42">
        <v>0.2</v>
      </c>
      <c r="Q19" s="44">
        <f>+(O19-(O19*19%))*P19</f>
        <v>5507.9999443310244</v>
      </c>
      <c r="R19" s="45">
        <f>(+O19-H19-Q19)/O19</f>
        <v>0.46904166293763011</v>
      </c>
      <c r="S19" s="41">
        <v>225000</v>
      </c>
      <c r="T19" s="41">
        <f>+S19/D19</f>
        <v>18750</v>
      </c>
      <c r="V19" s="49">
        <f>1-(Tabla1[[#This Row],[Precio de Venta]]/Tabla1[[#This Row],[PVP sugerido  por la Casa Comercial por Unidad]])</f>
        <v>-0.33808888888888888</v>
      </c>
      <c r="W19" s="49">
        <f>1-(Tabla1[[#This Row],[Precio de venta ]]/Tabla1[[#This Row],[PVP sugerido  por la Casa Comercial por Unidad]])</f>
        <v>-0.8133333150060984</v>
      </c>
      <c r="X19" s="49"/>
    </row>
    <row r="20" spans="1:24" s="40" customFormat="1" ht="19.5" thickBot="1" x14ac:dyDescent="0.3">
      <c r="A20" s="36"/>
      <c r="B20" s="39">
        <v>4563</v>
      </c>
      <c r="C20" s="40" t="s">
        <v>27</v>
      </c>
      <c r="D20" s="39">
        <v>12</v>
      </c>
      <c r="E20" s="41">
        <v>93000</v>
      </c>
      <c r="F20" s="41">
        <f>+E20*19%</f>
        <v>17670</v>
      </c>
      <c r="G20" s="41">
        <f>+E20+F20</f>
        <v>110670</v>
      </c>
      <c r="H20" s="41">
        <f>+G20/D20</f>
        <v>9222.5</v>
      </c>
      <c r="I20" s="51">
        <v>0.5</v>
      </c>
      <c r="J20" s="54">
        <f>+Tabla1[[#This Row],[Precio Base]]/(1-Tabla1[[#This Row],[Margen de Ganancia]])</f>
        <v>18445</v>
      </c>
      <c r="K20" s="52">
        <f>+(Tabla1[[#This Row],[Precio de Venta]]-(Tabla1[[#This Row],[Precio de Venta]]*20%))</f>
        <v>14756</v>
      </c>
      <c r="L20" s="52"/>
      <c r="M20" s="53">
        <f>+Tabla1[[#This Row],[Precio de Venta]]-Tabla1[[#This Row],[Precio de venta ]]</f>
        <v>-6555.0000000030377</v>
      </c>
      <c r="N20" s="42">
        <v>0.63110000000004485</v>
      </c>
      <c r="O20" s="43">
        <f>+H20/(1-N20)</f>
        <v>25000.000000003038</v>
      </c>
      <c r="P20" s="42">
        <v>0.2</v>
      </c>
      <c r="Q20" s="44">
        <f>+(O20-(O20*19%))*P20</f>
        <v>4050.000000000492</v>
      </c>
      <c r="R20" s="45">
        <f>(+O20-H20-Q20)/O20</f>
        <v>0.46910000000004487</v>
      </c>
      <c r="S20" s="41">
        <v>167000</v>
      </c>
      <c r="T20" s="41">
        <f>+S20/D20</f>
        <v>13916.666666666666</v>
      </c>
      <c r="V20" s="49">
        <f>1-(Tabla1[[#This Row],[Precio de Venta]]/Tabla1[[#This Row],[PVP sugerido  por la Casa Comercial por Unidad]])</f>
        <v>-0.32538922155688632</v>
      </c>
      <c r="W20" s="49">
        <f>1-(Tabla1[[#This Row],[Precio de venta ]]/Tabla1[[#This Row],[PVP sugerido  por la Casa Comercial por Unidad]])</f>
        <v>-0.79640718562896096</v>
      </c>
      <c r="X20" s="49"/>
    </row>
    <row r="21" spans="1:24" s="40" customFormat="1" ht="19.5" thickBot="1" x14ac:dyDescent="0.3">
      <c r="A21" s="36"/>
      <c r="B21" s="39">
        <v>4563</v>
      </c>
      <c r="C21" s="40" t="s">
        <v>28</v>
      </c>
      <c r="D21" s="39">
        <v>10</v>
      </c>
      <c r="E21" s="41">
        <v>135000</v>
      </c>
      <c r="F21" s="41">
        <f>+E21*19%</f>
        <v>25650</v>
      </c>
      <c r="G21" s="41">
        <f>+E21+F21</f>
        <v>160650</v>
      </c>
      <c r="H21" s="41">
        <f>+G21/D21</f>
        <v>16065</v>
      </c>
      <c r="I21" s="51">
        <v>0.5</v>
      </c>
      <c r="J21" s="54">
        <f>+Tabla1[[#This Row],[Precio Base]]/(1-Tabla1[[#This Row],[Margen de Ganancia]])</f>
        <v>32130</v>
      </c>
      <c r="K21" s="52">
        <f>+(Tabla1[[#This Row],[Precio de Venta]]-(Tabla1[[#This Row],[Precio de Venta]]*20%))</f>
        <v>25704</v>
      </c>
      <c r="L21" s="52"/>
      <c r="M21" s="53">
        <f>+Tabla1[[#This Row],[Precio de Venta]]-Tabla1[[#This Row],[Precio de venta ]]</f>
        <v>-11418.387096779486</v>
      </c>
      <c r="N21" s="42">
        <v>0.63110000000004485</v>
      </c>
      <c r="O21" s="43">
        <f>+H21/(1-N21)</f>
        <v>43548.387096779486</v>
      </c>
      <c r="P21" s="42">
        <v>0.2</v>
      </c>
      <c r="Q21" s="44">
        <f>+(O21-(O21*19%))*P21</f>
        <v>7054.8387096782772</v>
      </c>
      <c r="R21" s="45">
        <f>(+O21-H21-Q21)/O21</f>
        <v>0.46910000000004487</v>
      </c>
      <c r="S21" s="41">
        <v>167000</v>
      </c>
      <c r="T21" s="41">
        <f>+S21/D21</f>
        <v>16700</v>
      </c>
      <c r="V21" s="49">
        <f>1-(Tabla1[[#This Row],[Precio de Venta]]/Tabla1[[#This Row],[PVP sugerido  por la Casa Comercial por Unidad]])</f>
        <v>-0.92395209580838333</v>
      </c>
      <c r="W21" s="49">
        <f>1-(Tabla1[[#This Row],[Precio de venta ]]/Tabla1[[#This Row],[PVP sugerido  por la Casa Comercial por Unidad]])</f>
        <v>-1.6076878501065561</v>
      </c>
      <c r="X21" s="49"/>
    </row>
    <row r="22" spans="1:24" s="40" customFormat="1" ht="19.5" thickBot="1" x14ac:dyDescent="0.3">
      <c r="A22" s="36"/>
      <c r="B22" s="39">
        <v>4563</v>
      </c>
      <c r="C22" s="40" t="s">
        <v>28</v>
      </c>
      <c r="D22" s="39">
        <v>5</v>
      </c>
      <c r="E22" s="41">
        <v>135000</v>
      </c>
      <c r="F22" s="41">
        <f>+E22*19%</f>
        <v>25650</v>
      </c>
      <c r="G22" s="41">
        <f>+E22+F22</f>
        <v>160650</v>
      </c>
      <c r="H22" s="41">
        <f>+G22/D22</f>
        <v>32130</v>
      </c>
      <c r="I22" s="51">
        <v>0.5</v>
      </c>
      <c r="J22" s="54">
        <f>+Tabla1[[#This Row],[Precio Base]]/(1-Tabla1[[#This Row],[Margen de Ganancia]])</f>
        <v>64260</v>
      </c>
      <c r="K22" s="52">
        <f>+(Tabla1[[#This Row],[Precio de Venta]]-(Tabla1[[#This Row],[Precio de Venta]]*20%))</f>
        <v>51408</v>
      </c>
      <c r="L22" s="52"/>
      <c r="M22" s="53">
        <f>+Tabla1[[#This Row],[Precio de Venta]]-Tabla1[[#This Row],[Precio de venta ]]</f>
        <v>-81740.000001445878</v>
      </c>
      <c r="N22" s="42">
        <v>0.77993150685149448</v>
      </c>
      <c r="O22" s="43">
        <f>+H22/(1-N22)</f>
        <v>146000.00000144588</v>
      </c>
      <c r="P22" s="42">
        <v>0.2</v>
      </c>
      <c r="Q22" s="44">
        <f>+(O22-(O22*19%))*P22</f>
        <v>23652.000000234235</v>
      </c>
      <c r="R22" s="45">
        <f>(+O22-H22-Q22)/O22</f>
        <v>0.61793150685149445</v>
      </c>
      <c r="S22" s="41">
        <v>241000</v>
      </c>
      <c r="T22" s="41">
        <f>+S22/D22</f>
        <v>48200</v>
      </c>
      <c r="V22" s="49">
        <f>1-(Tabla1[[#This Row],[Precio de Venta]]/Tabla1[[#This Row],[PVP sugerido  por la Casa Comercial por Unidad]])</f>
        <v>-0.33319502074688789</v>
      </c>
      <c r="W22" s="49">
        <f>1-(Tabla1[[#This Row],[Precio de venta ]]/Tabla1[[#This Row],[PVP sugerido  por la Casa Comercial por Unidad]])</f>
        <v>-2.0290456431835246</v>
      </c>
      <c r="X22" s="49"/>
    </row>
    <row r="23" spans="1:24" s="40" customFormat="1" x14ac:dyDescent="0.25">
      <c r="A23" s="36"/>
      <c r="B23" s="39"/>
      <c r="D23" s="39"/>
      <c r="I23" s="49"/>
      <c r="K23" s="41"/>
      <c r="L23" s="41"/>
      <c r="V23" s="49"/>
      <c r="W23" s="49"/>
      <c r="X23" s="49"/>
    </row>
    <row r="24" spans="1:24" s="40" customFormat="1" x14ac:dyDescent="0.25">
      <c r="A24" s="36"/>
      <c r="B24" s="39"/>
      <c r="D24" s="39"/>
      <c r="I24" s="49"/>
      <c r="K24" s="41"/>
      <c r="L24" s="41"/>
      <c r="V24" s="49">
        <f>+AVERAGE(V3:V22)</f>
        <v>-0.35732346168398682</v>
      </c>
      <c r="W24" s="49">
        <f>+AVERAGE(W3:W22)</f>
        <v>-0.44338491247481776</v>
      </c>
      <c r="X24" s="49"/>
    </row>
    <row r="25" spans="1:24" s="40" customFormat="1" x14ac:dyDescent="0.25">
      <c r="A25" s="36"/>
      <c r="B25" s="39"/>
      <c r="D25" s="39"/>
      <c r="I25" s="49"/>
      <c r="K25" s="41"/>
      <c r="L25" s="41"/>
      <c r="V25" s="49"/>
      <c r="W25" s="49"/>
      <c r="X25" s="49"/>
    </row>
    <row r="26" spans="1:24" s="40" customFormat="1" x14ac:dyDescent="0.25">
      <c r="A26" s="36"/>
      <c r="B26" s="39"/>
      <c r="D26" s="39"/>
      <c r="I26" s="49"/>
      <c r="K26" s="41"/>
      <c r="L26" s="41"/>
      <c r="V26" s="49"/>
      <c r="W26" s="49"/>
      <c r="X26" s="49"/>
    </row>
    <row r="27" spans="1:24" s="40" customFormat="1" x14ac:dyDescent="0.25">
      <c r="A27" s="36"/>
      <c r="B27" s="39"/>
      <c r="D27" s="39"/>
      <c r="I27" s="49"/>
      <c r="K27" s="41"/>
      <c r="L27" s="41"/>
      <c r="V27" s="49"/>
      <c r="W27" s="49"/>
      <c r="X27" s="49"/>
    </row>
    <row r="28" spans="1:24" s="40" customFormat="1" x14ac:dyDescent="0.25">
      <c r="A28" s="36"/>
      <c r="B28" s="39"/>
      <c r="D28" s="39"/>
      <c r="I28" s="49"/>
      <c r="K28" s="41"/>
      <c r="L28" s="41"/>
      <c r="V28" s="49"/>
      <c r="W28" s="49"/>
      <c r="X28" s="49"/>
    </row>
  </sheetData>
  <conditionalFormatting sqref="V3:W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78D6-BCB6-4927-826E-A6AF2670EBB8}">
  <sheetPr codeName="Hoja1"/>
  <dimension ref="B3:J175"/>
  <sheetViews>
    <sheetView showGridLines="0" topLeftCell="A58" zoomScaleNormal="100" workbookViewId="0">
      <selection activeCell="J70" sqref="J70"/>
    </sheetView>
  </sheetViews>
  <sheetFormatPr baseColWidth="10" defaultRowHeight="15" x14ac:dyDescent="0.25"/>
  <cols>
    <col min="3" max="3" width="42.42578125" bestFit="1" customWidth="1"/>
    <col min="4" max="4" width="21" bestFit="1" customWidth="1"/>
    <col min="5" max="5" width="13.42578125" bestFit="1" customWidth="1"/>
    <col min="6" max="6" width="14.140625" bestFit="1" customWidth="1"/>
    <col min="7" max="7" width="13.42578125" bestFit="1" customWidth="1"/>
    <col min="8" max="8" width="13.85546875" bestFit="1" customWidth="1"/>
  </cols>
  <sheetData>
    <row r="3" spans="2:10" x14ac:dyDescent="0.25">
      <c r="B3" s="4" t="s">
        <v>26</v>
      </c>
      <c r="C3" s="4" t="s">
        <v>5</v>
      </c>
      <c r="D3" s="4" t="s">
        <v>1</v>
      </c>
      <c r="E3" s="4" t="s">
        <v>0</v>
      </c>
      <c r="F3" s="4" t="s">
        <v>2</v>
      </c>
      <c r="G3" s="4" t="s">
        <v>3</v>
      </c>
      <c r="H3" s="5" t="s">
        <v>4</v>
      </c>
    </row>
    <row r="4" spans="2:10" x14ac:dyDescent="0.25">
      <c r="B4">
        <v>9192</v>
      </c>
      <c r="C4" s="3" t="s">
        <v>6</v>
      </c>
      <c r="D4" s="17">
        <v>12</v>
      </c>
      <c r="E4" s="18">
        <v>126500</v>
      </c>
      <c r="F4" s="16">
        <f>+E4*19%</f>
        <v>24035</v>
      </c>
      <c r="G4" s="16">
        <f>+E4+F4</f>
        <v>150535</v>
      </c>
      <c r="H4" s="16">
        <f>+G4/D4</f>
        <v>12544.583333333334</v>
      </c>
    </row>
    <row r="5" spans="2:10" ht="15.75" thickBot="1" x14ac:dyDescent="0.3">
      <c r="C5" t="s">
        <v>20</v>
      </c>
      <c r="H5" s="1">
        <v>0.631041666906063</v>
      </c>
    </row>
    <row r="6" spans="2:10" ht="15.75" thickBot="1" x14ac:dyDescent="0.3">
      <c r="C6" s="4" t="s">
        <v>18</v>
      </c>
      <c r="H6" s="25">
        <f>+H4/(1-H5)</f>
        <v>34000.000022060689</v>
      </c>
      <c r="I6" s="2"/>
      <c r="J6" s="14"/>
    </row>
    <row r="7" spans="2:10" x14ac:dyDescent="0.25">
      <c r="C7" t="s">
        <v>7</v>
      </c>
      <c r="H7" s="1">
        <v>0.2</v>
      </c>
    </row>
    <row r="8" spans="2:10" ht="15.75" thickBot="1" x14ac:dyDescent="0.3">
      <c r="C8" t="s">
        <v>17</v>
      </c>
      <c r="H8" s="26">
        <f>+(H6-(H6*19%))*H7</f>
        <v>5508.0000035738321</v>
      </c>
    </row>
    <row r="9" spans="2:10" ht="15.75" thickBot="1" x14ac:dyDescent="0.3">
      <c r="C9" t="s">
        <v>19</v>
      </c>
      <c r="H9" s="27">
        <f>(+H6-H4-H8)/H6</f>
        <v>0.46904166690606292</v>
      </c>
    </row>
    <row r="10" spans="2:10" ht="15.75" thickBot="1" x14ac:dyDescent="0.3">
      <c r="C10" t="s">
        <v>22</v>
      </c>
      <c r="G10" s="16">
        <v>225000</v>
      </c>
      <c r="H10" s="2">
        <f>+G10/D4</f>
        <v>18750</v>
      </c>
    </row>
    <row r="11" spans="2:10" ht="16.5" thickTop="1" thickBot="1" x14ac:dyDescent="0.3">
      <c r="C11" t="s">
        <v>23</v>
      </c>
      <c r="E11" s="1"/>
      <c r="H11" s="23">
        <f>+(H6)/H10-1</f>
        <v>0.81333333450990342</v>
      </c>
    </row>
    <row r="12" spans="2:10" ht="15.75" thickTop="1" x14ac:dyDescent="0.25">
      <c r="H12" s="15"/>
    </row>
    <row r="13" spans="2:10" x14ac:dyDescent="0.25">
      <c r="B13" s="4" t="s">
        <v>26</v>
      </c>
      <c r="C13" s="4" t="s">
        <v>5</v>
      </c>
      <c r="D13" s="4" t="s">
        <v>1</v>
      </c>
      <c r="E13" s="4" t="s">
        <v>0</v>
      </c>
      <c r="F13" s="4" t="s">
        <v>2</v>
      </c>
      <c r="G13" s="4" t="s">
        <v>3</v>
      </c>
      <c r="H13" s="5" t="s">
        <v>4</v>
      </c>
    </row>
    <row r="14" spans="2:10" x14ac:dyDescent="0.25">
      <c r="B14">
        <v>2156</v>
      </c>
      <c r="C14" s="3" t="s">
        <v>21</v>
      </c>
      <c r="D14" s="21">
        <v>12</v>
      </c>
      <c r="E14" s="22">
        <v>115000</v>
      </c>
      <c r="F14" s="22">
        <f>+E14*19%</f>
        <v>21850</v>
      </c>
      <c r="G14" s="22">
        <f>+E14+F14</f>
        <v>136850</v>
      </c>
      <c r="H14" s="22">
        <f>+G14/D14</f>
        <v>11404.166666666666</v>
      </c>
    </row>
    <row r="15" spans="2:10" ht="15.75" thickBot="1" x14ac:dyDescent="0.3">
      <c r="C15" t="s">
        <v>20</v>
      </c>
      <c r="H15" s="1">
        <v>0.54200132432977755</v>
      </c>
    </row>
    <row r="16" spans="2:10" ht="15.75" thickBot="1" x14ac:dyDescent="0.3">
      <c r="C16" s="4" t="s">
        <v>18</v>
      </c>
      <c r="H16" s="25">
        <f>+H14/(1-H15)</f>
        <v>24899.999219382298</v>
      </c>
    </row>
    <row r="17" spans="2:8" x14ac:dyDescent="0.25">
      <c r="C17" t="s">
        <v>7</v>
      </c>
      <c r="H17" s="1">
        <v>0.2</v>
      </c>
    </row>
    <row r="18" spans="2:8" ht="15.75" thickBot="1" x14ac:dyDescent="0.3">
      <c r="C18" t="s">
        <v>17</v>
      </c>
      <c r="H18" s="2">
        <f>+(H16-(H16*19%))*H17</f>
        <v>4033.7998735399324</v>
      </c>
    </row>
    <row r="19" spans="2:8" ht="15.75" thickBot="1" x14ac:dyDescent="0.3">
      <c r="C19" t="s">
        <v>19</v>
      </c>
      <c r="E19" s="1"/>
      <c r="H19" s="27">
        <f>(+H16-H14-H18)/H16</f>
        <v>0.38000132432977751</v>
      </c>
    </row>
    <row r="20" spans="2:8" ht="15.75" thickBot="1" x14ac:dyDescent="0.3">
      <c r="C20" t="s">
        <v>22</v>
      </c>
      <c r="G20" s="22">
        <v>205000</v>
      </c>
      <c r="H20" s="2">
        <f>+G20/D14</f>
        <v>17083.333333333332</v>
      </c>
    </row>
    <row r="21" spans="2:8" ht="16.5" thickTop="1" thickBot="1" x14ac:dyDescent="0.3">
      <c r="C21" t="s">
        <v>23</v>
      </c>
      <c r="E21" s="1"/>
      <c r="H21" s="24">
        <f>+(H16)/H20-1</f>
        <v>0.45756092991506137</v>
      </c>
    </row>
    <row r="22" spans="2:8" ht="15.75" thickTop="1" x14ac:dyDescent="0.25">
      <c r="E22" s="1"/>
      <c r="H22" s="15"/>
    </row>
    <row r="23" spans="2:8" x14ac:dyDescent="0.25">
      <c r="B23" s="4" t="s">
        <v>26</v>
      </c>
      <c r="C23" s="4" t="s">
        <v>5</v>
      </c>
      <c r="D23" s="4" t="s">
        <v>1</v>
      </c>
      <c r="E23" s="4" t="s">
        <v>0</v>
      </c>
      <c r="F23" s="4" t="s">
        <v>2</v>
      </c>
      <c r="G23" s="4" t="s">
        <v>3</v>
      </c>
      <c r="H23" s="5" t="s">
        <v>4</v>
      </c>
    </row>
    <row r="24" spans="2:8" x14ac:dyDescent="0.25">
      <c r="C24" s="4"/>
      <c r="D24" s="4"/>
      <c r="E24" s="4"/>
      <c r="F24" s="4"/>
      <c r="G24" s="4"/>
      <c r="H24" s="5"/>
    </row>
    <row r="25" spans="2:8" x14ac:dyDescent="0.25">
      <c r="B25">
        <v>2155</v>
      </c>
      <c r="C25" s="3" t="s">
        <v>25</v>
      </c>
      <c r="D25" s="21">
        <v>12</v>
      </c>
      <c r="E25" s="22">
        <v>108500</v>
      </c>
      <c r="F25" s="22">
        <f>+E25*19%</f>
        <v>20615</v>
      </c>
      <c r="G25" s="22">
        <f>+E25+F25</f>
        <v>129115</v>
      </c>
      <c r="H25" s="22">
        <f>+G25/D25</f>
        <v>10759.583333333334</v>
      </c>
    </row>
    <row r="26" spans="2:8" ht="15.75" thickBot="1" x14ac:dyDescent="0.3">
      <c r="C26" t="s">
        <v>20</v>
      </c>
      <c r="H26" s="1">
        <v>0.56788821893026076</v>
      </c>
    </row>
    <row r="27" spans="2:8" ht="15.75" thickBot="1" x14ac:dyDescent="0.3">
      <c r="C27" s="4" t="s">
        <v>18</v>
      </c>
      <c r="H27" s="25">
        <f>+H25/(1-H26)</f>
        <v>24899.999964585153</v>
      </c>
    </row>
    <row r="28" spans="2:8" x14ac:dyDescent="0.25">
      <c r="C28" t="s">
        <v>7</v>
      </c>
      <c r="H28" s="1">
        <v>0.2</v>
      </c>
    </row>
    <row r="29" spans="2:8" ht="15.75" thickBot="1" x14ac:dyDescent="0.3">
      <c r="C29" t="s">
        <v>17</v>
      </c>
      <c r="D29" s="1"/>
      <c r="H29" s="2">
        <f>+(H27-(H27*19%))*H28</f>
        <v>4033.7999942627948</v>
      </c>
    </row>
    <row r="30" spans="2:8" ht="15.75" thickBot="1" x14ac:dyDescent="0.3">
      <c r="C30" t="s">
        <v>19</v>
      </c>
      <c r="H30" s="27">
        <f>(+H27-H25-H29)/H27</f>
        <v>0.40588821893026072</v>
      </c>
    </row>
    <row r="32" spans="2:8" x14ac:dyDescent="0.25">
      <c r="B32" s="4" t="s">
        <v>26</v>
      </c>
      <c r="C32" s="4" t="s">
        <v>5</v>
      </c>
      <c r="D32" s="4" t="s">
        <v>1</v>
      </c>
      <c r="E32" s="4" t="s">
        <v>0</v>
      </c>
      <c r="F32" s="4" t="s">
        <v>2</v>
      </c>
      <c r="G32" s="4" t="s">
        <v>3</v>
      </c>
      <c r="H32" s="5" t="s">
        <v>4</v>
      </c>
    </row>
    <row r="33" spans="2:8" x14ac:dyDescent="0.25">
      <c r="B33">
        <v>32072</v>
      </c>
      <c r="C33" s="3" t="s">
        <v>24</v>
      </c>
      <c r="D33" s="19">
        <v>1</v>
      </c>
      <c r="E33" s="20">
        <v>15900</v>
      </c>
      <c r="F33" s="20">
        <f>+E33*19%</f>
        <v>3021</v>
      </c>
      <c r="G33" s="20">
        <f>+E33+F33</f>
        <v>18921</v>
      </c>
      <c r="H33" s="20">
        <f>+G33/D33</f>
        <v>18921</v>
      </c>
    </row>
    <row r="34" spans="2:8" ht="15.75" thickBot="1" x14ac:dyDescent="0.3">
      <c r="C34" t="s">
        <v>20</v>
      </c>
      <c r="H34" s="1">
        <v>0.47295264851069363</v>
      </c>
    </row>
    <row r="35" spans="2:8" ht="15.75" thickBot="1" x14ac:dyDescent="0.3">
      <c r="C35" s="4" t="s">
        <v>18</v>
      </c>
      <c r="H35" s="25">
        <f>+H33/(1-H34)</f>
        <v>35900.000154699388</v>
      </c>
    </row>
    <row r="36" spans="2:8" x14ac:dyDescent="0.25">
      <c r="C36" t="s">
        <v>7</v>
      </c>
      <c r="H36" s="1">
        <v>0.2</v>
      </c>
    </row>
    <row r="37" spans="2:8" ht="15.75" thickBot="1" x14ac:dyDescent="0.3">
      <c r="C37" t="s">
        <v>17</v>
      </c>
      <c r="D37" s="1"/>
      <c r="H37" s="2">
        <f>+(H35-(H35*19%))*H36</f>
        <v>5815.8000250613013</v>
      </c>
    </row>
    <row r="38" spans="2:8" ht="15.75" thickBot="1" x14ac:dyDescent="0.3">
      <c r="C38" t="s">
        <v>19</v>
      </c>
      <c r="H38" s="27">
        <f>(+H35-H33-H37)/H35</f>
        <v>0.31095264851069371</v>
      </c>
    </row>
    <row r="39" spans="2:8" ht="15.75" thickBot="1" x14ac:dyDescent="0.3">
      <c r="C39" t="s">
        <v>22</v>
      </c>
      <c r="G39" s="22">
        <v>29000</v>
      </c>
      <c r="H39" s="2">
        <f>+G39/D33</f>
        <v>29000</v>
      </c>
    </row>
    <row r="40" spans="2:8" ht="16.5" thickTop="1" thickBot="1" x14ac:dyDescent="0.3">
      <c r="C40" t="s">
        <v>23</v>
      </c>
      <c r="E40" s="1"/>
      <c r="H40" s="23">
        <f>+(H35)/H39-1</f>
        <v>0.2379310398172203</v>
      </c>
    </row>
    <row r="41" spans="2:8" ht="15.75" thickTop="1" x14ac:dyDescent="0.25"/>
    <row r="43" spans="2:8" x14ac:dyDescent="0.25">
      <c r="B43" s="4" t="s">
        <v>26</v>
      </c>
      <c r="C43" s="4" t="s">
        <v>5</v>
      </c>
      <c r="D43" s="4" t="s">
        <v>1</v>
      </c>
      <c r="E43" s="4" t="s">
        <v>0</v>
      </c>
      <c r="F43" s="4" t="s">
        <v>2</v>
      </c>
      <c r="G43" s="4" t="s">
        <v>3</v>
      </c>
      <c r="H43" s="5" t="s">
        <v>4</v>
      </c>
    </row>
    <row r="44" spans="2:8" x14ac:dyDescent="0.25">
      <c r="B44">
        <v>4563</v>
      </c>
      <c r="C44" s="3" t="s">
        <v>27</v>
      </c>
      <c r="D44" s="28">
        <v>12</v>
      </c>
      <c r="E44" s="29">
        <v>93000</v>
      </c>
      <c r="F44" s="29">
        <f>+E44*19%</f>
        <v>17670</v>
      </c>
      <c r="G44" s="29">
        <f>+E44+F44</f>
        <v>110670</v>
      </c>
      <c r="H44" s="29">
        <f>+G44/D44</f>
        <v>9222.5</v>
      </c>
    </row>
    <row r="45" spans="2:8" ht="15.75" thickBot="1" x14ac:dyDescent="0.3">
      <c r="C45" t="s">
        <v>20</v>
      </c>
      <c r="H45" s="1">
        <v>0.63110000000004485</v>
      </c>
    </row>
    <row r="46" spans="2:8" ht="15.75" thickBot="1" x14ac:dyDescent="0.3">
      <c r="C46" s="4" t="s">
        <v>18</v>
      </c>
      <c r="H46" s="25">
        <f>+H44/(1-H45)</f>
        <v>25000.000000003038</v>
      </c>
    </row>
    <row r="47" spans="2:8" x14ac:dyDescent="0.25">
      <c r="C47" t="s">
        <v>7</v>
      </c>
      <c r="H47" s="1">
        <v>0.2</v>
      </c>
    </row>
    <row r="48" spans="2:8" ht="15.75" thickBot="1" x14ac:dyDescent="0.3">
      <c r="C48" t="s">
        <v>17</v>
      </c>
      <c r="D48" s="1"/>
      <c r="H48" s="2">
        <f>+(H46-(H46*19%))*H47</f>
        <v>4050.000000000492</v>
      </c>
    </row>
    <row r="49" spans="2:8" ht="15.75" thickBot="1" x14ac:dyDescent="0.3">
      <c r="C49" t="s">
        <v>19</v>
      </c>
      <c r="H49" s="27">
        <f>(+H46-H44-H48)/H46</f>
        <v>0.46910000000004487</v>
      </c>
    </row>
    <row r="50" spans="2:8" ht="15.75" thickBot="1" x14ac:dyDescent="0.3">
      <c r="C50" t="s">
        <v>22</v>
      </c>
      <c r="G50" s="22">
        <v>167000</v>
      </c>
      <c r="H50" s="2">
        <f>+G50/D44</f>
        <v>13916.666666666666</v>
      </c>
    </row>
    <row r="51" spans="2:8" ht="16.5" thickTop="1" thickBot="1" x14ac:dyDescent="0.3">
      <c r="C51" t="s">
        <v>23</v>
      </c>
      <c r="E51" s="1"/>
      <c r="H51" s="23">
        <f>+(H46)/H50-1</f>
        <v>0.79640718562896096</v>
      </c>
    </row>
    <row r="52" spans="2:8" ht="15.75" thickTop="1" x14ac:dyDescent="0.25"/>
    <row r="55" spans="2:8" x14ac:dyDescent="0.25">
      <c r="B55" s="4" t="s">
        <v>26</v>
      </c>
      <c r="C55" s="4" t="s">
        <v>5</v>
      </c>
      <c r="D55" s="4" t="s">
        <v>1</v>
      </c>
      <c r="E55" s="4" t="s">
        <v>0</v>
      </c>
      <c r="F55" s="4" t="s">
        <v>2</v>
      </c>
      <c r="G55" s="4" t="s">
        <v>3</v>
      </c>
      <c r="H55" s="5" t="s">
        <v>4</v>
      </c>
    </row>
    <row r="56" spans="2:8" x14ac:dyDescent="0.25">
      <c r="B56">
        <v>4563</v>
      </c>
      <c r="C56" s="3" t="s">
        <v>28</v>
      </c>
      <c r="D56" s="28">
        <v>10</v>
      </c>
      <c r="E56" s="29">
        <v>135000</v>
      </c>
      <c r="F56" s="29">
        <f>+E56*19%</f>
        <v>25650</v>
      </c>
      <c r="G56" s="29">
        <f>+E56+F56</f>
        <v>160650</v>
      </c>
      <c r="H56" s="29">
        <f>+G56/D56</f>
        <v>16065</v>
      </c>
    </row>
    <row r="57" spans="2:8" ht="15.75" thickBot="1" x14ac:dyDescent="0.3">
      <c r="C57" t="s">
        <v>20</v>
      </c>
      <c r="H57" s="1">
        <v>0.63110000000004485</v>
      </c>
    </row>
    <row r="58" spans="2:8" ht="15.75" thickBot="1" x14ac:dyDescent="0.3">
      <c r="C58" s="4" t="s">
        <v>18</v>
      </c>
      <c r="H58" s="25">
        <f>+H56/(1-H57)</f>
        <v>43548.387096779486</v>
      </c>
    </row>
    <row r="59" spans="2:8" x14ac:dyDescent="0.25">
      <c r="C59" t="s">
        <v>7</v>
      </c>
      <c r="H59" s="1">
        <v>0.2</v>
      </c>
    </row>
    <row r="60" spans="2:8" ht="15.75" thickBot="1" x14ac:dyDescent="0.3">
      <c r="C60" t="s">
        <v>17</v>
      </c>
      <c r="D60" s="1"/>
      <c r="H60" s="2">
        <f>+(H58-(H58*19%))*H59</f>
        <v>7054.8387096782772</v>
      </c>
    </row>
    <row r="61" spans="2:8" ht="15.75" thickBot="1" x14ac:dyDescent="0.3">
      <c r="C61" t="s">
        <v>19</v>
      </c>
      <c r="H61" s="27">
        <f>(+H58-H56-H60)/H58</f>
        <v>0.46910000000004487</v>
      </c>
    </row>
    <row r="62" spans="2:8" ht="15.75" thickBot="1" x14ac:dyDescent="0.3">
      <c r="C62" t="s">
        <v>22</v>
      </c>
      <c r="G62" s="22">
        <v>241000</v>
      </c>
      <c r="H62" s="2">
        <f>+G62/D56</f>
        <v>24100</v>
      </c>
    </row>
    <row r="63" spans="2:8" ht="16.5" thickTop="1" thickBot="1" x14ac:dyDescent="0.3">
      <c r="C63" t="s">
        <v>23</v>
      </c>
      <c r="E63" s="1"/>
      <c r="H63" s="23">
        <f>+(H58)/H62-1</f>
        <v>0.80698701646387905</v>
      </c>
    </row>
    <row r="64" spans="2:8" ht="15.75" thickTop="1" x14ac:dyDescent="0.25"/>
    <row r="68" spans="2:8" x14ac:dyDescent="0.25">
      <c r="B68" s="4" t="s">
        <v>26</v>
      </c>
      <c r="C68" s="4" t="s">
        <v>5</v>
      </c>
      <c r="D68" s="4" t="s">
        <v>1</v>
      </c>
      <c r="E68" s="4" t="s">
        <v>0</v>
      </c>
      <c r="F68" s="4" t="s">
        <v>2</v>
      </c>
      <c r="G68" s="4" t="s">
        <v>3</v>
      </c>
      <c r="H68" s="5" t="s">
        <v>4</v>
      </c>
    </row>
    <row r="69" spans="2:8" x14ac:dyDescent="0.25">
      <c r="B69">
        <v>4563</v>
      </c>
      <c r="C69" s="3" t="s">
        <v>28</v>
      </c>
      <c r="D69" s="28">
        <v>10</v>
      </c>
      <c r="E69" s="29">
        <v>135000</v>
      </c>
      <c r="F69" s="29">
        <f>+E69*19%</f>
        <v>25650</v>
      </c>
      <c r="G69" s="29">
        <f>+E69+F69</f>
        <v>160650</v>
      </c>
      <c r="H69" s="29">
        <f>+G69/D69</f>
        <v>16065</v>
      </c>
    </row>
    <row r="70" spans="2:8" ht="15.75" thickBot="1" x14ac:dyDescent="0.3">
      <c r="C70" t="s">
        <v>20</v>
      </c>
      <c r="G70" s="14">
        <f>+H71/H69</f>
        <v>4.5440398382024858</v>
      </c>
      <c r="H70" s="1">
        <v>0.77993150685149448</v>
      </c>
    </row>
    <row r="71" spans="2:8" ht="15.75" thickBot="1" x14ac:dyDescent="0.3">
      <c r="C71" s="4" t="s">
        <v>18</v>
      </c>
      <c r="H71" s="25">
        <f>+H69/(1-H70)</f>
        <v>73000.000000722939</v>
      </c>
    </row>
    <row r="72" spans="2:8" x14ac:dyDescent="0.25">
      <c r="C72" t="s">
        <v>7</v>
      </c>
      <c r="H72" s="1">
        <v>0.2</v>
      </c>
    </row>
    <row r="73" spans="2:8" ht="15.75" thickBot="1" x14ac:dyDescent="0.3">
      <c r="C73" t="s">
        <v>17</v>
      </c>
      <c r="D73" s="1"/>
      <c r="H73" s="2">
        <f>+(H71-(H71*19%))*H72</f>
        <v>11826.000000117117</v>
      </c>
    </row>
    <row r="74" spans="2:8" ht="15.75" thickBot="1" x14ac:dyDescent="0.3">
      <c r="C74" t="s">
        <v>19</v>
      </c>
      <c r="H74" s="27">
        <f>(+H71-H69-H73)/H71</f>
        <v>0.61793150685149445</v>
      </c>
    </row>
    <row r="75" spans="2:8" ht="15.75" thickBot="1" x14ac:dyDescent="0.3">
      <c r="C75" t="s">
        <v>22</v>
      </c>
      <c r="G75" s="22">
        <v>241000</v>
      </c>
      <c r="H75" s="2">
        <f>+G75/D69</f>
        <v>24100</v>
      </c>
    </row>
    <row r="76" spans="2:8" ht="16.5" thickTop="1" thickBot="1" x14ac:dyDescent="0.3">
      <c r="C76" t="s">
        <v>23</v>
      </c>
      <c r="E76" s="1"/>
      <c r="H76" s="23">
        <f>+(H71)/H75-1</f>
        <v>2.0290456431835246</v>
      </c>
    </row>
    <row r="77" spans="2:8" ht="15.75" thickTop="1" x14ac:dyDescent="0.25"/>
    <row r="80" spans="2:8" x14ac:dyDescent="0.25">
      <c r="B80" s="4" t="s">
        <v>26</v>
      </c>
      <c r="C80" s="4" t="s">
        <v>5</v>
      </c>
      <c r="D80" s="4" t="s">
        <v>1</v>
      </c>
      <c r="E80" s="4" t="s">
        <v>0</v>
      </c>
      <c r="F80" s="4" t="s">
        <v>2</v>
      </c>
      <c r="G80" s="4" t="s">
        <v>3</v>
      </c>
      <c r="H80" s="5" t="s">
        <v>4</v>
      </c>
    </row>
    <row r="81" spans="2:8" x14ac:dyDescent="0.25">
      <c r="B81">
        <v>35038</v>
      </c>
      <c r="C81" s="3" t="s">
        <v>29</v>
      </c>
      <c r="D81" s="28">
        <v>1</v>
      </c>
      <c r="E81" s="29">
        <v>14600</v>
      </c>
      <c r="F81" s="29">
        <f>+E81*19%</f>
        <v>2774</v>
      </c>
      <c r="G81" s="29">
        <f>+E81+F81</f>
        <v>17374</v>
      </c>
      <c r="H81" s="29">
        <f>+G81/D81</f>
        <v>17374</v>
      </c>
    </row>
    <row r="82" spans="2:8" ht="15.75" thickBot="1" x14ac:dyDescent="0.3">
      <c r="C82" t="s">
        <v>20</v>
      </c>
      <c r="G82" s="14">
        <f>+H83/H81</f>
        <v>2.0663059744445724</v>
      </c>
      <c r="H82" s="1">
        <v>0.52</v>
      </c>
    </row>
    <row r="83" spans="2:8" ht="15.75" thickBot="1" x14ac:dyDescent="0.3">
      <c r="C83" s="4" t="s">
        <v>18</v>
      </c>
      <c r="H83" s="25">
        <v>35900</v>
      </c>
    </row>
    <row r="84" spans="2:8" x14ac:dyDescent="0.25">
      <c r="C84" t="s">
        <v>7</v>
      </c>
      <c r="H84" s="1">
        <v>0.2</v>
      </c>
    </row>
    <row r="85" spans="2:8" ht="15.75" thickBot="1" x14ac:dyDescent="0.3">
      <c r="C85" t="s">
        <v>17</v>
      </c>
      <c r="D85" s="1"/>
      <c r="H85" s="2">
        <f>+(H83-(H83*19%))*H84</f>
        <v>5815.8</v>
      </c>
    </row>
    <row r="86" spans="2:8" ht="15.75" thickBot="1" x14ac:dyDescent="0.3">
      <c r="C86" t="s">
        <v>19</v>
      </c>
      <c r="H86" s="27">
        <f>(+H83-H81-H85)/H83</f>
        <v>0.35404456824512537</v>
      </c>
    </row>
    <row r="87" spans="2:8" ht="15.75" thickBot="1" x14ac:dyDescent="0.3">
      <c r="C87" t="s">
        <v>22</v>
      </c>
      <c r="G87" s="22">
        <v>26000</v>
      </c>
      <c r="H87" s="2">
        <f>+G87/D81</f>
        <v>26000</v>
      </c>
    </row>
    <row r="88" spans="2:8" ht="16.5" thickTop="1" thickBot="1" x14ac:dyDescent="0.3">
      <c r="C88" t="s">
        <v>23</v>
      </c>
      <c r="E88" s="1"/>
      <c r="H88" s="23">
        <f>+(H83)/H87-1</f>
        <v>0.38076923076923075</v>
      </c>
    </row>
    <row r="89" spans="2:8" ht="15.75" thickTop="1" x14ac:dyDescent="0.25"/>
    <row r="92" spans="2:8" x14ac:dyDescent="0.25">
      <c r="B92" s="4" t="s">
        <v>26</v>
      </c>
      <c r="C92" s="4" t="s">
        <v>5</v>
      </c>
      <c r="D92" s="4" t="s">
        <v>1</v>
      </c>
      <c r="E92" s="4" t="s">
        <v>0</v>
      </c>
      <c r="F92" s="4" t="s">
        <v>2</v>
      </c>
      <c r="G92" s="4" t="s">
        <v>3</v>
      </c>
      <c r="H92" s="5" t="s">
        <v>4</v>
      </c>
    </row>
    <row r="93" spans="2:8" x14ac:dyDescent="0.25">
      <c r="B93">
        <v>4168</v>
      </c>
      <c r="C93" s="3" t="s">
        <v>30</v>
      </c>
      <c r="D93" s="28">
        <v>1</v>
      </c>
      <c r="E93" s="29">
        <v>48000</v>
      </c>
      <c r="F93" s="29">
        <f>+E93*19%</f>
        <v>9120</v>
      </c>
      <c r="G93" s="29">
        <f>+E93+F93</f>
        <v>57120</v>
      </c>
      <c r="H93" s="29">
        <f>+G93/D93</f>
        <v>57120</v>
      </c>
    </row>
    <row r="94" spans="2:8" ht="15.75" thickBot="1" x14ac:dyDescent="0.3">
      <c r="C94" t="s">
        <v>20</v>
      </c>
      <c r="G94" s="14">
        <f>+H95/H93</f>
        <v>1.6018907563025211</v>
      </c>
      <c r="H94" s="1">
        <v>0.37573770615118568</v>
      </c>
    </row>
    <row r="95" spans="2:8" ht="15.75" thickBot="1" x14ac:dyDescent="0.3">
      <c r="C95" s="4" t="s">
        <v>18</v>
      </c>
      <c r="H95" s="25">
        <v>91500</v>
      </c>
    </row>
    <row r="96" spans="2:8" x14ac:dyDescent="0.25">
      <c r="C96" t="s">
        <v>7</v>
      </c>
      <c r="H96" s="1">
        <v>0.2</v>
      </c>
    </row>
    <row r="97" spans="2:8" ht="15.75" thickBot="1" x14ac:dyDescent="0.3">
      <c r="C97" t="s">
        <v>17</v>
      </c>
      <c r="D97" s="1"/>
      <c r="H97" s="2">
        <f>+(H95-(H95*19%))*H96</f>
        <v>14823</v>
      </c>
    </row>
    <row r="98" spans="2:8" ht="15.75" thickBot="1" x14ac:dyDescent="0.3">
      <c r="C98" t="s">
        <v>19</v>
      </c>
      <c r="H98" s="27">
        <f>(+H95-H93-H97)/H95</f>
        <v>0.21373770491803279</v>
      </c>
    </row>
    <row r="99" spans="2:8" ht="15.75" thickBot="1" x14ac:dyDescent="0.3">
      <c r="C99" t="s">
        <v>22</v>
      </c>
      <c r="G99" s="22">
        <v>83000</v>
      </c>
      <c r="H99" s="2">
        <f>+G99/D93</f>
        <v>83000</v>
      </c>
    </row>
    <row r="100" spans="2:8" ht="16.5" thickTop="1" thickBot="1" x14ac:dyDescent="0.3">
      <c r="C100" t="s">
        <v>23</v>
      </c>
      <c r="E100" s="1"/>
      <c r="H100" s="23">
        <f>+(H95)/H99-1</f>
        <v>0.10240963855421681</v>
      </c>
    </row>
    <row r="101" spans="2:8" ht="15.75" thickTop="1" x14ac:dyDescent="0.25"/>
    <row r="104" spans="2:8" x14ac:dyDescent="0.25">
      <c r="B104" s="4" t="s">
        <v>26</v>
      </c>
      <c r="C104" s="4" t="s">
        <v>5</v>
      </c>
      <c r="D104" s="4" t="s">
        <v>1</v>
      </c>
      <c r="E104" s="4" t="s">
        <v>0</v>
      </c>
      <c r="F104" s="4" t="s">
        <v>2</v>
      </c>
      <c r="G104" s="4" t="s">
        <v>3</v>
      </c>
      <c r="H104" s="5" t="s">
        <v>4</v>
      </c>
    </row>
    <row r="105" spans="2:8" x14ac:dyDescent="0.25">
      <c r="B105">
        <v>4161</v>
      </c>
      <c r="C105" s="3" t="s">
        <v>31</v>
      </c>
      <c r="D105" s="28">
        <v>1</v>
      </c>
      <c r="E105" s="29">
        <v>40000</v>
      </c>
      <c r="F105" s="29">
        <f>+E105*19%</f>
        <v>7600</v>
      </c>
      <c r="G105" s="29">
        <f>+E105+F105</f>
        <v>47600</v>
      </c>
      <c r="H105" s="29">
        <f>+G105/D105</f>
        <v>47600</v>
      </c>
    </row>
    <row r="106" spans="2:8" ht="15.75" thickBot="1" x14ac:dyDescent="0.3">
      <c r="C106" t="s">
        <v>20</v>
      </c>
      <c r="G106" s="14">
        <f>+H107/H105</f>
        <v>1.8046218487394958</v>
      </c>
      <c r="H106" s="1">
        <v>0.44586728757061012</v>
      </c>
    </row>
    <row r="107" spans="2:8" ht="15.75" thickBot="1" x14ac:dyDescent="0.3">
      <c r="C107" s="4" t="s">
        <v>18</v>
      </c>
      <c r="H107" s="25">
        <v>85900</v>
      </c>
    </row>
    <row r="108" spans="2:8" x14ac:dyDescent="0.25">
      <c r="C108" t="s">
        <v>7</v>
      </c>
      <c r="H108" s="1">
        <v>0.2</v>
      </c>
    </row>
    <row r="109" spans="2:8" ht="15.75" thickBot="1" x14ac:dyDescent="0.3">
      <c r="C109" t="s">
        <v>17</v>
      </c>
      <c r="D109" s="1"/>
      <c r="H109" s="2">
        <f>+(H107-(H107*19%))*H108</f>
        <v>13915.800000000001</v>
      </c>
    </row>
    <row r="110" spans="2:8" ht="15.75" thickBot="1" x14ac:dyDescent="0.3">
      <c r="C110" t="s">
        <v>19</v>
      </c>
      <c r="H110" s="27">
        <f>(+H107-H105-H109)/H107</f>
        <v>0.28386728754365537</v>
      </c>
    </row>
    <row r="111" spans="2:8" ht="15.75" thickBot="1" x14ac:dyDescent="0.3">
      <c r="C111" t="s">
        <v>22</v>
      </c>
      <c r="G111" s="22">
        <v>71000</v>
      </c>
      <c r="H111" s="2">
        <f>+G111/D105</f>
        <v>71000</v>
      </c>
    </row>
    <row r="112" spans="2:8" ht="16.5" thickTop="1" thickBot="1" x14ac:dyDescent="0.3">
      <c r="C112" t="s">
        <v>23</v>
      </c>
      <c r="E112" s="1"/>
      <c r="H112" s="23">
        <f>+(H107)/H111-1</f>
        <v>0.20985915492957741</v>
      </c>
    </row>
    <row r="113" spans="2:8" ht="15.75" thickTop="1" x14ac:dyDescent="0.25"/>
    <row r="116" spans="2:8" x14ac:dyDescent="0.25">
      <c r="B116" s="4" t="s">
        <v>26</v>
      </c>
      <c r="C116" s="4" t="s">
        <v>5</v>
      </c>
      <c r="D116" s="4" t="s">
        <v>1</v>
      </c>
      <c r="E116" s="4" t="s">
        <v>0</v>
      </c>
      <c r="F116" s="4" t="s">
        <v>2</v>
      </c>
      <c r="G116" s="4" t="s">
        <v>3</v>
      </c>
      <c r="H116" s="5" t="s">
        <v>4</v>
      </c>
    </row>
    <row r="117" spans="2:8" x14ac:dyDescent="0.25">
      <c r="B117">
        <v>4656</v>
      </c>
      <c r="C117" s="3" t="s">
        <v>33</v>
      </c>
      <c r="D117" s="28">
        <v>1</v>
      </c>
      <c r="E117" s="29">
        <v>83895</v>
      </c>
      <c r="F117" s="29">
        <f>+E117*19%</f>
        <v>15940.050000000001</v>
      </c>
      <c r="G117" s="29">
        <f>+E117+F117</f>
        <v>99835.05</v>
      </c>
      <c r="H117" s="29">
        <f>+G117/D117</f>
        <v>99835.05</v>
      </c>
    </row>
    <row r="118" spans="2:8" ht="15.75" thickBot="1" x14ac:dyDescent="0.3">
      <c r="C118" t="s">
        <v>20</v>
      </c>
      <c r="G118" s="14">
        <f>+H119/H117</f>
        <v>1.651724519595072</v>
      </c>
      <c r="H118" s="1">
        <v>0.77993150685149448</v>
      </c>
    </row>
    <row r="119" spans="2:8" ht="15.75" thickBot="1" x14ac:dyDescent="0.3">
      <c r="C119" s="4" t="s">
        <v>18</v>
      </c>
      <c r="H119" s="25">
        <v>164900</v>
      </c>
    </row>
    <row r="120" spans="2:8" x14ac:dyDescent="0.25">
      <c r="C120" t="s">
        <v>7</v>
      </c>
      <c r="H120" s="1">
        <v>0.2</v>
      </c>
    </row>
    <row r="121" spans="2:8" ht="15.75" thickBot="1" x14ac:dyDescent="0.3">
      <c r="C121" t="s">
        <v>17</v>
      </c>
      <c r="D121" s="1"/>
      <c r="H121" s="2">
        <f>+(H119-(H119*19%))*H120</f>
        <v>26713.800000000003</v>
      </c>
    </row>
    <row r="122" spans="2:8" ht="15.75" thickBot="1" x14ac:dyDescent="0.3">
      <c r="C122" t="s">
        <v>19</v>
      </c>
      <c r="H122" s="27">
        <f>(+H119-H117-H121)/H119</f>
        <v>0.23257216494845356</v>
      </c>
    </row>
    <row r="123" spans="2:8" ht="15.75" thickBot="1" x14ac:dyDescent="0.3">
      <c r="C123" t="s">
        <v>22</v>
      </c>
      <c r="G123" s="22">
        <v>135000</v>
      </c>
      <c r="H123" s="2">
        <f>+G123/D117</f>
        <v>135000</v>
      </c>
    </row>
    <row r="124" spans="2:8" ht="16.5" thickTop="1" thickBot="1" x14ac:dyDescent="0.3">
      <c r="C124" t="s">
        <v>23</v>
      </c>
      <c r="E124" s="1"/>
      <c r="H124" s="23">
        <f>+(H119)/H123-1</f>
        <v>0.22148148148148139</v>
      </c>
    </row>
    <row r="125" spans="2:8" ht="15.75" thickTop="1" x14ac:dyDescent="0.25"/>
    <row r="128" spans="2:8" x14ac:dyDescent="0.25">
      <c r="B128" s="4" t="s">
        <v>26</v>
      </c>
      <c r="C128" s="4" t="s">
        <v>5</v>
      </c>
      <c r="D128" s="4" t="s">
        <v>1</v>
      </c>
      <c r="E128" s="4" t="s">
        <v>0</v>
      </c>
      <c r="F128" s="4" t="s">
        <v>2</v>
      </c>
      <c r="G128" s="4" t="s">
        <v>3</v>
      </c>
      <c r="H128" s="5" t="s">
        <v>4</v>
      </c>
    </row>
    <row r="129" spans="2:8" x14ac:dyDescent="0.25">
      <c r="B129">
        <v>9184</v>
      </c>
      <c r="C129" s="3" t="s">
        <v>32</v>
      </c>
      <c r="D129" s="28">
        <v>1</v>
      </c>
      <c r="E129" s="29">
        <v>76000</v>
      </c>
      <c r="F129" s="29">
        <f>+E129*19%</f>
        <v>14440</v>
      </c>
      <c r="G129" s="29">
        <f>+E129+F129</f>
        <v>90440</v>
      </c>
      <c r="H129" s="29">
        <f>+G129/D129</f>
        <v>90440</v>
      </c>
    </row>
    <row r="130" spans="2:8" ht="15.75" thickBot="1" x14ac:dyDescent="0.3">
      <c r="C130" t="s">
        <v>20</v>
      </c>
      <c r="G130" s="14">
        <f>+H131/H129</f>
        <v>1.6463954002653693</v>
      </c>
      <c r="H130" s="1">
        <v>0.77993150685149448</v>
      </c>
    </row>
    <row r="131" spans="2:8" ht="15.75" thickBot="1" x14ac:dyDescent="0.3">
      <c r="C131" s="4" t="s">
        <v>18</v>
      </c>
      <c r="H131" s="25">
        <v>148900</v>
      </c>
    </row>
    <row r="132" spans="2:8" x14ac:dyDescent="0.25">
      <c r="C132" t="s">
        <v>7</v>
      </c>
      <c r="H132" s="1">
        <v>0.2</v>
      </c>
    </row>
    <row r="133" spans="2:8" ht="15.75" thickBot="1" x14ac:dyDescent="0.3">
      <c r="C133" t="s">
        <v>17</v>
      </c>
      <c r="D133" s="1"/>
      <c r="H133" s="2">
        <f>+(H131-(H131*19%))*H132</f>
        <v>24121.800000000003</v>
      </c>
    </row>
    <row r="134" spans="2:8" ht="15.75" thickBot="1" x14ac:dyDescent="0.3">
      <c r="C134" t="s">
        <v>19</v>
      </c>
      <c r="H134" s="27">
        <f>(+H131-H129-H133)/H131</f>
        <v>0.23061249160510408</v>
      </c>
    </row>
    <row r="135" spans="2:8" ht="15.75" thickBot="1" x14ac:dyDescent="0.3">
      <c r="C135" t="s">
        <v>22</v>
      </c>
      <c r="G135" s="22">
        <v>135000</v>
      </c>
      <c r="H135" s="2">
        <f>+G135/D129</f>
        <v>135000</v>
      </c>
    </row>
    <row r="136" spans="2:8" ht="16.5" thickTop="1" thickBot="1" x14ac:dyDescent="0.3">
      <c r="C136" t="s">
        <v>23</v>
      </c>
      <c r="E136" s="1"/>
      <c r="H136" s="23">
        <f>+(H131)/H135-1</f>
        <v>0.10296296296296292</v>
      </c>
    </row>
    <row r="137" spans="2:8" ht="15.75" thickTop="1" x14ac:dyDescent="0.25"/>
    <row r="139" spans="2:8" x14ac:dyDescent="0.25">
      <c r="H139" s="14">
        <f>+E129</f>
        <v>76000</v>
      </c>
    </row>
    <row r="140" spans="2:8" x14ac:dyDescent="0.25">
      <c r="H140" s="14">
        <f>+E117</f>
        <v>83895</v>
      </c>
    </row>
    <row r="143" spans="2:8" x14ac:dyDescent="0.25">
      <c r="B143" s="4" t="s">
        <v>26</v>
      </c>
      <c r="C143" s="4" t="s">
        <v>5</v>
      </c>
      <c r="D143" s="4" t="s">
        <v>1</v>
      </c>
      <c r="E143" s="4" t="s">
        <v>0</v>
      </c>
      <c r="F143" s="4" t="s">
        <v>2</v>
      </c>
      <c r="G143" s="4" t="s">
        <v>3</v>
      </c>
      <c r="H143" s="5" t="s">
        <v>4</v>
      </c>
    </row>
    <row r="144" spans="2:8" x14ac:dyDescent="0.25">
      <c r="B144">
        <v>9187</v>
      </c>
      <c r="C144" s="3" t="s">
        <v>34</v>
      </c>
      <c r="D144" s="28">
        <v>1</v>
      </c>
      <c r="E144" s="29">
        <v>76000</v>
      </c>
      <c r="F144" s="29">
        <f>+E144*19%</f>
        <v>14440</v>
      </c>
      <c r="G144" s="29">
        <f>+E144+F144</f>
        <v>90440</v>
      </c>
      <c r="H144" s="29">
        <f>+G144/D144</f>
        <v>90440</v>
      </c>
    </row>
    <row r="145" spans="2:8" ht="15.75" thickBot="1" x14ac:dyDescent="0.3">
      <c r="C145" t="s">
        <v>20</v>
      </c>
      <c r="G145" s="14">
        <f>+H146/H144</f>
        <v>1.6463954002653693</v>
      </c>
      <c r="H145" s="1">
        <v>0.77993150685149448</v>
      </c>
    </row>
    <row r="146" spans="2:8" ht="15.75" thickBot="1" x14ac:dyDescent="0.3">
      <c r="C146" s="4" t="s">
        <v>18</v>
      </c>
      <c r="H146" s="25">
        <v>148900</v>
      </c>
    </row>
    <row r="147" spans="2:8" x14ac:dyDescent="0.25">
      <c r="C147" t="s">
        <v>7</v>
      </c>
      <c r="H147" s="1">
        <v>0.2</v>
      </c>
    </row>
    <row r="148" spans="2:8" ht="15.75" thickBot="1" x14ac:dyDescent="0.3">
      <c r="C148" t="s">
        <v>17</v>
      </c>
      <c r="D148" s="1"/>
      <c r="H148" s="2">
        <f>+(H146-(H146*19%))*H147</f>
        <v>24121.800000000003</v>
      </c>
    </row>
    <row r="149" spans="2:8" ht="15.75" thickBot="1" x14ac:dyDescent="0.3">
      <c r="C149" t="s">
        <v>19</v>
      </c>
      <c r="H149" s="27">
        <f>(+H146-H144-H148)/H146</f>
        <v>0.23061249160510408</v>
      </c>
    </row>
    <row r="150" spans="2:8" ht="15.75" thickBot="1" x14ac:dyDescent="0.3">
      <c r="C150" t="s">
        <v>22</v>
      </c>
      <c r="G150" s="22">
        <v>135000</v>
      </c>
      <c r="H150" s="2">
        <f>+G150/D144</f>
        <v>135000</v>
      </c>
    </row>
    <row r="151" spans="2:8" ht="16.5" thickTop="1" thickBot="1" x14ac:dyDescent="0.3">
      <c r="C151" t="s">
        <v>23</v>
      </c>
      <c r="E151" s="1"/>
      <c r="H151" s="23">
        <f>+(H146)/H150-1</f>
        <v>0.10296296296296292</v>
      </c>
    </row>
    <row r="152" spans="2:8" ht="15.75" thickTop="1" x14ac:dyDescent="0.25"/>
    <row r="154" spans="2:8" x14ac:dyDescent="0.25">
      <c r="B154" s="4" t="s">
        <v>26</v>
      </c>
      <c r="C154" s="4" t="s">
        <v>5</v>
      </c>
      <c r="D154" s="4" t="s">
        <v>1</v>
      </c>
      <c r="E154" s="4" t="s">
        <v>0</v>
      </c>
      <c r="F154" s="4" t="s">
        <v>2</v>
      </c>
      <c r="G154" s="4" t="s">
        <v>3</v>
      </c>
      <c r="H154" s="5" t="s">
        <v>4</v>
      </c>
    </row>
    <row r="155" spans="2:8" x14ac:dyDescent="0.25">
      <c r="B155">
        <v>9184</v>
      </c>
      <c r="C155" s="3" t="s">
        <v>35</v>
      </c>
      <c r="D155" s="28">
        <v>1</v>
      </c>
      <c r="E155" s="29">
        <v>76000</v>
      </c>
      <c r="F155" s="29">
        <f>+E155*19%</f>
        <v>14440</v>
      </c>
      <c r="G155" s="29">
        <f>+E155+F155</f>
        <v>90440</v>
      </c>
      <c r="H155" s="29">
        <f>+G155/D155</f>
        <v>90440</v>
      </c>
    </row>
    <row r="156" spans="2:8" ht="15.75" thickBot="1" x14ac:dyDescent="0.3">
      <c r="C156" t="s">
        <v>20</v>
      </c>
      <c r="G156" s="14">
        <f>+H157/H155</f>
        <v>1.6463954002653693</v>
      </c>
      <c r="H156" s="1">
        <v>0.77993150685149448</v>
      </c>
    </row>
    <row r="157" spans="2:8" ht="15.75" thickBot="1" x14ac:dyDescent="0.3">
      <c r="C157" s="4" t="s">
        <v>18</v>
      </c>
      <c r="H157" s="25">
        <v>148900</v>
      </c>
    </row>
    <row r="158" spans="2:8" x14ac:dyDescent="0.25">
      <c r="C158" t="s">
        <v>7</v>
      </c>
      <c r="H158" s="1">
        <v>0.2</v>
      </c>
    </row>
    <row r="159" spans="2:8" ht="15.75" thickBot="1" x14ac:dyDescent="0.3">
      <c r="C159" t="s">
        <v>17</v>
      </c>
      <c r="D159" s="1"/>
      <c r="H159" s="2">
        <f>+(H157-(H157*19%))*H158</f>
        <v>24121.800000000003</v>
      </c>
    </row>
    <row r="160" spans="2:8" ht="15.75" thickBot="1" x14ac:dyDescent="0.3">
      <c r="C160" t="s">
        <v>19</v>
      </c>
      <c r="H160" s="27">
        <f>(+H157-H155-H159)/H157</f>
        <v>0.23061249160510408</v>
      </c>
    </row>
    <row r="161" spans="2:8" ht="15.75" thickBot="1" x14ac:dyDescent="0.3">
      <c r="C161" t="s">
        <v>22</v>
      </c>
      <c r="G161" s="22">
        <v>135000</v>
      </c>
      <c r="H161" s="2">
        <f>+G161/D155</f>
        <v>135000</v>
      </c>
    </row>
    <row r="162" spans="2:8" ht="16.5" thickTop="1" thickBot="1" x14ac:dyDescent="0.3">
      <c r="C162" t="s">
        <v>23</v>
      </c>
      <c r="E162" s="1"/>
      <c r="H162" s="23">
        <f>+(H157)/H161-1</f>
        <v>0.10296296296296292</v>
      </c>
    </row>
    <row r="163" spans="2:8" ht="15.75" thickTop="1" x14ac:dyDescent="0.25"/>
    <row r="166" spans="2:8" x14ac:dyDescent="0.25">
      <c r="B166" s="4" t="s">
        <v>26</v>
      </c>
      <c r="C166" s="4" t="s">
        <v>5</v>
      </c>
      <c r="D166" s="4" t="s">
        <v>1</v>
      </c>
      <c r="E166" s="4" t="s">
        <v>0</v>
      </c>
      <c r="F166" s="4" t="s">
        <v>2</v>
      </c>
      <c r="G166" s="4" t="s">
        <v>3</v>
      </c>
      <c r="H166" s="5" t="s">
        <v>4</v>
      </c>
    </row>
    <row r="167" spans="2:8" x14ac:dyDescent="0.25">
      <c r="B167">
        <v>9184</v>
      </c>
      <c r="C167" s="3" t="s">
        <v>35</v>
      </c>
      <c r="D167" s="28">
        <v>1</v>
      </c>
      <c r="E167" s="29">
        <v>76000</v>
      </c>
      <c r="F167" s="29">
        <f>+E167*19%</f>
        <v>14440</v>
      </c>
      <c r="G167" s="29">
        <f>+E167+F167</f>
        <v>90440</v>
      </c>
      <c r="H167" s="29">
        <f>+G167/D167</f>
        <v>90440</v>
      </c>
    </row>
    <row r="168" spans="2:8" ht="15.75" thickBot="1" x14ac:dyDescent="0.3">
      <c r="C168" t="s">
        <v>20</v>
      </c>
      <c r="G168" s="14">
        <f>+H169/H167</f>
        <v>1.6463954002653693</v>
      </c>
      <c r="H168" s="1">
        <v>0.77993150685149448</v>
      </c>
    </row>
    <row r="169" spans="2:8" ht="15.75" thickBot="1" x14ac:dyDescent="0.3">
      <c r="C169" s="4" t="s">
        <v>18</v>
      </c>
      <c r="H169" s="25">
        <v>148900</v>
      </c>
    </row>
    <row r="170" spans="2:8" x14ac:dyDescent="0.25">
      <c r="C170" t="s">
        <v>7</v>
      </c>
      <c r="H170" s="1">
        <v>0.2</v>
      </c>
    </row>
    <row r="171" spans="2:8" ht="15.75" thickBot="1" x14ac:dyDescent="0.3">
      <c r="C171" t="s">
        <v>17</v>
      </c>
      <c r="D171" s="1"/>
      <c r="H171" s="2">
        <f>+(H169-(H169*19%))*H170</f>
        <v>24121.800000000003</v>
      </c>
    </row>
    <row r="172" spans="2:8" ht="15.75" thickBot="1" x14ac:dyDescent="0.3">
      <c r="C172" t="s">
        <v>19</v>
      </c>
      <c r="H172" s="27">
        <f>(+H169-H167-H171)/H169</f>
        <v>0.23061249160510408</v>
      </c>
    </row>
    <row r="173" spans="2:8" ht="15.75" thickBot="1" x14ac:dyDescent="0.3">
      <c r="C173" t="s">
        <v>22</v>
      </c>
      <c r="G173" s="22">
        <v>135000</v>
      </c>
      <c r="H173" s="2">
        <f>+G173/D167</f>
        <v>135000</v>
      </c>
    </row>
    <row r="174" spans="2:8" ht="16.5" thickTop="1" thickBot="1" x14ac:dyDescent="0.3">
      <c r="C174" t="s">
        <v>23</v>
      </c>
      <c r="E174" s="1"/>
      <c r="H174" s="23">
        <f>+(H169)/H173-1</f>
        <v>0.10296296296296292</v>
      </c>
    </row>
    <row r="175" spans="2:8" ht="15.75" thickTop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EF9F-A560-497B-85EC-F9296196C6D8}">
  <dimension ref="A2:K15"/>
  <sheetViews>
    <sheetView workbookViewId="0">
      <selection activeCell="B13" sqref="B13"/>
    </sheetView>
  </sheetViews>
  <sheetFormatPr baseColWidth="10" defaultRowHeight="15" x14ac:dyDescent="0.25"/>
  <cols>
    <col min="2" max="2" width="21" bestFit="1" customWidth="1"/>
    <col min="3" max="3" width="24" bestFit="1" customWidth="1"/>
    <col min="7" max="7" width="24.7109375" bestFit="1" customWidth="1"/>
    <col min="8" max="8" width="19.28515625" bestFit="1" customWidth="1"/>
  </cols>
  <sheetData>
    <row r="2" spans="1:11" x14ac:dyDescent="0.25">
      <c r="A2" s="11" t="s">
        <v>8</v>
      </c>
      <c r="B2" s="12" t="s">
        <v>9</v>
      </c>
      <c r="C2" s="13" t="s">
        <v>10</v>
      </c>
      <c r="D2" s="12" t="s">
        <v>11</v>
      </c>
      <c r="E2" s="13" t="s">
        <v>12</v>
      </c>
      <c r="F2" s="13" t="s">
        <v>13</v>
      </c>
      <c r="G2" s="13" t="s">
        <v>14</v>
      </c>
      <c r="H2" s="13" t="s">
        <v>15</v>
      </c>
      <c r="I2" s="13" t="s">
        <v>16</v>
      </c>
    </row>
    <row r="3" spans="1:11" x14ac:dyDescent="0.25">
      <c r="A3" s="30">
        <v>159000</v>
      </c>
      <c r="B3" s="6">
        <v>0.19</v>
      </c>
      <c r="C3" s="7">
        <f>-A3*B3</f>
        <v>-30210</v>
      </c>
      <c r="D3" s="8">
        <v>7.0000000000000007E-2</v>
      </c>
      <c r="E3" s="7">
        <f>-A3*D3</f>
        <v>-11130.000000000002</v>
      </c>
      <c r="F3" s="9">
        <f>+A3+C3+E3</f>
        <v>117660</v>
      </c>
      <c r="G3" s="10">
        <f>+F3*20%</f>
        <v>23532</v>
      </c>
      <c r="H3" s="10">
        <f>+F3*80%</f>
        <v>94128</v>
      </c>
      <c r="I3" s="8">
        <f>+G3/F3</f>
        <v>0.2</v>
      </c>
      <c r="J3" s="33">
        <v>161000</v>
      </c>
      <c r="K3" s="33">
        <f>+A3-J3</f>
        <v>-2000</v>
      </c>
    </row>
    <row r="4" spans="1:11" x14ac:dyDescent="0.25">
      <c r="A4" s="30">
        <v>159000</v>
      </c>
      <c r="B4" s="6">
        <f>+C4/A4</f>
        <v>-0.56132075471698117</v>
      </c>
      <c r="C4" s="7">
        <v>-89250</v>
      </c>
      <c r="D4" s="8">
        <v>0</v>
      </c>
      <c r="E4" s="7">
        <f>-A4*D4</f>
        <v>0</v>
      </c>
      <c r="F4" s="9">
        <f>+A4+C4+E4</f>
        <v>69750</v>
      </c>
      <c r="G4" s="32">
        <f>+(A4-(A4*19%))*20%</f>
        <v>25758</v>
      </c>
      <c r="H4" s="10">
        <f>+F4-G4</f>
        <v>43992</v>
      </c>
      <c r="I4" s="8">
        <f>+G4/F4</f>
        <v>0.36929032258064515</v>
      </c>
      <c r="J4" s="31"/>
      <c r="K4" s="31"/>
    </row>
    <row r="5" spans="1:11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</row>
    <row r="6" spans="1:11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</row>
    <row r="7" spans="1:11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</row>
    <row r="8" spans="1:11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</row>
    <row r="9" spans="1:11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</row>
    <row r="10" spans="1:11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</row>
    <row r="11" spans="1:11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</row>
    <row r="12" spans="1:11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</row>
    <row r="13" spans="1:1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</row>
    <row r="14" spans="1:11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</row>
    <row r="15" spans="1:11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Costeo productos de venta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</cp:lastModifiedBy>
  <dcterms:created xsi:type="dcterms:W3CDTF">2022-05-26T23:18:19Z</dcterms:created>
  <dcterms:modified xsi:type="dcterms:W3CDTF">2022-07-16T22:54:35Z</dcterms:modified>
</cp:coreProperties>
</file>