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afayeed\Desktop\"/>
    </mc:Choice>
  </mc:AlternateContent>
  <xr:revisionPtr revIDLastSave="0" documentId="13_ncr:1_{B4B6BFCA-1CB5-4D4D-B9CE-1B66B3F648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erial Dilutions" sheetId="2" r:id="rId1"/>
    <sheet name="Calibration curve" sheetId="1" r:id="rId2"/>
    <sheet name="Unknown toothpast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13" i="3"/>
  <c r="F17" i="3"/>
  <c r="F19" i="3"/>
  <c r="F21" i="3"/>
  <c r="F23" i="3"/>
  <c r="B11" i="3"/>
  <c r="F12" i="3"/>
  <c r="F11" i="3"/>
  <c r="F10" i="3"/>
  <c r="H8" i="1"/>
  <c r="I6" i="1"/>
  <c r="I7" i="1"/>
  <c r="H7" i="1"/>
  <c r="I8" i="1"/>
  <c r="J8" i="1"/>
  <c r="B3" i="1"/>
  <c r="B4" i="2"/>
  <c r="C4" i="2"/>
  <c r="F15" i="3"/>
  <c r="F14" i="3"/>
  <c r="J7" i="1"/>
  <c r="D4" i="2"/>
  <c r="B5" i="2"/>
  <c r="C5" i="2"/>
  <c r="B4" i="3"/>
  <c r="Q3" i="3"/>
  <c r="P3" i="3"/>
  <c r="B3" i="3"/>
  <c r="H6" i="1"/>
  <c r="J6" i="1"/>
  <c r="H5" i="1"/>
  <c r="H4" i="1"/>
  <c r="H3" i="1"/>
  <c r="I5" i="1"/>
  <c r="I4" i="1"/>
  <c r="I3" i="1"/>
  <c r="J3" i="1"/>
  <c r="B4" i="1"/>
  <c r="B5" i="1"/>
  <c r="B6" i="1"/>
  <c r="B7" i="1"/>
  <c r="B7" i="3"/>
  <c r="B8" i="3"/>
  <c r="B9" i="3"/>
  <c r="B10" i="3"/>
  <c r="J4" i="1"/>
  <c r="J5" i="1"/>
  <c r="M2" i="1" a="1"/>
  <c r="R3" i="3"/>
  <c r="D5" i="2"/>
  <c r="E4" i="2"/>
  <c r="F4" i="2"/>
  <c r="F18" i="3"/>
  <c r="F16" i="3"/>
  <c r="M3" i="1"/>
  <c r="M6" i="1"/>
  <c r="N3" i="1"/>
  <c r="M4" i="1"/>
  <c r="N6" i="1"/>
  <c r="N4" i="1"/>
  <c r="M2" i="1"/>
  <c r="M5" i="1"/>
  <c r="N2" i="1"/>
  <c r="N5" i="1"/>
  <c r="E5" i="2"/>
  <c r="F5" i="2"/>
  <c r="F20" i="3"/>
  <c r="F22" i="3"/>
  <c r="B12" i="3"/>
  <c r="B13" i="3"/>
</calcChain>
</file>

<file path=xl/sharedStrings.xml><?xml version="1.0" encoding="utf-8"?>
<sst xmlns="http://schemas.openxmlformats.org/spreadsheetml/2006/main" count="160" uniqueCount="116">
  <si>
    <t>Replicate measurements of cell potential (mV)</t>
  </si>
  <si>
    <t>Average</t>
  </si>
  <si>
    <t>Standard deviation</t>
  </si>
  <si>
    <t>Concentration (ppm)</t>
  </si>
  <si>
    <t>Concentration of stock solution (ppm)</t>
  </si>
  <si>
    <t>Number of dilutions</t>
  </si>
  <si>
    <t>Concentration of the solution (ppm)</t>
  </si>
  <si>
    <t>Error in concentration of stock solution (ppm)</t>
  </si>
  <si>
    <t>Error in concentration (ppm)</t>
  </si>
  <si>
    <t>Uncertainty (mL)</t>
  </si>
  <si>
    <t>Type of apparatus</t>
  </si>
  <si>
    <t>2 mL pipette</t>
  </si>
  <si>
    <t>25 mL pipette</t>
  </si>
  <si>
    <t>50 mL volumetric flask</t>
  </si>
  <si>
    <t>100 mL volumetric flask</t>
  </si>
  <si>
    <t xml:space="preserve"> </t>
  </si>
  <si>
    <t>log10 [F-] (ppm)</t>
  </si>
  <si>
    <t>Linest output</t>
  </si>
  <si>
    <t>R^2</t>
  </si>
  <si>
    <t>Fisher value</t>
  </si>
  <si>
    <t>regression SS</t>
  </si>
  <si>
    <t>d.f</t>
  </si>
  <si>
    <t>residual SOS</t>
  </si>
  <si>
    <t>Mass of beaker (g)</t>
  </si>
  <si>
    <t>Mass of beaker + toothpaste (g)</t>
  </si>
  <si>
    <t>Mass of toothpaste (g)</t>
  </si>
  <si>
    <t>Equation of the line</t>
  </si>
  <si>
    <t>y = mx + b</t>
  </si>
  <si>
    <t>Unknown data</t>
  </si>
  <si>
    <t>uy (mV)</t>
  </si>
  <si>
    <t>Unknown</t>
  </si>
  <si>
    <t>[F-] (ppm)</t>
  </si>
  <si>
    <t>ub (mV)</t>
  </si>
  <si>
    <t>t value (C.I. 95%)</t>
  </si>
  <si>
    <t>t*ub (mV)</t>
  </si>
  <si>
    <t>t*uy (mV)</t>
  </si>
  <si>
    <t>um (mV/ppm)</t>
  </si>
  <si>
    <t>t*um (mV/ppm)</t>
  </si>
  <si>
    <t>(log10 [F-])*m (mV)</t>
  </si>
  <si>
    <t>Student's t-value 95% C.I. error analysis</t>
  </si>
  <si>
    <t>Equation</t>
  </si>
  <si>
    <t>y = a*b/c</t>
  </si>
  <si>
    <t>y = a + b - c</t>
  </si>
  <si>
    <t>y = 10^x</t>
  </si>
  <si>
    <t>Error propagation</t>
  </si>
  <si>
    <t>ey = SQRT(ea^2 + eb^2 + ec^2)</t>
  </si>
  <si>
    <t>ey = y*SQRT[(ea/a)^2 + (eb/b)^2 + (ec/c)^2]</t>
  </si>
  <si>
    <t>ey = y*[ln(10)]*ex</t>
  </si>
  <si>
    <t>RSD (ppt)</t>
  </si>
  <si>
    <t>weight % of F- in toothpaste (%)</t>
  </si>
  <si>
    <t>Formula used</t>
  </si>
  <si>
    <t>(2 mL/100 mL)*[stock solution (ppm)]</t>
  </si>
  <si>
    <t>(25 mL/50 mL)*[previous solution (ppm)]</t>
  </si>
  <si>
    <t>([stock solution] ± 3 ppm)</t>
  </si>
  <si>
    <t>[First dilution ± ey ppm] = (2 ± 0.006 mL / 100 ± 0.08 mL)*</t>
  </si>
  <si>
    <t>(0.08mL/100mL)^2 + (3 ppm / [stock solution ppm])^2)</t>
  </si>
  <si>
    <t>([previous solution] ± previous solutions' error ppm)</t>
  </si>
  <si>
    <t>(previous solutions' error (ppm) / [previous solution (ppm)])^2)</t>
  </si>
  <si>
    <t>[Second to fifth solution ± ez ppm] = (25 ± 0.03 mL / 50 ± 0.05 mL)*</t>
  </si>
  <si>
    <t>[1st dilution (ppm)]</t>
  </si>
  <si>
    <t>[2nd-5th dilution (ppm)]</t>
  </si>
  <si>
    <t>Error calculation formula</t>
  </si>
  <si>
    <t>[solution (ppm)] means the concentration of the solution in ppm</t>
  </si>
  <si>
    <t>ey ppm = [first dilution ppm]*SQRT((0.006mL/2mL)^2 +</t>
  </si>
  <si>
    <t>ez (ppm) = [second to fifth solution (ppm)]*SQRT((0.03mL/25mL)^2 + (0.05mL/50mL)^2 +</t>
  </si>
  <si>
    <t>General error propagation formula</t>
  </si>
  <si>
    <t>Formula</t>
  </si>
  <si>
    <t>log10[F-] (ppm)</t>
  </si>
  <si>
    <t>LOG10(concentrations) function in excel</t>
  </si>
  <si>
    <t>AVERAGE(values) function in excel</t>
  </si>
  <si>
    <t>Standard deviation of cell potential (mV)</t>
  </si>
  <si>
    <t>STDEV(values) function in excel</t>
  </si>
  <si>
    <t>Average cell potential (mV)</t>
  </si>
  <si>
    <t>Standard deviation/Average * 10^3 ppt</t>
  </si>
  <si>
    <t>LINEST Output</t>
  </si>
  <si>
    <t>LINEST(y values,x values, 1,1) function in excel</t>
  </si>
  <si>
    <t>Original [F-] in toothpaste (ppm)</t>
  </si>
  <si>
    <t>y = mx + b, y = average cell potential (mV), x = log10 [F-] in ppm,</t>
  </si>
  <si>
    <t>m,b = slope (mV/ppm) and intercept (mV) of calibration curve respectively</t>
  </si>
  <si>
    <t>(y  ± t*uy) - (b ± t*ub) = (m*x) ± ea</t>
  </si>
  <si>
    <t>ea = SQRT((t*uy)^2 + (t*ub)^2)</t>
  </si>
  <si>
    <t>x ± ex = ((y - b) ±  ea) / (m ± t*um)</t>
  </si>
  <si>
    <t>ex = x*SQRT((ea/(y-b))^2 + (t*um/m)^2)</t>
  </si>
  <si>
    <t>ef = [F-]*(ln 10)*ex</t>
  </si>
  <si>
    <t>[F-] ± ef = 10^(x ± ex)</t>
  </si>
  <si>
    <t>Standard deviation/SQRT(number of data points)</t>
  </si>
  <si>
    <t>ub (mV) and um (mV/ppm)</t>
  </si>
  <si>
    <t>function in excel</t>
  </si>
  <si>
    <t>From LINEST output: LINEST(y values, x values, 1, 1)</t>
  </si>
  <si>
    <t>TINV(0.05,df) function in excel, df from LINEST output</t>
  </si>
  <si>
    <t>(Average cell potential - intercept) / slope</t>
  </si>
  <si>
    <t>10^(log10 [F-])</t>
  </si>
  <si>
    <t>[F-] g /(10^6 g)*(1g/mL)*(100 mL)/mass of toothpaste (g) *(10^6)</t>
  </si>
  <si>
    <t>Error in mass, es (g)</t>
  </si>
  <si>
    <t>Original [F-] ± eg = ([F-] ± ef)/(10^6)*(1)*</t>
  </si>
  <si>
    <t xml:space="preserve">(100 ± 0.08)/(mass of toothpaste ± es)*(10^6) </t>
  </si>
  <si>
    <t>1 ppm = 1 g of solute/(10^6) g of solution</t>
  </si>
  <si>
    <t>Error Propagation Formula</t>
  </si>
  <si>
    <t>General Propagation Formula</t>
  </si>
  <si>
    <t>ea (mV)</t>
  </si>
  <si>
    <t>ex (ppm)</t>
  </si>
  <si>
    <t>ef (ppm)</t>
  </si>
  <si>
    <t>eg (ppm)</t>
  </si>
  <si>
    <t>error in weight % of F- in toothpaste, ew (%)</t>
  </si>
  <si>
    <t>error in original [F-] in toothpaste, eg (ppm)</t>
  </si>
  <si>
    <t>Weight % of [F-] in toothpaste (%)</t>
  </si>
  <si>
    <t>[F-] g /(10^6 g)*(1g/mL)*(100 mL)/mass of toothpaste (g) *(100%)</t>
  </si>
  <si>
    <t>Weight % [F-] ± ew = ([F-] ± ef)/(10^6)*(1)*</t>
  </si>
  <si>
    <t xml:space="preserve">(100 ± 0.08)/(mass of toothpaste ± es)*(100) </t>
  </si>
  <si>
    <t xml:space="preserve">ew = Weight % [F-]*SQRT((ef/[F-])^2 + (0.08/100)^2 + </t>
  </si>
  <si>
    <t>(es/mass of toothpaste)^2)</t>
  </si>
  <si>
    <t>eg = Original [F-]*SQRT((ef/[F-])^2 + (0.08/100)^2 +</t>
  </si>
  <si>
    <t xml:space="preserve"> (es/mass of toothpaste)^2)</t>
  </si>
  <si>
    <t>m (mV/ppm)</t>
  </si>
  <si>
    <t>b (mV)</t>
  </si>
  <si>
    <t>sy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</si>
</sst>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2" fillId="0" borderId="1" xfId="0" quotePrefix="1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  <a:r>
              <a:rPr lang="en-US" baseline="0"/>
              <a:t> curve of Fluoride 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rgbClr val="00B0F0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07-4D91-B96E-C3E521ED6AD4}"/>
              </c:ext>
            </c:extLst>
          </c:dPt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436516399105829E-2"/>
                  <c:y val="-0.193926783459434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-58.665x + 42.675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0.9932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'Calibration curve'!$I$3:$I$8</c:f>
                <c:numCache>
                  <c:formatCode>General</c:formatCode>
                  <c:ptCount val="6"/>
                  <c:pt idx="0">
                    <c:v>0.49799598391955052</c:v>
                  </c:pt>
                  <c:pt idx="1">
                    <c:v>0.50299105359837204</c:v>
                  </c:pt>
                  <c:pt idx="2">
                    <c:v>0.10853570840972111</c:v>
                  </c:pt>
                  <c:pt idx="3">
                    <c:v>0.47222875812470405</c:v>
                  </c:pt>
                  <c:pt idx="4">
                    <c:v>0.14832396974191225</c:v>
                  </c:pt>
                  <c:pt idx="5">
                    <c:v>0.28635642126552691</c:v>
                  </c:pt>
                </c:numCache>
              </c:numRef>
            </c:plus>
            <c:minus>
              <c:numRef>
                <c:f>'Calibration curve'!$I$3:$I$8</c:f>
                <c:numCache>
                  <c:formatCode>General</c:formatCode>
                  <c:ptCount val="6"/>
                  <c:pt idx="0">
                    <c:v>0.49799598391955052</c:v>
                  </c:pt>
                  <c:pt idx="1">
                    <c:v>0.50299105359837204</c:v>
                  </c:pt>
                  <c:pt idx="2">
                    <c:v>0.10853570840972111</c:v>
                  </c:pt>
                  <c:pt idx="3">
                    <c:v>0.47222875812470405</c:v>
                  </c:pt>
                  <c:pt idx="4">
                    <c:v>0.14832396974191225</c:v>
                  </c:pt>
                  <c:pt idx="5">
                    <c:v>0.28635642126552691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curve'!$B$3:$B$8</c:f>
              <c:numCache>
                <c:formatCode>0.0000</c:formatCode>
                <c:ptCount val="6"/>
                <c:pt idx="0">
                  <c:v>0.10337605525728816</c:v>
                </c:pt>
                <c:pt idx="1">
                  <c:v>0.40440605092126936</c:v>
                </c:pt>
                <c:pt idx="2">
                  <c:v>0.7054360465852505</c:v>
                </c:pt>
                <c:pt idx="3">
                  <c:v>1.0064660422492318</c:v>
                </c:pt>
                <c:pt idx="4">
                  <c:v>1.307496037913213</c:v>
                </c:pt>
                <c:pt idx="5">
                  <c:v>0.53618423271510318</c:v>
                </c:pt>
              </c:numCache>
            </c:numRef>
          </c:xVal>
          <c:yVal>
            <c:numRef>
              <c:f>'Calibration curve'!$H$3:$H$8</c:f>
              <c:numCache>
                <c:formatCode>0.0</c:formatCode>
                <c:ptCount val="6"/>
                <c:pt idx="0">
                  <c:v>39.44</c:v>
                </c:pt>
                <c:pt idx="1">
                  <c:v>15.84</c:v>
                </c:pt>
                <c:pt idx="2" formatCode="0.00">
                  <c:v>-0.16599999999999998</c:v>
                </c:pt>
                <c:pt idx="3">
                  <c:v>-15.439999999999998</c:v>
                </c:pt>
                <c:pt idx="4">
                  <c:v>-33.220000000000006</c:v>
                </c:pt>
                <c:pt idx="5">
                  <c:v>11.22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5-4C9B-A757-A0DEBD934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609183"/>
        <c:axId val="339612511"/>
      </c:scatterChart>
      <c:valAx>
        <c:axId val="33960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log10[F-]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(ppm)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12511"/>
        <c:crossesAt val="-40"/>
        <c:crossBetween val="midCat"/>
        <c:minorUnit val="5.000000000000001E-2"/>
      </c:valAx>
      <c:valAx>
        <c:axId val="339612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Average cell potential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09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250839</xdr:colOff>
      <xdr:row>9</xdr:row>
      <xdr:rowOff>139471</xdr:rowOff>
    </xdr:from>
    <xdr:to>
      <xdr:col>13</xdr:col>
      <xdr:colOff>159900</xdr:colOff>
      <xdr:row>28</xdr:row>
      <xdr:rowOff>133608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L1" zoomScale="115" zoomScaleNormal="115" workbookViewId="0">
      <selection activeCell="F8" sqref="F8"/>
    </sheetView>
  </sheetViews>
  <sheetFormatPr defaultRowHeight="15" x14ac:dyDescent="0.25"/>
  <cols>
    <col min="1" max="1" width="41" customWidth="1"/>
    <col min="8" max="8" width="22.140625" customWidth="1"/>
    <col min="9" max="9" width="16.7109375" customWidth="1"/>
    <col min="11" max="11" width="60.140625" customWidth="1"/>
    <col min="12" max="12" width="79.5703125" customWidth="1"/>
  </cols>
  <sheetData>
    <row r="1" spans="1:12" x14ac:dyDescent="0.25">
      <c r="A1" s="6" t="s">
        <v>4</v>
      </c>
      <c r="B1" s="44">
        <v>1015</v>
      </c>
      <c r="C1" s="44"/>
      <c r="D1" s="44"/>
      <c r="E1" s="44"/>
      <c r="F1" s="44"/>
      <c r="H1" s="2" t="s">
        <v>10</v>
      </c>
      <c r="I1" s="2" t="s">
        <v>9</v>
      </c>
      <c r="K1" s="45" t="s">
        <v>50</v>
      </c>
      <c r="L1" s="45"/>
    </row>
    <row r="2" spans="1:12" x14ac:dyDescent="0.25">
      <c r="A2" s="6" t="s">
        <v>7</v>
      </c>
      <c r="B2" s="44">
        <v>3</v>
      </c>
      <c r="C2" s="44"/>
      <c r="D2" s="44"/>
      <c r="E2" s="44"/>
      <c r="F2" s="44"/>
      <c r="H2" s="3" t="s">
        <v>11</v>
      </c>
      <c r="I2" s="3">
        <v>6.0000000000000001E-3</v>
      </c>
      <c r="K2" s="17" t="s">
        <v>59</v>
      </c>
      <c r="L2" s="22" t="s">
        <v>51</v>
      </c>
    </row>
    <row r="3" spans="1:12" x14ac:dyDescent="0.25">
      <c r="A3" s="6" t="s">
        <v>5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H3" s="3" t="s">
        <v>12</v>
      </c>
      <c r="I3" s="3">
        <v>0.03</v>
      </c>
      <c r="K3" s="21" t="s">
        <v>60</v>
      </c>
      <c r="L3" s="22" t="s">
        <v>52</v>
      </c>
    </row>
    <row r="4" spans="1:12" x14ac:dyDescent="0.25">
      <c r="A4" s="6" t="s">
        <v>6</v>
      </c>
      <c r="B4" s="4">
        <f>2*B1/100</f>
        <v>20.3</v>
      </c>
      <c r="C4" s="4">
        <f>25/50*B4</f>
        <v>10.15</v>
      </c>
      <c r="D4" s="5">
        <f>25/50*C4</f>
        <v>5.0750000000000002</v>
      </c>
      <c r="E4" s="5">
        <f t="shared" ref="E4:F4" si="0">25/50*D4</f>
        <v>2.5375000000000001</v>
      </c>
      <c r="F4" s="5">
        <f t="shared" si="0"/>
        <v>1.26875</v>
      </c>
      <c r="H4" s="3" t="s">
        <v>13</v>
      </c>
      <c r="I4" s="3">
        <v>0.05</v>
      </c>
      <c r="K4" s="45" t="s">
        <v>8</v>
      </c>
      <c r="L4" s="45"/>
    </row>
    <row r="5" spans="1:12" x14ac:dyDescent="0.25">
      <c r="A5" s="6" t="s">
        <v>8</v>
      </c>
      <c r="B5" s="4">
        <f>B4*(SQRT((0.006/2)^2+(B2/$B$1)^2+(0.08/100)^2))</f>
        <v>8.7020386117277151E-2</v>
      </c>
      <c r="C5" s="4">
        <f>C4*SQRT((0.03/25)^2+(0.05/50)^2+(B5/B4)^2)</f>
        <v>4.6308873879635649E-2</v>
      </c>
      <c r="D5" s="5">
        <f t="shared" ref="D5:E5" si="1">D4*SQRT((0.03/25)^2+(0.05/50)^2+(C5/C4)^2)</f>
        <v>2.4473897830137321E-2</v>
      </c>
      <c r="E5" s="5">
        <f t="shared" si="1"/>
        <v>1.2862886534522493E-2</v>
      </c>
      <c r="F5" s="5">
        <f>F4*SQRT((0.03/25)^2+(0.05/50)^2+(E5/E4)^2)</f>
        <v>6.7298733504056385E-3</v>
      </c>
      <c r="H5" s="3" t="s">
        <v>14</v>
      </c>
      <c r="I5" s="12">
        <v>0.08</v>
      </c>
      <c r="K5" s="28" t="s">
        <v>40</v>
      </c>
      <c r="L5" s="29" t="s">
        <v>61</v>
      </c>
    </row>
    <row r="6" spans="1:12" x14ac:dyDescent="0.25">
      <c r="I6" s="1"/>
      <c r="K6" s="30" t="s">
        <v>54</v>
      </c>
      <c r="L6" s="26" t="s">
        <v>63</v>
      </c>
    </row>
    <row r="7" spans="1:12" x14ac:dyDescent="0.25">
      <c r="K7" s="31" t="s">
        <v>53</v>
      </c>
      <c r="L7" s="27" t="s">
        <v>55</v>
      </c>
    </row>
    <row r="8" spans="1:12" x14ac:dyDescent="0.25">
      <c r="K8" s="30" t="s">
        <v>58</v>
      </c>
      <c r="L8" s="26" t="s">
        <v>64</v>
      </c>
    </row>
    <row r="9" spans="1:12" x14ac:dyDescent="0.25">
      <c r="K9" s="31" t="s">
        <v>56</v>
      </c>
      <c r="L9" s="27" t="s">
        <v>57</v>
      </c>
    </row>
    <row r="10" spans="1:12" x14ac:dyDescent="0.25">
      <c r="K10" s="48" t="s">
        <v>62</v>
      </c>
      <c r="L10" s="49"/>
    </row>
    <row r="11" spans="1:12" x14ac:dyDescent="0.25">
      <c r="K11" s="46" t="s">
        <v>65</v>
      </c>
      <c r="L11" s="47"/>
    </row>
    <row r="12" spans="1:12" x14ac:dyDescent="0.25">
      <c r="K12" s="21" t="s">
        <v>40</v>
      </c>
      <c r="L12" s="21" t="s">
        <v>44</v>
      </c>
    </row>
    <row r="13" spans="1:12" x14ac:dyDescent="0.25">
      <c r="K13" s="20" t="s">
        <v>42</v>
      </c>
      <c r="L13" s="20" t="s">
        <v>45</v>
      </c>
    </row>
    <row r="14" spans="1:12" x14ac:dyDescent="0.25">
      <c r="K14" s="20" t="s">
        <v>41</v>
      </c>
      <c r="L14" s="20" t="s">
        <v>46</v>
      </c>
    </row>
    <row r="15" spans="1:12" x14ac:dyDescent="0.25">
      <c r="K15" s="20" t="s">
        <v>43</v>
      </c>
      <c r="L15" s="20" t="s">
        <v>47</v>
      </c>
    </row>
  </sheetData>
  <mergeCells count="6">
    <mergeCell ref="B2:F2"/>
    <mergeCell ref="B1:F1"/>
    <mergeCell ref="K1:L1"/>
    <mergeCell ref="K11:L11"/>
    <mergeCell ref="K4:L4"/>
    <mergeCell ref="K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"/>
  <sheetViews>
    <sheetView zoomScale="85" zoomScaleNormal="85" workbookViewId="0">
      <selection activeCell="C8" sqref="C8:G8"/>
    </sheetView>
  </sheetViews>
  <sheetFormatPr defaultRowHeight="15" x14ac:dyDescent="0.25"/>
  <cols>
    <col min="1" max="1" width="21.42578125" customWidth="1"/>
    <col min="2" max="2" width="34.7109375" customWidth="1"/>
    <col min="3" max="3" width="13.140625" bestFit="1" customWidth="1"/>
    <col min="6" max="6" width="13.140625" bestFit="1" customWidth="1"/>
    <col min="9" max="10" width="25.28515625" customWidth="1"/>
    <col min="12" max="12" width="13.42578125" customWidth="1"/>
    <col min="15" max="15" width="16.140625" customWidth="1"/>
    <col min="17" max="17" width="35.42578125" customWidth="1"/>
    <col min="18" max="18" width="46.7109375" customWidth="1"/>
  </cols>
  <sheetData>
    <row r="1" spans="1:18" ht="15.75" x14ac:dyDescent="0.25">
      <c r="A1" s="51" t="s">
        <v>3</v>
      </c>
      <c r="B1" s="51" t="s">
        <v>16</v>
      </c>
      <c r="C1" s="52" t="s">
        <v>0</v>
      </c>
      <c r="D1" s="53"/>
      <c r="E1" s="53"/>
      <c r="F1" s="53"/>
      <c r="G1" s="53"/>
      <c r="H1" s="53"/>
      <c r="I1" s="53"/>
      <c r="J1" s="54"/>
      <c r="L1" s="46" t="s">
        <v>17</v>
      </c>
      <c r="M1" s="50"/>
      <c r="N1" s="50"/>
      <c r="O1" s="47"/>
      <c r="Q1" s="45" t="s">
        <v>66</v>
      </c>
      <c r="R1" s="45"/>
    </row>
    <row r="2" spans="1:18" ht="15.75" x14ac:dyDescent="0.25">
      <c r="A2" s="51"/>
      <c r="B2" s="51"/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 t="s">
        <v>1</v>
      </c>
      <c r="I2" s="19" t="s">
        <v>2</v>
      </c>
      <c r="J2" s="19" t="s">
        <v>48</v>
      </c>
      <c r="L2" s="2" t="s">
        <v>113</v>
      </c>
      <c r="M2" s="3">
        <f t="array" ref="M2:N6">LINEST(H3:H7,B3:B7,1,1)</f>
        <v>-58.665250155710808</v>
      </c>
      <c r="N2" s="3">
        <v>42.67538214177938</v>
      </c>
      <c r="O2" s="2" t="s">
        <v>114</v>
      </c>
      <c r="Q2" s="23" t="s">
        <v>67</v>
      </c>
      <c r="R2" s="22" t="s">
        <v>68</v>
      </c>
    </row>
    <row r="3" spans="1:18" x14ac:dyDescent="0.25">
      <c r="A3" s="7">
        <v>1.26875</v>
      </c>
      <c r="B3" s="8">
        <f>LOG10(A3)</f>
        <v>0.10337605525728816</v>
      </c>
      <c r="C3" s="9">
        <v>39</v>
      </c>
      <c r="D3" s="9">
        <v>38.9</v>
      </c>
      <c r="E3" s="9">
        <v>39.5</v>
      </c>
      <c r="F3" s="9">
        <v>40.1</v>
      </c>
      <c r="G3" s="9">
        <v>39.700000000000003</v>
      </c>
      <c r="H3" s="9">
        <f t="shared" ref="H3:H8" si="0">AVERAGE(C3:G3)</f>
        <v>39.44</v>
      </c>
      <c r="I3" s="9">
        <f>STDEV(C3:G3)</f>
        <v>0.49799598391955052</v>
      </c>
      <c r="J3" s="9">
        <f>I3*(10^3)/H3</f>
        <v>12.626673020272579</v>
      </c>
      <c r="L3" s="2" t="s">
        <v>36</v>
      </c>
      <c r="M3" s="3">
        <v>2.8005471279254763</v>
      </c>
      <c r="N3" s="3">
        <v>2.3074845150238761</v>
      </c>
      <c r="O3" s="2" t="s">
        <v>32</v>
      </c>
      <c r="Q3" s="23" t="s">
        <v>72</v>
      </c>
      <c r="R3" s="22" t="s">
        <v>69</v>
      </c>
    </row>
    <row r="4" spans="1:18" x14ac:dyDescent="0.25">
      <c r="A4" s="7">
        <v>2.5375000000000001</v>
      </c>
      <c r="B4" s="8">
        <f t="shared" ref="B4:B7" si="1">LOG10(A4)</f>
        <v>0.40440605092126936</v>
      </c>
      <c r="C4" s="9">
        <v>15.8</v>
      </c>
      <c r="D4" s="9">
        <v>15</v>
      </c>
      <c r="E4" s="9">
        <v>16.3</v>
      </c>
      <c r="F4" s="9">
        <v>16.100000000000001</v>
      </c>
      <c r="G4" s="9">
        <v>16</v>
      </c>
      <c r="H4" s="9">
        <f t="shared" si="0"/>
        <v>15.84</v>
      </c>
      <c r="I4" s="9">
        <f>STDEV(C4:G4)</f>
        <v>0.50299105359837204</v>
      </c>
      <c r="J4" s="9">
        <f>I4*(10^3)/H4</f>
        <v>31.754485706967934</v>
      </c>
      <c r="L4" s="2" t="s">
        <v>18</v>
      </c>
      <c r="M4" s="3">
        <v>0.99320974407122842</v>
      </c>
      <c r="N4" s="3">
        <v>2.6659540381134406</v>
      </c>
      <c r="O4" s="2" t="s">
        <v>115</v>
      </c>
      <c r="Q4" s="23" t="s">
        <v>70</v>
      </c>
      <c r="R4" s="22" t="s">
        <v>71</v>
      </c>
    </row>
    <row r="5" spans="1:18" x14ac:dyDescent="0.25">
      <c r="A5" s="7">
        <v>5.0750000000000002</v>
      </c>
      <c r="B5" s="8">
        <f t="shared" si="1"/>
        <v>0.7054360465852505</v>
      </c>
      <c r="C5" s="10">
        <v>-0.15</v>
      </c>
      <c r="D5" s="10">
        <v>0</v>
      </c>
      <c r="E5" s="10">
        <v>-0.3</v>
      </c>
      <c r="F5" s="10">
        <v>-0.18</v>
      </c>
      <c r="G5" s="10">
        <v>-0.2</v>
      </c>
      <c r="H5" s="10">
        <f t="shared" si="0"/>
        <v>-0.16599999999999998</v>
      </c>
      <c r="I5" s="9">
        <f>STDEV(C5:G5)</f>
        <v>0.10853570840972111</v>
      </c>
      <c r="J5" s="9">
        <f t="shared" ref="J5:J7" si="2">I5*(10^3)/H5</f>
        <v>-653.82956873325975</v>
      </c>
      <c r="L5" s="2" t="s">
        <v>19</v>
      </c>
      <c r="M5" s="3">
        <v>438.80956233010772</v>
      </c>
      <c r="N5" s="3">
        <v>3</v>
      </c>
      <c r="O5" s="2" t="s">
        <v>21</v>
      </c>
      <c r="Q5" s="23" t="s">
        <v>48</v>
      </c>
      <c r="R5" s="22" t="s">
        <v>73</v>
      </c>
    </row>
    <row r="6" spans="1:18" x14ac:dyDescent="0.25">
      <c r="A6" s="7">
        <v>10.15</v>
      </c>
      <c r="B6" s="8">
        <f t="shared" si="1"/>
        <v>1.0064660422492318</v>
      </c>
      <c r="C6" s="9">
        <v>-15.2</v>
      </c>
      <c r="D6" s="9">
        <v>-15.1</v>
      </c>
      <c r="E6" s="9">
        <v>-15.9</v>
      </c>
      <c r="F6" s="9">
        <v>-16</v>
      </c>
      <c r="G6" s="9">
        <v>-15</v>
      </c>
      <c r="H6" s="9">
        <f t="shared" si="0"/>
        <v>-15.439999999999998</v>
      </c>
      <c r="I6" s="9">
        <f>STDEV(C6:G6)</f>
        <v>0.47222875812470405</v>
      </c>
      <c r="J6" s="9">
        <f t="shared" si="2"/>
        <v>-30.584764127247674</v>
      </c>
      <c r="L6" s="2" t="s">
        <v>20</v>
      </c>
      <c r="M6" s="3">
        <v>3118.7560000000008</v>
      </c>
      <c r="N6" s="3">
        <v>21.321932800000077</v>
      </c>
      <c r="O6" s="2" t="s">
        <v>22</v>
      </c>
      <c r="Q6" s="32" t="s">
        <v>74</v>
      </c>
      <c r="R6" s="33" t="s">
        <v>75</v>
      </c>
    </row>
    <row r="7" spans="1:18" x14ac:dyDescent="0.25">
      <c r="A7" s="7">
        <v>20.3</v>
      </c>
      <c r="B7" s="8">
        <f t="shared" si="1"/>
        <v>1.307496037913213</v>
      </c>
      <c r="C7" s="9">
        <v>-33</v>
      </c>
      <c r="D7" s="9">
        <v>-33.200000000000003</v>
      </c>
      <c r="E7" s="9">
        <v>-33.4</v>
      </c>
      <c r="F7" s="9">
        <v>-33.200000000000003</v>
      </c>
      <c r="G7" s="9">
        <v>-33.299999999999997</v>
      </c>
      <c r="H7" s="9">
        <f t="shared" si="0"/>
        <v>-33.220000000000006</v>
      </c>
      <c r="I7" s="9">
        <f>_xlfn.STDEV.S(C7:G7)</f>
        <v>0.14832396974191225</v>
      </c>
      <c r="J7" s="9">
        <f t="shared" si="2"/>
        <v>-4.4648997514121689</v>
      </c>
    </row>
    <row r="8" spans="1:18" x14ac:dyDescent="0.25">
      <c r="A8" s="41">
        <v>3.43703720050397</v>
      </c>
      <c r="B8" s="40">
        <v>0.53618423271510318</v>
      </c>
      <c r="C8" s="38">
        <v>11</v>
      </c>
      <c r="D8" s="38">
        <v>11.4</v>
      </c>
      <c r="E8" s="38">
        <v>10.9</v>
      </c>
      <c r="F8" s="38">
        <v>11.2</v>
      </c>
      <c r="G8" s="38">
        <v>11.6</v>
      </c>
      <c r="H8" s="38">
        <f t="shared" si="0"/>
        <v>11.22</v>
      </c>
      <c r="I8" s="38">
        <f>STDEV(C8:G8)</f>
        <v>0.28635642126552691</v>
      </c>
      <c r="J8" s="42">
        <f>I8/H8*10^3</f>
        <v>25.521962679636978</v>
      </c>
    </row>
    <row r="15" spans="1:18" x14ac:dyDescent="0.25">
      <c r="B15" t="s">
        <v>15</v>
      </c>
    </row>
    <row r="31" ht="15" customHeight="1" x14ac:dyDescent="0.25"/>
    <row r="32" ht="15" customHeight="1" x14ac:dyDescent="0.25"/>
    <row r="48" ht="15" customHeight="1" x14ac:dyDescent="0.25"/>
    <row r="49" ht="15" customHeight="1" x14ac:dyDescent="0.25"/>
  </sheetData>
  <mergeCells count="5">
    <mergeCell ref="L1:O1"/>
    <mergeCell ref="A1:A2"/>
    <mergeCell ref="B1:B2"/>
    <mergeCell ref="C1:J1"/>
    <mergeCell ref="Q1:R1"/>
  </mergeCells>
  <pageMargins left="0.7" right="0.7" top="0.75" bottom="0.75" header="0.3" footer="0.3"/>
  <pageSetup orientation="portrait" r:id="rId1"/>
  <ignoredErrors>
    <ignoredError sqref="I7" formula="1"/>
    <ignoredError sqref="H8:I8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zoomScaleNormal="100" workbookViewId="0">
      <selection activeCell="R3" sqref="R3"/>
    </sheetView>
  </sheetViews>
  <sheetFormatPr defaultRowHeight="15" x14ac:dyDescent="0.25"/>
  <cols>
    <col min="1" max="1" width="41.140625" customWidth="1"/>
    <col min="2" max="2" width="17.5703125" style="1" customWidth="1"/>
    <col min="4" max="4" width="13.7109375" customWidth="1"/>
    <col min="5" max="5" width="30.5703125" customWidth="1"/>
    <col min="6" max="6" width="11.5703125" style="1" bestFit="1" customWidth="1"/>
    <col min="7" max="7" width="19.85546875" customWidth="1"/>
    <col min="9" max="9" width="21.28515625" customWidth="1"/>
    <col min="10" max="10" width="17.7109375" customWidth="1"/>
    <col min="11" max="11" width="10" customWidth="1"/>
    <col min="12" max="12" width="10.7109375" customWidth="1"/>
    <col min="13" max="13" width="10.5703125" customWidth="1"/>
    <col min="14" max="14" width="11.7109375" customWidth="1"/>
    <col min="16" max="16" width="12.42578125" customWidth="1"/>
    <col min="17" max="17" width="20.140625" customWidth="1"/>
    <col min="18" max="18" width="13.7109375" bestFit="1" customWidth="1"/>
    <col min="20" max="20" width="40.28515625" customWidth="1"/>
    <col min="21" max="21" width="58" customWidth="1"/>
  </cols>
  <sheetData>
    <row r="1" spans="1:21" ht="15.75" x14ac:dyDescent="0.25">
      <c r="A1" s="16" t="s">
        <v>23</v>
      </c>
      <c r="B1" s="13">
        <v>120.38</v>
      </c>
      <c r="D1" s="45" t="s">
        <v>17</v>
      </c>
      <c r="E1" s="45"/>
      <c r="F1" s="45"/>
      <c r="G1" s="45"/>
      <c r="I1" s="51" t="s">
        <v>3</v>
      </c>
      <c r="J1" s="51" t="s">
        <v>16</v>
      </c>
      <c r="K1" s="52" t="s">
        <v>0</v>
      </c>
      <c r="L1" s="53"/>
      <c r="M1" s="53"/>
      <c r="N1" s="53"/>
      <c r="O1" s="53"/>
      <c r="P1" s="53"/>
      <c r="Q1" s="53"/>
      <c r="R1" s="54"/>
      <c r="T1" s="46" t="s">
        <v>66</v>
      </c>
      <c r="U1" s="47"/>
    </row>
    <row r="2" spans="1:21" ht="15.75" x14ac:dyDescent="0.25">
      <c r="A2" s="16" t="s">
        <v>24</v>
      </c>
      <c r="B2" s="13">
        <v>120.6024</v>
      </c>
      <c r="D2" s="21" t="s">
        <v>113</v>
      </c>
      <c r="E2" s="20">
        <v>-58.665250155710801</v>
      </c>
      <c r="F2" s="20">
        <v>42.67538214177938</v>
      </c>
      <c r="G2" s="21" t="s">
        <v>114</v>
      </c>
      <c r="I2" s="51"/>
      <c r="J2" s="51"/>
      <c r="K2" s="11">
        <v>1</v>
      </c>
      <c r="L2" s="11">
        <v>2</v>
      </c>
      <c r="M2" s="11">
        <v>3</v>
      </c>
      <c r="N2" s="11">
        <v>4</v>
      </c>
      <c r="O2" s="11">
        <v>5</v>
      </c>
      <c r="P2" s="19" t="s">
        <v>1</v>
      </c>
      <c r="Q2" s="19" t="s">
        <v>2</v>
      </c>
      <c r="R2" s="16" t="s">
        <v>48</v>
      </c>
      <c r="T2" s="29" t="s">
        <v>29</v>
      </c>
      <c r="U2" s="26" t="s">
        <v>85</v>
      </c>
    </row>
    <row r="3" spans="1:21" x14ac:dyDescent="0.25">
      <c r="A3" s="16" t="s">
        <v>25</v>
      </c>
      <c r="B3" s="20">
        <f>B2-B1</f>
        <v>0.22240000000000748</v>
      </c>
      <c r="D3" s="21" t="s">
        <v>36</v>
      </c>
      <c r="E3" s="20">
        <v>2.8005471279254763</v>
      </c>
      <c r="F3" s="20">
        <v>2.3074845150238761</v>
      </c>
      <c r="G3" s="21" t="s">
        <v>32</v>
      </c>
      <c r="I3" s="7" t="s">
        <v>30</v>
      </c>
      <c r="J3" s="8" t="s">
        <v>30</v>
      </c>
      <c r="K3" s="9">
        <v>11</v>
      </c>
      <c r="L3" s="9">
        <v>11.4</v>
      </c>
      <c r="M3" s="9">
        <v>10.9</v>
      </c>
      <c r="N3" s="9">
        <v>11.2</v>
      </c>
      <c r="O3" s="9">
        <v>11.6</v>
      </c>
      <c r="P3" s="9">
        <f>AVERAGE(K3:O3)</f>
        <v>11.22</v>
      </c>
      <c r="Q3" s="9">
        <f>STDEV(K3:O3)</f>
        <v>0.28635642126552691</v>
      </c>
      <c r="R3" s="18">
        <f>Q3/P3*10^3</f>
        <v>25.521962679636978</v>
      </c>
      <c r="T3" s="29" t="s">
        <v>86</v>
      </c>
      <c r="U3" s="24" t="s">
        <v>88</v>
      </c>
    </row>
    <row r="4" spans="1:21" x14ac:dyDescent="0.25">
      <c r="A4" s="17" t="s">
        <v>93</v>
      </c>
      <c r="B4" s="13">
        <f>SQRT(0.001^2+0.001^2)</f>
        <v>1.414213562373095E-3</v>
      </c>
      <c r="D4" s="21" t="s">
        <v>18</v>
      </c>
      <c r="E4" s="20">
        <v>0.99320974407122842</v>
      </c>
      <c r="F4" s="20">
        <v>2.6659540381134401</v>
      </c>
      <c r="G4" s="21" t="s">
        <v>115</v>
      </c>
      <c r="T4" s="34"/>
      <c r="U4" s="25" t="s">
        <v>87</v>
      </c>
    </row>
    <row r="5" spans="1:21" x14ac:dyDescent="0.25">
      <c r="D5" s="21" t="s">
        <v>19</v>
      </c>
      <c r="E5" s="20">
        <v>438.80956233010772</v>
      </c>
      <c r="F5" s="20">
        <v>3</v>
      </c>
      <c r="G5" s="21" t="s">
        <v>21</v>
      </c>
      <c r="T5" s="34" t="s">
        <v>33</v>
      </c>
      <c r="U5" s="27" t="s">
        <v>89</v>
      </c>
    </row>
    <row r="6" spans="1:21" x14ac:dyDescent="0.25">
      <c r="A6" s="46" t="s">
        <v>28</v>
      </c>
      <c r="B6" s="47"/>
      <c r="D6" s="21" t="s">
        <v>20</v>
      </c>
      <c r="E6" s="20">
        <v>3118.7560000000008</v>
      </c>
      <c r="F6" s="20">
        <v>21.321932800000077</v>
      </c>
      <c r="G6" s="21" t="s">
        <v>22</v>
      </c>
      <c r="T6" s="21" t="s">
        <v>16</v>
      </c>
      <c r="U6" s="22" t="s">
        <v>90</v>
      </c>
    </row>
    <row r="7" spans="1:21" x14ac:dyDescent="0.25">
      <c r="A7" s="17" t="s">
        <v>72</v>
      </c>
      <c r="B7" s="18">
        <f>P3</f>
        <v>11.22</v>
      </c>
      <c r="D7" s="55" t="s">
        <v>26</v>
      </c>
      <c r="E7" s="56"/>
      <c r="F7" s="44" t="s">
        <v>27</v>
      </c>
      <c r="G7" s="44"/>
      <c r="T7" s="21" t="s">
        <v>31</v>
      </c>
      <c r="U7" s="22" t="s">
        <v>91</v>
      </c>
    </row>
    <row r="8" spans="1:21" x14ac:dyDescent="0.25">
      <c r="A8" s="17" t="s">
        <v>16</v>
      </c>
      <c r="B8" s="5">
        <f>(B7-F2)/E2</f>
        <v>0.53618423271510318</v>
      </c>
      <c r="E8" s="45" t="s">
        <v>39</v>
      </c>
      <c r="F8" s="45"/>
      <c r="T8" s="48" t="s">
        <v>96</v>
      </c>
      <c r="U8" s="49"/>
    </row>
    <row r="9" spans="1:21" x14ac:dyDescent="0.25">
      <c r="A9" s="17" t="s">
        <v>31</v>
      </c>
      <c r="B9" s="5">
        <f>10^B8</f>
        <v>3.43703720050397</v>
      </c>
      <c r="E9" s="17" t="s">
        <v>29</v>
      </c>
      <c r="F9" s="5">
        <f>Q3/SQRT(5)</f>
        <v>0.12806248474865689</v>
      </c>
      <c r="T9" s="21" t="s">
        <v>76</v>
      </c>
      <c r="U9" s="22" t="s">
        <v>92</v>
      </c>
    </row>
    <row r="10" spans="1:21" x14ac:dyDescent="0.25">
      <c r="A10" s="17" t="s">
        <v>49</v>
      </c>
      <c r="B10" s="5">
        <f>B9/(10^6)*100/B3*100</f>
        <v>0.15454303959100066</v>
      </c>
      <c r="E10" s="14" t="s">
        <v>32</v>
      </c>
      <c r="F10" s="5">
        <f>F3</f>
        <v>2.3074845150238761</v>
      </c>
      <c r="T10" s="28" t="s">
        <v>105</v>
      </c>
      <c r="U10" s="22" t="s">
        <v>106</v>
      </c>
    </row>
    <row r="11" spans="1:21" x14ac:dyDescent="0.25">
      <c r="A11" s="17" t="s">
        <v>103</v>
      </c>
      <c r="B11" s="5">
        <f>B10*SQRT(((F21/F20)^2)+((B4/B3)^2))</f>
        <v>5.3211279752281425E-2</v>
      </c>
      <c r="E11" s="14" t="s">
        <v>36</v>
      </c>
      <c r="F11" s="5">
        <f>E3</f>
        <v>2.8005471279254763</v>
      </c>
      <c r="T11" s="61" t="s">
        <v>97</v>
      </c>
      <c r="U11" s="62"/>
    </row>
    <row r="12" spans="1:21" x14ac:dyDescent="0.25">
      <c r="A12" s="17" t="s">
        <v>76</v>
      </c>
      <c r="B12" s="43">
        <f>F22</f>
        <v>1545.4303959100066</v>
      </c>
      <c r="E12" s="14" t="s">
        <v>33</v>
      </c>
      <c r="F12" s="5">
        <f>TINV(0.05,3)</f>
        <v>3.1824463052837091</v>
      </c>
      <c r="T12" s="57" t="s">
        <v>77</v>
      </c>
      <c r="U12" s="58"/>
    </row>
    <row r="13" spans="1:21" x14ac:dyDescent="0.25">
      <c r="A13" s="17" t="s">
        <v>104</v>
      </c>
      <c r="B13" s="43">
        <f>F23</f>
        <v>532.11423382092028</v>
      </c>
      <c r="E13" s="14" t="s">
        <v>35</v>
      </c>
      <c r="F13" s="5">
        <f>F12*F9</f>
        <v>0.40755198143381449</v>
      </c>
      <c r="T13" s="59" t="s">
        <v>78</v>
      </c>
      <c r="U13" s="60"/>
    </row>
    <row r="14" spans="1:21" x14ac:dyDescent="0.25">
      <c r="E14" s="14" t="s">
        <v>34</v>
      </c>
      <c r="F14" s="5">
        <f>F12*F10</f>
        <v>7.3434455693371055</v>
      </c>
      <c r="T14" s="39" t="s">
        <v>40</v>
      </c>
      <c r="U14" s="39" t="s">
        <v>44</v>
      </c>
    </row>
    <row r="15" spans="1:21" x14ac:dyDescent="0.25">
      <c r="E15" s="14" t="s">
        <v>37</v>
      </c>
      <c r="F15" s="5">
        <f>F12*F11</f>
        <v>8.9125908600393355</v>
      </c>
      <c r="T15" s="20" t="s">
        <v>79</v>
      </c>
      <c r="U15" s="22" t="s">
        <v>80</v>
      </c>
    </row>
    <row r="16" spans="1:21" x14ac:dyDescent="0.25">
      <c r="E16" s="14" t="s">
        <v>38</v>
      </c>
      <c r="F16" s="5">
        <f>B8*E2</f>
        <v>-31.455382141779385</v>
      </c>
      <c r="I16" s="15"/>
      <c r="T16" s="20" t="s">
        <v>81</v>
      </c>
      <c r="U16" s="22" t="s">
        <v>82</v>
      </c>
    </row>
    <row r="17" spans="5:21" x14ac:dyDescent="0.25">
      <c r="E17" s="17" t="s">
        <v>99</v>
      </c>
      <c r="F17" s="5">
        <f>SQRT((F13^2)+(F14^2))</f>
        <v>7.3547461851098159</v>
      </c>
      <c r="T17" s="35" t="s">
        <v>84</v>
      </c>
      <c r="U17" s="26" t="s">
        <v>83</v>
      </c>
    </row>
    <row r="18" spans="5:21" x14ac:dyDescent="0.25">
      <c r="E18" s="14" t="s">
        <v>16</v>
      </c>
      <c r="F18" s="5">
        <f>B8</f>
        <v>0.53618423271510318</v>
      </c>
      <c r="T18" s="36" t="s">
        <v>94</v>
      </c>
      <c r="U18" s="26" t="s">
        <v>111</v>
      </c>
    </row>
    <row r="19" spans="5:21" x14ac:dyDescent="0.25">
      <c r="E19" s="14" t="s">
        <v>100</v>
      </c>
      <c r="F19" s="5">
        <f>F18*SQRT(((F17/F16)^2)+((F15/E2)^2))</f>
        <v>0.14950801967304186</v>
      </c>
      <c r="T19" s="37" t="s">
        <v>95</v>
      </c>
      <c r="U19" s="27" t="s">
        <v>112</v>
      </c>
    </row>
    <row r="20" spans="5:21" x14ac:dyDescent="0.25">
      <c r="E20" s="17" t="s">
        <v>31</v>
      </c>
      <c r="F20" s="5">
        <f>B9</f>
        <v>3.43703720050397</v>
      </c>
      <c r="T20" s="36" t="s">
        <v>107</v>
      </c>
      <c r="U20" s="26" t="s">
        <v>109</v>
      </c>
    </row>
    <row r="21" spans="5:21" x14ac:dyDescent="0.25">
      <c r="E21" s="14" t="s">
        <v>101</v>
      </c>
      <c r="F21" s="5">
        <f>(LN(10))*F19*F20</f>
        <v>1.1832170262398094</v>
      </c>
      <c r="T21" s="37" t="s">
        <v>108</v>
      </c>
      <c r="U21" s="27" t="s">
        <v>110</v>
      </c>
    </row>
    <row r="22" spans="5:21" x14ac:dyDescent="0.25">
      <c r="E22" s="17" t="s">
        <v>76</v>
      </c>
      <c r="F22" s="43">
        <f>F20*100/B3</f>
        <v>1545.4303959100066</v>
      </c>
      <c r="T22" s="46" t="s">
        <v>98</v>
      </c>
      <c r="U22" s="47"/>
    </row>
    <row r="23" spans="5:21" x14ac:dyDescent="0.25">
      <c r="E23" s="17" t="s">
        <v>102</v>
      </c>
      <c r="F23" s="43">
        <f>F22*SQRT((B4/B3)^2 + (0.08/100)^2 +(F21/F20)^2)</f>
        <v>532.11423382092028</v>
      </c>
      <c r="T23" s="21" t="s">
        <v>40</v>
      </c>
      <c r="U23" s="21" t="s">
        <v>44</v>
      </c>
    </row>
    <row r="24" spans="5:21" x14ac:dyDescent="0.25">
      <c r="T24" s="20" t="s">
        <v>42</v>
      </c>
      <c r="U24" s="20" t="s">
        <v>45</v>
      </c>
    </row>
    <row r="25" spans="5:21" x14ac:dyDescent="0.25">
      <c r="T25" s="20" t="s">
        <v>41</v>
      </c>
      <c r="U25" s="20" t="s">
        <v>46</v>
      </c>
    </row>
    <row r="26" spans="5:21" x14ac:dyDescent="0.25">
      <c r="T26" s="20" t="s">
        <v>43</v>
      </c>
      <c r="U26" s="20" t="s">
        <v>47</v>
      </c>
    </row>
  </sheetData>
  <mergeCells count="14">
    <mergeCell ref="T22:U22"/>
    <mergeCell ref="D1:G1"/>
    <mergeCell ref="D7:E7"/>
    <mergeCell ref="F7:G7"/>
    <mergeCell ref="T12:U12"/>
    <mergeCell ref="T13:U13"/>
    <mergeCell ref="T1:U1"/>
    <mergeCell ref="T8:U8"/>
    <mergeCell ref="T11:U11"/>
    <mergeCell ref="A6:B6"/>
    <mergeCell ref="E8:F8"/>
    <mergeCell ref="I1:I2"/>
    <mergeCell ref="J1:J2"/>
    <mergeCell ref="K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 Dilutions</vt:lpstr>
      <vt:lpstr>Calibration curve</vt:lpstr>
      <vt:lpstr>Unknown toothpaste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 Here!</dc:creator>
  <cp:lastModifiedBy>Abdul Kadir, Abdul Fayeed</cp:lastModifiedBy>
  <dcterms:created xsi:type="dcterms:W3CDTF">2019-10-30T23:24:53Z</dcterms:created>
  <dcterms:modified xsi:type="dcterms:W3CDTF">2019-11-03T20:52:41Z</dcterms:modified>
</cp:coreProperties>
</file>