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CHEM220 HW stuffs/CHEM 221 lab/"/>
    </mc:Choice>
  </mc:AlternateContent>
  <xr:revisionPtr revIDLastSave="0" documentId="13_ncr:1_{AF8DCEA0-E2B8-5440-83AD-865C57521B20}" xr6:coauthVersionLast="45" xr6:coauthVersionMax="45" xr10:uidLastSave="{00000000-0000-0000-0000-000000000000}"/>
  <bookViews>
    <workbookView xWindow="0" yWindow="0" windowWidth="28800" windowHeight="18000" xr2:uid="{3E23BB69-FD78-B54D-9BE2-EEF33C9C0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" i="1" l="1"/>
  <c r="L11" i="1"/>
  <c r="L10" i="1"/>
  <c r="L7" i="1"/>
  <c r="L9" i="1"/>
  <c r="L6" i="1"/>
  <c r="B17" i="1"/>
  <c r="L8" i="1"/>
  <c r="B7" i="1"/>
  <c r="B8" i="1"/>
  <c r="B9" i="1"/>
  <c r="A9" i="1"/>
  <c r="A8" i="1"/>
  <c r="A7" i="1"/>
  <c r="A6" i="1"/>
  <c r="B6" i="1" s="1"/>
  <c r="A5" i="1"/>
  <c r="B5" i="1" s="1"/>
  <c r="A4" i="1"/>
  <c r="B4" i="1" s="1"/>
  <c r="G4" i="1" l="1"/>
  <c r="H2" i="1"/>
  <c r="G6" i="1"/>
  <c r="H5" i="1"/>
  <c r="L2" i="1" s="1"/>
  <c r="G3" i="1"/>
  <c r="H6" i="1"/>
  <c r="G2" i="1"/>
  <c r="G5" i="1"/>
  <c r="H4" i="1"/>
  <c r="H3" i="1"/>
  <c r="L3" i="1" l="1"/>
  <c r="L5" i="1"/>
  <c r="L4" i="1"/>
  <c r="B20" i="1"/>
  <c r="B21" i="1" s="1"/>
</calcChain>
</file>

<file path=xl/sharedStrings.xml><?xml version="1.0" encoding="utf-8"?>
<sst xmlns="http://schemas.openxmlformats.org/spreadsheetml/2006/main" count="40" uniqueCount="39">
  <si>
    <t>Example Data for Prelab</t>
  </si>
  <si>
    <t>Concentration (M)</t>
  </si>
  <si>
    <t>Average (n = 5)</t>
  </si>
  <si>
    <t>Std. Dev</t>
  </si>
  <si>
    <t>Cell Potential (mV)</t>
  </si>
  <si>
    <t>Fluoride Standards</t>
  </si>
  <si>
    <t>Log[F-] (M)</t>
  </si>
  <si>
    <t>Sample weighed (g)</t>
  </si>
  <si>
    <t>Volume dissolution (mL)</t>
  </si>
  <si>
    <t>n</t>
  </si>
  <si>
    <t>Average response (mV)</t>
  </si>
  <si>
    <t>Error in response (mV)</t>
  </si>
  <si>
    <t>Concentration of F- (M)</t>
  </si>
  <si>
    <t>Mass of F- (g)</t>
  </si>
  <si>
    <t>Weight % of F- (%)</t>
  </si>
  <si>
    <t>Molar mass of F- (g/mol)</t>
  </si>
  <si>
    <t>Error in molar mass (g/mol)</t>
  </si>
  <si>
    <t>LINEST FUNCTION</t>
  </si>
  <si>
    <t>m</t>
  </si>
  <si>
    <t>um</t>
  </si>
  <si>
    <t>b</t>
  </si>
  <si>
    <t>ub</t>
  </si>
  <si>
    <t>sy</t>
  </si>
  <si>
    <t>df</t>
  </si>
  <si>
    <t>Fisher value</t>
  </si>
  <si>
    <t>regression ss</t>
  </si>
  <si>
    <t>R^2</t>
  </si>
  <si>
    <t>residual ss</t>
  </si>
  <si>
    <t>95% CI</t>
  </si>
  <si>
    <t>t*um</t>
  </si>
  <si>
    <t>t table</t>
  </si>
  <si>
    <t>t*ub</t>
  </si>
  <si>
    <t>t* error in average response</t>
  </si>
  <si>
    <t>error in numerator</t>
  </si>
  <si>
    <t xml:space="preserve">numerator value </t>
  </si>
  <si>
    <t>num/denom</t>
  </si>
  <si>
    <t>denominator value</t>
  </si>
  <si>
    <t>error num/denom</t>
  </si>
  <si>
    <t>error in concentration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</si>
</sst>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Prelab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Average (n = 5)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145495691102995"/>
                  <c:y val="-9.40539623098021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Sheet1!$D$4:$D$9</c:f>
                <c:numCache>
                  <c:formatCode>General</c:formatCode>
                  <c:ptCount val="6"/>
                  <c:pt idx="0">
                    <c:v>9.8000000000000007</c:v>
                  </c:pt>
                  <c:pt idx="1">
                    <c:v>7.8</c:v>
                  </c:pt>
                  <c:pt idx="2">
                    <c:v>6.2</c:v>
                  </c:pt>
                  <c:pt idx="3">
                    <c:v>4.4000000000000004</c:v>
                  </c:pt>
                  <c:pt idx="4">
                    <c:v>5.0999999999999996</c:v>
                  </c:pt>
                  <c:pt idx="5">
                    <c:v>3.5</c:v>
                  </c:pt>
                </c:numCache>
              </c:numRef>
            </c:plus>
            <c:minus>
              <c:numRef>
                <c:f>Sheet1!$D$4:$D$9</c:f>
                <c:numCache>
                  <c:formatCode>General</c:formatCode>
                  <c:ptCount val="6"/>
                  <c:pt idx="0">
                    <c:v>9.8000000000000007</c:v>
                  </c:pt>
                  <c:pt idx="1">
                    <c:v>7.8</c:v>
                  </c:pt>
                  <c:pt idx="2">
                    <c:v>6.2</c:v>
                  </c:pt>
                  <c:pt idx="3">
                    <c:v>4.4000000000000004</c:v>
                  </c:pt>
                  <c:pt idx="4">
                    <c:v>5.0999999999999996</c:v>
                  </c:pt>
                  <c:pt idx="5">
                    <c:v>3.5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Sheet1!$B$4:$B$9</c:f>
              <c:numCache>
                <c:formatCode>General</c:formatCode>
                <c:ptCount val="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111</c:v>
                </c:pt>
                <c:pt idx="1">
                  <c:v>63.8</c:v>
                </c:pt>
                <c:pt idx="2">
                  <c:v>5.5</c:v>
                </c:pt>
                <c:pt idx="3">
                  <c:v>-52.9</c:v>
                </c:pt>
                <c:pt idx="4">
                  <c:v>-111.1</c:v>
                </c:pt>
                <c:pt idx="5">
                  <c:v>-168.9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C-564B-935A-40856CAC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651743"/>
        <c:axId val="2140632991"/>
      </c:scatterChart>
      <c:valAx>
        <c:axId val="2139651743"/>
        <c:scaling>
          <c:orientation val="minMax"/>
          <c:max val="-0.5"/>
          <c:min val="-6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</a:t>
                </a:r>
                <a:r>
                  <a:rPr lang="en-US" baseline="0"/>
                  <a:t> [F-]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632991"/>
        <c:crossesAt val="-200"/>
        <c:crossBetween val="midCat"/>
      </c:valAx>
      <c:valAx>
        <c:axId val="2140632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cell potential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651743"/>
        <c:crossesAt val="-6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473150</xdr:colOff>
      <xdr:row>9</xdr:row>
      <xdr:rowOff>184541</xdr:rowOff>
    </xdr:from>
    <xdr:to>
      <xdr:col>7</xdr:col>
      <xdr:colOff>664372</xdr:colOff>
      <xdr:row>23</xdr:row>
      <xdr:rowOff>85614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6570E-1B50-2641-AD63-E6D049E5E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1144-CC79-B24F-B5A1-B0C5032CA419}">
  <dimension ref="A1:L22"/>
  <sheetViews>
    <sheetView tabSelected="1" zoomScale="116" workbookViewId="0">
      <selection activeCell="K1" sqref="K1:L12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3.83203125" customWidth="1"/>
    <col min="6" max="6" width="13.1640625" customWidth="1"/>
    <col min="11" max="11" width="24.83203125" customWidth="1"/>
    <col min="12" max="12" width="19.83203125" customWidth="1"/>
  </cols>
  <sheetData>
    <row r="1" spans="1:12" x14ac:dyDescent="0.2">
      <c r="A1" s="4" t="s">
        <v>0</v>
      </c>
      <c r="B1" s="4"/>
      <c r="C1" s="4"/>
      <c r="D1" s="4"/>
      <c r="F1" s="5" t="s">
        <v>17</v>
      </c>
      <c r="G1" s="8"/>
      <c r="H1" s="8"/>
      <c r="I1" s="6"/>
      <c r="K1" s="10" t="s">
        <v>28</v>
      </c>
      <c r="L1" s="11"/>
    </row>
    <row r="2" spans="1:12" x14ac:dyDescent="0.2">
      <c r="A2" s="5" t="s">
        <v>5</v>
      </c>
      <c r="B2" s="6"/>
      <c r="C2" s="4" t="s">
        <v>4</v>
      </c>
      <c r="D2" s="4"/>
      <c r="F2" s="2" t="s">
        <v>18</v>
      </c>
      <c r="G2" s="9">
        <f>INDEX(LINEST(C4:C9,B4:B9,1,1),1,1)</f>
        <v>-56.645714285714298</v>
      </c>
      <c r="H2" s="9">
        <f>INDEX(LINEST(C4:C9,B4:B9,1,1),1,2)</f>
        <v>-223.69333333333338</v>
      </c>
      <c r="I2" s="2" t="s">
        <v>20</v>
      </c>
      <c r="K2" s="7" t="s">
        <v>30</v>
      </c>
      <c r="L2" s="9">
        <f>TINV(0.05,H5)</f>
        <v>2.7764451051977934</v>
      </c>
    </row>
    <row r="3" spans="1:12" x14ac:dyDescent="0.2">
      <c r="A3" s="2" t="s">
        <v>1</v>
      </c>
      <c r="B3" s="2" t="s">
        <v>6</v>
      </c>
      <c r="C3" s="2" t="s">
        <v>2</v>
      </c>
      <c r="D3" s="2" t="s">
        <v>3</v>
      </c>
      <c r="F3" s="7" t="s">
        <v>19</v>
      </c>
      <c r="G3" s="9">
        <f>INDEX(LINEST(C4:C9,B4:B9,1,1),2,1)</f>
        <v>0.8983855512192277</v>
      </c>
      <c r="H3" s="9">
        <f>INDEX(LINEST(C4:C9,B4:B9,1,1),2,2)</f>
        <v>3.4987090589766652</v>
      </c>
      <c r="I3" s="2" t="s">
        <v>21</v>
      </c>
      <c r="K3" s="7" t="s">
        <v>29</v>
      </c>
      <c r="L3" s="9">
        <f>G3*L2</f>
        <v>2.4943181662630463</v>
      </c>
    </row>
    <row r="4" spans="1:12" x14ac:dyDescent="0.2">
      <c r="A4" s="1">
        <f>1*10^-6</f>
        <v>9.9999999999999995E-7</v>
      </c>
      <c r="B4" s="1">
        <f>LOG10(A4)</f>
        <v>-6</v>
      </c>
      <c r="C4" s="1">
        <v>111</v>
      </c>
      <c r="D4" s="1">
        <v>9.8000000000000007</v>
      </c>
      <c r="F4" s="2" t="s">
        <v>26</v>
      </c>
      <c r="G4" s="9">
        <f>INDEX(LINEST(C4:C9,B4:B9,1,1),3,1)</f>
        <v>0.99899488753472709</v>
      </c>
      <c r="H4" s="9">
        <f>INDEX(LINEST(C4:C9,B4:B9,1,1),3,2)</f>
        <v>3.7582163956045456</v>
      </c>
      <c r="I4" s="2" t="s">
        <v>22</v>
      </c>
      <c r="K4" s="7" t="s">
        <v>31</v>
      </c>
      <c r="L4" s="9">
        <f>L2*H3</f>
        <v>9.7139736413069393</v>
      </c>
    </row>
    <row r="5" spans="1:12" x14ac:dyDescent="0.2">
      <c r="A5" s="1">
        <f>1*10^-5</f>
        <v>1.0000000000000001E-5</v>
      </c>
      <c r="B5" s="1">
        <f t="shared" ref="B5:B9" si="0">LOG10(A5)</f>
        <v>-5</v>
      </c>
      <c r="C5" s="1">
        <v>63.8</v>
      </c>
      <c r="D5" s="1">
        <v>7.8</v>
      </c>
      <c r="F5" s="2" t="s">
        <v>24</v>
      </c>
      <c r="G5" s="9">
        <f>INDEX(LINEST(C4:C9,B4:B9,1,1),4,1)</f>
        <v>3975.6541563274459</v>
      </c>
      <c r="H5" s="9">
        <f>INDEX(LINEST(C4:C9,B4:B9,1,1),4,2)</f>
        <v>4</v>
      </c>
      <c r="I5" s="2" t="s">
        <v>23</v>
      </c>
      <c r="K5" s="7" t="s">
        <v>32</v>
      </c>
      <c r="L5" s="9">
        <f>L2*B16</f>
        <v>14.437514547028526</v>
      </c>
    </row>
    <row r="6" spans="1:12" x14ac:dyDescent="0.2">
      <c r="A6" s="1">
        <f>1*10^-4</f>
        <v>1E-4</v>
      </c>
      <c r="B6" s="1">
        <f t="shared" si="0"/>
        <v>-4</v>
      </c>
      <c r="C6" s="1">
        <v>5.5</v>
      </c>
      <c r="D6" s="1">
        <v>6.2</v>
      </c>
      <c r="F6" s="2" t="s">
        <v>25</v>
      </c>
      <c r="G6" s="9">
        <f>INDEX(LINEST(C4:C9,B4:B9,1,1),5,1)</f>
        <v>56152.896571428573</v>
      </c>
      <c r="H6" s="9">
        <f>INDEX(LINEST(C4:C9,B4:B9,1,1),5,2)</f>
        <v>56.496761904763289</v>
      </c>
      <c r="I6" s="2" t="s">
        <v>27</v>
      </c>
      <c r="K6" s="7" t="s">
        <v>34</v>
      </c>
      <c r="L6" s="9">
        <f>B15-H2</f>
        <v>209.19333333333338</v>
      </c>
    </row>
    <row r="7" spans="1:12" x14ac:dyDescent="0.2">
      <c r="A7" s="1">
        <f>1*10^-3</f>
        <v>1E-3</v>
      </c>
      <c r="B7" s="1">
        <f t="shared" si="0"/>
        <v>-3</v>
      </c>
      <c r="C7" s="1">
        <v>-52.9</v>
      </c>
      <c r="D7" s="1">
        <v>4.4000000000000004</v>
      </c>
      <c r="K7" s="7" t="s">
        <v>33</v>
      </c>
      <c r="L7" s="9">
        <f>SQRT(L4^2 + L5^2)</f>
        <v>17.401238754745776</v>
      </c>
    </row>
    <row r="8" spans="1:12" x14ac:dyDescent="0.2">
      <c r="A8" s="1">
        <f>1*10^-2</f>
        <v>0.01</v>
      </c>
      <c r="B8" s="1">
        <f t="shared" si="0"/>
        <v>-2</v>
      </c>
      <c r="C8" s="1">
        <v>-111.1</v>
      </c>
      <c r="D8" s="1">
        <v>5.0999999999999996</v>
      </c>
      <c r="K8" s="7" t="s">
        <v>36</v>
      </c>
      <c r="L8" s="9">
        <f>G2</f>
        <v>-56.645714285714298</v>
      </c>
    </row>
    <row r="9" spans="1:12" x14ac:dyDescent="0.2">
      <c r="A9" s="1">
        <f>1*10^-1</f>
        <v>0.1</v>
      </c>
      <c r="B9" s="1">
        <f t="shared" si="0"/>
        <v>-1</v>
      </c>
      <c r="C9" s="1">
        <v>-168.9</v>
      </c>
      <c r="D9" s="1">
        <v>3.5</v>
      </c>
      <c r="K9" s="7" t="s">
        <v>35</v>
      </c>
      <c r="L9" s="9">
        <f>L6/L8</f>
        <v>-3.6930125424526716</v>
      </c>
    </row>
    <row r="10" spans="1:12" x14ac:dyDescent="0.2">
      <c r="K10" s="7" t="s">
        <v>37</v>
      </c>
      <c r="L10" s="9">
        <f>(SQRT(((L7/L6)^2)+((L3/L8)^2)))*L9</f>
        <v>-0.34758101521366608</v>
      </c>
    </row>
    <row r="11" spans="1:12" x14ac:dyDescent="0.2">
      <c r="K11" s="7" t="s">
        <v>12</v>
      </c>
      <c r="L11" s="12">
        <f>10^L9</f>
        <v>2.0276241607590457E-4</v>
      </c>
    </row>
    <row r="12" spans="1:12" x14ac:dyDescent="0.2">
      <c r="A12" s="2" t="s">
        <v>7</v>
      </c>
      <c r="B12" s="1">
        <v>0.2215</v>
      </c>
      <c r="K12" s="7" t="s">
        <v>38</v>
      </c>
      <c r="L12" s="12">
        <f>(LN(10))*(L10)*L11</f>
        <v>-1.622778307428248E-4</v>
      </c>
    </row>
    <row r="13" spans="1:12" x14ac:dyDescent="0.2">
      <c r="A13" s="2" t="s">
        <v>8</v>
      </c>
      <c r="B13" s="1">
        <v>100</v>
      </c>
    </row>
    <row r="14" spans="1:12" x14ac:dyDescent="0.2">
      <c r="A14" s="2" t="s">
        <v>9</v>
      </c>
      <c r="B14" s="1">
        <v>5</v>
      </c>
    </row>
    <row r="15" spans="1:12" x14ac:dyDescent="0.2">
      <c r="A15" s="2" t="s">
        <v>10</v>
      </c>
      <c r="B15" s="1">
        <v>-14.5</v>
      </c>
    </row>
    <row r="16" spans="1:12" x14ac:dyDescent="0.2">
      <c r="A16" s="2" t="s">
        <v>11</v>
      </c>
      <c r="B16" s="1">
        <v>5.2</v>
      </c>
    </row>
    <row r="17" spans="1:2" x14ac:dyDescent="0.2">
      <c r="A17" s="2" t="s">
        <v>12</v>
      </c>
      <c r="B17" s="1">
        <f>10^((-B15+H2)/(-G2))</f>
        <v>2.0276241607590457E-4</v>
      </c>
    </row>
    <row r="18" spans="1:2" x14ac:dyDescent="0.2">
      <c r="A18" s="2" t="s">
        <v>15</v>
      </c>
      <c r="B18" s="1">
        <v>18.998000000000001</v>
      </c>
    </row>
    <row r="19" spans="1:2" x14ac:dyDescent="0.2">
      <c r="A19" s="2" t="s">
        <v>16</v>
      </c>
      <c r="B19" s="1">
        <v>4.9999999999999998E-7</v>
      </c>
    </row>
    <row r="20" spans="1:2" x14ac:dyDescent="0.2">
      <c r="A20" s="2" t="s">
        <v>13</v>
      </c>
      <c r="B20" s="1">
        <f>B17*(B13/1000)*(B18)</f>
        <v>3.8520803806100357E-4</v>
      </c>
    </row>
    <row r="21" spans="1:2" x14ac:dyDescent="0.2">
      <c r="A21" s="2" t="s">
        <v>14</v>
      </c>
      <c r="B21" s="13">
        <f>(B20/B12)*100</f>
        <v>0.17390882079503545</v>
      </c>
    </row>
    <row r="22" spans="1:2" x14ac:dyDescent="0.2">
      <c r="A22" s="3"/>
    </row>
  </sheetData>
  <mergeCells count="5">
    <mergeCell ref="A1:D1"/>
    <mergeCell ref="C2:D2"/>
    <mergeCell ref="A2:B2"/>
    <mergeCell ref="F1:I1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2019-10-07T21:47:52Z</dcterms:created>
  <dcterms:modified xsi:type="dcterms:W3CDTF">2019-10-07T22:40:23Z</dcterms:modified>
</cp:coreProperties>
</file>