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ed/Desktop/FALL 2021/CHEM438 - Instrumental Lab/DQF - Determination of Quinine in Tonic Water/"/>
    </mc:Choice>
  </mc:AlternateContent>
  <xr:revisionPtr revIDLastSave="0" documentId="13_ncr:1_{2225E74F-7D8C-A746-8C2C-97E38F121A36}" xr6:coauthVersionLast="47" xr6:coauthVersionMax="47" xr10:uidLastSave="{00000000-0000-0000-0000-000000000000}"/>
  <bookViews>
    <workbookView xWindow="0" yWindow="500" windowWidth="28800" windowHeight="16320" xr2:uid="{F3401545-1791-A346-9E5A-376947243215}"/>
  </bookViews>
  <sheets>
    <sheet name="Prelab" sheetId="1" r:id="rId1"/>
    <sheet name="L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2" l="1"/>
  <c r="L6" i="2"/>
  <c r="L7" i="2"/>
  <c r="L9" i="2"/>
  <c r="L10" i="2"/>
  <c r="L11" i="2"/>
  <c r="K11" i="2"/>
  <c r="J11" i="2"/>
  <c r="D1" i="2"/>
  <c r="H21" i="2" l="1"/>
  <c r="E9" i="2" l="1"/>
  <c r="H20" i="2"/>
  <c r="J7" i="2"/>
  <c r="J8" i="2"/>
  <c r="J9" i="2"/>
  <c r="J10" i="2"/>
  <c r="J6" i="2"/>
  <c r="H19" i="2"/>
  <c r="G15" i="2"/>
  <c r="G16" i="2" s="1"/>
  <c r="G17" i="2" s="1"/>
  <c r="G18" i="2" s="1"/>
  <c r="K8" i="2" l="1"/>
  <c r="K7" i="2"/>
  <c r="E6" i="2"/>
  <c r="K14" i="2" s="1" a="1"/>
  <c r="K6" i="2"/>
  <c r="K10" i="2"/>
  <c r="K9" i="2"/>
  <c r="E7" i="2"/>
  <c r="E10" i="2"/>
  <c r="E8" i="2"/>
  <c r="E3" i="1"/>
  <c r="E4" i="1" s="1"/>
  <c r="E5" i="1" s="1"/>
  <c r="E6" i="1" s="1"/>
  <c r="E7" i="1" s="1"/>
  <c r="E8" i="1" s="1"/>
  <c r="E9" i="1" s="1"/>
  <c r="E10" i="1" s="1"/>
  <c r="E11" i="1" s="1"/>
  <c r="E12" i="1" s="1"/>
  <c r="F2" i="1"/>
  <c r="G2" i="1"/>
  <c r="I2" i="1" s="1"/>
  <c r="J2" i="1" s="1"/>
  <c r="L14" i="2" l="1"/>
  <c r="L15" i="2"/>
  <c r="O5" i="2" s="1"/>
  <c r="L18" i="2"/>
  <c r="L17" i="2"/>
  <c r="Q8" i="2" s="1"/>
  <c r="K18" i="2"/>
  <c r="K17" i="2"/>
  <c r="K14" i="2"/>
  <c r="L16" i="2"/>
  <c r="K16" i="2"/>
  <c r="K15" i="2"/>
  <c r="H2" i="1"/>
  <c r="G3" i="1"/>
  <c r="H22" i="2" l="1"/>
  <c r="H23" i="2" s="1"/>
  <c r="O8" i="2"/>
  <c r="O2" i="2"/>
  <c r="Q2" i="2" s="1"/>
  <c r="O6" i="2"/>
  <c r="H3" i="1"/>
  <c r="I3" i="1"/>
  <c r="J3" i="1" s="1"/>
  <c r="F3" i="1"/>
  <c r="O7" i="2" l="1"/>
  <c r="Q7" i="2" s="1"/>
  <c r="Q9" i="2" s="1"/>
  <c r="G4" i="1"/>
  <c r="F4" i="1"/>
  <c r="O9" i="2" l="1"/>
  <c r="H4" i="1"/>
  <c r="I4" i="1"/>
  <c r="J4" i="1" s="1"/>
  <c r="F5" i="1"/>
  <c r="G5" i="1"/>
  <c r="H5" i="1" l="1"/>
  <c r="I5" i="1"/>
  <c r="J5" i="1" s="1"/>
  <c r="F6" i="1"/>
  <c r="G6" i="1"/>
  <c r="H6" i="1" l="1"/>
  <c r="I6" i="1"/>
  <c r="J6" i="1" s="1"/>
  <c r="F7" i="1"/>
  <c r="G7" i="1"/>
  <c r="H7" i="1" l="1"/>
  <c r="I7" i="1"/>
  <c r="J7" i="1" s="1"/>
  <c r="F8" i="1"/>
  <c r="G8" i="1"/>
  <c r="H8" i="1" l="1"/>
  <c r="I8" i="1"/>
  <c r="J8" i="1" s="1"/>
  <c r="G9" i="1"/>
  <c r="F9" i="1"/>
  <c r="H9" i="1" l="1"/>
  <c r="I9" i="1"/>
  <c r="J9" i="1" s="1"/>
  <c r="G10" i="1"/>
  <c r="F10" i="1"/>
  <c r="H10" i="1" l="1"/>
  <c r="I10" i="1"/>
  <c r="J10" i="1" s="1"/>
  <c r="G11" i="1"/>
  <c r="F11" i="1"/>
  <c r="H11" i="1" l="1"/>
  <c r="I11" i="1"/>
  <c r="J11" i="1" s="1"/>
  <c r="G12" i="1"/>
  <c r="F12" i="1"/>
  <c r="H12" i="1" l="1"/>
  <c r="I12" i="1"/>
  <c r="J12" i="1" s="1"/>
</calcChain>
</file>

<file path=xl/sharedStrings.xml><?xml version="1.0" encoding="utf-8"?>
<sst xmlns="http://schemas.openxmlformats.org/spreadsheetml/2006/main" count="60" uniqueCount="59">
  <si>
    <t>F</t>
  </si>
  <si>
    <t>F (10-fold dilution)</t>
  </si>
  <si>
    <r>
      <t>λ</t>
    </r>
    <r>
      <rPr>
        <b/>
        <vertAlign val="subscript"/>
        <sz val="12"/>
        <color theme="1"/>
        <rFont val="Calibri"/>
        <family val="2"/>
        <scheme val="minor"/>
      </rPr>
      <t>ex</t>
    </r>
    <r>
      <rPr>
        <b/>
        <sz val="12"/>
        <color theme="1"/>
        <rFont val="Calibri"/>
        <family val="2"/>
        <scheme val="minor"/>
      </rPr>
      <t xml:space="preserve"> (nm)</t>
    </r>
  </si>
  <si>
    <r>
      <t>λ</t>
    </r>
    <r>
      <rPr>
        <b/>
        <vertAlign val="subscript"/>
        <sz val="12"/>
        <color theme="1"/>
        <rFont val="Calibri"/>
        <family val="2"/>
        <scheme val="minor"/>
      </rPr>
      <t>em</t>
    </r>
    <r>
      <rPr>
        <b/>
        <sz val="12"/>
        <color theme="1"/>
        <rFont val="Calibri"/>
        <family val="2"/>
        <scheme val="minor"/>
      </rPr>
      <t xml:space="preserve"> (nm)</t>
    </r>
  </si>
  <si>
    <r>
      <t>ε at λ = 340nm (M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cm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)</t>
    </r>
  </si>
  <si>
    <t>Ω</t>
  </si>
  <si>
    <t>b (cm)</t>
  </si>
  <si>
    <r>
      <t>P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</si>
  <si>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c (M)</t>
  </si>
  <si>
    <t>c (10 fold dilution) (M)</t>
  </si>
  <si>
    <t>c (40 fold dilution) (M)</t>
  </si>
  <si>
    <t>F (40-fold dilution)</t>
  </si>
  <si>
    <t>Quinine Sulfate</t>
  </si>
  <si>
    <t>Molar mass (g/mol)</t>
  </si>
  <si>
    <t>Total volume (mL)</t>
  </si>
  <si>
    <t>Mass of quinine sulfate (g)</t>
  </si>
  <si>
    <t>Sample</t>
  </si>
  <si>
    <t>Vol of stock added (mL)</t>
  </si>
  <si>
    <t>Final dilution (mL)</t>
  </si>
  <si>
    <t>Run</t>
  </si>
  <si>
    <t>Average</t>
  </si>
  <si>
    <t>Std. Dev.</t>
  </si>
  <si>
    <r>
      <t>F</t>
    </r>
    <r>
      <rPr>
        <b/>
        <vertAlign val="subscript"/>
        <sz val="12"/>
        <color theme="1"/>
        <rFont val="Times New Roman"/>
        <family val="1"/>
      </rPr>
      <t>1</t>
    </r>
  </si>
  <si>
    <r>
      <t>F</t>
    </r>
    <r>
      <rPr>
        <b/>
        <vertAlign val="subscript"/>
        <sz val="12"/>
        <color theme="1"/>
        <rFont val="Times New Roman"/>
        <family val="1"/>
      </rPr>
      <t>2</t>
    </r>
  </si>
  <si>
    <r>
      <t>F</t>
    </r>
    <r>
      <rPr>
        <b/>
        <vertAlign val="subscript"/>
        <sz val="12"/>
        <color theme="1"/>
        <rFont val="Times New Roman"/>
        <family val="1"/>
      </rPr>
      <t>3</t>
    </r>
  </si>
  <si>
    <r>
      <t>F</t>
    </r>
    <r>
      <rPr>
        <b/>
        <vertAlign val="subscript"/>
        <sz val="12"/>
        <color theme="1"/>
        <rFont val="Times New Roman"/>
        <family val="1"/>
      </rPr>
      <t>avg</t>
    </r>
  </si>
  <si>
    <r>
      <t>F</t>
    </r>
    <r>
      <rPr>
        <b/>
        <vertAlign val="subscript"/>
        <sz val="12"/>
        <color theme="1"/>
        <rFont val="Times New Roman"/>
        <family val="1"/>
      </rPr>
      <t>avg</t>
    </r>
    <r>
      <rPr>
        <b/>
        <sz val="12"/>
        <color theme="1"/>
        <rFont val="Times New Roman"/>
        <family val="1"/>
      </rPr>
      <t xml:space="preserve"> - F</t>
    </r>
    <r>
      <rPr>
        <b/>
        <vertAlign val="subscript"/>
        <sz val="12"/>
        <color theme="1"/>
        <rFont val="Times New Roman"/>
        <family val="1"/>
      </rPr>
      <t>blank</t>
    </r>
  </si>
  <si>
    <r>
      <t>F</t>
    </r>
    <r>
      <rPr>
        <b/>
        <vertAlign val="subscript"/>
        <sz val="12"/>
        <color theme="1"/>
        <rFont val="Times New Roman"/>
        <family val="1"/>
      </rPr>
      <t>blank</t>
    </r>
  </si>
  <si>
    <t>Unknown (Tonic Water)</t>
  </si>
  <si>
    <t>80x diluted</t>
  </si>
  <si>
    <t>Stock Concentration (μM)</t>
  </si>
  <si>
    <t>Concentration (μM)</t>
  </si>
  <si>
    <t>b </t>
  </si>
  <si>
    <r>
      <t>u</t>
    </r>
    <r>
      <rPr>
        <b/>
        <vertAlign val="subscript"/>
        <sz val="12"/>
        <color theme="1"/>
        <rFont val="Times New Roman"/>
        <family val="1"/>
      </rPr>
      <t>b </t>
    </r>
  </si>
  <si>
    <r>
      <t>R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 </t>
    </r>
  </si>
  <si>
    <r>
      <t>s</t>
    </r>
    <r>
      <rPr>
        <b/>
        <vertAlign val="subscript"/>
        <sz val="12"/>
        <color theme="1"/>
        <rFont val="Times New Roman"/>
        <family val="1"/>
      </rPr>
      <t>y</t>
    </r>
  </si>
  <si>
    <t>Fisher value </t>
  </si>
  <si>
    <t>df </t>
  </si>
  <si>
    <t>Regression SOS </t>
  </si>
  <si>
    <t>Residual SOS </t>
  </si>
  <si>
    <t>Concentration of Unknown, 80x (μM)</t>
  </si>
  <si>
    <t xml:space="preserve">Errors </t>
  </si>
  <si>
    <t>Numerator</t>
  </si>
  <si>
    <r>
      <t>Error F</t>
    </r>
    <r>
      <rPr>
        <b/>
        <vertAlign val="subscript"/>
        <sz val="12"/>
        <color theme="1"/>
        <rFont val="Times New Roman"/>
        <family val="1"/>
      </rPr>
      <t>avg</t>
    </r>
    <r>
      <rPr>
        <b/>
        <sz val="12"/>
        <color theme="1"/>
        <rFont val="Times New Roman"/>
        <family val="1"/>
      </rPr>
      <t xml:space="preserve"> - F</t>
    </r>
    <r>
      <rPr>
        <b/>
        <vertAlign val="subscript"/>
        <sz val="12"/>
        <color theme="1"/>
        <rFont val="Times New Roman"/>
        <family val="1"/>
      </rPr>
      <t>blank</t>
    </r>
  </si>
  <si>
    <r>
      <t>t</t>
    </r>
    <r>
      <rPr>
        <b/>
        <vertAlign val="subscript"/>
        <sz val="12"/>
        <color theme="1"/>
        <rFont val="Times New Roman"/>
        <family val="1"/>
      </rPr>
      <t>95%</t>
    </r>
    <r>
      <rPr>
        <b/>
        <vertAlign val="superscript"/>
        <sz val="12"/>
        <color theme="1"/>
        <rFont val="Times New Roman"/>
        <family val="1"/>
      </rPr>
      <t>3</t>
    </r>
  </si>
  <si>
    <t>Concentration of Quinine in Tonic Water (M)</t>
  </si>
  <si>
    <r>
      <t>σ</t>
    </r>
    <r>
      <rPr>
        <b/>
        <vertAlign val="subscript"/>
        <sz val="12"/>
        <color theme="1"/>
        <rFont val="Times New Roman"/>
        <family val="1"/>
      </rPr>
      <t>25-mL pipette</t>
    </r>
    <r>
      <rPr>
        <b/>
        <sz val="12"/>
        <color theme="1"/>
        <rFont val="Times New Roman"/>
        <family val="1"/>
      </rPr>
      <t xml:space="preserve"> (mL)</t>
    </r>
  </si>
  <si>
    <r>
      <t>σ</t>
    </r>
    <r>
      <rPr>
        <b/>
        <vertAlign val="subscript"/>
        <sz val="12"/>
        <color theme="1"/>
        <rFont val="Times New Roman"/>
        <family val="1"/>
      </rPr>
      <t>50-mL vol. flask</t>
    </r>
    <r>
      <rPr>
        <b/>
        <sz val="12"/>
        <color theme="1"/>
        <rFont val="Times New Roman"/>
        <family val="1"/>
      </rPr>
      <t xml:space="preserve"> (mL)</t>
    </r>
  </si>
  <si>
    <r>
      <t>σ</t>
    </r>
    <r>
      <rPr>
        <b/>
        <vertAlign val="subscript"/>
        <sz val="12"/>
        <color theme="1"/>
        <rFont val="Times New Roman"/>
        <family val="1"/>
      </rPr>
      <t>original sample</t>
    </r>
    <r>
      <rPr>
        <b/>
        <sz val="12"/>
        <color theme="1"/>
        <rFont val="Times New Roman"/>
        <family val="1"/>
      </rPr>
      <t xml:space="preserve"> (M)</t>
    </r>
  </si>
  <si>
    <r>
      <t>σ</t>
    </r>
    <r>
      <rPr>
        <b/>
        <vertAlign val="subscript"/>
        <sz val="12"/>
        <color theme="1"/>
        <rFont val="Times New Roman"/>
        <family val="1"/>
      </rPr>
      <t>numerator</t>
    </r>
  </si>
  <si>
    <r>
      <t>σ</t>
    </r>
    <r>
      <rPr>
        <b/>
        <vertAlign val="subscript"/>
        <sz val="12"/>
        <color theme="1"/>
        <rFont val="Times New Roman"/>
        <family val="1"/>
      </rPr>
      <t>x</t>
    </r>
  </si>
  <si>
    <r>
      <t>t*σ</t>
    </r>
    <r>
      <rPr>
        <b/>
        <vertAlign val="subscript"/>
        <sz val="12"/>
        <color theme="1"/>
        <rFont val="Times New Roman"/>
        <family val="1"/>
      </rPr>
      <t>x</t>
    </r>
  </si>
  <si>
    <r>
      <t>t*σ</t>
    </r>
    <r>
      <rPr>
        <b/>
        <vertAlign val="subscript"/>
        <sz val="12"/>
        <color theme="1"/>
        <rFont val="Times New Roman"/>
        <family val="1"/>
      </rPr>
      <t>original sample</t>
    </r>
    <r>
      <rPr>
        <b/>
        <sz val="12"/>
        <color theme="1"/>
        <rFont val="Times New Roman"/>
        <family val="1"/>
      </rPr>
      <t xml:space="preserve"> (M)</t>
    </r>
  </si>
  <si>
    <t>&lt;LOD&gt;</t>
  </si>
  <si>
    <t>&lt;LOD&gt; (μM)</t>
  </si>
  <si>
    <r>
      <t>σ</t>
    </r>
    <r>
      <rPr>
        <b/>
        <vertAlign val="subscript"/>
        <sz val="12"/>
        <color rgb="FF000000"/>
        <rFont val="Times New Roman"/>
        <family val="1"/>
      </rPr>
      <t>&lt;LOD&gt;</t>
    </r>
    <r>
      <rPr>
        <b/>
        <sz val="12"/>
        <color rgb="FF000000"/>
        <rFont val="Times New Roman"/>
        <family val="1"/>
      </rPr>
      <t xml:space="preserve"> (μM)</t>
    </r>
  </si>
  <si>
    <t>LINEST For Calibration Plot</t>
  </si>
  <si>
    <r>
      <t>m (μM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</si>
  <si>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u</t>
    </r>
    <r>
      <rPr>
        <b/>
        <vertAlign val="subscript"/>
        <sz val="12"/>
        <color theme="1"/>
        <rFont val="Times New Roman"/>
        <family val="1"/>
      </rPr>
      <t>m</t>
    </r>
    <r>
      <rPr>
        <b/>
        <sz val="12"/>
        <color theme="1"/>
        <rFont val="Times New Roman"/>
        <family val="1"/>
      </rPr>
      <t xml:space="preserve"> (μM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</si>
</sst>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"/>
    <numFmt numFmtId="166" formatCode="0.0"/>
    <numFmt numFmtId="167" formatCode="0.000"/>
    <numFmt numFmtId="168" formatCode="0.0E+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2"/>
      <color rgb="FF202124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1" fontId="0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11" fontId="6" fillId="0" borderId="0" xfId="0" applyNumberFormat="1" applyFont="1"/>
    <xf numFmtId="2" fontId="6" fillId="0" borderId="1" xfId="0" applyNumberFormat="1" applyFont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6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167" fontId="6" fillId="0" borderId="1" xfId="0" applyNumberFormat="1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8" fontId="6" fillId="0" borderId="1" xfId="0" applyNumberFormat="1" applyFont="1" applyBorder="1" applyAlignment="1">
      <alignment horizontal="center"/>
    </xf>
    <xf numFmtId="167" fontId="6" fillId="0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168" fontId="6" fillId="0" borderId="4" xfId="0" applyNumberFormat="1" applyFont="1" applyBorder="1" applyAlignment="1">
      <alignment horizontal="center"/>
    </xf>
    <xf numFmtId="168" fontId="6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Prelab!$F$1</c:f>
              <c:strCache>
                <c:ptCount val="1"/>
                <c:pt idx="0">
                  <c:v>F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xVal>
            <c:numRef>
              <c:f>Prelab!$E$2:$E$12</c:f>
              <c:numCache>
                <c:formatCode>General</c:formatCode>
                <c:ptCount val="11"/>
                <c:pt idx="0" formatCode="0.0000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 formatCode="0.00000">
                  <c:v>1E-4</c:v>
                </c:pt>
              </c:numCache>
            </c:numRef>
          </c:xVal>
          <c:yVal>
            <c:numRef>
              <c:f>Prelab!$F$2:$F$12</c:f>
              <c:numCache>
                <c:formatCode>0.00000</c:formatCode>
                <c:ptCount val="11"/>
                <c:pt idx="0">
                  <c:v>0</c:v>
                </c:pt>
                <c:pt idx="1">
                  <c:v>7.789410931257193E-2</c:v>
                </c:pt>
                <c:pt idx="2">
                  <c:v>0.12446137980715698</c:v>
                </c:pt>
                <c:pt idx="3">
                  <c:v>0.14915089729064951</c:v>
                </c:pt>
                <c:pt idx="4">
                  <c:v>0.15887830834360397</c:v>
                </c:pt>
                <c:pt idx="5">
                  <c:v>0.15866261945529733</c:v>
                </c:pt>
                <c:pt idx="6">
                  <c:v>0.15210933444516839</c:v>
                </c:pt>
                <c:pt idx="7">
                  <c:v>0.1417759792703274</c:v>
                </c:pt>
                <c:pt idx="8">
                  <c:v>0.1294477787801297</c:v>
                </c:pt>
                <c:pt idx="9">
                  <c:v>0.11634483958348901</c:v>
                </c:pt>
                <c:pt idx="10">
                  <c:v>0.10327723820478561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573-4CAE-9133-EDD636F27468}"/>
            </c:ext>
          </c:extLst>
        </c:ser>
        <c:ser>
          <c:idx val="0"/>
          <c:order val="1"/>
          <c:tx>
            <c:strRef>
              <c:f>Prelab!$F$1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Prelab!$E$2:$E$12</c:f>
              <c:numCache>
                <c:formatCode>General</c:formatCode>
                <c:ptCount val="11"/>
                <c:pt idx="0" formatCode="0.0000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 formatCode="0.00000">
                  <c:v>1E-4</c:v>
                </c:pt>
              </c:numCache>
            </c:numRef>
          </c:xVal>
          <c:yVal>
            <c:numRef>
              <c:f>Prelab!$F$2:$F$12</c:f>
              <c:numCache>
                <c:formatCode>0.00000</c:formatCode>
                <c:ptCount val="11"/>
                <c:pt idx="0">
                  <c:v>0</c:v>
                </c:pt>
                <c:pt idx="1">
                  <c:v>7.789410931257193E-2</c:v>
                </c:pt>
                <c:pt idx="2">
                  <c:v>0.12446137980715698</c:v>
                </c:pt>
                <c:pt idx="3">
                  <c:v>0.14915089729064951</c:v>
                </c:pt>
                <c:pt idx="4">
                  <c:v>0.15887830834360397</c:v>
                </c:pt>
                <c:pt idx="5">
                  <c:v>0.15866261945529733</c:v>
                </c:pt>
                <c:pt idx="6">
                  <c:v>0.15210933444516839</c:v>
                </c:pt>
                <c:pt idx="7">
                  <c:v>0.1417759792703274</c:v>
                </c:pt>
                <c:pt idx="8">
                  <c:v>0.1294477787801297</c:v>
                </c:pt>
                <c:pt idx="9">
                  <c:v>0.11634483958348901</c:v>
                </c:pt>
                <c:pt idx="10">
                  <c:v>0.10327723820478561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73-4CAE-9133-EDD636F27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646143"/>
        <c:axId val="1493662063"/>
      </c:scatterChart>
      <c:valAx>
        <c:axId val="149364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Concentration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93662063"/>
        <c:crosses val="autoZero"/>
        <c:crossBetween val="midCat"/>
      </c:valAx>
      <c:valAx>
        <c:axId val="149366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Fluorescence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936461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Prelab!$H$1</c:f>
              <c:strCache>
                <c:ptCount val="1"/>
                <c:pt idx="0">
                  <c:v>F (10-fold dilution)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Prelab!$G$2:$G$12</c:f>
              <c:numCache>
                <c:formatCode>0.000000</c:formatCode>
                <c:ptCount val="11"/>
                <c:pt idx="0">
                  <c:v>0</c:v>
                </c:pt>
                <c:pt idx="1">
                  <c:v>1.0000000000000002E-6</c:v>
                </c:pt>
                <c:pt idx="2">
                  <c:v>2.0000000000000003E-6</c:v>
                </c:pt>
                <c:pt idx="3">
                  <c:v>3.0000000000000005E-6</c:v>
                </c:pt>
                <c:pt idx="4">
                  <c:v>4.0000000000000007E-6</c:v>
                </c:pt>
                <c:pt idx="5">
                  <c:v>5.0000000000000004E-6</c:v>
                </c:pt>
                <c:pt idx="6">
                  <c:v>6.0000000000000002E-6</c:v>
                </c:pt>
                <c:pt idx="7">
                  <c:v>7.0000000000000007E-6</c:v>
                </c:pt>
                <c:pt idx="8">
                  <c:v>8.0000000000000013E-6</c:v>
                </c:pt>
                <c:pt idx="9">
                  <c:v>9.0000000000000002E-6</c:v>
                </c:pt>
                <c:pt idx="10">
                  <c:v>1.0000000000000001E-5</c:v>
                </c:pt>
              </c:numCache>
            </c:numRef>
          </c:xVal>
          <c:yVal>
            <c:numRef>
              <c:f>Prelab!$H$2:$H$12</c:f>
              <c:numCache>
                <c:formatCode>0.000000</c:formatCode>
                <c:ptCount val="11"/>
                <c:pt idx="0">
                  <c:v>0</c:v>
                </c:pt>
                <c:pt idx="1">
                  <c:v>9.5335492771748478E-3</c:v>
                </c:pt>
                <c:pt idx="2">
                  <c:v>1.8643807552886367E-2</c:v>
                </c:pt>
                <c:pt idx="3">
                  <c:v>2.7344870464554884E-2</c:v>
                </c:pt>
                <c:pt idx="4">
                  <c:v>3.5650416417339764E-2</c:v>
                </c:pt>
                <c:pt idx="5">
                  <c:v>4.35737181623733E-2</c:v>
                </c:pt>
                <c:pt idx="6">
                  <c:v>5.1127654066549462E-2</c:v>
                </c:pt>
                <c:pt idx="7">
                  <c:v>5.8324719081856206E-2</c:v>
                </c:pt>
                <c:pt idx="8">
                  <c:v>6.5177035422037358E-2</c:v>
                </c:pt>
                <c:pt idx="9">
                  <c:v>7.1696362954172699E-2</c:v>
                </c:pt>
                <c:pt idx="10">
                  <c:v>7.789410931257193E-2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48F-431E-9795-9774BAC4A04F}"/>
            </c:ext>
          </c:extLst>
        </c:ser>
        <c:ser>
          <c:idx val="0"/>
          <c:order val="1"/>
          <c:tx>
            <c:strRef>
              <c:f>Prelab!$H$1</c:f>
              <c:strCache>
                <c:ptCount val="1"/>
                <c:pt idx="0">
                  <c:v>F (10-fold dilution)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Prelab!$G$2:$G$12</c:f>
              <c:numCache>
                <c:formatCode>0.000000</c:formatCode>
                <c:ptCount val="11"/>
                <c:pt idx="0">
                  <c:v>0</c:v>
                </c:pt>
                <c:pt idx="1">
                  <c:v>1.0000000000000002E-6</c:v>
                </c:pt>
                <c:pt idx="2">
                  <c:v>2.0000000000000003E-6</c:v>
                </c:pt>
                <c:pt idx="3">
                  <c:v>3.0000000000000005E-6</c:v>
                </c:pt>
                <c:pt idx="4">
                  <c:v>4.0000000000000007E-6</c:v>
                </c:pt>
                <c:pt idx="5">
                  <c:v>5.0000000000000004E-6</c:v>
                </c:pt>
                <c:pt idx="6">
                  <c:v>6.0000000000000002E-6</c:v>
                </c:pt>
                <c:pt idx="7">
                  <c:v>7.0000000000000007E-6</c:v>
                </c:pt>
                <c:pt idx="8">
                  <c:v>8.0000000000000013E-6</c:v>
                </c:pt>
                <c:pt idx="9">
                  <c:v>9.0000000000000002E-6</c:v>
                </c:pt>
                <c:pt idx="10">
                  <c:v>1.0000000000000001E-5</c:v>
                </c:pt>
              </c:numCache>
            </c:numRef>
          </c:xVal>
          <c:yVal>
            <c:numRef>
              <c:f>Prelab!$H$2:$H$12</c:f>
              <c:numCache>
                <c:formatCode>0.000000</c:formatCode>
                <c:ptCount val="11"/>
                <c:pt idx="0">
                  <c:v>0</c:v>
                </c:pt>
                <c:pt idx="1">
                  <c:v>9.5335492771748478E-3</c:v>
                </c:pt>
                <c:pt idx="2">
                  <c:v>1.8643807552886367E-2</c:v>
                </c:pt>
                <c:pt idx="3">
                  <c:v>2.7344870464554884E-2</c:v>
                </c:pt>
                <c:pt idx="4">
                  <c:v>3.5650416417339764E-2</c:v>
                </c:pt>
                <c:pt idx="5">
                  <c:v>4.35737181623733E-2</c:v>
                </c:pt>
                <c:pt idx="6">
                  <c:v>5.1127654066549462E-2</c:v>
                </c:pt>
                <c:pt idx="7">
                  <c:v>5.8324719081856206E-2</c:v>
                </c:pt>
                <c:pt idx="8">
                  <c:v>6.5177035422037358E-2</c:v>
                </c:pt>
                <c:pt idx="9">
                  <c:v>7.1696362954172699E-2</c:v>
                </c:pt>
                <c:pt idx="10">
                  <c:v>7.789410931257193E-2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48F-431E-9795-9774BAC4A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646143"/>
        <c:axId val="1493662063"/>
      </c:scatterChart>
      <c:valAx>
        <c:axId val="149364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Concentration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93662063"/>
        <c:crosses val="autoZero"/>
        <c:crossBetween val="midCat"/>
      </c:valAx>
      <c:valAx>
        <c:axId val="149366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Fluorescence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936461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Prelab!$H$1</c:f>
              <c:strCache>
                <c:ptCount val="1"/>
                <c:pt idx="0">
                  <c:v>F (10-fold dilution)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Prelab!$I$2:$I$12</c:f>
              <c:numCache>
                <c:formatCode>0.00E+00</c:formatCode>
                <c:ptCount val="11"/>
                <c:pt idx="0">
                  <c:v>0</c:v>
                </c:pt>
                <c:pt idx="1">
                  <c:v>2.5000000000000005E-8</c:v>
                </c:pt>
                <c:pt idx="2">
                  <c:v>5.0000000000000011E-8</c:v>
                </c:pt>
                <c:pt idx="3">
                  <c:v>7.500000000000001E-8</c:v>
                </c:pt>
                <c:pt idx="4">
                  <c:v>1.0000000000000002E-7</c:v>
                </c:pt>
                <c:pt idx="5">
                  <c:v>1.2500000000000002E-7</c:v>
                </c:pt>
                <c:pt idx="6">
                  <c:v>1.4999999999999999E-7</c:v>
                </c:pt>
                <c:pt idx="7">
                  <c:v>1.7500000000000002E-7</c:v>
                </c:pt>
                <c:pt idx="8">
                  <c:v>2.0000000000000004E-7</c:v>
                </c:pt>
                <c:pt idx="9">
                  <c:v>2.2500000000000002E-7</c:v>
                </c:pt>
                <c:pt idx="10">
                  <c:v>2.5000000000000004E-7</c:v>
                </c:pt>
              </c:numCache>
            </c:numRef>
          </c:xVal>
          <c:yVal>
            <c:numRef>
              <c:f>Prelab!$J$2:$J$12</c:f>
              <c:numCache>
                <c:formatCode>0.000000</c:formatCode>
                <c:ptCount val="11"/>
                <c:pt idx="0">
                  <c:v>0</c:v>
                </c:pt>
                <c:pt idx="1">
                  <c:v>2.4361323244970727E-4</c:v>
                </c:pt>
                <c:pt idx="2">
                  <c:v>4.8695308327872884E-4</c:v>
                </c:pt>
                <c:pt idx="3">
                  <c:v>7.3001978257773899E-4</c:v>
                </c:pt>
                <c:pt idx="4">
                  <c:v>9.7281356026527428E-4</c:v>
                </c:pt>
                <c:pt idx="5">
                  <c:v>1.215334646087854E-3</c:v>
                </c:pt>
                <c:pt idx="6">
                  <c:v>1.4575832696201005E-3</c:v>
                </c:pt>
                <c:pt idx="7">
                  <c:v>1.6995596602648621E-3</c:v>
                </c:pt>
                <c:pt idx="8">
                  <c:v>1.9412640472533302E-3</c:v>
                </c:pt>
                <c:pt idx="9">
                  <c:v>2.1826966596451606E-3</c:v>
                </c:pt>
                <c:pt idx="10">
                  <c:v>2.4238577263285968E-3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95-4628-9984-201BEF6CE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646143"/>
        <c:axId val="1493662063"/>
      </c:scatterChart>
      <c:valAx>
        <c:axId val="149364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Concentration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93662063"/>
        <c:crosses val="autoZero"/>
        <c:crossBetween val="midCat"/>
      </c:valAx>
      <c:valAx>
        <c:axId val="149366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Fluorescence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936461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Lab!$K$5</c:f>
              <c:strCache>
                <c:ptCount val="1"/>
                <c:pt idx="0">
                  <c:v>Favg - Fblank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Lab!$E$6:$E$10</c:f>
              <c:numCache>
                <c:formatCode>0.00</c:formatCode>
                <c:ptCount val="5"/>
                <c:pt idx="0">
                  <c:v>13.282926330847042</c:v>
                </c:pt>
                <c:pt idx="1">
                  <c:v>9.2980484315929282</c:v>
                </c:pt>
                <c:pt idx="2">
                  <c:v>6.641463165423521</c:v>
                </c:pt>
                <c:pt idx="3">
                  <c:v>1.3282926330847042</c:v>
                </c:pt>
                <c:pt idx="4">
                  <c:v>0.66414631654235212</c:v>
                </c:pt>
              </c:numCache>
            </c:numRef>
          </c:xVal>
          <c:yVal>
            <c:numRef>
              <c:f>Lab!$K$6:$K$10</c:f>
              <c:numCache>
                <c:formatCode>0</c:formatCode>
                <c:ptCount val="5"/>
                <c:pt idx="0">
                  <c:v>9448.2000000000007</c:v>
                </c:pt>
                <c:pt idx="1">
                  <c:v>7082.2</c:v>
                </c:pt>
                <c:pt idx="2">
                  <c:v>5426.8666666666668</c:v>
                </c:pt>
                <c:pt idx="3">
                  <c:v>1166.2</c:v>
                </c:pt>
                <c:pt idx="4">
                  <c:v>645.5333333333333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DA-4968-A65B-B29344160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855327"/>
        <c:axId val="1551756287"/>
      </c:scatterChart>
      <c:valAx>
        <c:axId val="155185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Concentration of Quinine Sulfate </a:t>
                </a:r>
                <a:r>
                  <a:rPr lang="en-US" b="1" baseline="0"/>
                  <a:t>(</a:t>
                </a:r>
                <a:r>
                  <a:rPr lang="el-GR" sz="1000" b="1" i="0" u="none" strike="noStrike" baseline="0">
                    <a:effectLst/>
                  </a:rPr>
                  <a:t>μ</a:t>
                </a:r>
                <a:r>
                  <a:rPr lang="en-US" sz="1000" b="1" i="0" u="none" strike="noStrike" baseline="0">
                    <a:effectLst/>
                  </a:rPr>
                  <a:t>M)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51756287"/>
        <c:crosses val="autoZero"/>
        <c:crossBetween val="midCat"/>
      </c:valAx>
      <c:valAx>
        <c:axId val="1551756287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Fluorescence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5185532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536797</xdr:colOff>
      <xdr:row>12</xdr:row>
      <xdr:rowOff>21708</xdr:rowOff>
    </xdr:from>
    <xdr:to>
      <xdr:col>5</xdr:col>
      <xdr:colOff>78241</xdr:colOff>
      <xdr:row>30</xdr:row>
      <xdr:rowOff>42523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54EEA5-AC8F-634B-AD51-F0AB10C86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275275</xdr:colOff>
      <xdr:row>13</xdr:row>
      <xdr:rowOff>7967</xdr:rowOff>
    </xdr:from>
    <xdr:to>
      <xdr:col>8</xdr:col>
      <xdr:colOff>1672393</xdr:colOff>
      <xdr:row>31</xdr:row>
      <xdr:rowOff>28784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15C4DD-8943-4B17-9863-80BDD6CE3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100353</xdr:colOff>
      <xdr:row>13</xdr:row>
      <xdr:rowOff>149678</xdr:rowOff>
    </xdr:from>
    <xdr:to>
      <xdr:col>14</xdr:col>
      <xdr:colOff>510952</xdr:colOff>
      <xdr:row>31</xdr:row>
      <xdr:rowOff>170494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67DBEB-D550-4370-8C51-CE6469281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1163294</xdr:colOff>
      <xdr:row>11</xdr:row>
      <xdr:rowOff>126164</xdr:rowOff>
    </xdr:from>
    <xdr:to>
      <xdr:col>3</xdr:col>
      <xdr:colOff>1185916</xdr:colOff>
      <xdr:row>29</xdr:row>
      <xdr:rowOff>122592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4125A-5D06-413A-B657-0992E7F9F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6340-7952-E947-9F5F-FA190C63B7FC}">
  <dimension ref="A1:J12"/>
  <sheetViews>
    <sheetView tabSelected="1" zoomScale="125" zoomScaleNormal="100" workbookViewId="0">
      <selection activeCell="S38" sqref="S38"/>
    </sheetView>
  </sheetViews>
  <sheetFormatPr baseColWidth="10" defaultColWidth="11" defaultRowHeight="16" x14ac:dyDescent="0.2"/>
  <cols>
    <col min="1" max="2" width="11" style="2"/>
    <col min="3" max="3" width="30" style="2" customWidth="1"/>
    <col min="4" max="4" width="11" style="2"/>
    <col min="5" max="6" width="12.6640625" style="2" bestFit="1" customWidth="1"/>
    <col min="7" max="7" width="21.6640625" style="2" customWidth="1"/>
    <col min="8" max="8" width="17.1640625" style="2" customWidth="1"/>
    <col min="9" max="9" width="22.5" style="2" customWidth="1"/>
    <col min="10" max="10" width="20.1640625" style="2" customWidth="1"/>
    <col min="11" max="16" width="11" style="2"/>
    <col min="17" max="17" width="18.6640625" style="2" customWidth="1"/>
    <col min="18" max="18" width="11" style="2"/>
    <col min="19" max="19" width="25.83203125" style="2" customWidth="1"/>
    <col min="20" max="20" width="20.6640625" style="2" customWidth="1"/>
    <col min="21" max="21" width="15.6640625" style="2" customWidth="1"/>
    <col min="22" max="22" width="15.5" style="2" customWidth="1"/>
    <col min="23" max="26" width="11" style="2"/>
    <col min="27" max="27" width="21" style="2" customWidth="1"/>
    <col min="28" max="16384" width="11" style="2"/>
  </cols>
  <sheetData>
    <row r="1" spans="1:10" ht="20" x14ac:dyDescent="0.25">
      <c r="A1" s="1" t="s">
        <v>2</v>
      </c>
      <c r="B1" s="1" t="s">
        <v>3</v>
      </c>
      <c r="C1" s="1" t="s">
        <v>4</v>
      </c>
      <c r="E1" s="1" t="s">
        <v>8</v>
      </c>
      <c r="F1" s="1" t="s">
        <v>0</v>
      </c>
      <c r="G1" s="1" t="s">
        <v>9</v>
      </c>
      <c r="H1" s="1" t="s">
        <v>1</v>
      </c>
      <c r="I1" s="1" t="s">
        <v>10</v>
      </c>
      <c r="J1" s="1" t="s">
        <v>11</v>
      </c>
    </row>
    <row r="2" spans="1:10" x14ac:dyDescent="0.2">
      <c r="A2" s="3">
        <v>340</v>
      </c>
      <c r="B2" s="3">
        <v>460</v>
      </c>
      <c r="C2" s="3">
        <v>9750</v>
      </c>
      <c r="E2" s="6">
        <v>0</v>
      </c>
      <c r="F2" s="6">
        <f t="shared" ref="F2:F12" si="0">$B$5*10^(-$C$2*$B$6*E2)*$B$4*$C$2*E2</f>
        <v>0</v>
      </c>
      <c r="G2" s="5">
        <f t="shared" ref="G2:G12" si="1">E2/10</f>
        <v>0</v>
      </c>
      <c r="H2" s="5">
        <f t="shared" ref="H2:H12" si="2">$B$5*10^(-$C$2*$B$6*G2)*$B$4*$C$2*G2</f>
        <v>0</v>
      </c>
      <c r="I2" s="7">
        <f t="shared" ref="I2:I12" si="3">G2/40</f>
        <v>0</v>
      </c>
      <c r="J2" s="5">
        <f t="shared" ref="J2:J12" si="4">$B$5*10^(-$C$2*$B$6*I2)*$B$4*$C$2*I2</f>
        <v>0</v>
      </c>
    </row>
    <row r="3" spans="1:10" x14ac:dyDescent="0.2">
      <c r="E3" s="3">
        <f t="shared" ref="E3:E12" si="5">E2+0.00001</f>
        <v>1.0000000000000001E-5</v>
      </c>
      <c r="F3" s="6">
        <f t="shared" si="0"/>
        <v>7.789410931257193E-2</v>
      </c>
      <c r="G3" s="5">
        <f t="shared" si="1"/>
        <v>1.0000000000000002E-6</v>
      </c>
      <c r="H3" s="5">
        <f t="shared" si="2"/>
        <v>9.5335492771748478E-3</v>
      </c>
      <c r="I3" s="7">
        <f t="shared" si="3"/>
        <v>2.5000000000000005E-8</v>
      </c>
      <c r="J3" s="5">
        <f t="shared" si="4"/>
        <v>2.4361323244970727E-4</v>
      </c>
    </row>
    <row r="4" spans="1:10" x14ac:dyDescent="0.2">
      <c r="A4" s="4" t="s">
        <v>5</v>
      </c>
      <c r="B4" s="3">
        <v>2</v>
      </c>
      <c r="E4" s="3">
        <f t="shared" si="5"/>
        <v>2.0000000000000002E-5</v>
      </c>
      <c r="F4" s="6">
        <f t="shared" si="0"/>
        <v>0.12446137980715698</v>
      </c>
      <c r="G4" s="5">
        <f t="shared" si="1"/>
        <v>2.0000000000000003E-6</v>
      </c>
      <c r="H4" s="5">
        <f t="shared" si="2"/>
        <v>1.8643807552886367E-2</v>
      </c>
      <c r="I4" s="7">
        <f t="shared" si="3"/>
        <v>5.0000000000000011E-8</v>
      </c>
      <c r="J4" s="5">
        <f t="shared" si="4"/>
        <v>4.8695308327872884E-4</v>
      </c>
    </row>
    <row r="5" spans="1:10" ht="18" x14ac:dyDescent="0.25">
      <c r="A5" s="1" t="s">
        <v>7</v>
      </c>
      <c r="B5" s="3">
        <v>0.5</v>
      </c>
      <c r="E5" s="3">
        <f t="shared" si="5"/>
        <v>3.0000000000000004E-5</v>
      </c>
      <c r="F5" s="6">
        <f t="shared" si="0"/>
        <v>0.14915089729064951</v>
      </c>
      <c r="G5" s="5">
        <f t="shared" si="1"/>
        <v>3.0000000000000005E-6</v>
      </c>
      <c r="H5" s="5">
        <f t="shared" si="2"/>
        <v>2.7344870464554884E-2</v>
      </c>
      <c r="I5" s="7">
        <f t="shared" si="3"/>
        <v>7.500000000000001E-8</v>
      </c>
      <c r="J5" s="5">
        <f t="shared" si="4"/>
        <v>7.3001978257773899E-4</v>
      </c>
    </row>
    <row r="6" spans="1:10" x14ac:dyDescent="0.2">
      <c r="A6" s="1" t="s">
        <v>6</v>
      </c>
      <c r="B6" s="3">
        <v>1</v>
      </c>
      <c r="E6" s="3">
        <f t="shared" si="5"/>
        <v>4.0000000000000003E-5</v>
      </c>
      <c r="F6" s="6">
        <f t="shared" si="0"/>
        <v>0.15887830834360397</v>
      </c>
      <c r="G6" s="5">
        <f t="shared" si="1"/>
        <v>4.0000000000000007E-6</v>
      </c>
      <c r="H6" s="5">
        <f t="shared" si="2"/>
        <v>3.5650416417339764E-2</v>
      </c>
      <c r="I6" s="7">
        <f t="shared" si="3"/>
        <v>1.0000000000000002E-7</v>
      </c>
      <c r="J6" s="5">
        <f t="shared" si="4"/>
        <v>9.7281356026527428E-4</v>
      </c>
    </row>
    <row r="7" spans="1:10" x14ac:dyDescent="0.2">
      <c r="E7" s="3">
        <f t="shared" si="5"/>
        <v>5.0000000000000002E-5</v>
      </c>
      <c r="F7" s="6">
        <f t="shared" si="0"/>
        <v>0.15866261945529733</v>
      </c>
      <c r="G7" s="5">
        <f t="shared" si="1"/>
        <v>5.0000000000000004E-6</v>
      </c>
      <c r="H7" s="5">
        <f t="shared" si="2"/>
        <v>4.35737181623733E-2</v>
      </c>
      <c r="I7" s="7">
        <f t="shared" si="3"/>
        <v>1.2500000000000002E-7</v>
      </c>
      <c r="J7" s="5">
        <f t="shared" si="4"/>
        <v>1.215334646087854E-3</v>
      </c>
    </row>
    <row r="8" spans="1:10" x14ac:dyDescent="0.2">
      <c r="E8" s="3">
        <f t="shared" si="5"/>
        <v>6.0000000000000002E-5</v>
      </c>
      <c r="F8" s="6">
        <f t="shared" si="0"/>
        <v>0.15210933444516839</v>
      </c>
      <c r="G8" s="5">
        <f t="shared" si="1"/>
        <v>6.0000000000000002E-6</v>
      </c>
      <c r="H8" s="5">
        <f t="shared" si="2"/>
        <v>5.1127654066549462E-2</v>
      </c>
      <c r="I8" s="7">
        <f t="shared" si="3"/>
        <v>1.4999999999999999E-7</v>
      </c>
      <c r="J8" s="5">
        <f t="shared" si="4"/>
        <v>1.4575832696201005E-3</v>
      </c>
    </row>
    <row r="9" spans="1:10" x14ac:dyDescent="0.2">
      <c r="E9" s="3">
        <f t="shared" si="5"/>
        <v>7.0000000000000007E-5</v>
      </c>
      <c r="F9" s="6">
        <f t="shared" si="0"/>
        <v>0.1417759792703274</v>
      </c>
      <c r="G9" s="5">
        <f t="shared" si="1"/>
        <v>7.0000000000000007E-6</v>
      </c>
      <c r="H9" s="5">
        <f t="shared" si="2"/>
        <v>5.8324719081856206E-2</v>
      </c>
      <c r="I9" s="7">
        <f t="shared" si="3"/>
        <v>1.7500000000000002E-7</v>
      </c>
      <c r="J9" s="5">
        <f t="shared" si="4"/>
        <v>1.6995596602648621E-3</v>
      </c>
    </row>
    <row r="10" spans="1:10" x14ac:dyDescent="0.2">
      <c r="E10" s="3">
        <f t="shared" si="5"/>
        <v>8.0000000000000007E-5</v>
      </c>
      <c r="F10" s="6">
        <f t="shared" si="0"/>
        <v>0.1294477787801297</v>
      </c>
      <c r="G10" s="5">
        <f t="shared" si="1"/>
        <v>8.0000000000000013E-6</v>
      </c>
      <c r="H10" s="5">
        <f t="shared" si="2"/>
        <v>6.5177035422037358E-2</v>
      </c>
      <c r="I10" s="7">
        <f t="shared" si="3"/>
        <v>2.0000000000000004E-7</v>
      </c>
      <c r="J10" s="5">
        <f t="shared" si="4"/>
        <v>1.9412640472533302E-3</v>
      </c>
    </row>
    <row r="11" spans="1:10" x14ac:dyDescent="0.2">
      <c r="E11" s="3">
        <f t="shared" si="5"/>
        <v>9.0000000000000006E-5</v>
      </c>
      <c r="F11" s="6">
        <f t="shared" si="0"/>
        <v>0.11634483958348901</v>
      </c>
      <c r="G11" s="5">
        <f t="shared" si="1"/>
        <v>9.0000000000000002E-6</v>
      </c>
      <c r="H11" s="5">
        <f t="shared" si="2"/>
        <v>7.1696362954172699E-2</v>
      </c>
      <c r="I11" s="7">
        <f t="shared" si="3"/>
        <v>2.2500000000000002E-7</v>
      </c>
      <c r="J11" s="5">
        <f t="shared" si="4"/>
        <v>2.1826966596451606E-3</v>
      </c>
    </row>
    <row r="12" spans="1:10" x14ac:dyDescent="0.2">
      <c r="E12" s="6">
        <f t="shared" si="5"/>
        <v>1E-4</v>
      </c>
      <c r="F12" s="6">
        <f t="shared" si="0"/>
        <v>0.10327723820478561</v>
      </c>
      <c r="G12" s="5">
        <f t="shared" si="1"/>
        <v>1.0000000000000001E-5</v>
      </c>
      <c r="H12" s="5">
        <f t="shared" si="2"/>
        <v>7.789410931257193E-2</v>
      </c>
      <c r="I12" s="7">
        <f t="shared" si="3"/>
        <v>2.5000000000000004E-7</v>
      </c>
      <c r="J12" s="5">
        <f t="shared" si="4"/>
        <v>2.4238577263285968E-3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B7AC-BF52-43D1-A3B4-6FF42BB3E43E}">
  <dimension ref="A1:Q23"/>
  <sheetViews>
    <sheetView zoomScale="87" zoomScaleNormal="133" workbookViewId="0">
      <selection activeCell="J24" sqref="J24"/>
    </sheetView>
  </sheetViews>
  <sheetFormatPr baseColWidth="10" defaultColWidth="9" defaultRowHeight="16" x14ac:dyDescent="0.2"/>
  <cols>
    <col min="1" max="1" width="28.6640625" style="9" customWidth="1"/>
    <col min="2" max="2" width="9" style="9"/>
    <col min="3" max="3" width="28" style="9" customWidth="1"/>
    <col min="4" max="4" width="22.83203125" style="9" customWidth="1"/>
    <col min="5" max="5" width="19" style="9" customWidth="1"/>
    <col min="6" max="6" width="19.1640625" style="9" customWidth="1"/>
    <col min="7" max="7" width="12.33203125" style="9" customWidth="1"/>
    <col min="8" max="8" width="9" style="9"/>
    <col min="9" max="9" width="12.6640625" style="9" bestFit="1" customWidth="1"/>
    <col min="10" max="10" width="17" style="9" customWidth="1"/>
    <col min="11" max="11" width="11.33203125" style="9" customWidth="1"/>
    <col min="12" max="12" width="17.83203125" style="9" customWidth="1"/>
    <col min="13" max="13" width="17.1640625" style="9" customWidth="1"/>
    <col min="14" max="14" width="16.5" style="9" customWidth="1"/>
    <col min="15" max="15" width="34.5" style="9" customWidth="1"/>
    <col min="16" max="16" width="19.1640625" style="9" customWidth="1"/>
    <col min="17" max="17" width="42" style="9" customWidth="1"/>
    <col min="18" max="16384" width="9" style="9"/>
  </cols>
  <sheetData>
    <row r="1" spans="1:17" x14ac:dyDescent="0.2">
      <c r="A1" s="8" t="s">
        <v>12</v>
      </c>
      <c r="C1" s="8" t="s">
        <v>30</v>
      </c>
      <c r="D1" s="14">
        <f>D3/A3/(D2/1000)/(0.000001)</f>
        <v>33.207315827117604</v>
      </c>
      <c r="N1" s="23"/>
      <c r="O1" s="27" t="s">
        <v>40</v>
      </c>
      <c r="P1" s="26"/>
      <c r="Q1" s="28" t="s">
        <v>45</v>
      </c>
    </row>
    <row r="2" spans="1:17" x14ac:dyDescent="0.2">
      <c r="A2" s="8" t="s">
        <v>13</v>
      </c>
      <c r="C2" s="8" t="s">
        <v>14</v>
      </c>
      <c r="D2" s="10">
        <v>50</v>
      </c>
      <c r="N2" s="24"/>
      <c r="O2" s="36">
        <f>(K11-L14)/K14</f>
        <v>11.259253122369369</v>
      </c>
      <c r="P2" s="24"/>
      <c r="Q2" s="38">
        <f>O2*50/25*40*0.000001</f>
        <v>9.0074024978954953E-4</v>
      </c>
    </row>
    <row r="3" spans="1:17" x14ac:dyDescent="0.2">
      <c r="A3" s="10">
        <v>782.96</v>
      </c>
      <c r="C3" s="8" t="s">
        <v>15</v>
      </c>
      <c r="D3" s="10">
        <v>1.2999999999999999E-3</v>
      </c>
      <c r="N3" s="25"/>
      <c r="O3" s="37"/>
      <c r="P3" s="25"/>
      <c r="Q3" s="39"/>
    </row>
    <row r="4" spans="1:17" x14ac:dyDescent="0.2">
      <c r="N4" s="34" t="s">
        <v>41</v>
      </c>
      <c r="O4" s="35"/>
      <c r="P4" s="34"/>
      <c r="Q4" s="35"/>
    </row>
    <row r="5" spans="1:17" ht="18" x14ac:dyDescent="0.25">
      <c r="C5" s="8" t="s">
        <v>16</v>
      </c>
      <c r="D5" s="8" t="s">
        <v>17</v>
      </c>
      <c r="E5" s="8" t="s">
        <v>31</v>
      </c>
      <c r="F5" s="8" t="s">
        <v>18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43</v>
      </c>
      <c r="N5" s="8" t="s">
        <v>49</v>
      </c>
      <c r="O5" s="30">
        <f>SQRT(L11^2+L15^2)</f>
        <v>257.9314439181918</v>
      </c>
      <c r="P5" s="8" t="s">
        <v>46</v>
      </c>
      <c r="Q5" s="10">
        <v>0.03</v>
      </c>
    </row>
    <row r="6" spans="1:17" ht="18" x14ac:dyDescent="0.25">
      <c r="C6" s="11">
        <v>1</v>
      </c>
      <c r="D6" s="12">
        <v>10</v>
      </c>
      <c r="E6" s="12">
        <f>D6*$D$1/F6</f>
        <v>13.282926330847042</v>
      </c>
      <c r="F6" s="12">
        <v>25</v>
      </c>
      <c r="G6" s="10">
        <v>9800</v>
      </c>
      <c r="H6" s="10">
        <v>9598</v>
      </c>
      <c r="I6" s="10">
        <v>9630</v>
      </c>
      <c r="J6" s="18">
        <f t="shared" ref="J6:J10" si="0">AVERAGE(G6:I6)</f>
        <v>9676</v>
      </c>
      <c r="K6" s="18">
        <f t="shared" ref="K6:K10" si="1">J6-$H$19</f>
        <v>9448.2000000000007</v>
      </c>
      <c r="L6" s="14">
        <f>SQRT((_xlfn.STDEV.S(G6:I6))^2+$H$20^2)</f>
        <v>109.66631205616426</v>
      </c>
      <c r="N6" s="8" t="s">
        <v>42</v>
      </c>
      <c r="O6" s="22">
        <f>K11-L14</f>
        <v>7975.0123456790125</v>
      </c>
      <c r="P6" s="8" t="s">
        <v>47</v>
      </c>
      <c r="Q6" s="10">
        <v>0.05</v>
      </c>
    </row>
    <row r="7" spans="1:17" ht="18" x14ac:dyDescent="0.25">
      <c r="C7" s="11">
        <v>2</v>
      </c>
      <c r="D7" s="12">
        <v>7</v>
      </c>
      <c r="E7" s="12">
        <f>D7*$D$1/F7</f>
        <v>9.2980484315929282</v>
      </c>
      <c r="F7" s="12">
        <v>25</v>
      </c>
      <c r="G7" s="10">
        <v>7336</v>
      </c>
      <c r="H7" s="10">
        <v>7276</v>
      </c>
      <c r="I7" s="10">
        <v>7318</v>
      </c>
      <c r="J7" s="18">
        <f t="shared" si="0"/>
        <v>7310</v>
      </c>
      <c r="K7" s="18">
        <f t="shared" si="1"/>
        <v>7082.2</v>
      </c>
      <c r="L7" s="14">
        <f t="shared" ref="L7:L11" si="2">SQRT((_xlfn.STDEV.S(G7:I7))^2+$H$20^2)</f>
        <v>34.448512304597422</v>
      </c>
      <c r="N7" s="8" t="s">
        <v>50</v>
      </c>
      <c r="O7" s="22">
        <f>O2*SQRT((O5/O6)^2+(K15/K14)^2)</f>
        <v>0.59526869915516201</v>
      </c>
      <c r="P7" s="8" t="s">
        <v>48</v>
      </c>
      <c r="Q7" s="29">
        <f>Q2*SQRT((O7/O2)^2+(Q6/50)^2+(Q5/25)^2)</f>
        <v>4.7642276681062869E-5</v>
      </c>
    </row>
    <row r="8" spans="1:17" ht="19" x14ac:dyDescent="0.25">
      <c r="C8" s="11">
        <v>3</v>
      </c>
      <c r="D8" s="12">
        <v>5</v>
      </c>
      <c r="E8" s="12">
        <f>D8*$D$1/F8</f>
        <v>6.641463165423521</v>
      </c>
      <c r="F8" s="12">
        <v>25</v>
      </c>
      <c r="G8" s="10">
        <v>5501</v>
      </c>
      <c r="H8" s="32">
        <v>5755</v>
      </c>
      <c r="I8" s="10">
        <v>5708</v>
      </c>
      <c r="J8" s="18">
        <f t="shared" si="0"/>
        <v>5654.666666666667</v>
      </c>
      <c r="K8" s="18">
        <f t="shared" si="1"/>
        <v>5426.8666666666668</v>
      </c>
      <c r="L8" s="14">
        <f>SQRT((_xlfn.STDEV.S(G8:I8))^2+$H$20^2)</f>
        <v>136.0185036431931</v>
      </c>
      <c r="N8" s="8" t="s">
        <v>44</v>
      </c>
      <c r="O8" s="22">
        <f>TINV(0.05,L17)</f>
        <v>3.1824463052837091</v>
      </c>
      <c r="P8" s="8" t="s">
        <v>44</v>
      </c>
      <c r="Q8" s="22">
        <f>TINV(0.05,L17)</f>
        <v>3.1824463052837091</v>
      </c>
    </row>
    <row r="9" spans="1:17" ht="18" x14ac:dyDescent="0.25">
      <c r="C9" s="11">
        <v>4</v>
      </c>
      <c r="D9" s="12">
        <v>1</v>
      </c>
      <c r="E9" s="12">
        <f>D9*$D$1/F9</f>
        <v>1.3282926330847042</v>
      </c>
      <c r="F9" s="12">
        <v>25</v>
      </c>
      <c r="G9" s="11">
        <v>1381</v>
      </c>
      <c r="H9" s="11">
        <v>1450</v>
      </c>
      <c r="I9" s="11">
        <v>1351</v>
      </c>
      <c r="J9" s="18">
        <f t="shared" si="0"/>
        <v>1394</v>
      </c>
      <c r="K9" s="18">
        <f t="shared" si="1"/>
        <v>1166.2</v>
      </c>
      <c r="L9" s="14">
        <f t="shared" si="2"/>
        <v>53.063169901542821</v>
      </c>
      <c r="N9" s="8" t="s">
        <v>51</v>
      </c>
      <c r="O9" s="17">
        <f>O8*O7</f>
        <v>1.894410672277385</v>
      </c>
      <c r="P9" s="8" t="s">
        <v>52</v>
      </c>
      <c r="Q9" s="29">
        <f>Q7*Q8</f>
        <v>1.5161898739895273E-4</v>
      </c>
    </row>
    <row r="10" spans="1:17" x14ac:dyDescent="0.2">
      <c r="C10" s="11">
        <v>5</v>
      </c>
      <c r="D10" s="12">
        <v>0.5</v>
      </c>
      <c r="E10" s="12">
        <f>D10*$D$1/F10</f>
        <v>0.66414631654235212</v>
      </c>
      <c r="F10" s="12">
        <v>25</v>
      </c>
      <c r="G10" s="11">
        <v>856</v>
      </c>
      <c r="H10" s="11">
        <v>905</v>
      </c>
      <c r="I10" s="11">
        <v>859</v>
      </c>
      <c r="J10" s="18">
        <f t="shared" si="0"/>
        <v>873.33333333333337</v>
      </c>
      <c r="K10" s="18">
        <f t="shared" si="1"/>
        <v>645.5333333333333</v>
      </c>
      <c r="L10" s="14">
        <f t="shared" si="2"/>
        <v>31.512431409418941</v>
      </c>
    </row>
    <row r="11" spans="1:17" x14ac:dyDescent="0.2">
      <c r="C11" s="10" t="s">
        <v>28</v>
      </c>
      <c r="D11" s="15"/>
      <c r="E11" s="10" t="s">
        <v>29</v>
      </c>
      <c r="F11" s="16"/>
      <c r="G11" s="11">
        <v>8411</v>
      </c>
      <c r="H11" s="11">
        <v>8573</v>
      </c>
      <c r="I11" s="11">
        <v>8620</v>
      </c>
      <c r="J11" s="18">
        <f>AVERAGE(G11:I11)</f>
        <v>8534.6666666666661</v>
      </c>
      <c r="K11" s="18">
        <f>J11-$H$19</f>
        <v>8306.8666666666668</v>
      </c>
      <c r="L11" s="14">
        <f t="shared" si="2"/>
        <v>110.72955040698636</v>
      </c>
    </row>
    <row r="12" spans="1:17" x14ac:dyDescent="0.2">
      <c r="E12" s="13"/>
    </row>
    <row r="13" spans="1:17" ht="18" x14ac:dyDescent="0.25">
      <c r="G13" s="8" t="s">
        <v>19</v>
      </c>
      <c r="H13" s="8" t="s">
        <v>27</v>
      </c>
      <c r="J13" s="33" t="s">
        <v>56</v>
      </c>
      <c r="K13" s="33"/>
      <c r="L13" s="33"/>
      <c r="M13" s="33"/>
    </row>
    <row r="14" spans="1:17" ht="18" x14ac:dyDescent="0.2">
      <c r="G14" s="11">
        <v>1</v>
      </c>
      <c r="H14" s="11">
        <v>213</v>
      </c>
      <c r="J14" s="20" t="s">
        <v>57</v>
      </c>
      <c r="K14" s="17">
        <f t="array" ref="K14:L18">LINEST(K6:K10,E6:E10,1,1)</f>
        <v>708.30740360873699</v>
      </c>
      <c r="L14" s="17">
        <v>331.85432098765432</v>
      </c>
      <c r="M14" s="20" t="s">
        <v>32</v>
      </c>
    </row>
    <row r="15" spans="1:17" ht="19" x14ac:dyDescent="0.25">
      <c r="G15" s="10">
        <f>G14+1</f>
        <v>2</v>
      </c>
      <c r="H15" s="11">
        <v>225</v>
      </c>
      <c r="J15" s="20" t="s">
        <v>58</v>
      </c>
      <c r="K15" s="17">
        <v>29.623237342870897</v>
      </c>
      <c r="L15" s="17">
        <v>232.95406506088278</v>
      </c>
      <c r="M15" s="20" t="s">
        <v>33</v>
      </c>
    </row>
    <row r="16" spans="1:17" ht="19" x14ac:dyDescent="0.25">
      <c r="G16" s="10">
        <f>G15+1</f>
        <v>3</v>
      </c>
      <c r="H16" s="11">
        <v>225</v>
      </c>
      <c r="J16" s="20" t="s">
        <v>34</v>
      </c>
      <c r="K16" s="22">
        <v>0.99478000872029959</v>
      </c>
      <c r="L16" s="14">
        <v>316.74792979403452</v>
      </c>
      <c r="M16" s="20" t="s">
        <v>35</v>
      </c>
    </row>
    <row r="17" spans="7:13" x14ac:dyDescent="0.2">
      <c r="G17" s="10">
        <f>G16+1</f>
        <v>4</v>
      </c>
      <c r="H17" s="10">
        <v>254</v>
      </c>
      <c r="J17" s="20" t="s">
        <v>36</v>
      </c>
      <c r="K17" s="21">
        <v>571.71360376912094</v>
      </c>
      <c r="L17" s="10">
        <v>3</v>
      </c>
      <c r="M17" s="20" t="s">
        <v>37</v>
      </c>
    </row>
    <row r="18" spans="7:13" x14ac:dyDescent="0.2">
      <c r="G18" s="10">
        <f>G17+1</f>
        <v>5</v>
      </c>
      <c r="H18" s="10">
        <v>222</v>
      </c>
      <c r="J18" s="20" t="s">
        <v>38</v>
      </c>
      <c r="K18" s="21">
        <v>57359597.669135816</v>
      </c>
      <c r="L18" s="21">
        <v>300987.75308641989</v>
      </c>
      <c r="M18" s="20" t="s">
        <v>39</v>
      </c>
    </row>
    <row r="19" spans="7:13" x14ac:dyDescent="0.2">
      <c r="G19" s="19" t="s">
        <v>20</v>
      </c>
      <c r="H19" s="10">
        <f>AVERAGE(H14:H18)</f>
        <v>227.8</v>
      </c>
    </row>
    <row r="20" spans="7:13" x14ac:dyDescent="0.2">
      <c r="G20" s="19" t="s">
        <v>21</v>
      </c>
      <c r="H20" s="17">
        <f>_xlfn.STDEV.S(H14:H18)</f>
        <v>15.449919093639293</v>
      </c>
    </row>
    <row r="21" spans="7:13" x14ac:dyDescent="0.2">
      <c r="G21" s="19" t="s">
        <v>53</v>
      </c>
      <c r="H21" s="14">
        <f>H19+3*H20</f>
        <v>274.14975728091787</v>
      </c>
    </row>
    <row r="22" spans="7:13" x14ac:dyDescent="0.2">
      <c r="G22" s="19" t="s">
        <v>54</v>
      </c>
      <c r="H22" s="14">
        <f>H21/K14</f>
        <v>0.3870491200348315</v>
      </c>
    </row>
    <row r="23" spans="7:13" ht="18" x14ac:dyDescent="0.25">
      <c r="G23" s="31" t="s">
        <v>55</v>
      </c>
      <c r="H23" s="14">
        <f>H22*SQRT((H20/H19)^2+(K15/K14)^2)</f>
        <v>3.0840290036985532E-2</v>
      </c>
    </row>
  </sheetData>
  <mergeCells count="4">
    <mergeCell ref="J13:M13"/>
    <mergeCell ref="N4:Q4"/>
    <mergeCell ref="O2:O3"/>
    <mergeCell ref="Q2:Q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Prelab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2021-10-11T09:51:46Z</dcterms:created>
  <dcterms:modified xsi:type="dcterms:W3CDTF">2021-10-22T23:19:17Z</dcterms:modified>
</cp:coreProperties>
</file>