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FALL 2021/CHEM438 - Instrumental Lab/DSF - Determination of Sodium in Tonic Water/"/>
    </mc:Choice>
  </mc:AlternateContent>
  <xr:revisionPtr revIDLastSave="0" documentId="13_ncr:1_{C96905EB-9EEF-8C4F-9B4D-68C7B731F079}" xr6:coauthVersionLast="47" xr6:coauthVersionMax="47" xr10:uidLastSave="{00000000-0000-0000-0000-000000000000}"/>
  <bookViews>
    <workbookView xWindow="0" yWindow="500" windowWidth="28800" windowHeight="16320" xr2:uid="{D3E41F73-7830-6344-951B-9B35A00AD26A}"/>
  </bookViews>
  <sheets>
    <sheet name="DS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" i="1" l="1"/>
  <c r="L10" i="1"/>
  <c r="L8" i="1"/>
  <c r="J6" i="1"/>
  <c r="J2" i="1"/>
  <c r="L2" i="1" a="1"/>
  <c r="L2" i="1" s="1"/>
  <c r="I3" i="1"/>
  <c r="I6" i="1"/>
  <c r="C10" i="1"/>
  <c r="D9" i="1"/>
  <c r="E9" i="1" s="1"/>
  <c r="B14" i="1"/>
  <c r="B20" i="1" s="1"/>
  <c r="C16" i="1"/>
  <c r="B13" i="1"/>
  <c r="B10" i="1"/>
  <c r="B11" i="1"/>
  <c r="J5" i="1"/>
  <c r="J4" i="1"/>
  <c r="J3" i="1"/>
  <c r="B18" i="1" l="1"/>
  <c r="B17" i="1"/>
  <c r="B21" i="1"/>
  <c r="B16" i="1"/>
  <c r="D16" i="1" s="1"/>
  <c r="C17" i="1"/>
  <c r="I4" i="1"/>
  <c r="I5" i="1"/>
  <c r="B19" i="1"/>
  <c r="C20" i="1"/>
  <c r="D20" i="1" s="1"/>
  <c r="D12" i="1"/>
  <c r="E12" i="1" s="1"/>
  <c r="C19" i="1"/>
  <c r="D11" i="1"/>
  <c r="E11" i="1" s="1"/>
  <c r="D10" i="1"/>
  <c r="E10" i="1" s="1"/>
  <c r="C18" i="1"/>
  <c r="D13" i="1"/>
  <c r="E13" i="1" s="1"/>
  <c r="D17" i="1" l="1"/>
  <c r="D18" i="1"/>
  <c r="D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<sst xmlns="http://schemas.openxmlformats.org/spreadsheetml/2006/main" count="24" uniqueCount="24">
  <si>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Sample</t>
  </si>
  <si>
    <r>
      <t>V</t>
    </r>
    <r>
      <rPr>
        <vertAlign val="subscript"/>
        <sz val="11"/>
        <color theme="1"/>
        <rFont val="Calibri"/>
        <family val="2"/>
        <scheme val="minor"/>
      </rPr>
      <t>tonic water</t>
    </r>
    <r>
      <rPr>
        <sz val="12"/>
        <color theme="1"/>
        <rFont val="Calibri"/>
        <family val="2"/>
        <scheme val="minor"/>
      </rPr>
      <t xml:space="preserve"> (mL)</t>
    </r>
  </si>
  <si>
    <r>
      <t>V</t>
    </r>
    <r>
      <rPr>
        <vertAlign val="subscript"/>
        <sz val="11"/>
        <color theme="1"/>
        <rFont val="Calibri"/>
        <family val="2"/>
        <scheme val="minor"/>
      </rPr>
      <t>NaCl</t>
    </r>
    <r>
      <rPr>
        <sz val="12"/>
        <color theme="1"/>
        <rFont val="Calibri"/>
        <family val="2"/>
        <scheme val="minor"/>
      </rPr>
      <t xml:space="preserve"> (mL)</t>
    </r>
  </si>
  <si>
    <r>
      <t>mol</t>
    </r>
    <r>
      <rPr>
        <vertAlign val="subscript"/>
        <sz val="11"/>
        <color theme="1"/>
        <rFont val="Calibri"/>
        <family val="2"/>
        <scheme val="minor"/>
      </rPr>
      <t>NaCl</t>
    </r>
  </si>
  <si>
    <t>Absorbance1</t>
  </si>
  <si>
    <t>Absorbance2</t>
  </si>
  <si>
    <t>Absorbance3</t>
  </si>
  <si>
    <r>
      <rPr>
        <sz val="12"/>
        <color theme="1"/>
        <rFont val="Calibri Light"/>
        <family val="2"/>
        <scheme val="major"/>
      </rPr>
      <t>A</t>
    </r>
    <r>
      <rPr>
        <sz val="11"/>
        <color theme="1"/>
        <rFont val="Calibri Light"/>
        <family val="2"/>
        <scheme val="major"/>
      </rPr>
      <t>verage</t>
    </r>
  </si>
  <si>
    <t>[Sodium] (Stock) (M)</t>
  </si>
  <si>
    <t>[Sodium] (100x diluted Stock) (M)</t>
  </si>
  <si>
    <t>[Sodium] (400x diluted Stock) (M)</t>
  </si>
  <si>
    <t>Dilution of spike:</t>
  </si>
  <si>
    <t>[X]i</t>
  </si>
  <si>
    <t>V</t>
  </si>
  <si>
    <t>[X]f</t>
  </si>
  <si>
    <t>[S]f</t>
  </si>
  <si>
    <t>Ix</t>
  </si>
  <si>
    <t>Is+x</t>
  </si>
  <si>
    <t>final conc of stock</t>
  </si>
  <si>
    <t>m</t>
  </si>
  <si>
    <t>um</t>
  </si>
  <si>
    <t>b</t>
  </si>
  <si>
    <t>ub</t>
  </si>
  <si>
    <t>[x]f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</si>
</sst>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DSF!$I$2:$I$6</c:f>
              <c:numCache>
                <c:formatCode>General</c:formatCode>
                <c:ptCount val="5"/>
                <c:pt idx="0">
                  <c:v>0</c:v>
                </c:pt>
                <c:pt idx="1">
                  <c:v>1.6000000000000001E-4</c:v>
                </c:pt>
                <c:pt idx="2">
                  <c:v>1.0000000000000001E-5</c:v>
                </c:pt>
                <c:pt idx="3">
                  <c:v>2.0000000000000002E-5</c:v>
                </c:pt>
                <c:pt idx="4">
                  <c:v>3.0000000000000001E-5</c:v>
                </c:pt>
              </c:numCache>
            </c:numRef>
          </c:xVal>
          <c:yVal>
            <c:numRef>
              <c:f>DSF!$J$2:$J$6</c:f>
              <c:numCache>
                <c:formatCode>General</c:formatCode>
                <c:ptCount val="5"/>
                <c:pt idx="0">
                  <c:v>7.0333333333333345E-2</c:v>
                </c:pt>
                <c:pt idx="1">
                  <c:v>0.26033333333333336</c:v>
                </c:pt>
                <c:pt idx="2">
                  <c:v>0.11733333333333333</c:v>
                </c:pt>
                <c:pt idx="3">
                  <c:v>0.18233333333333332</c:v>
                </c:pt>
                <c:pt idx="4">
                  <c:v>0.219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C8-BD45-81CB-738A18011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678096"/>
        <c:axId val="419679744"/>
      </c:scatterChart>
      <c:valAx>
        <c:axId val="41967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79744"/>
        <c:crosses val="autoZero"/>
        <c:crossBetween val="midCat"/>
      </c:valAx>
      <c:valAx>
        <c:axId val="4196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7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133233</xdr:colOff>
      <xdr:row>7</xdr:row>
      <xdr:rowOff>198370</xdr:rowOff>
    </xdr:from>
    <xdr:to>
      <xdr:col>9</xdr:col>
      <xdr:colOff>809527</xdr:colOff>
      <xdr:row>21</xdr:row>
      <xdr:rowOff>105497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7EBD6F-ACB7-5D44-9FC5-B9F1A0482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6725-87A6-C14B-912B-1D732221F7C2}">
  <dimension ref="A1:N21"/>
  <sheetViews>
    <sheetView tabSelected="1" zoomScale="125" workbookViewId="0">
      <selection activeCell="M11" sqref="M11"/>
    </sheetView>
  </sheetViews>
  <sheetFormatPr baseColWidth="10" defaultColWidth="11" defaultRowHeight="16" x14ac:dyDescent="0.2"/>
  <cols>
    <col min="1" max="1" width="27.6640625" customWidth="1"/>
    <col min="2" max="2" width="12.1640625" bestFit="1" customWidth="1"/>
    <col min="5" max="5" width="13.5" customWidth="1"/>
    <col min="6" max="6" width="13.6640625" customWidth="1"/>
    <col min="7" max="7" width="15.33203125" customWidth="1"/>
  </cols>
  <sheetData>
    <row r="1" spans="1:14" ht="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18</v>
      </c>
      <c r="J1" s="3" t="s">
        <v>7</v>
      </c>
    </row>
    <row r="2" spans="1:14" x14ac:dyDescent="0.2">
      <c r="A2">
        <v>1</v>
      </c>
      <c r="B2">
        <v>5</v>
      </c>
      <c r="C2">
        <v>0</v>
      </c>
      <c r="D2">
        <v>0</v>
      </c>
      <c r="E2">
        <v>7.0000000000000007E-2</v>
      </c>
      <c r="F2">
        <v>7.0000000000000007E-2</v>
      </c>
      <c r="G2">
        <v>7.0999999999999994E-2</v>
      </c>
      <c r="I2">
        <v>0</v>
      </c>
      <c r="J2">
        <f>AVERAGE(E2:G2)</f>
        <v>7.0333333333333345E-2</v>
      </c>
      <c r="K2" t="s">
        <v>19</v>
      </c>
      <c r="L2" cm="1">
        <f t="array" ref="L2:M6">LINEST(J2:J6,I2:I6,1,1)</f>
        <v>904.88837567359587</v>
      </c>
      <c r="M2">
        <v>0.13005157813702845</v>
      </c>
      <c r="N2" t="s">
        <v>21</v>
      </c>
    </row>
    <row r="3" spans="1:14" x14ac:dyDescent="0.2">
      <c r="A3" s="1">
        <v>2</v>
      </c>
      <c r="B3" s="1">
        <v>5</v>
      </c>
      <c r="C3" s="1">
        <v>4</v>
      </c>
      <c r="D3" s="1">
        <v>4.0000000000000001E-3</v>
      </c>
      <c r="E3" s="1">
        <v>0.26100000000000001</v>
      </c>
      <c r="F3" s="1">
        <v>0.26</v>
      </c>
      <c r="G3" s="1">
        <v>0.26</v>
      </c>
      <c r="I3">
        <f>C3*$B$10/25</f>
        <v>1.6000000000000001E-4</v>
      </c>
      <c r="J3" s="1">
        <f>AVERAGE(E3:G3)</f>
        <v>0.26033333333333336</v>
      </c>
      <c r="K3" t="s">
        <v>20</v>
      </c>
      <c r="L3">
        <v>421.66003350393447</v>
      </c>
      <c r="M3">
        <v>3.0985557810284961E-2</v>
      </c>
      <c r="N3" t="s">
        <v>22</v>
      </c>
    </row>
    <row r="4" spans="1:14" x14ac:dyDescent="0.2">
      <c r="A4" s="2">
        <v>3</v>
      </c>
      <c r="B4" s="2">
        <v>5</v>
      </c>
      <c r="C4" s="2">
        <v>1</v>
      </c>
      <c r="D4" s="2">
        <v>1E-3</v>
      </c>
      <c r="E4" s="2">
        <v>0.11799999999999999</v>
      </c>
      <c r="F4" s="2">
        <v>0.11700000000000001</v>
      </c>
      <c r="G4" s="2">
        <v>0.11700000000000001</v>
      </c>
      <c r="I4">
        <f>C4*$B$11/25</f>
        <v>1.0000000000000001E-5</v>
      </c>
      <c r="J4" s="2">
        <f>AVERAGE(E4:G4)</f>
        <v>0.11733333333333333</v>
      </c>
      <c r="L4">
        <v>0.60554221087004712</v>
      </c>
      <c r="M4">
        <v>5.549276731575583E-2</v>
      </c>
    </row>
    <row r="5" spans="1:14" x14ac:dyDescent="0.2">
      <c r="A5" s="2">
        <v>4</v>
      </c>
      <c r="B5" s="2">
        <v>5</v>
      </c>
      <c r="C5" s="2">
        <v>2</v>
      </c>
      <c r="D5" s="2">
        <v>2E-3</v>
      </c>
      <c r="E5" s="2">
        <v>0.182</v>
      </c>
      <c r="F5" s="2">
        <v>0.183</v>
      </c>
      <c r="G5" s="2">
        <v>0.182</v>
      </c>
      <c r="I5">
        <f t="shared" ref="I5" si="0">C5*$B$11/25</f>
        <v>2.0000000000000002E-5</v>
      </c>
      <c r="J5" s="2">
        <f>AVERAGE(E5:G5)</f>
        <v>0.18233333333333332</v>
      </c>
      <c r="L5">
        <v>4.6053765007836098</v>
      </c>
      <c r="M5">
        <v>3</v>
      </c>
    </row>
    <row r="6" spans="1:14" x14ac:dyDescent="0.2">
      <c r="A6" s="2">
        <v>5</v>
      </c>
      <c r="B6" s="2">
        <v>5</v>
      </c>
      <c r="C6" s="2">
        <v>3</v>
      </c>
      <c r="D6" s="2">
        <v>3.0000000000000001E-3</v>
      </c>
      <c r="E6" s="2">
        <v>0.219</v>
      </c>
      <c r="F6" s="2">
        <v>0.219</v>
      </c>
      <c r="G6" s="2">
        <v>0.219</v>
      </c>
      <c r="I6">
        <f>C6*$B$11/25</f>
        <v>3.0000000000000001E-5</v>
      </c>
      <c r="J6" s="2">
        <f>AVERAGE(E6:G6)</f>
        <v>0.219</v>
      </c>
      <c r="L6">
        <v>1.4182013882473702E-2</v>
      </c>
      <c r="M6">
        <v>9.2383416730818547E-3</v>
      </c>
    </row>
    <row r="8" spans="1:14" x14ac:dyDescent="0.2">
      <c r="A8" t="s">
        <v>11</v>
      </c>
      <c r="K8" t="s">
        <v>23</v>
      </c>
      <c r="L8">
        <f>M2/L2</f>
        <v>1.4372112807860802E-4</v>
      </c>
    </row>
    <row r="9" spans="1:14" x14ac:dyDescent="0.2">
      <c r="A9" s="4" t="s">
        <v>8</v>
      </c>
      <c r="B9" s="4">
        <v>0.1</v>
      </c>
      <c r="D9" s="5">
        <f>C2*B10/25</f>
        <v>0</v>
      </c>
      <c r="E9" s="6">
        <f>D9*10*88.8</f>
        <v>0</v>
      </c>
    </row>
    <row r="10" spans="1:14" x14ac:dyDescent="0.2">
      <c r="A10" s="1" t="s">
        <v>9</v>
      </c>
      <c r="B10" s="1">
        <f>B9/100</f>
        <v>1E-3</v>
      </c>
      <c r="C10">
        <f>B10*4/1000</f>
        <v>3.9999999999999998E-6</v>
      </c>
      <c r="D10" s="5">
        <f>C3*B10/25</f>
        <v>1.6000000000000001E-4</v>
      </c>
      <c r="E10" s="5">
        <f>D10*10*88.8</f>
        <v>0.14208000000000001</v>
      </c>
      <c r="L10">
        <f>L8*25/5</f>
        <v>7.1860564039304012E-4</v>
      </c>
      <c r="M10">
        <f>L10*40</f>
        <v>2.8744225615721604E-2</v>
      </c>
    </row>
    <row r="11" spans="1:14" x14ac:dyDescent="0.2">
      <c r="A11" s="2" t="s">
        <v>10</v>
      </c>
      <c r="B11" s="2">
        <f>B10/4</f>
        <v>2.5000000000000001E-4</v>
      </c>
      <c r="D11" s="5">
        <f>C4*$B$11/25</f>
        <v>1.0000000000000001E-5</v>
      </c>
      <c r="E11" s="6">
        <f>D11*10*88.8</f>
        <v>8.8800000000000007E-3</v>
      </c>
    </row>
    <row r="12" spans="1:14" x14ac:dyDescent="0.2">
      <c r="D12" s="5">
        <f t="shared" ref="D12" si="1">C5*$B$11/25</f>
        <v>2.0000000000000002E-5</v>
      </c>
      <c r="E12" s="6">
        <f t="shared" ref="E12:E13" si="2">D12*10*88.8</f>
        <v>1.7760000000000001E-2</v>
      </c>
    </row>
    <row r="13" spans="1:14" x14ac:dyDescent="0.2">
      <c r="B13">
        <f>0.006343</f>
        <v>6.3429999999999997E-3</v>
      </c>
      <c r="D13" s="5">
        <f>C6*$B$11/25</f>
        <v>3.0000000000000001E-5</v>
      </c>
      <c r="E13" s="6">
        <f t="shared" si="2"/>
        <v>2.664E-2</v>
      </c>
    </row>
    <row r="14" spans="1:14" x14ac:dyDescent="0.2">
      <c r="A14" t="s">
        <v>12</v>
      </c>
      <c r="B14">
        <f>B13/40</f>
        <v>1.5857499999999999E-4</v>
      </c>
      <c r="D14" s="5"/>
    </row>
    <row r="15" spans="1:14" x14ac:dyDescent="0.2">
      <c r="A15" t="s">
        <v>13</v>
      </c>
      <c r="B15">
        <v>25</v>
      </c>
      <c r="C15" t="s">
        <v>15</v>
      </c>
      <c r="D15" t="s">
        <v>17</v>
      </c>
    </row>
    <row r="16" spans="1:14" x14ac:dyDescent="0.2">
      <c r="A16" t="s">
        <v>14</v>
      </c>
      <c r="B16">
        <f>$B$14*B2/$B$15</f>
        <v>3.1714999999999997E-5</v>
      </c>
      <c r="C16">
        <f>B10*C2/$B$15</f>
        <v>0</v>
      </c>
      <c r="D16">
        <f>(B16+C16)/$B$14*$B$21</f>
        <v>2.8162919999999994E-2</v>
      </c>
    </row>
    <row r="17" spans="1:4" x14ac:dyDescent="0.2">
      <c r="B17">
        <f t="shared" ref="B17:B18" si="3">$B$14*B3/$B$15</f>
        <v>3.1714999999999997E-5</v>
      </c>
      <c r="C17">
        <f>$B$10*C3/$B$15</f>
        <v>1.6000000000000001E-4</v>
      </c>
      <c r="D17">
        <f>(B17+C17)/$B$14*$B$21</f>
        <v>0.17024292000000002</v>
      </c>
    </row>
    <row r="18" spans="1:4" x14ac:dyDescent="0.2">
      <c r="B18">
        <f t="shared" si="3"/>
        <v>3.1714999999999997E-5</v>
      </c>
      <c r="C18">
        <f>$B$11*C4/$B$15</f>
        <v>1.0000000000000001E-5</v>
      </c>
      <c r="D18">
        <f t="shared" ref="D18:D19" si="4">(B18+C18)/$B$14*$B$21</f>
        <v>3.704292E-2</v>
      </c>
    </row>
    <row r="19" spans="1:4" x14ac:dyDescent="0.2">
      <c r="B19">
        <f>$B$14*B5/$B$15</f>
        <v>3.1714999999999997E-5</v>
      </c>
      <c r="C19">
        <f t="shared" ref="C19:C20" si="5">$B$11*C5/$B$15</f>
        <v>2.0000000000000002E-5</v>
      </c>
      <c r="D19">
        <f t="shared" si="4"/>
        <v>4.5922919999999999E-2</v>
      </c>
    </row>
    <row r="20" spans="1:4" x14ac:dyDescent="0.2">
      <c r="B20">
        <f>$B$14*B6/$B$15</f>
        <v>3.1714999999999997E-5</v>
      </c>
      <c r="C20">
        <f t="shared" si="5"/>
        <v>3.0000000000000001E-5</v>
      </c>
      <c r="D20">
        <f>(B20+C20)/$B$14*$B$21</f>
        <v>5.4802919999999998E-2</v>
      </c>
    </row>
    <row r="21" spans="1:4" x14ac:dyDescent="0.2">
      <c r="A21" t="s">
        <v>16</v>
      </c>
      <c r="B21">
        <f>B14*10*88.8</f>
        <v>0.14081459999999998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2020-03-23T12:34:11Z</dcterms:created>
  <dcterms:modified xsi:type="dcterms:W3CDTF">2021-10-08T05:03:35Z</dcterms:modified>
</cp:coreProperties>
</file>