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eed/Desktop/SOPHOMORE 2ND SEMESTER/CHEM445/DAS/"/>
    </mc:Choice>
  </mc:AlternateContent>
  <xr:revisionPtr revIDLastSave="0" documentId="13_ncr:1_{90E774E8-BC04-A340-A59D-786C79EF8FBF}" xr6:coauthVersionLast="47" xr6:coauthVersionMax="47" xr10:uidLastSave="{00000000-0000-0000-0000-000000000000}"/>
  <bookViews>
    <workbookView xWindow="0" yWindow="500" windowWidth="28800" windowHeight="16400" activeTab="3" xr2:uid="{910FC9C3-D2A4-A047-989F-2834E9AB3ED0}"/>
  </bookViews>
  <sheets>
    <sheet name="1-5" sheetId="2" r:id="rId1"/>
    <sheet name="5" sheetId="3" r:id="rId2"/>
    <sheet name="6A" sheetId="4" r:id="rId3"/>
    <sheet name="6B" sheetId="5" r:id="rId4"/>
    <sheet name="6C" sheetId="7" r:id="rId5"/>
  </sheets>
  <definedNames>
    <definedName name="solver_adj" localSheetId="3" hidden="1">'6B'!$E$3:$G$3</definedName>
    <definedName name="solver_cvg" localSheetId="3" hidden="1">0.0001</definedName>
    <definedName name="solver_drv" localSheetId="3" hidden="1">1</definedName>
    <definedName name="solver_eng" localSheetId="1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'6B'!$D$3:$D$18</definedName>
    <definedName name="solver_lhs2" localSheetId="3" hidden="1">'6B'!$D$3:$D$18</definedName>
    <definedName name="solver_lin" localSheetId="1" hidden="1">2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1" hidden="1">1</definedName>
    <definedName name="solver_neg" localSheetId="3" hidden="1">1</definedName>
    <definedName name="solver_nod" localSheetId="3" hidden="1">2147483647</definedName>
    <definedName name="solver_num" localSheetId="1" hidden="1">0</definedName>
    <definedName name="solver_num" localSheetId="3" hidden="1">2</definedName>
    <definedName name="solver_nwt" localSheetId="3" hidden="1">1</definedName>
    <definedName name="solver_opt" localSheetId="1" hidden="1">'5'!$F$11</definedName>
    <definedName name="solver_opt" localSheetId="3" hidden="1">'6B'!$D$19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hs1" localSheetId="3" hidden="1">0.00001</definedName>
    <definedName name="solver_rhs2" localSheetId="3" hidden="1">-0.00001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1" hidden="1">1</definedName>
    <definedName name="solver_typ" localSheetId="3" hidden="1">3</definedName>
    <definedName name="solver_val" localSheetId="1" hidden="1">0</definedName>
    <definedName name="solver_val" localSheetId="3" hidden="1">0.0000001</definedName>
    <definedName name="solver_ver" localSheetId="1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5" l="1"/>
  <c r="D3" i="5" s="1"/>
  <c r="Q31" i="2" l="1"/>
  <c r="P36" i="2" l="1"/>
  <c r="D24" i="5"/>
  <c r="B24" i="5"/>
  <c r="T56" i="2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K3" i="5"/>
  <c r="E25" i="4"/>
  <c r="E23" i="4"/>
  <c r="B25" i="4"/>
  <c r="B23" i="4"/>
  <c r="B24" i="4" l="1"/>
  <c r="B48" i="4"/>
  <c r="E24" i="4"/>
  <c r="D40" i="4" s="1"/>
  <c r="D36" i="4"/>
  <c r="C3" i="4"/>
  <c r="E21" i="2"/>
  <c r="B9" i="3"/>
  <c r="F24" i="2"/>
  <c r="F21" i="2"/>
  <c r="F36" i="2"/>
  <c r="E36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3" i="2"/>
  <c r="F22" i="2"/>
  <c r="F23" i="2"/>
  <c r="F25" i="2"/>
  <c r="F26" i="2"/>
  <c r="F27" i="2"/>
  <c r="F28" i="2"/>
  <c r="F29" i="2"/>
  <c r="F30" i="2"/>
  <c r="F31" i="2"/>
  <c r="F32" i="2"/>
  <c r="F33" i="2"/>
  <c r="F34" i="2"/>
  <c r="F35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B47" i="4" l="1"/>
  <c r="B39" i="4"/>
  <c r="B34" i="4"/>
  <c r="B42" i="4"/>
  <c r="D41" i="4"/>
  <c r="B44" i="4"/>
  <c r="B38" i="4"/>
  <c r="D33" i="4"/>
  <c r="D37" i="4"/>
  <c r="B46" i="4"/>
  <c r="B41" i="4"/>
  <c r="B36" i="4"/>
  <c r="D45" i="4"/>
  <c r="B33" i="4"/>
  <c r="D47" i="4"/>
  <c r="D39" i="4"/>
  <c r="D42" i="4"/>
  <c r="D34" i="4"/>
  <c r="D44" i="4"/>
  <c r="D46" i="4"/>
  <c r="D43" i="4"/>
  <c r="B37" i="4"/>
  <c r="D48" i="4"/>
  <c r="D35" i="4"/>
  <c r="D38" i="4"/>
  <c r="B43" i="4"/>
  <c r="B45" i="4"/>
  <c r="B40" i="4"/>
  <c r="B35" i="4"/>
  <c r="T36" i="2"/>
  <c r="D10" i="3" l="1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P56" i="2"/>
  <c r="P70" i="2"/>
  <c r="P68" i="2"/>
  <c r="P66" i="2"/>
  <c r="P62" i="2"/>
  <c r="P60" i="2"/>
  <c r="P58" i="2"/>
  <c r="O72" i="2"/>
  <c r="P71" i="2"/>
  <c r="P69" i="2"/>
  <c r="P67" i="2"/>
  <c r="P65" i="2"/>
  <c r="P64" i="2"/>
  <c r="P63" i="2"/>
  <c r="P61" i="2"/>
  <c r="P59" i="2"/>
  <c r="P57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O52" i="2"/>
  <c r="G3" i="7"/>
  <c r="F3" i="7"/>
  <c r="E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M3" i="7"/>
  <c r="O3" i="7"/>
  <c r="N3" i="7"/>
  <c r="F25" i="4"/>
  <c r="F23" i="4"/>
  <c r="P72" i="2" l="1"/>
  <c r="P52" i="2"/>
  <c r="C23" i="4"/>
  <c r="C25" i="4"/>
  <c r="L3" i="5" l="1"/>
  <c r="K18" i="5"/>
  <c r="L18" i="5" s="1"/>
  <c r="K4" i="5"/>
  <c r="L4" i="5" s="1"/>
  <c r="K5" i="5"/>
  <c r="L5" i="5" s="1"/>
  <c r="K6" i="5"/>
  <c r="L6" i="5" s="1"/>
  <c r="K7" i="5"/>
  <c r="L7" i="5" s="1"/>
  <c r="K8" i="5"/>
  <c r="L8" i="5" s="1"/>
  <c r="K9" i="5"/>
  <c r="L9" i="5" s="1"/>
  <c r="K10" i="5"/>
  <c r="L10" i="5" s="1"/>
  <c r="K11" i="5"/>
  <c r="L11" i="5" s="1"/>
  <c r="K12" i="5"/>
  <c r="L12" i="5" s="1"/>
  <c r="K13" i="5"/>
  <c r="L13" i="5" s="1"/>
  <c r="K14" i="5"/>
  <c r="L14" i="5" s="1"/>
  <c r="K15" i="5"/>
  <c r="L15" i="5" s="1"/>
  <c r="K16" i="5"/>
  <c r="L16" i="5" s="1"/>
  <c r="K17" i="5"/>
  <c r="L17" i="5" s="1"/>
  <c r="C4" i="5"/>
  <c r="D4" i="5" s="1"/>
  <c r="C5" i="5"/>
  <c r="D5" i="5" s="1"/>
  <c r="C6" i="5"/>
  <c r="D6" i="5" s="1"/>
  <c r="C7" i="5"/>
  <c r="D7" i="5" s="1"/>
  <c r="C8" i="5"/>
  <c r="D8" i="5" s="1"/>
  <c r="C9" i="5"/>
  <c r="D9" i="5" s="1"/>
  <c r="C10" i="5"/>
  <c r="D10" i="5" s="1"/>
  <c r="C11" i="5"/>
  <c r="D11" i="5" s="1"/>
  <c r="C12" i="5"/>
  <c r="D12" i="5" s="1"/>
  <c r="C13" i="5"/>
  <c r="D13" i="5" s="1"/>
  <c r="C14" i="5"/>
  <c r="D14" i="5" s="1"/>
  <c r="C15" i="5"/>
  <c r="D15" i="5" s="1"/>
  <c r="C16" i="5"/>
  <c r="D16" i="5" s="1"/>
  <c r="C17" i="5"/>
  <c r="D17" i="5" s="1"/>
  <c r="C18" i="5"/>
  <c r="D18" i="5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D19" i="5" l="1"/>
  <c r="F24" i="4"/>
  <c r="C24" i="4"/>
  <c r="L19" i="5"/>
  <c r="B25" i="3"/>
  <c r="D25" i="3" l="1"/>
  <c r="B3" i="2"/>
  <c r="C3" i="2" s="1"/>
  <c r="B21" i="2" l="1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4" i="2"/>
  <c r="C4" i="2" s="1"/>
  <c r="O2" i="2" s="1" a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P5" i="2" l="1"/>
  <c r="U7" i="2" s="1"/>
  <c r="V7" i="2" s="1"/>
  <c r="P3" i="2"/>
  <c r="O5" i="2"/>
  <c r="P2" i="2"/>
  <c r="P6" i="2"/>
  <c r="O3" i="2"/>
  <c r="P4" i="2"/>
  <c r="O2" i="2"/>
  <c r="O4" i="2"/>
  <c r="O6" i="2"/>
  <c r="O9" i="2" a="1"/>
  <c r="Q22" i="2" l="1"/>
  <c r="R36" i="2"/>
  <c r="J41" i="2"/>
  <c r="T7" i="2"/>
  <c r="T25" i="2" s="1"/>
  <c r="P22" i="2"/>
  <c r="Q36" i="2"/>
  <c r="T17" i="2"/>
  <c r="T26" i="2"/>
  <c r="T16" i="2"/>
  <c r="T27" i="2"/>
  <c r="K41" i="2"/>
  <c r="T22" i="2"/>
  <c r="T30" i="2"/>
  <c r="T23" i="2"/>
  <c r="T15" i="2"/>
  <c r="T24" i="2"/>
  <c r="O9" i="2"/>
  <c r="P11" i="2"/>
  <c r="P9" i="2"/>
  <c r="O11" i="2"/>
  <c r="P12" i="2"/>
  <c r="U8" i="2" s="1"/>
  <c r="V8" i="2" s="1"/>
  <c r="P13" i="2"/>
  <c r="P10" i="2"/>
  <c r="O13" i="2"/>
  <c r="O10" i="2"/>
  <c r="O12" i="2"/>
  <c r="S36" i="2"/>
  <c r="Y14" i="2"/>
  <c r="L41" i="2"/>
  <c r="M41" i="2" s="1"/>
  <c r="R31" i="2"/>
  <c r="Y13" i="2"/>
  <c r="Z13" i="2" s="1"/>
  <c r="S56" i="2" l="1"/>
  <c r="Z14" i="2"/>
  <c r="AA14" i="2"/>
  <c r="AB14" i="2"/>
  <c r="R32" i="2"/>
  <c r="P32" i="2" s="1"/>
  <c r="L42" i="2"/>
  <c r="M42" i="2" s="1"/>
  <c r="T19" i="2"/>
  <c r="R11" i="2"/>
  <c r="AB13" i="2"/>
  <c r="P31" i="2" s="1"/>
  <c r="AA13" i="2"/>
  <c r="V21" i="2"/>
  <c r="K42" i="2"/>
  <c r="V20" i="2"/>
  <c r="Q56" i="2"/>
  <c r="T28" i="2"/>
  <c r="T18" i="2"/>
  <c r="T20" i="2"/>
  <c r="T29" i="2"/>
  <c r="J42" i="2"/>
  <c r="R56" i="2"/>
  <c r="U56" i="2" s="1"/>
  <c r="P23" i="2"/>
  <c r="T8" i="2"/>
  <c r="V24" i="2" s="1"/>
  <c r="Q23" i="2"/>
  <c r="T21" i="2"/>
  <c r="U36" i="2"/>
  <c r="M10" i="2"/>
  <c r="R10" i="2"/>
  <c r="W8" i="2"/>
  <c r="R3" i="2"/>
  <c r="M3" i="2"/>
  <c r="W7" i="2"/>
  <c r="R4" i="2"/>
  <c r="V19" i="2" l="1"/>
  <c r="V15" i="2"/>
  <c r="V25" i="2"/>
  <c r="V23" i="2"/>
  <c r="V17" i="2"/>
  <c r="V16" i="2"/>
  <c r="V29" i="2"/>
  <c r="Q32" i="2"/>
  <c r="V27" i="2"/>
  <c r="V30" i="2"/>
  <c r="V26" i="2"/>
  <c r="V22" i="2"/>
  <c r="V18" i="2"/>
  <c r="V28" i="2"/>
</calcChain>
</file>

<file path=xl/sharedStrings.xml><?xml version="1.0" encoding="utf-8"?>
<sst xmlns="http://schemas.openxmlformats.org/spreadsheetml/2006/main" count="283" uniqueCount="142">
  <si>
    <t>First experiment</t>
  </si>
  <si>
    <t>P (Torr)</t>
  </si>
  <si>
    <t>Second experiment</t>
  </si>
  <si>
    <t>LINEST OUTPUT (First experiment)</t>
  </si>
  <si>
    <t>LINEST OUTPUT (Second experiment)</t>
  </si>
  <si>
    <t>m</t>
  </si>
  <si>
    <t>um</t>
  </si>
  <si>
    <t>R2</t>
  </si>
  <si>
    <t>Fisher value</t>
  </si>
  <si>
    <t>Regression SOS</t>
  </si>
  <si>
    <t>b</t>
  </si>
  <si>
    <t>ub</t>
  </si>
  <si>
    <t>sy</t>
  </si>
  <si>
    <t>df</t>
  </si>
  <si>
    <t>Residual SOS</t>
  </si>
  <si>
    <r>
      <t>log(P) = A' - Δ</t>
    </r>
    <r>
      <rPr>
        <u/>
        <sz val="12"/>
        <color theme="1"/>
        <rFont val="Calibri (Body)"/>
      </rPr>
      <t>Hvap</t>
    </r>
    <r>
      <rPr>
        <sz val="12"/>
        <color theme="1"/>
        <rFont val="Calibri"/>
        <family val="2"/>
        <scheme val="minor"/>
      </rPr>
      <t>/(2.3025RT)</t>
    </r>
  </si>
  <si>
    <t>y = c + mx</t>
  </si>
  <si>
    <r>
      <t>m = -Δ</t>
    </r>
    <r>
      <rPr>
        <u/>
        <sz val="12"/>
        <color theme="1"/>
        <rFont val="Calibri (Body)"/>
      </rPr>
      <t>Hvap</t>
    </r>
    <r>
      <rPr>
        <sz val="12"/>
        <color theme="1"/>
        <rFont val="Calibri"/>
        <family val="2"/>
        <scheme val="minor"/>
      </rPr>
      <t>/(2.3025R)</t>
    </r>
  </si>
  <si>
    <t>Experiment</t>
  </si>
  <si>
    <t>First</t>
  </si>
  <si>
    <t>Second</t>
  </si>
  <si>
    <r>
      <t>Δ</t>
    </r>
    <r>
      <rPr>
        <b/>
        <u/>
        <sz val="12"/>
        <color theme="1"/>
        <rFont val="Calibri (Body)"/>
      </rPr>
      <t>Hvap</t>
    </r>
    <r>
      <rPr>
        <b/>
        <sz val="12"/>
        <color theme="1"/>
        <rFont val="Calibri"/>
        <family val="2"/>
        <scheme val="minor"/>
      </rPr>
      <t xml:space="preserve"> calculation</t>
    </r>
  </si>
  <si>
    <r>
      <t>Δ</t>
    </r>
    <r>
      <rPr>
        <b/>
        <u/>
        <sz val="12"/>
        <color theme="1"/>
        <rFont val="Calibri (Body)"/>
      </rPr>
      <t>Hvap</t>
    </r>
    <r>
      <rPr>
        <b/>
        <sz val="12"/>
        <color theme="1"/>
        <rFont val="Calibri"/>
        <family val="2"/>
        <scheme val="minor"/>
      </rPr>
      <t xml:space="preserve"> (kJ/mol)</t>
    </r>
  </si>
  <si>
    <t>Uncertainties calculation</t>
  </si>
  <si>
    <t>T (K)</t>
  </si>
  <si>
    <t>T (°C)</t>
  </si>
  <si>
    <t>1/T (1/K)</t>
  </si>
  <si>
    <t>Δhvap (kJ/mol)</t>
  </si>
  <si>
    <t>First Experiment</t>
  </si>
  <si>
    <t>Second Experiment</t>
  </si>
  <si>
    <t>log(P)</t>
  </si>
  <si>
    <t>ln(P)</t>
  </si>
  <si>
    <t>T value</t>
  </si>
  <si>
    <t>tum</t>
  </si>
  <si>
    <t>m ± tum  = (Δhvap ± tuh)/(2.3025R)</t>
  </si>
  <si>
    <t>tuh</t>
  </si>
  <si>
    <t>Based on the equation, tum = tuh</t>
  </si>
  <si>
    <t>95% confidence interval</t>
  </si>
  <si>
    <t>Fitting equation</t>
  </si>
  <si>
    <t>Equation 1: d ln P/dT = Δhvap/RT2</t>
  </si>
  <si>
    <t>Average</t>
  </si>
  <si>
    <t>t*log(P) (°C)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</si>
  <si>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</si>
  <si>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</si>
  <si>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</si>
  <si>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</si>
  <si>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</si>
  <si>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</si>
  <si>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</si>
  <si>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</si>
  <si>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</si>
  <si>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</si>
  <si>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</si>
  <si>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</si>
  <si>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</si>
  <si>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</si>
  <si>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</si>
  <si>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</si>
  <si>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</si>
  <si>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</si>
  <si>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</si>
  <si>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</si>
  <si>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</si>
  <si>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</si>
  <si>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SUMMARY OUTPUT OF MULTIPLE LINEAR REGRESSION FOR FIRST EXPERIMENT</t>
  </si>
  <si>
    <t>SUMMARY OUTPUT OF MULTIPLE LINEAR REGRESSION FOR SECOND EXPERIMENT</t>
  </si>
  <si>
    <t>t*log P = (AC-B) + A*t – C*log P</t>
  </si>
  <si>
    <t>A</t>
  </si>
  <si>
    <t>C</t>
  </si>
  <si>
    <t>B</t>
  </si>
  <si>
    <t>t (°C)</t>
  </si>
  <si>
    <t>log P</t>
  </si>
  <si>
    <t>A-B/(t+C)</t>
  </si>
  <si>
    <t>log P - (A - B/(t+C))</t>
  </si>
  <si>
    <t>Unknown</t>
  </si>
  <si>
    <t>Value</t>
  </si>
  <si>
    <t>tu (95% CI)</t>
  </si>
  <si>
    <t>C = 211.48 ± 25.35</t>
  </si>
  <si>
    <t>C = 217.62 ± 13.71</t>
  </si>
  <si>
    <t>SUM</t>
  </si>
  <si>
    <t>Pcalc 1</t>
  </si>
  <si>
    <t>Pcalc 2</t>
  </si>
  <si>
    <t>Pcalc 3</t>
  </si>
  <si>
    <t>(Pexp - Pcalc1)/Pexp</t>
  </si>
  <si>
    <t>(Pexp - Pcalc2)/Pexp</t>
  </si>
  <si>
    <t>(Pexp - Pcalc3)/Pexp</t>
  </si>
  <si>
    <t>Pcalc1 for Integrated Clausius-Clayperon Equation</t>
  </si>
  <si>
    <t>Pcalc3 from Solver</t>
  </si>
  <si>
    <t>Pcalc2 from Multiple Regression</t>
  </si>
  <si>
    <t>Pcalc 1 (Torr)</t>
  </si>
  <si>
    <t>Pcalc 2 (Torr)</t>
  </si>
  <si>
    <t>Pcalc3 (Torr)</t>
  </si>
  <si>
    <t>Pexp (Torr)</t>
  </si>
  <si>
    <t>Pcalc 3 (Torr)</t>
  </si>
  <si>
    <t>T = m/(log P - b)</t>
  </si>
  <si>
    <t>et = sqrt((dT/db)2*sb2 + (dT/dm)2*sm2)</t>
  </si>
  <si>
    <t>dt/db = m/(log P - b)2</t>
  </si>
  <si>
    <t>dt/dm = 1/(log P - b)</t>
  </si>
  <si>
    <t>P (normal bp) = 760 Torr</t>
  </si>
  <si>
    <t>y = log(P), x = 1/T</t>
  </si>
  <si>
    <t>Tbp (K)</t>
  </si>
  <si>
    <t>et</t>
  </si>
  <si>
    <t>xi = 1/T (1/K)</t>
  </si>
  <si>
    <t>dT/dm</t>
  </si>
  <si>
    <t>dT/db</t>
  </si>
  <si>
    <t>smb</t>
  </si>
  <si>
    <t>xi2 (1/K2)</t>
  </si>
  <si>
    <t>dlnP/dT (Exp. 1) = -3.672E-04T + 0.1695</t>
  </si>
  <si>
    <t>dlnP/dT (Exp. 2) = -3.618E-04T + 0.1678</t>
  </si>
  <si>
    <t>Tbp = 355.21 ± 0.57 K</t>
  </si>
  <si>
    <t>Tbp = 355.24 ± 0.43 K</t>
  </si>
  <si>
    <t>Tbp1 = 355.21 ± 7.05 K</t>
  </si>
  <si>
    <t>Tbp2 = 355.24 ± 5.58 K</t>
  </si>
  <si>
    <t>t*</t>
  </si>
  <si>
    <t>t-value (95% CI)</t>
  </si>
  <si>
    <t>tub</t>
  </si>
  <si>
    <t>tuy</t>
  </si>
  <si>
    <t>Experiment 1</t>
  </si>
  <si>
    <t>Experiment 2</t>
  </si>
  <si>
    <t>Exp. 1: Eq. 5</t>
  </si>
  <si>
    <t>Exp. 1: Eq. 12 (MLR constants)</t>
  </si>
  <si>
    <t>Exp. 1: Eq. 12 (Solver constants)</t>
  </si>
  <si>
    <t>Exp. 2: Eq. 5</t>
  </si>
  <si>
    <t>Exp. 2: Eq. 12 (MLR constants)</t>
  </si>
  <si>
    <t>Exp. 2: Eq. 12 (Solver constants)</t>
  </si>
  <si>
    <t>ut (K)</t>
  </si>
  <si>
    <t>ut</t>
  </si>
  <si>
    <t>tut (K)</t>
  </si>
  <si>
    <t xml:space="preserve">tud </t>
  </si>
  <si>
    <t>Method 1</t>
  </si>
  <si>
    <t>dt/db</t>
  </si>
  <si>
    <t>dt/dm</t>
  </si>
  <si>
    <t>t-value</t>
  </si>
  <si>
    <t>Method 2</t>
  </si>
  <si>
    <t>Experiment 1: ln P = -1.836E-04T2 + 0.1695T - 37.06</t>
  </si>
  <si>
    <t>Experiment 2: ln P = -1.809E-04T2 + 0.1678T - 36.79</t>
  </si>
  <si>
    <t>Second experiment: ΔHvap = 43.738 ± 0.013 (95% C.I.)</t>
  </si>
  <si>
    <t>First experiment: ΔHvap = 43.786 ± 0.016 (95% C.I.)</t>
  </si>
  <si>
    <t>A = 5.10 ± 0.55</t>
  </si>
  <si>
    <t>A = 5.23 ± 0.30</t>
  </si>
  <si>
    <t>B = 1569.70 ± 96.92</t>
  </si>
  <si>
    <t>B = 1498.52 ± 175.06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</si>
</sst>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"/>
    <numFmt numFmtId="166" formatCode="0.000000"/>
    <numFmt numFmtId="167" formatCode="0.00000000"/>
    <numFmt numFmtId="168" formatCode="0.00000"/>
    <numFmt numFmtId="169" formatCode="0.0000000"/>
    <numFmt numFmtId="170" formatCode="0.0000"/>
    <numFmt numFmtId="171" formatCode="0.000E+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Calibri (Body)"/>
    </font>
    <font>
      <b/>
      <u/>
      <sz val="12"/>
      <color theme="1"/>
      <name val="Calibri (Body)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5959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6" fontId="0" fillId="0" borderId="0" xfId="0" applyNumberFormat="1"/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3" xfId="0" applyNumberForma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71" fontId="1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" fontId="0" fillId="0" borderId="0" xfId="0" applyNumberFormat="1"/>
    <xf numFmtId="170" fontId="0" fillId="0" borderId="0" xfId="0" applyNumberFormat="1"/>
    <xf numFmtId="0" fontId="2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7" fontId="1" fillId="0" borderId="1" xfId="0" applyNumberFormat="1" applyFont="1" applyBorder="1" applyAlignment="1">
      <alignment horizontal="center"/>
    </xf>
    <xf numFmtId="166" fontId="1" fillId="3" borderId="1" xfId="0" applyNumberFormat="1" applyFont="1" applyFill="1" applyBorder="1" applyAlignment="1">
      <alignment horizontal="center"/>
    </xf>
    <xf numFmtId="167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 readingOrder="1"/>
    </xf>
    <xf numFmtId="0" fontId="9" fillId="0" borderId="0" xfId="0" applyFont="1" applyAlignment="1">
      <alignment horizontal="center" vertical="center" readingOrder="1"/>
    </xf>
    <xf numFmtId="0" fontId="0" fillId="0" borderId="5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'1-5'!$A$1</c:f>
              <c:strCache>
                <c:ptCount val="1"/>
                <c:pt idx="0">
                  <c:v>First experiment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'1-5'!$A$3:$A$18</c:f>
              <c:numCache>
                <c:formatCode>0.0</c:formatCode>
                <c:ptCount val="16"/>
                <c:pt idx="0">
                  <c:v>25</c:v>
                </c:pt>
                <c:pt idx="1">
                  <c:v>26.7</c:v>
                </c:pt>
                <c:pt idx="2">
                  <c:v>27.3</c:v>
                </c:pt>
                <c:pt idx="3">
                  <c:v>30.3</c:v>
                </c:pt>
                <c:pt idx="4">
                  <c:v>34.6</c:v>
                </c:pt>
                <c:pt idx="5">
                  <c:v>37.5</c:v>
                </c:pt>
                <c:pt idx="6">
                  <c:v>40.9</c:v>
                </c:pt>
                <c:pt idx="7">
                  <c:v>45.5</c:v>
                </c:pt>
                <c:pt idx="8">
                  <c:v>50.7</c:v>
                </c:pt>
                <c:pt idx="9">
                  <c:v>54.5</c:v>
                </c:pt>
                <c:pt idx="10">
                  <c:v>59.7</c:v>
                </c:pt>
                <c:pt idx="11">
                  <c:v>65.7</c:v>
                </c:pt>
                <c:pt idx="12">
                  <c:v>70.400000000000006</c:v>
                </c:pt>
                <c:pt idx="13">
                  <c:v>74.5</c:v>
                </c:pt>
                <c:pt idx="14">
                  <c:v>79.400000000000006</c:v>
                </c:pt>
                <c:pt idx="15">
                  <c:v>82.5</c:v>
                </c:pt>
              </c:numCache>
            </c:numRef>
          </c:xVal>
          <c:yVal>
            <c:numRef>
              <c:f>'1-5'!$D$3:$D$18</c:f>
              <c:numCache>
                <c:formatCode>0.0</c:formatCode>
                <c:ptCount val="16"/>
                <c:pt idx="0">
                  <c:v>44.4</c:v>
                </c:pt>
                <c:pt idx="1">
                  <c:v>48.9</c:v>
                </c:pt>
                <c:pt idx="2">
                  <c:v>50.7</c:v>
                </c:pt>
                <c:pt idx="3">
                  <c:v>60.1</c:v>
                </c:pt>
                <c:pt idx="4">
                  <c:v>76.2</c:v>
                </c:pt>
                <c:pt idx="5">
                  <c:v>91.3</c:v>
                </c:pt>
                <c:pt idx="6">
                  <c:v>109.8</c:v>
                </c:pt>
                <c:pt idx="7">
                  <c:v>138.1</c:v>
                </c:pt>
                <c:pt idx="8">
                  <c:v>182.6</c:v>
                </c:pt>
                <c:pt idx="9">
                  <c:v>222.8</c:v>
                </c:pt>
                <c:pt idx="10">
                  <c:v>284.89999999999998</c:v>
                </c:pt>
                <c:pt idx="11">
                  <c:v>373.1</c:v>
                </c:pt>
                <c:pt idx="12">
                  <c:v>461.6</c:v>
                </c:pt>
                <c:pt idx="13">
                  <c:v>553.70000000000005</c:v>
                </c:pt>
                <c:pt idx="14">
                  <c:v>675.3</c:v>
                </c:pt>
                <c:pt idx="15">
                  <c:v>750.3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E7-DC4E-A116-138366507E87}"/>
            </c:ext>
          </c:extLst>
        </c:ser>
        <c:ser>
          <c:idx val="1"/>
          <c:order val="1"/>
          <c:tx>
            <c:strRef>
              <c:f>'1-5'!$A$19</c:f>
              <c:strCache>
                <c:ptCount val="1"/>
                <c:pt idx="0">
                  <c:v>Second experiment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'1-5'!$A$21:$A$36</c:f>
              <c:numCache>
                <c:formatCode>0.0</c:formatCode>
                <c:ptCount val="16"/>
                <c:pt idx="0">
                  <c:v>25</c:v>
                </c:pt>
                <c:pt idx="1">
                  <c:v>27.2</c:v>
                </c:pt>
                <c:pt idx="2">
                  <c:v>28.7</c:v>
                </c:pt>
                <c:pt idx="3">
                  <c:v>30.8</c:v>
                </c:pt>
                <c:pt idx="4">
                  <c:v>35.700000000000003</c:v>
                </c:pt>
                <c:pt idx="5">
                  <c:v>39.799999999999997</c:v>
                </c:pt>
                <c:pt idx="6">
                  <c:v>46.6</c:v>
                </c:pt>
                <c:pt idx="7">
                  <c:v>50.8</c:v>
                </c:pt>
                <c:pt idx="8">
                  <c:v>55.3</c:v>
                </c:pt>
                <c:pt idx="9">
                  <c:v>60.4</c:v>
                </c:pt>
                <c:pt idx="10">
                  <c:v>65.400000000000006</c:v>
                </c:pt>
                <c:pt idx="11">
                  <c:v>69.2</c:v>
                </c:pt>
                <c:pt idx="12">
                  <c:v>74.599999999999994</c:v>
                </c:pt>
                <c:pt idx="13">
                  <c:v>79.400000000000006</c:v>
                </c:pt>
                <c:pt idx="14">
                  <c:v>81.599999999999994</c:v>
                </c:pt>
                <c:pt idx="15">
                  <c:v>82</c:v>
                </c:pt>
              </c:numCache>
            </c:numRef>
          </c:xVal>
          <c:yVal>
            <c:numRef>
              <c:f>'1-5'!$D$21:$D$36</c:f>
              <c:numCache>
                <c:formatCode>0.0</c:formatCode>
                <c:ptCount val="16"/>
                <c:pt idx="0">
                  <c:v>44.3</c:v>
                </c:pt>
                <c:pt idx="1">
                  <c:v>50.1</c:v>
                </c:pt>
                <c:pt idx="2">
                  <c:v>55.1</c:v>
                </c:pt>
                <c:pt idx="3">
                  <c:v>62.1</c:v>
                </c:pt>
                <c:pt idx="4">
                  <c:v>82.4</c:v>
                </c:pt>
                <c:pt idx="5">
                  <c:v>103.5</c:v>
                </c:pt>
                <c:pt idx="6">
                  <c:v>147.69999999999999</c:v>
                </c:pt>
                <c:pt idx="7">
                  <c:v>182.4</c:v>
                </c:pt>
                <c:pt idx="8">
                  <c:v>232.2</c:v>
                </c:pt>
                <c:pt idx="9">
                  <c:v>292.89999999999998</c:v>
                </c:pt>
                <c:pt idx="10">
                  <c:v>369</c:v>
                </c:pt>
                <c:pt idx="11">
                  <c:v>439.1</c:v>
                </c:pt>
                <c:pt idx="12">
                  <c:v>551.4</c:v>
                </c:pt>
                <c:pt idx="13">
                  <c:v>671.2</c:v>
                </c:pt>
                <c:pt idx="14">
                  <c:v>736.8</c:v>
                </c:pt>
                <c:pt idx="15">
                  <c:v>746.4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CE7-DC4E-A116-138366507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702352"/>
        <c:axId val="1526785728"/>
      </c:scatterChart>
      <c:valAx>
        <c:axId val="1527702352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baseline="0"/>
                  <a:t>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785728"/>
        <c:crosses val="autoZero"/>
        <c:crossBetween val="midCat"/>
      </c:valAx>
      <c:valAx>
        <c:axId val="152678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</a:t>
                </a:r>
                <a:r>
                  <a:rPr lang="en-US" b="1" baseline="0"/>
                  <a:t> (Torr)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70235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'1-5'!$A$1</c:f>
              <c:strCache>
                <c:ptCount val="1"/>
                <c:pt idx="0">
                  <c:v>First experiment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'1-5'!$C$3:$C$18</c:f>
              <c:numCache>
                <c:formatCode>0.000000</c:formatCode>
                <c:ptCount val="16"/>
                <c:pt idx="0">
                  <c:v>3.3540164346805303E-3</c:v>
                </c:pt>
                <c:pt idx="1">
                  <c:v>3.3350008337502089E-3</c:v>
                </c:pt>
                <c:pt idx="2">
                  <c:v>3.328340822100183E-3</c:v>
                </c:pt>
                <c:pt idx="3">
                  <c:v>3.2954358213873785E-3</c:v>
                </c:pt>
                <c:pt idx="4">
                  <c:v>3.249390739236393E-3</c:v>
                </c:pt>
                <c:pt idx="5">
                  <c:v>3.2190568163528088E-3</c:v>
                </c:pt>
                <c:pt idx="6">
                  <c:v>3.1842063365706101E-3</c:v>
                </c:pt>
                <c:pt idx="7">
                  <c:v>3.1382394476698575E-3</c:v>
                </c:pt>
                <c:pt idx="8">
                  <c:v>3.0878493129535283E-3</c:v>
                </c:pt>
                <c:pt idx="9">
                  <c:v>3.0520372348542654E-3</c:v>
                </c:pt>
                <c:pt idx="10">
                  <c:v>3.0043563166591561E-3</c:v>
                </c:pt>
                <c:pt idx="11">
                  <c:v>2.9511583296443857E-3</c:v>
                </c:pt>
                <c:pt idx="12">
                  <c:v>2.9107844564110032E-3</c:v>
                </c:pt>
                <c:pt idx="13">
                  <c:v>2.8764562059542644E-3</c:v>
                </c:pt>
                <c:pt idx="14">
                  <c:v>2.8364770954474546E-3</c:v>
                </c:pt>
                <c:pt idx="15">
                  <c:v>2.8117531280753552E-3</c:v>
                </c:pt>
              </c:numCache>
            </c:numRef>
          </c:xVal>
          <c:yVal>
            <c:numRef>
              <c:f>'1-5'!$E$3:$E$18</c:f>
              <c:numCache>
                <c:formatCode>0.000</c:formatCode>
                <c:ptCount val="16"/>
                <c:pt idx="0">
                  <c:v>-1.2334306221661715</c:v>
                </c:pt>
                <c:pt idx="1">
                  <c:v>-1.1915047331571711</c:v>
                </c:pt>
                <c:pt idx="2">
                  <c:v>-1.1758056329474553</c:v>
                </c:pt>
                <c:pt idx="3">
                  <c:v>-1.1019391202780517</c:v>
                </c:pt>
                <c:pt idx="4">
                  <c:v>-0.99885862094119082</c:v>
                </c:pt>
                <c:pt idx="5">
                  <c:v>-0.92034281474649238</c:v>
                </c:pt>
                <c:pt idx="6">
                  <c:v>-0.84021125216671821</c:v>
                </c:pt>
                <c:pt idx="7">
                  <c:v>-0.74061991370216007</c:v>
                </c:pt>
                <c:pt idx="8">
                  <c:v>-0.61931281908251123</c:v>
                </c:pt>
                <c:pt idx="9">
                  <c:v>-0.53289840577910008</c:v>
                </c:pt>
                <c:pt idx="10">
                  <c:v>-0.42612114304131449</c:v>
                </c:pt>
                <c:pt idx="11">
                  <c:v>-0.30898834323996222</c:v>
                </c:pt>
                <c:pt idx="12">
                  <c:v>-0.21654779213311634</c:v>
                </c:pt>
                <c:pt idx="13">
                  <c:v>-0.13753906876885791</c:v>
                </c:pt>
                <c:pt idx="14">
                  <c:v>-5.1316842560608984E-2</c:v>
                </c:pt>
                <c:pt idx="15">
                  <c:v>-5.5786458306264211E-3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6-8B40-B7F4-6C7025B89675}"/>
            </c:ext>
          </c:extLst>
        </c:ser>
        <c:ser>
          <c:idx val="1"/>
          <c:order val="1"/>
          <c:tx>
            <c:strRef>
              <c:f>'1-5'!$A$19</c:f>
              <c:strCache>
                <c:ptCount val="1"/>
                <c:pt idx="0">
                  <c:v>Second experiment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'1-5'!$C$21:$C$36</c:f>
              <c:numCache>
                <c:formatCode>0.000000</c:formatCode>
                <c:ptCount val="16"/>
                <c:pt idx="0">
                  <c:v>3.3540164346805303E-3</c:v>
                </c:pt>
                <c:pt idx="1">
                  <c:v>3.32944897619444E-3</c:v>
                </c:pt>
                <c:pt idx="2">
                  <c:v>3.3129037601457682E-3</c:v>
                </c:pt>
                <c:pt idx="3">
                  <c:v>3.2900148050666231E-3</c:v>
                </c:pt>
                <c:pt idx="4">
                  <c:v>3.2378177108628786E-3</c:v>
                </c:pt>
                <c:pt idx="5">
                  <c:v>3.1953986259785909E-3</c:v>
                </c:pt>
                <c:pt idx="6">
                  <c:v>3.1274433150899139E-3</c:v>
                </c:pt>
                <c:pt idx="7">
                  <c:v>3.0868961259453622E-3</c:v>
                </c:pt>
                <c:pt idx="8">
                  <c:v>3.0446034404018876E-3</c:v>
                </c:pt>
                <c:pt idx="9">
                  <c:v>2.9980512666766606E-3</c:v>
                </c:pt>
                <c:pt idx="10">
                  <c:v>2.9537734455767246E-3</c:v>
                </c:pt>
                <c:pt idx="11">
                  <c:v>2.9209872937052727E-3</c:v>
                </c:pt>
                <c:pt idx="12">
                  <c:v>2.875629043853343E-3</c:v>
                </c:pt>
                <c:pt idx="13">
                  <c:v>2.8364770954474546E-3</c:v>
                </c:pt>
                <c:pt idx="14">
                  <c:v>2.8188865398167725E-3</c:v>
                </c:pt>
                <c:pt idx="15">
                  <c:v>2.8157116711248768E-3</c:v>
                </c:pt>
              </c:numCache>
            </c:numRef>
          </c:xVal>
          <c:yVal>
            <c:numRef>
              <c:f>'1-5'!$E$21:$E$36</c:f>
              <c:numCache>
                <c:formatCode>0.000</c:formatCode>
                <c:ptCount val="16"/>
                <c:pt idx="0">
                  <c:v>-1.2344098660577218</c:v>
                </c:pt>
                <c:pt idx="1">
                  <c:v>-1.1809758664135457</c:v>
                </c:pt>
                <c:pt idx="2">
                  <c:v>-1.1396619934290064</c:v>
                </c:pt>
                <c:pt idx="3">
                  <c:v>-1.0877219921042112</c:v>
                </c:pt>
                <c:pt idx="4">
                  <c:v>-0.96488638058367548</c:v>
                </c:pt>
                <c:pt idx="5">
                  <c:v>-0.8658732424878548</c:v>
                </c:pt>
                <c:pt idx="6">
                  <c:v>-0.71143309696884194</c:v>
                </c:pt>
                <c:pt idx="7">
                  <c:v>-0.61978875828839397</c:v>
                </c:pt>
                <c:pt idx="8">
                  <c:v>-0.51495137687823633</c:v>
                </c:pt>
                <c:pt idx="9">
                  <c:v>-0.41409422059919271</c:v>
                </c:pt>
                <c:pt idx="10">
                  <c:v>-0.31378722612173099</c:v>
                </c:pt>
                <c:pt idx="11">
                  <c:v>-0.23825015517640355</c:v>
                </c:pt>
                <c:pt idx="12">
                  <c:v>-0.13934683051103644</c:v>
                </c:pt>
                <c:pt idx="13">
                  <c:v>-5.3961644460147472E-2</c:v>
                </c:pt>
                <c:pt idx="14">
                  <c:v>-1.3463975091998866E-2</c:v>
                </c:pt>
                <c:pt idx="15">
                  <c:v>-7.8419615423478382E-3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06-8B40-B7F4-6C7025B89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902784"/>
        <c:axId val="1485839136"/>
      </c:scatterChart>
      <c:valAx>
        <c:axId val="1569902784"/>
        <c:scaling>
          <c:orientation val="minMax"/>
          <c:min val="2.7000000000000006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1/T</a:t>
                </a:r>
                <a:r>
                  <a:rPr lang="en-US" b="1" baseline="0"/>
                  <a:t> (1/K)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839136"/>
        <c:crossesAt val="-1.4"/>
        <c:crossBetween val="midCat"/>
      </c:valAx>
      <c:valAx>
        <c:axId val="148583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log(P)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02784"/>
        <c:crosses val="autoZero"/>
        <c:crossBetween val="midCat"/>
        <c:majorUnit val="0.2"/>
        <c:minorUnit val="5.000000000000001E-2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'1-5'!$A$1</c:f>
              <c:strCache>
                <c:ptCount val="1"/>
                <c:pt idx="0">
                  <c:v>First experiment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FF0000"/>
                </a:solidFill>
                <a:prstDash val="solid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31561459135489506"/>
                  <c:y val="0.1697799501572342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FF0000"/>
                        </a:solidFill>
                      </a:rPr>
                      <a:t>ln P = -1.836E-04T</a:t>
                    </a:r>
                    <a:r>
                      <a:rPr lang="en-US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baseline="0">
                        <a:solidFill>
                          <a:srgbClr val="FF0000"/>
                        </a:solidFill>
                      </a:rPr>
                      <a:t> + 0.1695T - 37.06</a:t>
                    </a:r>
                    <a:endParaRPr lang="en-US">
                      <a:solidFill>
                        <a:srgbClr val="FF0000"/>
                      </a:solidFill>
                    </a:endParaRPr>
                  </a:p>
                </c:rich>
              </c:tx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'1-5'!$B$3:$B$18</c:f>
              <c:numCache>
                <c:formatCode>0.0</c:formatCode>
                <c:ptCount val="16"/>
                <c:pt idx="0">
                  <c:v>298.14999999999998</c:v>
                </c:pt>
                <c:pt idx="1">
                  <c:v>299.84999999999997</c:v>
                </c:pt>
                <c:pt idx="2">
                  <c:v>300.45</c:v>
                </c:pt>
                <c:pt idx="3">
                  <c:v>303.45</c:v>
                </c:pt>
                <c:pt idx="4">
                  <c:v>307.75</c:v>
                </c:pt>
                <c:pt idx="5">
                  <c:v>310.64999999999998</c:v>
                </c:pt>
                <c:pt idx="6">
                  <c:v>314.04999999999995</c:v>
                </c:pt>
                <c:pt idx="7">
                  <c:v>318.64999999999998</c:v>
                </c:pt>
                <c:pt idx="8">
                  <c:v>323.84999999999997</c:v>
                </c:pt>
                <c:pt idx="9">
                  <c:v>327.64999999999998</c:v>
                </c:pt>
                <c:pt idx="10">
                  <c:v>332.84999999999997</c:v>
                </c:pt>
                <c:pt idx="11">
                  <c:v>338.84999999999997</c:v>
                </c:pt>
                <c:pt idx="12">
                  <c:v>343.54999999999995</c:v>
                </c:pt>
                <c:pt idx="13">
                  <c:v>347.65</c:v>
                </c:pt>
                <c:pt idx="14">
                  <c:v>352.54999999999995</c:v>
                </c:pt>
                <c:pt idx="15">
                  <c:v>355.65</c:v>
                </c:pt>
              </c:numCache>
            </c:numRef>
          </c:xVal>
          <c:yVal>
            <c:numRef>
              <c:f>'1-5'!$F$3:$F$18</c:f>
              <c:numCache>
                <c:formatCode>0.000</c:formatCode>
                <c:ptCount val="16"/>
                <c:pt idx="0">
                  <c:v>-2.8400789638421977</c:v>
                </c:pt>
                <c:pt idx="1">
                  <c:v>-2.7435410367995505</c:v>
                </c:pt>
                <c:pt idx="2">
                  <c:v>-2.7073925226832389</c:v>
                </c:pt>
                <c:pt idx="3">
                  <c:v>-2.5373085917392149</c:v>
                </c:pt>
                <c:pt idx="4">
                  <c:v>-2.2999569705877763</c:v>
                </c:pt>
                <c:pt idx="5">
                  <c:v>-2.1191676456794539</c:v>
                </c:pt>
                <c:pt idx="6">
                  <c:v>-1.9346579042049465</c:v>
                </c:pt>
                <c:pt idx="7">
                  <c:v>-1.7053403728651304</c:v>
                </c:pt>
                <c:pt idx="8">
                  <c:v>-1.4260204651195088</c:v>
                </c:pt>
                <c:pt idx="9">
                  <c:v>-1.2270439252272478</c:v>
                </c:pt>
                <c:pt idx="10">
                  <c:v>-0.98118019177651417</c:v>
                </c:pt>
                <c:pt idx="11">
                  <c:v>-0.71147195305326449</c:v>
                </c:pt>
                <c:pt idx="12">
                  <c:v>-0.49861971808648697</c:v>
                </c:pt>
                <c:pt idx="13">
                  <c:v>-0.31669540945145513</c:v>
                </c:pt>
                <c:pt idx="14">
                  <c:v>-0.11816139669958063</c:v>
                </c:pt>
                <c:pt idx="15">
                  <c:v>-1.2845306728693783E-2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8-4A19-99BD-B95B30CBD85E}"/>
            </c:ext>
          </c:extLst>
        </c:ser>
        <c:ser>
          <c:idx val="1"/>
          <c:order val="1"/>
          <c:tx>
            <c:strRef>
              <c:f>'1-5'!$A$19</c:f>
              <c:strCache>
                <c:ptCount val="1"/>
                <c:pt idx="0">
                  <c:v>Second experiment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dash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1.5398284365985606E-2"/>
                  <c:y val="0.4084966270394048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="1" baseline="0"/>
                      <a:t>ln P = -1.809E-04T</a:t>
                    </a:r>
                    <a:r>
                      <a:rPr lang="en-US" b="1" baseline="30000"/>
                      <a:t>2</a:t>
                    </a:r>
                    <a:r>
                      <a:rPr lang="en-US" b="1" baseline="0"/>
                      <a:t> + 0.1678T - 36.79</a:t>
                    </a:r>
                    <a:endParaRPr lang="en-US" b="1"/>
                  </a:p>
                </c:rich>
              </c:tx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'1-5'!$B$21:$B$36</c:f>
              <c:numCache>
                <c:formatCode>0.0</c:formatCode>
                <c:ptCount val="16"/>
                <c:pt idx="0">
                  <c:v>298.14999999999998</c:v>
                </c:pt>
                <c:pt idx="1">
                  <c:v>300.34999999999997</c:v>
                </c:pt>
                <c:pt idx="2">
                  <c:v>301.84999999999997</c:v>
                </c:pt>
                <c:pt idx="3">
                  <c:v>303.95</c:v>
                </c:pt>
                <c:pt idx="4">
                  <c:v>308.84999999999997</c:v>
                </c:pt>
                <c:pt idx="5">
                  <c:v>312.95</c:v>
                </c:pt>
                <c:pt idx="6">
                  <c:v>319.75</c:v>
                </c:pt>
                <c:pt idx="7">
                  <c:v>323.95</c:v>
                </c:pt>
                <c:pt idx="8">
                  <c:v>328.45</c:v>
                </c:pt>
                <c:pt idx="9">
                  <c:v>333.54999999999995</c:v>
                </c:pt>
                <c:pt idx="10">
                  <c:v>338.54999999999995</c:v>
                </c:pt>
                <c:pt idx="11">
                  <c:v>342.34999999999997</c:v>
                </c:pt>
                <c:pt idx="12">
                  <c:v>347.75</c:v>
                </c:pt>
                <c:pt idx="13">
                  <c:v>352.54999999999995</c:v>
                </c:pt>
                <c:pt idx="14">
                  <c:v>354.75</c:v>
                </c:pt>
                <c:pt idx="15">
                  <c:v>355.15</c:v>
                </c:pt>
              </c:numCache>
            </c:numRef>
          </c:xVal>
          <c:yVal>
            <c:numRef>
              <c:f>'1-5'!$F$21:$F$36</c:f>
              <c:numCache>
                <c:formatCode>0.000</c:formatCode>
                <c:ptCount val="16"/>
                <c:pt idx="0">
                  <c:v>-2.8423337562292867</c:v>
                </c:pt>
                <c:pt idx="1">
                  <c:v>-2.7192974251895574</c:v>
                </c:pt>
                <c:pt idx="2">
                  <c:v>-2.624168717121508</c:v>
                </c:pt>
                <c:pt idx="3">
                  <c:v>-2.5045724443409436</c:v>
                </c:pt>
                <c:pt idx="4">
                  <c:v>-2.2217329963649508</c:v>
                </c:pt>
                <c:pt idx="5">
                  <c:v>-1.9937468205749529</c:v>
                </c:pt>
                <c:pt idx="6">
                  <c:v>-1.6381352437430428</c:v>
                </c:pt>
                <c:pt idx="7">
                  <c:v>-1.4271163556401456</c:v>
                </c:pt>
                <c:pt idx="8">
                  <c:v>-1.1857193640165857</c:v>
                </c:pt>
                <c:pt idx="9">
                  <c:v>-0.95348717944668904</c:v>
                </c:pt>
                <c:pt idx="10">
                  <c:v>-0.72252178923984955</c:v>
                </c:pt>
                <c:pt idx="11">
                  <c:v>-0.54859125571270495</c:v>
                </c:pt>
                <c:pt idx="12">
                  <c:v>-0.32085793469068041</c:v>
                </c:pt>
                <c:pt idx="13">
                  <c:v>-0.12425127812738029</c:v>
                </c:pt>
                <c:pt idx="14">
                  <c:v>-3.1001948339279727E-2</c:v>
                </c:pt>
                <c:pt idx="15">
                  <c:v>-1.8056783747242726E-2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78-4A19-99BD-B95B30CBD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96127"/>
        <c:axId val="465965807"/>
      </c:scatterChart>
      <c:valAx>
        <c:axId val="46579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 baseline="0"/>
                  <a:t>T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965807"/>
        <c:crossesAt val="-3"/>
        <c:crossBetween val="midCat"/>
      </c:valAx>
      <c:valAx>
        <c:axId val="46596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ln(P)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9612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'6C'!$R$2</c:f>
              <c:strCache>
                <c:ptCount val="1"/>
                <c:pt idx="0">
                  <c:v>Exp. 1: Eq.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'6C'!$A$3:$A$18</c:f>
              <c:numCache>
                <c:formatCode>0.0</c:formatCode>
                <c:ptCount val="16"/>
                <c:pt idx="0">
                  <c:v>44.4</c:v>
                </c:pt>
                <c:pt idx="1">
                  <c:v>48.9</c:v>
                </c:pt>
                <c:pt idx="2">
                  <c:v>50.7</c:v>
                </c:pt>
                <c:pt idx="3">
                  <c:v>60.1</c:v>
                </c:pt>
                <c:pt idx="4">
                  <c:v>76.2</c:v>
                </c:pt>
                <c:pt idx="5">
                  <c:v>91.3</c:v>
                </c:pt>
                <c:pt idx="6">
                  <c:v>109.8</c:v>
                </c:pt>
                <c:pt idx="7">
                  <c:v>138.1</c:v>
                </c:pt>
                <c:pt idx="8">
                  <c:v>182.6</c:v>
                </c:pt>
                <c:pt idx="9">
                  <c:v>222.8</c:v>
                </c:pt>
                <c:pt idx="10">
                  <c:v>284.89999999999998</c:v>
                </c:pt>
                <c:pt idx="11">
                  <c:v>373.1</c:v>
                </c:pt>
                <c:pt idx="12">
                  <c:v>461.6</c:v>
                </c:pt>
                <c:pt idx="13">
                  <c:v>553.70000000000005</c:v>
                </c:pt>
                <c:pt idx="14">
                  <c:v>675.3</c:v>
                </c:pt>
                <c:pt idx="15">
                  <c:v>750.3</c:v>
                </c:pt>
              </c:numCache>
            </c:numRef>
          </c:xVal>
          <c:yVal>
            <c:numRef>
              <c:f>'6C'!$E$3:$E$18</c:f>
              <c:numCache>
                <c:formatCode>0.00000</c:formatCode>
                <c:ptCount val="16"/>
                <c:pt idx="0">
                  <c:v>-2.4072937617978163E-3</c:v>
                </c:pt>
                <c:pt idx="1">
                  <c:v>-6.0344063303323179E-3</c:v>
                </c:pt>
                <c:pt idx="2">
                  <c:v>-4.9564005929558412E-3</c:v>
                </c:pt>
                <c:pt idx="3">
                  <c:v>-8.1949669701007737E-3</c:v>
                </c:pt>
                <c:pt idx="4">
                  <c:v>-1.3405447822037748E-2</c:v>
                </c:pt>
                <c:pt idx="5">
                  <c:v>7.6830654722113336E-3</c:v>
                </c:pt>
                <c:pt idx="6">
                  <c:v>8.6373237650833618E-3</c:v>
                </c:pt>
                <c:pt idx="7">
                  <c:v>-4.1106714130912728E-3</c:v>
                </c:pt>
                <c:pt idx="8">
                  <c:v>9.7789294609466042E-3</c:v>
                </c:pt>
                <c:pt idx="9">
                  <c:v>1.9989015098193612E-2</c:v>
                </c:pt>
                <c:pt idx="10">
                  <c:v>1.482235615149831E-2</c:v>
                </c:pt>
                <c:pt idx="11">
                  <c:v>4.4528306118439215E-3</c:v>
                </c:pt>
                <c:pt idx="12">
                  <c:v>4.6663026658899263E-3</c:v>
                </c:pt>
                <c:pt idx="13">
                  <c:v>5.7875220969133192E-3</c:v>
                </c:pt>
                <c:pt idx="14">
                  <c:v>-6.2397203467939033E-3</c:v>
                </c:pt>
                <c:pt idx="15">
                  <c:v>-3.1607634671603893E-2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E4-4100-9245-FEA61A67E00B}"/>
            </c:ext>
          </c:extLst>
        </c:ser>
        <c:ser>
          <c:idx val="1"/>
          <c:order val="1"/>
          <c:tx>
            <c:strRef>
              <c:f>'6C'!$R$3</c:f>
              <c:strCache>
                <c:ptCount val="1"/>
                <c:pt idx="0">
                  <c:v>Exp. 1: Eq. 12 (MLR constants)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'6C'!$A$3:$A$18</c:f>
              <c:numCache>
                <c:formatCode>0.0</c:formatCode>
                <c:ptCount val="16"/>
                <c:pt idx="0">
                  <c:v>44.4</c:v>
                </c:pt>
                <c:pt idx="1">
                  <c:v>48.9</c:v>
                </c:pt>
                <c:pt idx="2">
                  <c:v>50.7</c:v>
                </c:pt>
                <c:pt idx="3">
                  <c:v>60.1</c:v>
                </c:pt>
                <c:pt idx="4">
                  <c:v>76.2</c:v>
                </c:pt>
                <c:pt idx="5">
                  <c:v>91.3</c:v>
                </c:pt>
                <c:pt idx="6">
                  <c:v>109.8</c:v>
                </c:pt>
                <c:pt idx="7">
                  <c:v>138.1</c:v>
                </c:pt>
                <c:pt idx="8">
                  <c:v>182.6</c:v>
                </c:pt>
                <c:pt idx="9">
                  <c:v>222.8</c:v>
                </c:pt>
                <c:pt idx="10">
                  <c:v>284.89999999999998</c:v>
                </c:pt>
                <c:pt idx="11">
                  <c:v>373.1</c:v>
                </c:pt>
                <c:pt idx="12">
                  <c:v>461.6</c:v>
                </c:pt>
                <c:pt idx="13">
                  <c:v>553.70000000000005</c:v>
                </c:pt>
                <c:pt idx="14">
                  <c:v>675.3</c:v>
                </c:pt>
                <c:pt idx="15">
                  <c:v>750.3</c:v>
                </c:pt>
              </c:numCache>
            </c:numRef>
          </c:xVal>
          <c:yVal>
            <c:numRef>
              <c:f>'6C'!$F$3:$F$18</c:f>
              <c:numCache>
                <c:formatCode>0.00000</c:formatCode>
                <c:ptCount val="16"/>
                <c:pt idx="0">
                  <c:v>1.2703639966364541E-2</c:v>
                </c:pt>
                <c:pt idx="1">
                  <c:v>5.1648069854222777E-3</c:v>
                </c:pt>
                <c:pt idx="2">
                  <c:v>4.9116882471403975E-3</c:v>
                </c:pt>
                <c:pt idx="3">
                  <c:v>-4.3059429095253891E-3</c:v>
                </c:pt>
                <c:pt idx="4">
                  <c:v>-1.6457915978810904E-2</c:v>
                </c:pt>
                <c:pt idx="5">
                  <c:v>1.1426196600541928E-3</c:v>
                </c:pt>
                <c:pt idx="6">
                  <c:v>-1.0487400148937794E-3</c:v>
                </c:pt>
                <c:pt idx="7">
                  <c:v>-1.659905711445735E-2</c:v>
                </c:pt>
                <c:pt idx="8">
                  <c:v>-3.4614579377426954E-3</c:v>
                </c:pt>
                <c:pt idx="9">
                  <c:v>7.4652310709389562E-3</c:v>
                </c:pt>
                <c:pt idx="10">
                  <c:v>4.5846785652244558E-3</c:v>
                </c:pt>
                <c:pt idx="11">
                  <c:v>-1.1317179856602003E-3</c:v>
                </c:pt>
                <c:pt idx="12">
                  <c:v>4.1455866417179502E-3</c:v>
                </c:pt>
                <c:pt idx="13">
                  <c:v>1.0525487350480913E-2</c:v>
                </c:pt>
                <c:pt idx="14">
                  <c:v>5.847087088125081E-3</c:v>
                </c:pt>
                <c:pt idx="15">
                  <c:v>-1.4004964553763136E-2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E4-4100-9245-FEA61A67E00B}"/>
            </c:ext>
          </c:extLst>
        </c:ser>
        <c:ser>
          <c:idx val="2"/>
          <c:order val="2"/>
          <c:tx>
            <c:strRef>
              <c:f>'6C'!$R$4</c:f>
              <c:strCache>
                <c:ptCount val="1"/>
                <c:pt idx="0">
                  <c:v>Exp. 1: Eq. 12 (Solver constants)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'6C'!$A$3:$A$18</c:f>
              <c:numCache>
                <c:formatCode>0.0</c:formatCode>
                <c:ptCount val="16"/>
                <c:pt idx="0">
                  <c:v>44.4</c:v>
                </c:pt>
                <c:pt idx="1">
                  <c:v>48.9</c:v>
                </c:pt>
                <c:pt idx="2">
                  <c:v>50.7</c:v>
                </c:pt>
                <c:pt idx="3">
                  <c:v>60.1</c:v>
                </c:pt>
                <c:pt idx="4">
                  <c:v>76.2</c:v>
                </c:pt>
                <c:pt idx="5">
                  <c:v>91.3</c:v>
                </c:pt>
                <c:pt idx="6">
                  <c:v>109.8</c:v>
                </c:pt>
                <c:pt idx="7">
                  <c:v>138.1</c:v>
                </c:pt>
                <c:pt idx="8">
                  <c:v>182.6</c:v>
                </c:pt>
                <c:pt idx="9">
                  <c:v>222.8</c:v>
                </c:pt>
                <c:pt idx="10">
                  <c:v>284.89999999999998</c:v>
                </c:pt>
                <c:pt idx="11">
                  <c:v>373.1</c:v>
                </c:pt>
                <c:pt idx="12">
                  <c:v>461.6</c:v>
                </c:pt>
                <c:pt idx="13">
                  <c:v>553.70000000000005</c:v>
                </c:pt>
                <c:pt idx="14">
                  <c:v>675.3</c:v>
                </c:pt>
                <c:pt idx="15">
                  <c:v>750.3</c:v>
                </c:pt>
              </c:numCache>
            </c:numRef>
          </c:xVal>
          <c:yVal>
            <c:numRef>
              <c:f>'6C'!$G$3:$G$18</c:f>
              <c:numCache>
                <c:formatCode>0.00000</c:formatCode>
                <c:ptCount val="16"/>
                <c:pt idx="0">
                  <c:v>1.0435218382862235E-2</c:v>
                </c:pt>
                <c:pt idx="1">
                  <c:v>3.5764112622381702E-3</c:v>
                </c:pt>
                <c:pt idx="2">
                  <c:v>3.553348329032566E-3</c:v>
                </c:pt>
                <c:pt idx="3">
                  <c:v>-4.6329740738193844E-3</c:v>
                </c:pt>
                <c:pt idx="4">
                  <c:v>-1.5603783043809225E-2</c:v>
                </c:pt>
                <c:pt idx="5">
                  <c:v>2.5687450605683961E-3</c:v>
                </c:pt>
                <c:pt idx="6">
                  <c:v>8.8192638914214689E-4</c:v>
                </c:pt>
                <c:pt idx="7">
                  <c:v>-1.4251243849673476E-2</c:v>
                </c:pt>
                <c:pt idx="8">
                  <c:v>-1.0850778099415275E-3</c:v>
                </c:pt>
                <c:pt idx="9">
                  <c:v>9.6348987761733663E-3</c:v>
                </c:pt>
                <c:pt idx="10">
                  <c:v>6.2368414195138706E-3</c:v>
                </c:pt>
                <c:pt idx="11">
                  <c:v>-4.3403428179019163E-4</c:v>
                </c:pt>
                <c:pt idx="12">
                  <c:v>3.8528736202927587E-3</c:v>
                </c:pt>
                <c:pt idx="13">
                  <c:v>9.2289222315205966E-3</c:v>
                </c:pt>
                <c:pt idx="14">
                  <c:v>3.1696918810272421E-3</c:v>
                </c:pt>
                <c:pt idx="15">
                  <c:v>-1.7710520056448412E-2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DE4-4100-9245-FEA61A67E00B}"/>
            </c:ext>
          </c:extLst>
        </c:ser>
        <c:ser>
          <c:idx val="3"/>
          <c:order val="3"/>
          <c:tx>
            <c:strRef>
              <c:f>'6C'!$R$6</c:f>
              <c:strCache>
                <c:ptCount val="1"/>
                <c:pt idx="0">
                  <c:v>Exp. 2: Eq. 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'6C'!$I$3:$I$18</c:f>
              <c:numCache>
                <c:formatCode>0.0</c:formatCode>
                <c:ptCount val="16"/>
                <c:pt idx="0">
                  <c:v>44.3</c:v>
                </c:pt>
                <c:pt idx="1">
                  <c:v>50.1</c:v>
                </c:pt>
                <c:pt idx="2">
                  <c:v>55.1</c:v>
                </c:pt>
                <c:pt idx="3">
                  <c:v>62.1</c:v>
                </c:pt>
                <c:pt idx="4">
                  <c:v>82.4</c:v>
                </c:pt>
                <c:pt idx="5">
                  <c:v>103.5</c:v>
                </c:pt>
                <c:pt idx="6">
                  <c:v>147.69999999999999</c:v>
                </c:pt>
                <c:pt idx="7">
                  <c:v>182.4</c:v>
                </c:pt>
                <c:pt idx="8">
                  <c:v>232.2</c:v>
                </c:pt>
                <c:pt idx="9">
                  <c:v>292.89999999999998</c:v>
                </c:pt>
                <c:pt idx="10">
                  <c:v>369</c:v>
                </c:pt>
                <c:pt idx="11">
                  <c:v>439.1</c:v>
                </c:pt>
                <c:pt idx="12">
                  <c:v>551.4</c:v>
                </c:pt>
                <c:pt idx="13">
                  <c:v>671.2</c:v>
                </c:pt>
                <c:pt idx="14">
                  <c:v>736.8</c:v>
                </c:pt>
                <c:pt idx="15">
                  <c:v>746.4</c:v>
                </c:pt>
              </c:numCache>
            </c:numRef>
          </c:xVal>
          <c:yVal>
            <c:numRef>
              <c:f>'6C'!$M$3:$M$18</c:f>
              <c:numCache>
                <c:formatCode>0.00000</c:formatCode>
                <c:ptCount val="16"/>
                <c:pt idx="0">
                  <c:v>-6.6152671188072481E-3</c:v>
                </c:pt>
                <c:pt idx="1">
                  <c:v>-1.2886437025371011E-2</c:v>
                </c:pt>
                <c:pt idx="2">
                  <c:v>-4.7292937389115056E-3</c:v>
                </c:pt>
                <c:pt idx="3">
                  <c:v>-5.5537604784756354E-3</c:v>
                </c:pt>
                <c:pt idx="4">
                  <c:v>2.693683284687685E-3</c:v>
                </c:pt>
                <c:pt idx="5">
                  <c:v>7.4926845295645644E-3</c:v>
                </c:pt>
                <c:pt idx="6">
                  <c:v>5.6105245700687027E-3</c:v>
                </c:pt>
                <c:pt idx="7">
                  <c:v>3.3249308539798107E-3</c:v>
                </c:pt>
                <c:pt idx="8">
                  <c:v>2.1984576739304526E-2</c:v>
                </c:pt>
                <c:pt idx="9">
                  <c:v>9.510144952227224E-3</c:v>
                </c:pt>
                <c:pt idx="10">
                  <c:v>7.5511662336769621E-3</c:v>
                </c:pt>
                <c:pt idx="11">
                  <c:v>8.9850523255681335E-3</c:v>
                </c:pt>
                <c:pt idx="12">
                  <c:v>-1.8680134236762106E-3</c:v>
                </c:pt>
                <c:pt idx="13">
                  <c:v>-1.129747104968325E-2</c:v>
                </c:pt>
                <c:pt idx="14">
                  <c:v>-1.0582573230023647E-2</c:v>
                </c:pt>
                <c:pt idx="15">
                  <c:v>-1.4386985038854796E-2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2D-4055-B080-B03559D58F14}"/>
            </c:ext>
          </c:extLst>
        </c:ser>
        <c:ser>
          <c:idx val="4"/>
          <c:order val="4"/>
          <c:tx>
            <c:strRef>
              <c:f>'6C'!$R$7</c:f>
              <c:strCache>
                <c:ptCount val="1"/>
                <c:pt idx="0">
                  <c:v>Exp. 2: Eq. 12 (MLR constants)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'6C'!$I$3:$I$18</c:f>
              <c:numCache>
                <c:formatCode>0.0</c:formatCode>
                <c:ptCount val="16"/>
                <c:pt idx="0">
                  <c:v>44.3</c:v>
                </c:pt>
                <c:pt idx="1">
                  <c:v>50.1</c:v>
                </c:pt>
                <c:pt idx="2">
                  <c:v>55.1</c:v>
                </c:pt>
                <c:pt idx="3">
                  <c:v>62.1</c:v>
                </c:pt>
                <c:pt idx="4">
                  <c:v>82.4</c:v>
                </c:pt>
                <c:pt idx="5">
                  <c:v>103.5</c:v>
                </c:pt>
                <c:pt idx="6">
                  <c:v>147.69999999999999</c:v>
                </c:pt>
                <c:pt idx="7">
                  <c:v>182.4</c:v>
                </c:pt>
                <c:pt idx="8">
                  <c:v>232.2</c:v>
                </c:pt>
                <c:pt idx="9">
                  <c:v>292.89999999999998</c:v>
                </c:pt>
                <c:pt idx="10">
                  <c:v>369</c:v>
                </c:pt>
                <c:pt idx="11">
                  <c:v>439.1</c:v>
                </c:pt>
                <c:pt idx="12">
                  <c:v>551.4</c:v>
                </c:pt>
                <c:pt idx="13">
                  <c:v>671.2</c:v>
                </c:pt>
                <c:pt idx="14">
                  <c:v>736.8</c:v>
                </c:pt>
                <c:pt idx="15">
                  <c:v>746.4</c:v>
                </c:pt>
              </c:numCache>
            </c:numRef>
          </c:xVal>
          <c:yVal>
            <c:numRef>
              <c:f>'6C'!$N$3:$N$18</c:f>
              <c:numCache>
                <c:formatCode>0.00000</c:formatCode>
                <c:ptCount val="16"/>
                <c:pt idx="0">
                  <c:v>7.4996479719479483E-3</c:v>
                </c:pt>
                <c:pt idx="1">
                  <c:v>-3.3056328442497632E-3</c:v>
                </c:pt>
                <c:pt idx="2">
                  <c:v>1.9264398789833764E-3</c:v>
                </c:pt>
                <c:pt idx="3">
                  <c:v>-2.5150252386020432E-3</c:v>
                </c:pt>
                <c:pt idx="4">
                  <c:v>-1.094012155000712E-3</c:v>
                </c:pt>
                <c:pt idx="5">
                  <c:v>-3.4941391845622652E-4</c:v>
                </c:pt>
                <c:pt idx="6">
                  <c:v>-6.097918292445572E-3</c:v>
                </c:pt>
                <c:pt idx="7">
                  <c:v>-9.1376522522715279E-3</c:v>
                </c:pt>
                <c:pt idx="8">
                  <c:v>1.0234344190936159E-2</c:v>
                </c:pt>
                <c:pt idx="9">
                  <c:v>-4.0830283153375649E-4</c:v>
                </c:pt>
                <c:pt idx="10">
                  <c:v>8.9169199934312465E-4</c:v>
                </c:pt>
                <c:pt idx="11">
                  <c:v>5.6165194757957504E-3</c:v>
                </c:pt>
                <c:pt idx="12">
                  <c:v>5.0657872804138492E-4</c:v>
                </c:pt>
                <c:pt idx="13">
                  <c:v>-2.7681948304792807E-3</c:v>
                </c:pt>
                <c:pt idx="14">
                  <c:v>1.0169344524783258E-3</c:v>
                </c:pt>
                <c:pt idx="15">
                  <c:v>-2.1653884012284982E-3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2D-4055-B080-B03559D58F14}"/>
            </c:ext>
          </c:extLst>
        </c:ser>
        <c:ser>
          <c:idx val="5"/>
          <c:order val="5"/>
          <c:tx>
            <c:strRef>
              <c:f>'6C'!$R$8</c:f>
              <c:strCache>
                <c:ptCount val="1"/>
                <c:pt idx="0">
                  <c:v>Exp. 2: Eq. 12 (Solver constants)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'6C'!$I$3:$I$19</c:f>
              <c:numCache>
                <c:formatCode>0.0</c:formatCode>
                <c:ptCount val="17"/>
                <c:pt idx="0">
                  <c:v>44.3</c:v>
                </c:pt>
                <c:pt idx="1">
                  <c:v>50.1</c:v>
                </c:pt>
                <c:pt idx="2">
                  <c:v>55.1</c:v>
                </c:pt>
                <c:pt idx="3">
                  <c:v>62.1</c:v>
                </c:pt>
                <c:pt idx="4">
                  <c:v>82.4</c:v>
                </c:pt>
                <c:pt idx="5">
                  <c:v>103.5</c:v>
                </c:pt>
                <c:pt idx="6">
                  <c:v>147.69999999999999</c:v>
                </c:pt>
                <c:pt idx="7">
                  <c:v>182.4</c:v>
                </c:pt>
                <c:pt idx="8">
                  <c:v>232.2</c:v>
                </c:pt>
                <c:pt idx="9">
                  <c:v>292.89999999999998</c:v>
                </c:pt>
                <c:pt idx="10">
                  <c:v>369</c:v>
                </c:pt>
                <c:pt idx="11">
                  <c:v>439.1</c:v>
                </c:pt>
                <c:pt idx="12">
                  <c:v>551.4</c:v>
                </c:pt>
                <c:pt idx="13">
                  <c:v>671.2</c:v>
                </c:pt>
                <c:pt idx="14">
                  <c:v>736.8</c:v>
                </c:pt>
                <c:pt idx="15">
                  <c:v>746.4</c:v>
                </c:pt>
              </c:numCache>
            </c:numRef>
          </c:xVal>
          <c:yVal>
            <c:numRef>
              <c:f>'6C'!$O$3:$O$18</c:f>
              <c:numCache>
                <c:formatCode>0.00000</c:formatCode>
                <c:ptCount val="16"/>
                <c:pt idx="0">
                  <c:v>7.6246121848940456E-3</c:v>
                </c:pt>
                <c:pt idx="1">
                  <c:v>-3.9054737194492897E-3</c:v>
                </c:pt>
                <c:pt idx="2">
                  <c:v>8.9787893864891029E-4</c:v>
                </c:pt>
                <c:pt idx="3">
                  <c:v>-4.0759862842951388E-3</c:v>
                </c:pt>
                <c:pt idx="4">
                  <c:v>-3.5450343647868174E-3</c:v>
                </c:pt>
                <c:pt idx="5">
                  <c:v>-3.2111914310392702E-3</c:v>
                </c:pt>
                <c:pt idx="6">
                  <c:v>-9.0676105353329345E-3</c:v>
                </c:pt>
                <c:pt idx="7">
                  <c:v>-1.1841196609138013E-2</c:v>
                </c:pt>
                <c:pt idx="8">
                  <c:v>8.1158609224342218E-3</c:v>
                </c:pt>
                <c:pt idx="9">
                  <c:v>-1.6622779996943789E-3</c:v>
                </c:pt>
                <c:pt idx="10">
                  <c:v>7.6149281806007466E-4</c:v>
                </c:pt>
                <c:pt idx="11">
                  <c:v>6.4848327872759773E-3</c:v>
                </c:pt>
                <c:pt idx="12">
                  <c:v>3.0027320144151294E-3</c:v>
                </c:pt>
                <c:pt idx="13">
                  <c:v>1.3579830345147039E-3</c:v>
                </c:pt>
                <c:pt idx="14">
                  <c:v>5.9171206818543287E-3</c:v>
                </c:pt>
                <c:pt idx="15">
                  <c:v>2.8975399899138911E-3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2D-4055-B080-B03559D58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388304"/>
        <c:axId val="84816752"/>
      </c:scatterChart>
      <c:valAx>
        <c:axId val="26738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Pexp (Torr)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cross"/>
        <c:minorTickMark val="cross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16752"/>
        <c:crossesAt val="0"/>
        <c:crossBetween val="midCat"/>
      </c:valAx>
      <c:valAx>
        <c:axId val="8481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(Pexp</a:t>
                </a:r>
                <a:r>
                  <a:rPr lang="en-US" b="1" baseline="0"/>
                  <a:t> - Pcalc)/Pexp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38830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162731</xdr:colOff>
      <xdr:row>0</xdr:row>
      <xdr:rowOff>160081</xdr:rowOff>
    </xdr:from>
    <xdr:to>
      <xdr:col>11</xdr:col>
      <xdr:colOff>610537</xdr:colOff>
      <xdr:row>17</xdr:row>
      <xdr:rowOff>25461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4B733E-A24C-3F4E-980A-83EB05903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108286</xdr:colOff>
      <xdr:row>17</xdr:row>
      <xdr:rowOff>164007</xdr:rowOff>
    </xdr:from>
    <xdr:to>
      <xdr:col>12</xdr:col>
      <xdr:colOff>454554</xdr:colOff>
      <xdr:row>37</xdr:row>
      <xdr:rowOff>4381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D82746-9615-5A4E-AD1E-ED06896A7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134815</xdr:colOff>
      <xdr:row>37</xdr:row>
      <xdr:rowOff>51703</xdr:rowOff>
    </xdr:from>
    <xdr:to>
      <xdr:col>6</xdr:col>
      <xdr:colOff>299376</xdr:colOff>
      <xdr:row>56</xdr:row>
      <xdr:rowOff>104947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2108BB-BBD2-49C2-9941-2826869D2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562754</xdr:colOff>
      <xdr:row>19</xdr:row>
      <xdr:rowOff>171785</xdr:rowOff>
    </xdr:from>
    <xdr:to>
      <xdr:col>7</xdr:col>
      <xdr:colOff>405818</xdr:colOff>
      <xdr:row>42</xdr:row>
      <xdr:rowOff>43865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371ABA-7BA6-4929-B3E9-ED2E19B91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C76A-5395-DE4C-9BDD-5D59898A3650}">
  <dimension ref="A1:AB72"/>
  <sheetViews>
    <sheetView topLeftCell="A14" zoomScale="106" zoomScaleNormal="100" workbookViewId="0">
      <selection activeCell="Q32" sqref="Q32"/>
    </sheetView>
  </sheetViews>
  <sheetFormatPr baseColWidth="10" defaultColWidth="11" defaultRowHeight="16" x14ac:dyDescent="0.2"/>
  <cols>
    <col min="1" max="2" width="10.83203125" style="4"/>
    <col min="3" max="3" width="10.83203125" style="12"/>
    <col min="4" max="4" width="10.83203125" style="4"/>
    <col min="5" max="5" width="13" style="3" customWidth="1"/>
    <col min="6" max="6" width="12.1640625" style="3" customWidth="1"/>
    <col min="14" max="14" width="15" customWidth="1"/>
    <col min="15" max="15" width="13.33203125" customWidth="1"/>
    <col min="16" max="16" width="12.6640625" bestFit="1" customWidth="1"/>
    <col min="17" max="17" width="14.6640625" customWidth="1"/>
    <col min="18" max="18" width="16.83203125" customWidth="1"/>
    <col min="19" max="19" width="14.6640625" bestFit="1" customWidth="1"/>
    <col min="20" max="20" width="15.1640625" customWidth="1"/>
    <col min="22" max="22" width="12" bestFit="1" customWidth="1"/>
    <col min="24" max="24" width="12.1640625" customWidth="1"/>
    <col min="25" max="25" width="15.33203125" customWidth="1"/>
    <col min="26" max="26" width="11.83203125" bestFit="1" customWidth="1"/>
    <col min="27" max="28" width="11.1640625" bestFit="1" customWidth="1"/>
  </cols>
  <sheetData>
    <row r="1" spans="1:28" x14ac:dyDescent="0.2">
      <c r="A1" s="46" t="s">
        <v>0</v>
      </c>
      <c r="B1" s="46"/>
      <c r="C1" s="46"/>
      <c r="D1" s="46"/>
      <c r="E1" s="46"/>
      <c r="F1" s="46"/>
      <c r="N1" s="41" t="s">
        <v>3</v>
      </c>
      <c r="O1" s="41"/>
      <c r="P1" s="41"/>
      <c r="Q1" s="41"/>
      <c r="S1" s="41" t="s">
        <v>21</v>
      </c>
      <c r="T1" s="41"/>
      <c r="U1" s="41" t="s">
        <v>23</v>
      </c>
      <c r="V1" s="41"/>
      <c r="W1" s="41"/>
    </row>
    <row r="2" spans="1:28" x14ac:dyDescent="0.2">
      <c r="A2" s="7" t="s">
        <v>70</v>
      </c>
      <c r="B2" s="7" t="s">
        <v>24</v>
      </c>
      <c r="C2" s="10" t="s">
        <v>26</v>
      </c>
      <c r="D2" s="7" t="s">
        <v>1</v>
      </c>
      <c r="E2" s="8" t="s">
        <v>30</v>
      </c>
      <c r="F2" s="8" t="s">
        <v>31</v>
      </c>
      <c r="M2" t="s">
        <v>113</v>
      </c>
      <c r="N2" s="13" t="s">
        <v>5</v>
      </c>
      <c r="O2" s="16">
        <f t="array" ref="O2:P6">LINEST(E3:E18,C3:C18,1,1)</f>
        <v>-2287.3063524302574</v>
      </c>
      <c r="P2" s="2">
        <v>6.4392766930650502</v>
      </c>
      <c r="Q2" s="13" t="s">
        <v>10</v>
      </c>
      <c r="S2" s="42" t="s">
        <v>15</v>
      </c>
      <c r="T2" s="42"/>
      <c r="U2" s="42" t="s">
        <v>34</v>
      </c>
      <c r="V2" s="42"/>
      <c r="W2" s="42"/>
    </row>
    <row r="3" spans="1:28" x14ac:dyDescent="0.2">
      <c r="A3" s="5">
        <v>25</v>
      </c>
      <c r="B3" s="5">
        <f>A3+273.15</f>
        <v>298.14999999999998</v>
      </c>
      <c r="C3" s="11">
        <f>1/B3</f>
        <v>3.3540164346805303E-3</v>
      </c>
      <c r="D3" s="5">
        <v>44.4</v>
      </c>
      <c r="E3" s="6">
        <f>LOG10(D3/760)</f>
        <v>-1.2334306221661715</v>
      </c>
      <c r="F3" s="6">
        <f>LN(D3/760)</f>
        <v>-2.8400789638421977</v>
      </c>
      <c r="M3" s="30">
        <f>U7*O3</f>
        <v>16.343014230412891</v>
      </c>
      <c r="N3" s="13" t="s">
        <v>6</v>
      </c>
      <c r="O3" s="2">
        <v>7.619878621252993</v>
      </c>
      <c r="P3" s="15">
        <v>2.3678508595183966E-2</v>
      </c>
      <c r="Q3" s="13" t="s">
        <v>11</v>
      </c>
      <c r="R3" s="3">
        <f>U7*P3</f>
        <v>5.0785350024697883E-2</v>
      </c>
      <c r="S3" s="42" t="s">
        <v>16</v>
      </c>
      <c r="T3" s="42"/>
      <c r="U3" s="42" t="s">
        <v>36</v>
      </c>
      <c r="V3" s="42"/>
      <c r="W3" s="42"/>
    </row>
    <row r="4" spans="1:28" x14ac:dyDescent="0.2">
      <c r="A4" s="5">
        <v>26.7</v>
      </c>
      <c r="B4" s="5">
        <f t="shared" ref="B4:B36" si="0">A4+273.15</f>
        <v>299.84999999999997</v>
      </c>
      <c r="C4" s="11">
        <f t="shared" ref="C4:C36" si="1">1/B4</f>
        <v>3.3350008337502089E-3</v>
      </c>
      <c r="D4" s="5">
        <v>48.9</v>
      </c>
      <c r="E4" s="6">
        <f t="shared" ref="E4:E18" si="2">LOG10(D4/760)</f>
        <v>-1.1915047331571711</v>
      </c>
      <c r="F4" s="6">
        <f t="shared" ref="F4:F18" si="3">LN(D4/760)</f>
        <v>-2.7435410367995505</v>
      </c>
      <c r="M4" s="30"/>
      <c r="N4" s="13" t="s">
        <v>7</v>
      </c>
      <c r="O4" s="22">
        <v>0.99984465116601218</v>
      </c>
      <c r="P4" s="21">
        <v>5.5322072580768307E-3</v>
      </c>
      <c r="Q4" s="13" t="s">
        <v>12</v>
      </c>
      <c r="R4" s="31">
        <f>P4/SQRT(16)*U7</f>
        <v>2.9663511204813609E-3</v>
      </c>
      <c r="S4" s="47" t="s">
        <v>99</v>
      </c>
      <c r="T4" s="48"/>
      <c r="U4" s="42" t="s">
        <v>37</v>
      </c>
      <c r="V4" s="42"/>
      <c r="W4" s="42"/>
    </row>
    <row r="5" spans="1:28" x14ac:dyDescent="0.2">
      <c r="A5" s="5">
        <v>27.3</v>
      </c>
      <c r="B5" s="5">
        <f t="shared" si="0"/>
        <v>300.45</v>
      </c>
      <c r="C5" s="11">
        <f t="shared" si="1"/>
        <v>3.328340822100183E-3</v>
      </c>
      <c r="D5" s="5">
        <v>50.7</v>
      </c>
      <c r="E5" s="6">
        <f t="shared" si="2"/>
        <v>-1.1758056329474553</v>
      </c>
      <c r="F5" s="6">
        <f t="shared" si="3"/>
        <v>-2.7073925226832389</v>
      </c>
      <c r="M5" s="30"/>
      <c r="N5" s="13" t="s">
        <v>8</v>
      </c>
      <c r="O5" s="16">
        <v>90105.762347844226</v>
      </c>
      <c r="P5" s="1">
        <v>14</v>
      </c>
      <c r="Q5" s="13" t="s">
        <v>13</v>
      </c>
      <c r="R5" s="3"/>
      <c r="S5" s="42" t="s">
        <v>17</v>
      </c>
      <c r="T5" s="42"/>
      <c r="U5" s="42"/>
      <c r="V5" s="42"/>
      <c r="W5" s="42"/>
    </row>
    <row r="6" spans="1:28" x14ac:dyDescent="0.2">
      <c r="A6" s="5">
        <v>30.3</v>
      </c>
      <c r="B6" s="5">
        <f t="shared" si="0"/>
        <v>303.45</v>
      </c>
      <c r="C6" s="11">
        <f t="shared" si="1"/>
        <v>3.2954358213873785E-3</v>
      </c>
      <c r="D6" s="5">
        <v>60.1</v>
      </c>
      <c r="E6" s="6">
        <f t="shared" si="2"/>
        <v>-1.1019391202780517</v>
      </c>
      <c r="F6" s="6">
        <f t="shared" si="3"/>
        <v>-2.5373085917392149</v>
      </c>
      <c r="M6" s="30"/>
      <c r="N6" s="13" t="s">
        <v>9</v>
      </c>
      <c r="O6" s="2">
        <v>2.7577154333665286</v>
      </c>
      <c r="P6" s="20">
        <v>4.2847444004845154E-4</v>
      </c>
      <c r="Q6" s="13" t="s">
        <v>14</v>
      </c>
      <c r="R6" s="3"/>
      <c r="S6" s="13" t="s">
        <v>18</v>
      </c>
      <c r="T6" s="13" t="s">
        <v>22</v>
      </c>
      <c r="U6" s="13" t="s">
        <v>32</v>
      </c>
      <c r="V6" s="13" t="s">
        <v>33</v>
      </c>
      <c r="W6" s="13" t="s">
        <v>35</v>
      </c>
    </row>
    <row r="7" spans="1:28" x14ac:dyDescent="0.2">
      <c r="A7" s="5">
        <v>34.6</v>
      </c>
      <c r="B7" s="5">
        <f t="shared" si="0"/>
        <v>307.75</v>
      </c>
      <c r="C7" s="11">
        <f t="shared" si="1"/>
        <v>3.249390739236393E-3</v>
      </c>
      <c r="D7" s="5">
        <v>76.2</v>
      </c>
      <c r="E7" s="6">
        <f t="shared" si="2"/>
        <v>-0.99885862094119082</v>
      </c>
      <c r="F7" s="6">
        <f t="shared" si="3"/>
        <v>-2.2999569705877763</v>
      </c>
      <c r="M7" s="30"/>
      <c r="R7" s="3"/>
      <c r="S7" s="1" t="s">
        <v>19</v>
      </c>
      <c r="T7" s="2">
        <f>-O2*2.3025*8.314/1000</f>
        <v>43.785871194977133</v>
      </c>
      <c r="U7" s="2">
        <f>TINV(0.05,P5)</f>
        <v>2.1447866879178044</v>
      </c>
      <c r="V7" s="2">
        <f>U7*O3/1000</f>
        <v>1.634301423041289E-2</v>
      </c>
      <c r="W7" s="2">
        <f>V7</f>
        <v>1.634301423041289E-2</v>
      </c>
    </row>
    <row r="8" spans="1:28" x14ac:dyDescent="0.2">
      <c r="A8" s="5">
        <v>37.5</v>
      </c>
      <c r="B8" s="5">
        <f t="shared" si="0"/>
        <v>310.64999999999998</v>
      </c>
      <c r="C8" s="11">
        <f t="shared" si="1"/>
        <v>3.2190568163528088E-3</v>
      </c>
      <c r="D8" s="5">
        <v>91.3</v>
      </c>
      <c r="E8" s="6">
        <f t="shared" si="2"/>
        <v>-0.92034281474649238</v>
      </c>
      <c r="F8" s="6">
        <f t="shared" si="3"/>
        <v>-2.1191676456794539</v>
      </c>
      <c r="M8" s="30"/>
      <c r="N8" s="41" t="s">
        <v>4</v>
      </c>
      <c r="O8" s="41"/>
      <c r="P8" s="41"/>
      <c r="Q8" s="41"/>
      <c r="R8" s="3"/>
      <c r="S8" s="1" t="s">
        <v>20</v>
      </c>
      <c r="T8" s="2">
        <f>-O9*2.3025*8.314/1000</f>
        <v>43.737512905901347</v>
      </c>
      <c r="U8" s="2">
        <f>TINV(0.05,P12)</f>
        <v>2.1447866879178044</v>
      </c>
      <c r="V8" s="2">
        <f>U8*O10/1000</f>
        <v>1.2990493122614301E-2</v>
      </c>
      <c r="W8" s="2">
        <f>V8</f>
        <v>1.2990493122614301E-2</v>
      </c>
    </row>
    <row r="9" spans="1:28" x14ac:dyDescent="0.2">
      <c r="A9" s="5">
        <v>40.9</v>
      </c>
      <c r="B9" s="5">
        <f t="shared" si="0"/>
        <v>314.04999999999995</v>
      </c>
      <c r="C9" s="11">
        <f t="shared" si="1"/>
        <v>3.1842063365706101E-3</v>
      </c>
      <c r="D9" s="5">
        <v>109.8</v>
      </c>
      <c r="E9" s="6">
        <f t="shared" si="2"/>
        <v>-0.84021125216671821</v>
      </c>
      <c r="F9" s="6">
        <f t="shared" si="3"/>
        <v>-1.9346579042049465</v>
      </c>
      <c r="M9" s="30"/>
      <c r="N9" s="13" t="s">
        <v>5</v>
      </c>
      <c r="O9" s="16">
        <f t="array" ref="O9:P13">LINEST(E21:E36,C21:C36,1,1)</f>
        <v>-2284.7801900226818</v>
      </c>
      <c r="P9" s="2">
        <v>6.4316439538735981</v>
      </c>
      <c r="Q9" s="13" t="s">
        <v>10</v>
      </c>
      <c r="R9" s="3"/>
      <c r="S9" s="42" t="s">
        <v>137</v>
      </c>
      <c r="T9" s="42"/>
      <c r="U9" s="42"/>
      <c r="V9" s="42"/>
      <c r="W9" s="42"/>
    </row>
    <row r="10" spans="1:28" x14ac:dyDescent="0.2">
      <c r="A10" s="5">
        <v>45.5</v>
      </c>
      <c r="B10" s="5">
        <f t="shared" si="0"/>
        <v>318.64999999999998</v>
      </c>
      <c r="C10" s="11">
        <f t="shared" si="1"/>
        <v>3.1382394476698575E-3</v>
      </c>
      <c r="D10" s="5">
        <v>138.1</v>
      </c>
      <c r="E10" s="6">
        <f t="shared" si="2"/>
        <v>-0.74061991370216007</v>
      </c>
      <c r="F10" s="6">
        <f t="shared" si="3"/>
        <v>-1.7053403728651304</v>
      </c>
      <c r="M10" s="30">
        <f>U8*O10</f>
        <v>12.990493122614302</v>
      </c>
      <c r="N10" s="13" t="s">
        <v>6</v>
      </c>
      <c r="O10" s="2">
        <v>6.0567762732739148</v>
      </c>
      <c r="P10" s="15">
        <v>1.8658540198762587E-2</v>
      </c>
      <c r="Q10" s="13" t="s">
        <v>11</v>
      </c>
      <c r="R10" s="3">
        <f>U8*P10</f>
        <v>4.0018588634285222E-2</v>
      </c>
      <c r="S10" s="42" t="s">
        <v>136</v>
      </c>
      <c r="T10" s="42"/>
      <c r="U10" s="42"/>
      <c r="V10" s="42"/>
      <c r="W10" s="42"/>
    </row>
    <row r="11" spans="1:28" x14ac:dyDescent="0.2">
      <c r="A11" s="5">
        <v>50.7</v>
      </c>
      <c r="B11" s="5">
        <f t="shared" si="0"/>
        <v>323.84999999999997</v>
      </c>
      <c r="C11" s="11">
        <f t="shared" si="1"/>
        <v>3.0878493129535283E-3</v>
      </c>
      <c r="D11" s="5">
        <v>182.6</v>
      </c>
      <c r="E11" s="6">
        <f t="shared" si="2"/>
        <v>-0.61931281908251123</v>
      </c>
      <c r="F11" s="6">
        <f t="shared" si="3"/>
        <v>-1.4260204651195088</v>
      </c>
      <c r="N11" s="13" t="s">
        <v>7</v>
      </c>
      <c r="O11" s="22">
        <v>0.99990162618250999</v>
      </c>
      <c r="P11" s="21">
        <v>4.548830049569786E-3</v>
      </c>
      <c r="Q11" s="13" t="s">
        <v>12</v>
      </c>
      <c r="R11" s="31">
        <f>P11/SQRT(16)*U8</f>
        <v>2.4390675339794406E-3</v>
      </c>
    </row>
    <row r="12" spans="1:28" x14ac:dyDescent="0.2">
      <c r="A12" s="5">
        <v>54.5</v>
      </c>
      <c r="B12" s="5">
        <f t="shared" si="0"/>
        <v>327.64999999999998</v>
      </c>
      <c r="C12" s="11">
        <f t="shared" si="1"/>
        <v>3.0520372348542654E-3</v>
      </c>
      <c r="D12" s="5">
        <v>222.8</v>
      </c>
      <c r="E12" s="6">
        <f t="shared" si="2"/>
        <v>-0.53289840577910008</v>
      </c>
      <c r="F12" s="6">
        <f t="shared" si="3"/>
        <v>-1.2270439252272478</v>
      </c>
      <c r="N12" s="13" t="s">
        <v>8</v>
      </c>
      <c r="O12" s="16">
        <v>142300.29009481776</v>
      </c>
      <c r="P12" s="1">
        <v>14</v>
      </c>
      <c r="Q12" s="13" t="s">
        <v>13</v>
      </c>
      <c r="S12" s="41" t="s">
        <v>86</v>
      </c>
      <c r="T12" s="41"/>
      <c r="U12" s="41"/>
      <c r="V12" s="41"/>
      <c r="X12" s="13" t="s">
        <v>18</v>
      </c>
      <c r="Y12" s="13" t="s">
        <v>114</v>
      </c>
      <c r="Z12" s="13" t="s">
        <v>33</v>
      </c>
      <c r="AA12" s="13" t="s">
        <v>115</v>
      </c>
      <c r="AB12" s="13" t="s">
        <v>116</v>
      </c>
    </row>
    <row r="13" spans="1:28" x14ac:dyDescent="0.2">
      <c r="A13" s="5">
        <v>59.7</v>
      </c>
      <c r="B13" s="5">
        <f t="shared" si="0"/>
        <v>332.84999999999997</v>
      </c>
      <c r="C13" s="11">
        <f t="shared" si="1"/>
        <v>3.0043563166591561E-3</v>
      </c>
      <c r="D13" s="5">
        <v>284.89999999999998</v>
      </c>
      <c r="E13" s="6">
        <f t="shared" si="2"/>
        <v>-0.42612114304131449</v>
      </c>
      <c r="F13" s="6">
        <f t="shared" si="3"/>
        <v>-0.98118019177651417</v>
      </c>
      <c r="N13" s="13" t="s">
        <v>9</v>
      </c>
      <c r="O13" s="2">
        <v>2.9444569434672201</v>
      </c>
      <c r="P13" s="20">
        <v>2.8968596747816684E-4</v>
      </c>
      <c r="Q13" s="13" t="s">
        <v>14</v>
      </c>
      <c r="S13" s="41" t="s">
        <v>28</v>
      </c>
      <c r="T13" s="41"/>
      <c r="U13" s="41" t="s">
        <v>29</v>
      </c>
      <c r="V13" s="41"/>
      <c r="X13" s="1" t="s">
        <v>19</v>
      </c>
      <c r="Y13" s="2">
        <f>TINV(0.05,P5)</f>
        <v>2.1447866879178044</v>
      </c>
      <c r="Z13" s="16">
        <f>O3*Y13</f>
        <v>16.343014230412891</v>
      </c>
      <c r="AA13" s="2">
        <f>Y13*P3</f>
        <v>5.0785350024697883E-2</v>
      </c>
      <c r="AB13" s="22">
        <f>Y13*P4/SQRT(16)</f>
        <v>2.9663511204813609E-3</v>
      </c>
    </row>
    <row r="14" spans="1:28" x14ac:dyDescent="0.2">
      <c r="A14" s="5">
        <v>65.7</v>
      </c>
      <c r="B14" s="5">
        <f t="shared" si="0"/>
        <v>338.84999999999997</v>
      </c>
      <c r="C14" s="11">
        <f t="shared" si="1"/>
        <v>2.9511583296443857E-3</v>
      </c>
      <c r="D14" s="5">
        <v>373.1</v>
      </c>
      <c r="E14" s="6">
        <f t="shared" si="2"/>
        <v>-0.30898834323996222</v>
      </c>
      <c r="F14" s="6">
        <f t="shared" si="3"/>
        <v>-0.71147195305326449</v>
      </c>
      <c r="S14" s="25" t="s">
        <v>24</v>
      </c>
      <c r="T14" s="9" t="s">
        <v>1</v>
      </c>
      <c r="U14" s="25" t="s">
        <v>24</v>
      </c>
      <c r="V14" s="9" t="s">
        <v>1</v>
      </c>
      <c r="X14" s="1" t="s">
        <v>20</v>
      </c>
      <c r="Y14" s="2">
        <f>TINV(0.05,P12)</f>
        <v>2.1447866879178044</v>
      </c>
      <c r="Z14" s="16">
        <f>Y14*O10</f>
        <v>12.990493122614302</v>
      </c>
      <c r="AA14" s="2">
        <f>Y14*P10</f>
        <v>4.0018588634285222E-2</v>
      </c>
      <c r="AB14" s="22">
        <f>Y14*P11/SQRT(16)</f>
        <v>2.4390675339794406E-3</v>
      </c>
    </row>
    <row r="15" spans="1:28" x14ac:dyDescent="0.2">
      <c r="A15" s="5">
        <v>70.400000000000006</v>
      </c>
      <c r="B15" s="5">
        <f t="shared" si="0"/>
        <v>343.54999999999995</v>
      </c>
      <c r="C15" s="11">
        <f t="shared" si="1"/>
        <v>2.9107844564110032E-3</v>
      </c>
      <c r="D15" s="5">
        <v>461.6</v>
      </c>
      <c r="E15" s="6">
        <f t="shared" si="2"/>
        <v>-0.21654779213311634</v>
      </c>
      <c r="F15" s="6">
        <f t="shared" si="3"/>
        <v>-0.49861971808648697</v>
      </c>
      <c r="S15" s="5">
        <v>298.14999999999998</v>
      </c>
      <c r="T15" s="16">
        <f>760*10^($P$2-$T$7*1000/(2.3025*8.314*S15))</f>
        <v>44.506883843023822</v>
      </c>
      <c r="U15" s="5">
        <v>298.14999999999998</v>
      </c>
      <c r="V15" s="16">
        <f>760*10^($P$9-$T$8*1000/(2.3025*8.314*U15))</f>
        <v>44.593056333363158</v>
      </c>
    </row>
    <row r="16" spans="1:28" x14ac:dyDescent="0.2">
      <c r="A16" s="5">
        <v>74.5</v>
      </c>
      <c r="B16" s="5">
        <f t="shared" si="0"/>
        <v>347.65</v>
      </c>
      <c r="C16" s="11">
        <f t="shared" si="1"/>
        <v>2.8764562059542644E-3</v>
      </c>
      <c r="D16" s="5">
        <v>553.70000000000005</v>
      </c>
      <c r="E16" s="6">
        <f t="shared" si="2"/>
        <v>-0.13753906876885791</v>
      </c>
      <c r="F16" s="6">
        <f t="shared" si="3"/>
        <v>-0.31669540945145513</v>
      </c>
      <c r="O16" s="43" t="s">
        <v>94</v>
      </c>
      <c r="P16" s="44"/>
      <c r="Q16" s="45"/>
      <c r="S16" s="5">
        <v>299.84999999999997</v>
      </c>
      <c r="T16" s="16">
        <f t="shared" ref="T16:T30" si="4">760*10^($P$2-$T$7*1000/(2.3025*8.314*S16))</f>
        <v>49.195082469553249</v>
      </c>
      <c r="U16" s="5">
        <v>300.34999999999997</v>
      </c>
      <c r="V16" s="16">
        <f t="shared" ref="V16:V30" si="5">760*10^($P$9-$T$8*1000/(2.3025*8.314*U16))</f>
        <v>50.745610494971089</v>
      </c>
    </row>
    <row r="17" spans="1:22" x14ac:dyDescent="0.2">
      <c r="A17" s="5">
        <v>79.400000000000006</v>
      </c>
      <c r="B17" s="5">
        <f t="shared" si="0"/>
        <v>352.54999999999995</v>
      </c>
      <c r="C17" s="11">
        <f t="shared" si="1"/>
        <v>2.8364770954474546E-3</v>
      </c>
      <c r="D17" s="5">
        <v>675.3</v>
      </c>
      <c r="E17" s="6">
        <f t="shared" si="2"/>
        <v>-5.1316842560608984E-2</v>
      </c>
      <c r="F17" s="6">
        <f t="shared" si="3"/>
        <v>-0.11816139669958063</v>
      </c>
      <c r="O17" s="43" t="s">
        <v>95</v>
      </c>
      <c r="P17" s="44"/>
      <c r="Q17" s="45"/>
      <c r="S17" s="5">
        <v>300.45</v>
      </c>
      <c r="T17" s="16">
        <f t="shared" si="4"/>
        <v>50.951289510062864</v>
      </c>
      <c r="U17" s="5">
        <v>301.84999999999997</v>
      </c>
      <c r="V17" s="16">
        <f t="shared" si="5"/>
        <v>55.360584085014025</v>
      </c>
    </row>
    <row r="18" spans="1:22" x14ac:dyDescent="0.2">
      <c r="A18" s="5">
        <v>82.5</v>
      </c>
      <c r="B18" s="5">
        <f t="shared" si="0"/>
        <v>355.65</v>
      </c>
      <c r="C18" s="11">
        <f t="shared" si="1"/>
        <v>2.8117531280753552E-3</v>
      </c>
      <c r="D18" s="5">
        <v>750.3</v>
      </c>
      <c r="E18" s="6">
        <f t="shared" si="2"/>
        <v>-5.5786458306264211E-3</v>
      </c>
      <c r="F18" s="6">
        <f t="shared" si="3"/>
        <v>-1.2845306728693783E-2</v>
      </c>
      <c r="O18" s="43" t="s">
        <v>96</v>
      </c>
      <c r="P18" s="44"/>
      <c r="Q18" s="45"/>
      <c r="S18" s="5">
        <v>303.45</v>
      </c>
      <c r="T18" s="16">
        <f t="shared" si="4"/>
        <v>60.592517514903058</v>
      </c>
      <c r="U18" s="5">
        <v>303.95</v>
      </c>
      <c r="V18" s="16">
        <f t="shared" si="5"/>
        <v>62.444888525713338</v>
      </c>
    </row>
    <row r="19" spans="1:22" x14ac:dyDescent="0.2">
      <c r="A19" s="46" t="s">
        <v>2</v>
      </c>
      <c r="B19" s="46"/>
      <c r="C19" s="46"/>
      <c r="D19" s="46"/>
      <c r="E19" s="46"/>
      <c r="F19" s="46"/>
      <c r="O19" s="43" t="s">
        <v>97</v>
      </c>
      <c r="P19" s="44"/>
      <c r="Q19" s="45"/>
      <c r="S19" s="5">
        <v>307.75</v>
      </c>
      <c r="T19" s="16">
        <f t="shared" si="4"/>
        <v>77.221495124039279</v>
      </c>
      <c r="U19" s="5">
        <v>308.84999999999997</v>
      </c>
      <c r="V19" s="16">
        <f t="shared" si="5"/>
        <v>82.17804049734174</v>
      </c>
    </row>
    <row r="20" spans="1:22" x14ac:dyDescent="0.2">
      <c r="A20" s="7" t="s">
        <v>70</v>
      </c>
      <c r="B20" s="7" t="s">
        <v>24</v>
      </c>
      <c r="C20" s="10" t="s">
        <v>26</v>
      </c>
      <c r="D20" s="7" t="s">
        <v>1</v>
      </c>
      <c r="E20" s="8" t="s">
        <v>30</v>
      </c>
      <c r="F20" s="8" t="s">
        <v>31</v>
      </c>
      <c r="O20" s="43" t="s">
        <v>98</v>
      </c>
      <c r="P20" s="44"/>
      <c r="Q20" s="45"/>
      <c r="S20" s="5">
        <v>310.64999999999998</v>
      </c>
      <c r="T20" s="16">
        <f t="shared" si="4"/>
        <v>90.598536122387102</v>
      </c>
      <c r="U20" s="5">
        <v>312.95</v>
      </c>
      <c r="V20" s="16">
        <f t="shared" si="5"/>
        <v>102.72450715119007</v>
      </c>
    </row>
    <row r="21" spans="1:22" x14ac:dyDescent="0.2">
      <c r="A21" s="5">
        <v>25</v>
      </c>
      <c r="B21" s="5">
        <f t="shared" si="0"/>
        <v>298.14999999999998</v>
      </c>
      <c r="C21" s="11">
        <f t="shared" si="1"/>
        <v>3.3540164346805303E-3</v>
      </c>
      <c r="D21" s="5">
        <v>44.3</v>
      </c>
      <c r="E21" s="6">
        <f>LOG10(D21/760)</f>
        <v>-1.2344098660577218</v>
      </c>
      <c r="F21" s="6">
        <f>LN(D21/760)</f>
        <v>-2.8423337562292867</v>
      </c>
      <c r="O21" s="13" t="s">
        <v>18</v>
      </c>
      <c r="P21" s="13" t="s">
        <v>100</v>
      </c>
      <c r="Q21" s="13" t="s">
        <v>125</v>
      </c>
      <c r="S21" s="5">
        <v>314.04999999999995</v>
      </c>
      <c r="T21" s="16">
        <f t="shared" si="4"/>
        <v>108.85162185059384</v>
      </c>
      <c r="U21" s="5">
        <v>319.75</v>
      </c>
      <c r="V21" s="16">
        <f t="shared" si="5"/>
        <v>146.87132552100084</v>
      </c>
    </row>
    <row r="22" spans="1:22" x14ac:dyDescent="0.2">
      <c r="A22" s="5">
        <v>27.2</v>
      </c>
      <c r="B22" s="5">
        <f t="shared" si="0"/>
        <v>300.34999999999997</v>
      </c>
      <c r="C22" s="11">
        <f t="shared" si="1"/>
        <v>3.32944897619444E-3</v>
      </c>
      <c r="D22" s="5">
        <v>50.1</v>
      </c>
      <c r="E22" s="6">
        <f t="shared" ref="E22:E35" si="6">LOG10(D22/760)</f>
        <v>-1.1809758664135457</v>
      </c>
      <c r="F22" s="6">
        <f t="shared" ref="F22:F35" si="7">LN(D22/760)</f>
        <v>-2.7192974251895574</v>
      </c>
      <c r="O22" s="1" t="s">
        <v>19</v>
      </c>
      <c r="P22" s="16">
        <f>O2/(LOG10(760/760)-P2)</f>
        <v>355.21168936468172</v>
      </c>
      <c r="Q22" s="16">
        <f>SQRT((O2/(LOG10(760)-P2)^2)^2*(P3*SQRT(16))^2+(1/(LOG10(760)-P2))^2*(O3*SQRT(16))^2)</f>
        <v>19.1329187993334</v>
      </c>
      <c r="S22" s="5">
        <v>318.64999999999998</v>
      </c>
      <c r="T22" s="16">
        <f t="shared" si="4"/>
        <v>138.6676837221479</v>
      </c>
      <c r="U22" s="5">
        <v>323.95</v>
      </c>
      <c r="V22" s="16">
        <f t="shared" si="5"/>
        <v>181.79353261223409</v>
      </c>
    </row>
    <row r="23" spans="1:22" x14ac:dyDescent="0.2">
      <c r="A23" s="5">
        <v>28.7</v>
      </c>
      <c r="B23" s="5">
        <f t="shared" si="0"/>
        <v>301.84999999999997</v>
      </c>
      <c r="C23" s="11">
        <f t="shared" si="1"/>
        <v>3.3129037601457682E-3</v>
      </c>
      <c r="D23" s="5">
        <v>55.1</v>
      </c>
      <c r="E23" s="6">
        <f t="shared" si="6"/>
        <v>-1.1396619934290064</v>
      </c>
      <c r="F23" s="6">
        <f t="shared" si="7"/>
        <v>-2.624168717121508</v>
      </c>
      <c r="O23" s="1" t="s">
        <v>20</v>
      </c>
      <c r="P23" s="16">
        <f>O9/(LOG10(760/760)-P9)</f>
        <v>355.24046517634469</v>
      </c>
      <c r="Q23" s="16">
        <f>SQRT((O9/(LOG10(760)-P9)^2)^2*(P10*SQRT(16))^2+(1/(LOG10(760)-P9))^2*(O10*SQRT(16))^2)</f>
        <v>15.148117768409392</v>
      </c>
      <c r="S23" s="5">
        <v>323.84999999999997</v>
      </c>
      <c r="T23" s="16">
        <f t="shared" si="4"/>
        <v>180.81436748043114</v>
      </c>
      <c r="U23" s="5">
        <v>328.45</v>
      </c>
      <c r="V23" s="16">
        <f t="shared" si="5"/>
        <v>227.09518128113348</v>
      </c>
    </row>
    <row r="24" spans="1:22" x14ac:dyDescent="0.2">
      <c r="A24" s="5">
        <v>30.8</v>
      </c>
      <c r="B24" s="5">
        <f t="shared" si="0"/>
        <v>303.95</v>
      </c>
      <c r="C24" s="11">
        <f t="shared" si="1"/>
        <v>3.2900148050666231E-3</v>
      </c>
      <c r="D24" s="5">
        <v>62.1</v>
      </c>
      <c r="E24" s="6">
        <f t="shared" si="6"/>
        <v>-1.0877219921042112</v>
      </c>
      <c r="F24" s="6">
        <f t="shared" si="7"/>
        <v>-2.5045724443409436</v>
      </c>
      <c r="O24" s="42" t="s">
        <v>111</v>
      </c>
      <c r="P24" s="42"/>
      <c r="Q24" s="42"/>
      <c r="S24" s="5">
        <v>327.64999999999998</v>
      </c>
      <c r="T24" s="16">
        <f t="shared" si="4"/>
        <v>218.34644743612247</v>
      </c>
      <c r="U24" s="5">
        <v>333.54999999999995</v>
      </c>
      <c r="V24" s="16">
        <f t="shared" si="5"/>
        <v>290.11447854349262</v>
      </c>
    </row>
    <row r="25" spans="1:22" x14ac:dyDescent="0.2">
      <c r="A25" s="5">
        <v>35.700000000000003</v>
      </c>
      <c r="B25" s="5">
        <f t="shared" si="0"/>
        <v>308.84999999999997</v>
      </c>
      <c r="C25" s="11">
        <f t="shared" si="1"/>
        <v>3.2378177108628786E-3</v>
      </c>
      <c r="D25" s="5">
        <v>82.4</v>
      </c>
      <c r="E25" s="6">
        <f t="shared" si="6"/>
        <v>-0.96488638058367548</v>
      </c>
      <c r="F25" s="6">
        <f t="shared" si="7"/>
        <v>-2.2217329963649508</v>
      </c>
      <c r="O25" s="42" t="s">
        <v>112</v>
      </c>
      <c r="P25" s="42"/>
      <c r="Q25" s="42"/>
      <c r="S25" s="5">
        <v>332.84999999999997</v>
      </c>
      <c r="T25" s="16">
        <f t="shared" si="4"/>
        <v>280.67711073243811</v>
      </c>
      <c r="U25" s="5">
        <v>338.54999999999995</v>
      </c>
      <c r="V25" s="16">
        <f t="shared" si="5"/>
        <v>366.2136196597732</v>
      </c>
    </row>
    <row r="26" spans="1:22" x14ac:dyDescent="0.2">
      <c r="A26" s="5">
        <v>39.799999999999997</v>
      </c>
      <c r="B26" s="5">
        <f t="shared" si="0"/>
        <v>312.95</v>
      </c>
      <c r="C26" s="11">
        <f t="shared" si="1"/>
        <v>3.1953986259785909E-3</v>
      </c>
      <c r="D26" s="5">
        <v>103.5</v>
      </c>
      <c r="E26" s="6">
        <f t="shared" si="6"/>
        <v>-0.8658732424878548</v>
      </c>
      <c r="F26" s="6">
        <f t="shared" si="7"/>
        <v>-1.9937468205749529</v>
      </c>
      <c r="S26" s="5">
        <v>338.84999999999997</v>
      </c>
      <c r="T26" s="16">
        <f t="shared" si="4"/>
        <v>371.43864889872106</v>
      </c>
      <c r="U26" s="5">
        <v>342.34999999999997</v>
      </c>
      <c r="V26" s="16">
        <f t="shared" si="5"/>
        <v>435.15466352384306</v>
      </c>
    </row>
    <row r="27" spans="1:22" x14ac:dyDescent="0.2">
      <c r="A27" s="5">
        <v>46.6</v>
      </c>
      <c r="B27" s="5">
        <f t="shared" si="0"/>
        <v>319.75</v>
      </c>
      <c r="C27" s="11">
        <f t="shared" si="1"/>
        <v>3.1274433150899139E-3</v>
      </c>
      <c r="D27" s="5">
        <v>147.69999999999999</v>
      </c>
      <c r="E27" s="6">
        <f t="shared" si="6"/>
        <v>-0.71143309696884194</v>
      </c>
      <c r="F27" s="6">
        <f t="shared" si="7"/>
        <v>-1.6381352437430428</v>
      </c>
      <c r="S27" s="5">
        <v>343.54999999999995</v>
      </c>
      <c r="T27" s="16">
        <f t="shared" si="4"/>
        <v>459.44603468942523</v>
      </c>
      <c r="U27" s="5">
        <v>347.75</v>
      </c>
      <c r="V27" s="16">
        <f t="shared" si="5"/>
        <v>552.43002260181504</v>
      </c>
    </row>
    <row r="28" spans="1:22" x14ac:dyDescent="0.2">
      <c r="A28" s="5">
        <v>50.8</v>
      </c>
      <c r="B28" s="5">
        <f t="shared" si="0"/>
        <v>323.95</v>
      </c>
      <c r="C28" s="11">
        <f t="shared" si="1"/>
        <v>3.0868961259453622E-3</v>
      </c>
      <c r="D28" s="5">
        <v>182.4</v>
      </c>
      <c r="E28" s="6">
        <f t="shared" si="6"/>
        <v>-0.61978875828839397</v>
      </c>
      <c r="F28" s="6">
        <f t="shared" si="7"/>
        <v>-1.4271163556401456</v>
      </c>
      <c r="S28" s="5">
        <v>347.65</v>
      </c>
      <c r="T28" s="16">
        <f t="shared" si="4"/>
        <v>550.49544901493914</v>
      </c>
      <c r="U28" s="5">
        <v>352.54999999999995</v>
      </c>
      <c r="V28" s="16">
        <f t="shared" si="5"/>
        <v>678.78286256854744</v>
      </c>
    </row>
    <row r="29" spans="1:22" x14ac:dyDescent="0.2">
      <c r="A29" s="5">
        <v>55.3</v>
      </c>
      <c r="B29" s="5">
        <f t="shared" si="0"/>
        <v>328.45</v>
      </c>
      <c r="C29" s="11">
        <f t="shared" si="1"/>
        <v>3.0446034404018876E-3</v>
      </c>
      <c r="D29" s="5">
        <v>232.2</v>
      </c>
      <c r="E29" s="6">
        <f t="shared" si="6"/>
        <v>-0.51495137687823633</v>
      </c>
      <c r="F29" s="6">
        <f t="shared" si="7"/>
        <v>-1.1857193640165857</v>
      </c>
      <c r="N29" s="41" t="s">
        <v>129</v>
      </c>
      <c r="O29" s="41"/>
      <c r="P29" s="41"/>
      <c r="Q29" s="41"/>
      <c r="R29" s="41"/>
      <c r="S29" s="5">
        <v>352.54999999999995</v>
      </c>
      <c r="T29" s="16">
        <f t="shared" si="4"/>
        <v>679.51368315018988</v>
      </c>
      <c r="U29" s="5">
        <v>354.75</v>
      </c>
      <c r="V29" s="16">
        <f t="shared" si="5"/>
        <v>744.59723995588138</v>
      </c>
    </row>
    <row r="30" spans="1:22" x14ac:dyDescent="0.2">
      <c r="A30" s="5">
        <v>60.4</v>
      </c>
      <c r="B30" s="5">
        <f t="shared" si="0"/>
        <v>333.54999999999995</v>
      </c>
      <c r="C30" s="11">
        <f t="shared" si="1"/>
        <v>2.9980512666766606E-3</v>
      </c>
      <c r="D30" s="5">
        <v>292.89999999999998</v>
      </c>
      <c r="E30" s="6">
        <f t="shared" si="6"/>
        <v>-0.41409422059919271</v>
      </c>
      <c r="F30" s="6">
        <f t="shared" si="7"/>
        <v>-0.95348717944668904</v>
      </c>
      <c r="N30" s="13" t="s">
        <v>18</v>
      </c>
      <c r="O30" s="13" t="s">
        <v>100</v>
      </c>
      <c r="P30" s="13" t="s">
        <v>128</v>
      </c>
      <c r="Q30" s="13" t="s">
        <v>127</v>
      </c>
      <c r="R30" s="13" t="s">
        <v>114</v>
      </c>
      <c r="S30" s="5">
        <v>355.65</v>
      </c>
      <c r="T30" s="16">
        <f t="shared" si="4"/>
        <v>774.01520829410435</v>
      </c>
      <c r="U30" s="5">
        <v>355.15</v>
      </c>
      <c r="V30" s="16">
        <f t="shared" si="5"/>
        <v>757.1384456330012</v>
      </c>
    </row>
    <row r="31" spans="1:22" x14ac:dyDescent="0.2">
      <c r="A31" s="5">
        <v>65.400000000000006</v>
      </c>
      <c r="B31" s="5">
        <f t="shared" si="0"/>
        <v>338.54999999999995</v>
      </c>
      <c r="C31" s="11">
        <f t="shared" si="1"/>
        <v>2.9537734455767246E-3</v>
      </c>
      <c r="D31" s="5">
        <v>369</v>
      </c>
      <c r="E31" s="6">
        <f t="shared" si="6"/>
        <v>-0.31378722612173099</v>
      </c>
      <c r="F31" s="6">
        <f t="shared" si="7"/>
        <v>-0.72252178923984955</v>
      </c>
      <c r="N31" s="1" t="s">
        <v>19</v>
      </c>
      <c r="O31" s="16">
        <v>355.21168936468172</v>
      </c>
      <c r="P31" s="22">
        <f>SQRT((P3*R31)^2+AB13^2)</f>
        <v>5.0871907926684466E-2</v>
      </c>
      <c r="Q31" s="16">
        <f>P22*SQRT((P31/(LOG(760/760) - P2))^2 +(O3*R31/O2)^2)</f>
        <v>3.7837351767411649</v>
      </c>
      <c r="R31" s="2">
        <f>TINV(0.05,P5)</f>
        <v>2.1447866879178044</v>
      </c>
    </row>
    <row r="32" spans="1:22" x14ac:dyDescent="0.2">
      <c r="A32" s="5">
        <v>69.2</v>
      </c>
      <c r="B32" s="5">
        <f t="shared" si="0"/>
        <v>342.34999999999997</v>
      </c>
      <c r="C32" s="11">
        <f t="shared" si="1"/>
        <v>2.9209872937052727E-3</v>
      </c>
      <c r="D32" s="5">
        <v>439.1</v>
      </c>
      <c r="E32" s="6">
        <f t="shared" si="6"/>
        <v>-0.23825015517640355</v>
      </c>
      <c r="F32" s="6">
        <f t="shared" si="7"/>
        <v>-0.54859125571270495</v>
      </c>
      <c r="N32" s="1" t="s">
        <v>20</v>
      </c>
      <c r="O32" s="16">
        <v>355.24046517634469</v>
      </c>
      <c r="P32" s="22">
        <f>SQRT((P10*R32)^2+AB14^2)</f>
        <v>4.0092848323802777E-2</v>
      </c>
      <c r="Q32" s="16">
        <f>P23*SQRT((P32/(LOG(760/760)-P9))^2 +(O10*R32/O9)^2)</f>
        <v>2.9972195814088174</v>
      </c>
      <c r="R32" s="2">
        <f>TINV(0.05,P12)</f>
        <v>2.1447866879178044</v>
      </c>
    </row>
    <row r="33" spans="1:23" x14ac:dyDescent="0.2">
      <c r="A33" s="5">
        <v>74.599999999999994</v>
      </c>
      <c r="B33" s="5">
        <f t="shared" si="0"/>
        <v>347.75</v>
      </c>
      <c r="C33" s="11">
        <f t="shared" si="1"/>
        <v>2.875629043853343E-3</v>
      </c>
      <c r="D33" s="5">
        <v>551.4</v>
      </c>
      <c r="E33" s="6">
        <f t="shared" si="6"/>
        <v>-0.13934683051103644</v>
      </c>
      <c r="F33" s="6">
        <f t="shared" si="7"/>
        <v>-0.32085793469068041</v>
      </c>
    </row>
    <row r="34" spans="1:23" x14ac:dyDescent="0.2">
      <c r="A34" s="5">
        <v>79.400000000000006</v>
      </c>
      <c r="B34" s="5">
        <f t="shared" si="0"/>
        <v>352.54999999999995</v>
      </c>
      <c r="C34" s="11">
        <f t="shared" si="1"/>
        <v>2.8364770954474546E-3</v>
      </c>
      <c r="D34" s="5">
        <v>671.2</v>
      </c>
      <c r="E34" s="6">
        <f t="shared" si="6"/>
        <v>-5.3961644460147472E-2</v>
      </c>
      <c r="F34" s="6">
        <f t="shared" si="7"/>
        <v>-0.12425127812738029</v>
      </c>
      <c r="O34" s="41" t="s">
        <v>28</v>
      </c>
      <c r="P34" s="41"/>
      <c r="Q34" s="41"/>
      <c r="R34" s="41"/>
      <c r="S34" s="41"/>
      <c r="T34" s="41"/>
      <c r="U34" s="41"/>
    </row>
    <row r="35" spans="1:23" x14ac:dyDescent="0.2">
      <c r="A35" s="5">
        <v>81.599999999999994</v>
      </c>
      <c r="B35" s="5">
        <f t="shared" si="0"/>
        <v>354.75</v>
      </c>
      <c r="C35" s="11">
        <f t="shared" si="1"/>
        <v>2.8188865398167725E-3</v>
      </c>
      <c r="D35" s="5">
        <v>736.8</v>
      </c>
      <c r="E35" s="6">
        <f t="shared" si="6"/>
        <v>-1.3463975091998866E-2</v>
      </c>
      <c r="F35" s="6">
        <f t="shared" si="7"/>
        <v>-3.1001948339279727E-2</v>
      </c>
      <c r="O35" s="13" t="s">
        <v>102</v>
      </c>
      <c r="P35" s="13" t="s">
        <v>106</v>
      </c>
      <c r="Q35" s="13" t="s">
        <v>103</v>
      </c>
      <c r="R35" s="13" t="s">
        <v>104</v>
      </c>
      <c r="S35" s="13" t="s">
        <v>105</v>
      </c>
      <c r="T35" s="13" t="s">
        <v>132</v>
      </c>
      <c r="U35" s="13" t="s">
        <v>126</v>
      </c>
      <c r="V35" s="41" t="s">
        <v>109</v>
      </c>
      <c r="W35" s="41"/>
    </row>
    <row r="36" spans="1:23" x14ac:dyDescent="0.2">
      <c r="A36" s="5">
        <v>82</v>
      </c>
      <c r="B36" s="5">
        <f t="shared" si="0"/>
        <v>355.15</v>
      </c>
      <c r="C36" s="11">
        <f t="shared" si="1"/>
        <v>2.8157116711248768E-3</v>
      </c>
      <c r="D36" s="5">
        <v>746.4</v>
      </c>
      <c r="E36" s="6">
        <f>LOG10(D36/760)</f>
        <v>-7.8419615423478382E-3</v>
      </c>
      <c r="F36" s="6">
        <f>LN(D36/760)</f>
        <v>-1.8056783747242726E-2</v>
      </c>
      <c r="O36" s="21">
        <v>3.3540164346805299E-3</v>
      </c>
      <c r="P36" s="26">
        <f>O36^2</f>
        <v>1.1249426244107093E-5</v>
      </c>
      <c r="Q36" s="22">
        <f>1/(LOG10(760/760)-P2)</f>
        <v>-0.15529694524184315</v>
      </c>
      <c r="R36" s="16">
        <f>O2/((LOG10(760/760)-P2)^2)</f>
        <v>-55.163290272529572</v>
      </c>
      <c r="S36" s="22">
        <f>-((P3*SQRT(16))^2)*O52/P52</f>
        <v>-2.8819090929849218</v>
      </c>
      <c r="T36" s="2">
        <f>TINV(0.05,14)</f>
        <v>2.1447866879178044</v>
      </c>
      <c r="U36" s="16">
        <f>T36*SQRT(R36^2*(P3*SQRT(16))^2+Q36^2*(O3*SQRT(16))^2+2*Q36*R36*S36)</f>
        <v>1.2243745647059914</v>
      </c>
    </row>
    <row r="37" spans="1:23" x14ac:dyDescent="0.2">
      <c r="O37" s="21">
        <v>3.3350008337502089E-3</v>
      </c>
      <c r="P37" s="26">
        <f t="shared" ref="P37:P51" si="8">O37^2</f>
        <v>1.1122230561114589E-5</v>
      </c>
      <c r="Q37" s="23"/>
      <c r="R37" s="23"/>
    </row>
    <row r="38" spans="1:23" x14ac:dyDescent="0.2">
      <c r="O38" s="21">
        <v>3.328340822100183E-3</v>
      </c>
      <c r="P38" s="26">
        <f t="shared" si="8"/>
        <v>1.1077852628058521E-5</v>
      </c>
      <c r="Q38" s="23"/>
      <c r="R38" s="23"/>
      <c r="S38" s="23"/>
    </row>
    <row r="39" spans="1:23" x14ac:dyDescent="0.2">
      <c r="H39" s="41" t="s">
        <v>133</v>
      </c>
      <c r="I39" s="41"/>
      <c r="J39" s="41"/>
      <c r="K39" s="41"/>
      <c r="L39" s="41"/>
      <c r="M39" s="41"/>
      <c r="O39" s="21">
        <v>3.2954358213873785E-3</v>
      </c>
      <c r="P39" s="26">
        <f t="shared" si="8"/>
        <v>1.0859897252883105E-5</v>
      </c>
      <c r="Q39" s="23"/>
      <c r="R39" s="23"/>
      <c r="S39" s="23"/>
      <c r="T39" s="23"/>
    </row>
    <row r="40" spans="1:23" x14ac:dyDescent="0.2">
      <c r="H40" s="13" t="s">
        <v>18</v>
      </c>
      <c r="I40" s="13" t="s">
        <v>100</v>
      </c>
      <c r="J40" s="13" t="s">
        <v>130</v>
      </c>
      <c r="K40" s="13" t="s">
        <v>131</v>
      </c>
      <c r="L40" s="13" t="s">
        <v>132</v>
      </c>
      <c r="M40" s="13" t="s">
        <v>125</v>
      </c>
      <c r="O40" s="21">
        <v>3.249390739236393E-3</v>
      </c>
      <c r="P40" s="26">
        <f t="shared" si="8"/>
        <v>1.0558540176235232E-5</v>
      </c>
      <c r="Q40" s="23"/>
      <c r="R40" s="23"/>
      <c r="S40" s="23"/>
      <c r="T40" s="23"/>
    </row>
    <row r="41" spans="1:23" x14ac:dyDescent="0.2">
      <c r="H41" s="1" t="s">
        <v>19</v>
      </c>
      <c r="I41" s="16">
        <v>355.21168936468172</v>
      </c>
      <c r="J41" s="16">
        <f>O2/(LOG10(760/760)-P2)^2</f>
        <v>-55.163290272529572</v>
      </c>
      <c r="K41" s="2">
        <f>1/(LOG10(760/760)-P2)</f>
        <v>-0.15529694524184315</v>
      </c>
      <c r="L41" s="2">
        <f>TINV(0.05,P5)</f>
        <v>2.1447866879178044</v>
      </c>
      <c r="M41" s="16">
        <f>L41*SQRT(J41^2*(P3*SQRT(16))^2 + K41^2*(O3*SQRT(16))^2)</f>
        <v>15.120780881364388</v>
      </c>
      <c r="O41" s="21">
        <v>3.2190568163528088E-3</v>
      </c>
      <c r="P41" s="26">
        <f t="shared" si="8"/>
        <v>1.0362326786907481E-5</v>
      </c>
      <c r="Q41" s="23"/>
      <c r="R41" s="23"/>
      <c r="S41" s="23"/>
      <c r="T41" s="23"/>
    </row>
    <row r="42" spans="1:23" x14ac:dyDescent="0.2">
      <c r="H42" s="1" t="s">
        <v>20</v>
      </c>
      <c r="I42" s="16">
        <v>355.24046517634469</v>
      </c>
      <c r="J42" s="16">
        <f>O9/(LOG10(760/760)-P9)^2</f>
        <v>-55.233229283843265</v>
      </c>
      <c r="K42" s="2">
        <f>1/(LOG(760/760)-P9)</f>
        <v>-0.15548124354702939</v>
      </c>
      <c r="L42" s="2">
        <f>TINV(0.05,P12)</f>
        <v>2.1447866879178044</v>
      </c>
      <c r="M42" s="16">
        <f>L42*SQRT(J42^2*(P10*SQRT(16))^2 + K42^2*(O10*SQRT(16))^2)</f>
        <v>11.976761761881846</v>
      </c>
      <c r="O42" s="21">
        <v>3.1842063365706101E-3</v>
      </c>
      <c r="P42" s="26">
        <f t="shared" si="8"/>
        <v>1.0139169993856425E-5</v>
      </c>
      <c r="Q42" s="23"/>
      <c r="R42" s="23"/>
      <c r="S42" s="23"/>
      <c r="T42" s="23"/>
    </row>
    <row r="43" spans="1:23" x14ac:dyDescent="0.2">
      <c r="O43" s="21">
        <v>3.1382394476698575E-3</v>
      </c>
      <c r="P43" s="26">
        <f t="shared" si="8"/>
        <v>9.8485468309112114E-6</v>
      </c>
      <c r="Q43" s="23"/>
      <c r="R43" s="23"/>
      <c r="S43" s="23"/>
      <c r="T43" s="23"/>
    </row>
    <row r="44" spans="1:23" x14ac:dyDescent="0.2">
      <c r="O44" s="21">
        <v>3.0878493129535283E-3</v>
      </c>
      <c r="P44" s="26">
        <f t="shared" si="8"/>
        <v>9.534813379507577E-6</v>
      </c>
      <c r="Q44" s="23"/>
      <c r="R44" s="23"/>
      <c r="S44" s="23"/>
      <c r="T44" s="23"/>
    </row>
    <row r="45" spans="1:23" x14ac:dyDescent="0.2">
      <c r="O45" s="21">
        <v>3.0520372348542654E-3</v>
      </c>
      <c r="P45" s="26">
        <f t="shared" si="8"/>
        <v>9.3149312829368711E-6</v>
      </c>
      <c r="Q45" s="23"/>
      <c r="R45" s="23"/>
      <c r="S45" s="23"/>
      <c r="T45" s="23"/>
    </row>
    <row r="46" spans="1:23" x14ac:dyDescent="0.2">
      <c r="O46" s="21">
        <v>3.0043563166591561E-3</v>
      </c>
      <c r="P46" s="26">
        <f t="shared" si="8"/>
        <v>9.0261568774497714E-6</v>
      </c>
      <c r="Q46" s="23"/>
      <c r="R46" s="23"/>
      <c r="S46" s="23"/>
      <c r="T46" s="23"/>
    </row>
    <row r="47" spans="1:23" x14ac:dyDescent="0.2">
      <c r="O47" s="21">
        <v>2.9511583296443857E-3</v>
      </c>
      <c r="P47" s="26">
        <f t="shared" si="8"/>
        <v>8.7093354866294412E-6</v>
      </c>
      <c r="Q47" s="23"/>
      <c r="R47" s="23"/>
      <c r="S47" s="23"/>
      <c r="T47" s="23"/>
    </row>
    <row r="48" spans="1:23" x14ac:dyDescent="0.2">
      <c r="O48" s="21">
        <v>2.9107844564110032E-3</v>
      </c>
      <c r="P48" s="26">
        <f t="shared" si="8"/>
        <v>8.4726661516838986E-6</v>
      </c>
      <c r="Q48" s="23"/>
      <c r="R48" s="23"/>
      <c r="S48" s="23"/>
      <c r="T48" s="23"/>
    </row>
    <row r="49" spans="15:23" x14ac:dyDescent="0.2">
      <c r="O49" s="21">
        <v>2.8764562059542644E-3</v>
      </c>
      <c r="P49" s="26">
        <f t="shared" si="8"/>
        <v>8.2740003047728008E-6</v>
      </c>
      <c r="Q49" s="23"/>
      <c r="R49" s="23"/>
      <c r="S49" s="23"/>
      <c r="T49" s="23"/>
    </row>
    <row r="50" spans="15:23" x14ac:dyDescent="0.2">
      <c r="O50" s="21">
        <v>2.8364770954474546E-3</v>
      </c>
      <c r="P50" s="26">
        <f t="shared" si="8"/>
        <v>8.0456023129980289E-6</v>
      </c>
      <c r="Q50" s="23"/>
      <c r="R50" s="23"/>
      <c r="S50" s="23"/>
      <c r="T50" s="23"/>
    </row>
    <row r="51" spans="15:23" x14ac:dyDescent="0.2">
      <c r="O51" s="21">
        <v>2.8117531280753552E-3</v>
      </c>
      <c r="P51" s="26">
        <f t="shared" si="8"/>
        <v>7.9059556532415452E-6</v>
      </c>
      <c r="Q51" s="23"/>
      <c r="R51" s="23"/>
      <c r="S51" s="23"/>
      <c r="T51" s="23"/>
    </row>
    <row r="52" spans="15:23" x14ac:dyDescent="0.2">
      <c r="O52" s="33">
        <f>SUM(O36:O51)</f>
        <v>4.9634559331747388E-2</v>
      </c>
      <c r="P52" s="34">
        <f>SUM(P36:P51)</f>
        <v>1.5450145192329358E-4</v>
      </c>
      <c r="Q52" s="9" t="s">
        <v>79</v>
      </c>
      <c r="R52" s="23"/>
      <c r="S52" s="23"/>
      <c r="T52" s="23"/>
    </row>
    <row r="54" spans="15:23" x14ac:dyDescent="0.2">
      <c r="O54" s="41" t="s">
        <v>29</v>
      </c>
      <c r="P54" s="41"/>
      <c r="Q54" s="41"/>
      <c r="R54" s="41"/>
      <c r="S54" s="41"/>
      <c r="T54" s="41"/>
      <c r="U54" s="41"/>
    </row>
    <row r="55" spans="15:23" x14ac:dyDescent="0.2">
      <c r="O55" s="13" t="s">
        <v>102</v>
      </c>
      <c r="P55" s="13" t="s">
        <v>106</v>
      </c>
      <c r="Q55" s="13" t="s">
        <v>103</v>
      </c>
      <c r="R55" s="13" t="s">
        <v>104</v>
      </c>
      <c r="S55" s="13" t="s">
        <v>105</v>
      </c>
      <c r="T55" s="13" t="s">
        <v>132</v>
      </c>
      <c r="U55" s="13" t="s">
        <v>101</v>
      </c>
      <c r="V55" s="41" t="s">
        <v>110</v>
      </c>
      <c r="W55" s="41"/>
    </row>
    <row r="56" spans="15:23" x14ac:dyDescent="0.2">
      <c r="O56" s="11">
        <v>3.3540164346805303E-3</v>
      </c>
      <c r="P56" s="26">
        <f>O56^2</f>
        <v>1.1249426244107096E-5</v>
      </c>
      <c r="Q56" s="22">
        <f>1/(LOG10(760/760)-P9)</f>
        <v>-0.15548124354702939</v>
      </c>
      <c r="R56" s="16">
        <f>O9/((LOG10(760/760)-P9)^2)</f>
        <v>-55.233229283843265</v>
      </c>
      <c r="S56" s="22">
        <f>-((P10*SQRT(16))^2)*O72/P72</f>
        <v>-1.8048081256725392</v>
      </c>
      <c r="T56" s="2">
        <f>TINV(0.05,14)</f>
        <v>2.1447866879178044</v>
      </c>
      <c r="U56" s="16">
        <f>T56*SQRT(R56^2*(P10*SQRT(16))^2+Q56^2*(O10*SQRT(16))^2+2*Q56*R56*S56)</f>
        <v>0.92016846258274931</v>
      </c>
    </row>
    <row r="57" spans="15:23" x14ac:dyDescent="0.2">
      <c r="O57" s="11">
        <v>3.32944897619444E-3</v>
      </c>
      <c r="P57" s="26">
        <f t="shared" ref="P57:P71" si="9">O57^2</f>
        <v>1.1085230485082205E-5</v>
      </c>
      <c r="Q57" s="23"/>
      <c r="R57" s="23"/>
    </row>
    <row r="58" spans="15:23" x14ac:dyDescent="0.2">
      <c r="O58" s="11">
        <v>3.3129037601457682E-3</v>
      </c>
      <c r="P58" s="26">
        <f t="shared" si="9"/>
        <v>1.0975331323987969E-5</v>
      </c>
      <c r="Q58" s="23"/>
      <c r="R58" s="23"/>
      <c r="S58" s="23"/>
    </row>
    <row r="59" spans="15:23" x14ac:dyDescent="0.2">
      <c r="O59" s="11">
        <v>3.2900148050666231E-3</v>
      </c>
      <c r="P59" s="26">
        <f t="shared" si="9"/>
        <v>1.082419741755757E-5</v>
      </c>
      <c r="Q59" s="23"/>
      <c r="R59" s="23"/>
      <c r="S59" s="23"/>
      <c r="T59" s="23"/>
    </row>
    <row r="60" spans="15:23" x14ac:dyDescent="0.2">
      <c r="O60" s="11">
        <v>3.2378177108628786E-3</v>
      </c>
      <c r="P60" s="26">
        <f t="shared" si="9"/>
        <v>1.0483463528777332E-5</v>
      </c>
      <c r="Q60" s="23"/>
      <c r="R60" s="23"/>
      <c r="S60" s="23"/>
      <c r="T60" s="23"/>
    </row>
    <row r="61" spans="15:23" x14ac:dyDescent="0.2">
      <c r="O61" s="11">
        <v>3.1953986259785909E-3</v>
      </c>
      <c r="P61" s="26">
        <f t="shared" si="9"/>
        <v>1.0210572378905868E-5</v>
      </c>
      <c r="Q61" s="23"/>
      <c r="R61" s="23"/>
      <c r="S61" s="23"/>
      <c r="T61" s="23"/>
    </row>
    <row r="62" spans="15:23" x14ac:dyDescent="0.2">
      <c r="O62" s="11">
        <v>3.1274433150899139E-3</v>
      </c>
      <c r="P62" s="26">
        <f t="shared" si="9"/>
        <v>9.7809016891005906E-6</v>
      </c>
      <c r="Q62" s="23"/>
      <c r="R62" s="23"/>
      <c r="S62" s="23"/>
      <c r="T62" s="23"/>
    </row>
    <row r="63" spans="15:23" x14ac:dyDescent="0.2">
      <c r="O63" s="11">
        <v>3.0868961259453622E-3</v>
      </c>
      <c r="P63" s="26">
        <f t="shared" si="9"/>
        <v>9.5289276923764863E-6</v>
      </c>
      <c r="Q63" s="23"/>
      <c r="R63" s="23"/>
      <c r="S63" s="23"/>
      <c r="T63" s="23"/>
    </row>
    <row r="64" spans="15:23" x14ac:dyDescent="0.2">
      <c r="O64" s="11">
        <v>3.0446034404018876E-3</v>
      </c>
      <c r="P64" s="26">
        <f t="shared" si="9"/>
        <v>9.2696101093070108E-6</v>
      </c>
      <c r="Q64" s="23"/>
      <c r="R64" s="23"/>
      <c r="S64" s="23"/>
      <c r="T64" s="23"/>
    </row>
    <row r="65" spans="15:20" x14ac:dyDescent="0.2">
      <c r="O65" s="11">
        <v>2.9980512666766606E-3</v>
      </c>
      <c r="P65" s="26">
        <f t="shared" si="9"/>
        <v>8.9883113976215296E-6</v>
      </c>
      <c r="Q65" s="23"/>
      <c r="R65" s="23"/>
      <c r="S65" s="23"/>
      <c r="T65" s="23"/>
    </row>
    <row r="66" spans="15:20" x14ac:dyDescent="0.2">
      <c r="O66" s="11">
        <v>2.9537734455767246E-3</v>
      </c>
      <c r="P66" s="26">
        <f t="shared" si="9"/>
        <v>8.7247775677941962E-6</v>
      </c>
      <c r="Q66" s="23"/>
      <c r="R66" s="23"/>
      <c r="S66" s="23"/>
      <c r="T66" s="23"/>
    </row>
    <row r="67" spans="15:20" x14ac:dyDescent="0.2">
      <c r="O67" s="11">
        <v>2.9209872937052727E-3</v>
      </c>
      <c r="P67" s="26">
        <f t="shared" si="9"/>
        <v>8.5321667699876534E-6</v>
      </c>
      <c r="Q67" s="23"/>
      <c r="R67" s="23"/>
      <c r="S67" s="23"/>
      <c r="T67" s="23"/>
    </row>
    <row r="68" spans="15:20" x14ac:dyDescent="0.2">
      <c r="O68" s="11">
        <v>2.875629043853343E-3</v>
      </c>
      <c r="P68" s="26">
        <f t="shared" si="9"/>
        <v>8.2692423978528918E-6</v>
      </c>
      <c r="Q68" s="23"/>
      <c r="R68" s="23"/>
      <c r="S68" s="23"/>
      <c r="T68" s="23"/>
    </row>
    <row r="69" spans="15:20" x14ac:dyDescent="0.2">
      <c r="O69" s="11">
        <v>2.8364770954474546E-3</v>
      </c>
      <c r="P69" s="26">
        <f t="shared" si="9"/>
        <v>8.0456023129980289E-6</v>
      </c>
      <c r="Q69" s="23"/>
      <c r="R69" s="23"/>
      <c r="S69" s="23"/>
      <c r="T69" s="23"/>
    </row>
    <row r="70" spans="15:20" x14ac:dyDescent="0.2">
      <c r="O70" s="11">
        <v>2.8188865398167725E-3</v>
      </c>
      <c r="P70" s="26">
        <f t="shared" si="9"/>
        <v>7.9461213243601769E-6</v>
      </c>
      <c r="Q70" s="23"/>
      <c r="R70" s="23"/>
      <c r="S70" s="23"/>
      <c r="T70" s="23"/>
    </row>
    <row r="71" spans="15:20" x14ac:dyDescent="0.2">
      <c r="O71" s="11">
        <v>2.8157116711248768E-3</v>
      </c>
      <c r="P71" s="26">
        <f t="shared" si="9"/>
        <v>7.928232214908846E-6</v>
      </c>
      <c r="Q71" s="23"/>
      <c r="R71" s="23"/>
      <c r="S71" s="23"/>
      <c r="T71" s="23"/>
    </row>
    <row r="72" spans="15:20" x14ac:dyDescent="0.2">
      <c r="O72" s="35">
        <f>SUM(O56:O71)</f>
        <v>4.9198059550567101E-2</v>
      </c>
      <c r="P72" s="36">
        <f>SUM(P56:P71)</f>
        <v>1.5184211485472546E-4</v>
      </c>
      <c r="Q72" s="37" t="s">
        <v>79</v>
      </c>
      <c r="R72" s="23"/>
      <c r="S72" s="23"/>
      <c r="T72" s="23"/>
    </row>
  </sheetData>
  <mergeCells count="31">
    <mergeCell ref="A1:F1"/>
    <mergeCell ref="A19:F19"/>
    <mergeCell ref="N8:Q8"/>
    <mergeCell ref="N1:Q1"/>
    <mergeCell ref="S1:T1"/>
    <mergeCell ref="S2:T2"/>
    <mergeCell ref="S3:T3"/>
    <mergeCell ref="S5:T5"/>
    <mergeCell ref="S4:T4"/>
    <mergeCell ref="S9:W9"/>
    <mergeCell ref="S10:W10"/>
    <mergeCell ref="U1:W1"/>
    <mergeCell ref="U2:W2"/>
    <mergeCell ref="U4:W5"/>
    <mergeCell ref="U3:W3"/>
    <mergeCell ref="S12:V12"/>
    <mergeCell ref="S13:T13"/>
    <mergeCell ref="U13:V13"/>
    <mergeCell ref="O20:Q20"/>
    <mergeCell ref="O19:Q19"/>
    <mergeCell ref="O18:Q18"/>
    <mergeCell ref="O17:Q17"/>
    <mergeCell ref="O16:Q16"/>
    <mergeCell ref="H39:M39"/>
    <mergeCell ref="O34:U34"/>
    <mergeCell ref="O54:U54"/>
    <mergeCell ref="V55:W55"/>
    <mergeCell ref="O24:Q24"/>
    <mergeCell ref="O25:Q25"/>
    <mergeCell ref="V35:W35"/>
    <mergeCell ref="N29:R29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6CD77-C5C1-46EB-A7C3-D43CFE242455}">
  <dimension ref="A1:G25"/>
  <sheetViews>
    <sheetView zoomScale="130" zoomScaleNormal="130" workbookViewId="0">
      <selection activeCell="D22" sqref="D22"/>
    </sheetView>
  </sheetViews>
  <sheetFormatPr baseColWidth="10" defaultColWidth="8.83203125" defaultRowHeight="16" x14ac:dyDescent="0.2"/>
  <cols>
    <col min="1" max="1" width="12.83203125" customWidth="1"/>
    <col min="2" max="2" width="13.6640625" customWidth="1"/>
    <col min="3" max="3" width="12.6640625" customWidth="1"/>
    <col min="4" max="4" width="13.6640625" customWidth="1"/>
    <col min="7" max="7" width="12.6640625" bestFit="1" customWidth="1"/>
  </cols>
  <sheetData>
    <row r="1" spans="1:7" x14ac:dyDescent="0.2">
      <c r="A1" s="41" t="s">
        <v>38</v>
      </c>
      <c r="B1" s="41"/>
      <c r="C1" s="41"/>
      <c r="D1" s="41"/>
    </row>
    <row r="2" spans="1:7" x14ac:dyDescent="0.2">
      <c r="A2" s="47" t="s">
        <v>134</v>
      </c>
      <c r="B2" s="51"/>
      <c r="C2" s="51"/>
      <c r="D2" s="48"/>
      <c r="F2" s="38"/>
    </row>
    <row r="3" spans="1:7" x14ac:dyDescent="0.2">
      <c r="A3" s="47" t="s">
        <v>135</v>
      </c>
      <c r="B3" s="51"/>
      <c r="C3" s="51"/>
      <c r="D3" s="48"/>
      <c r="G3" s="39"/>
    </row>
    <row r="4" spans="1:7" x14ac:dyDescent="0.2">
      <c r="A4" s="47" t="s">
        <v>39</v>
      </c>
      <c r="B4" s="51"/>
      <c r="C4" s="51"/>
      <c r="D4" s="48"/>
    </row>
    <row r="5" spans="1:7" x14ac:dyDescent="0.2">
      <c r="A5" s="47" t="s">
        <v>107</v>
      </c>
      <c r="B5" s="51"/>
      <c r="C5" s="51"/>
      <c r="D5" s="48"/>
    </row>
    <row r="6" spans="1:7" x14ac:dyDescent="0.2">
      <c r="A6" s="47" t="s">
        <v>108</v>
      </c>
      <c r="B6" s="51"/>
      <c r="C6" s="51"/>
      <c r="D6" s="48"/>
    </row>
    <row r="7" spans="1:7" x14ac:dyDescent="0.2">
      <c r="A7" s="49" t="s">
        <v>28</v>
      </c>
      <c r="B7" s="50"/>
      <c r="C7" s="49" t="s">
        <v>29</v>
      </c>
      <c r="D7" s="50"/>
    </row>
    <row r="8" spans="1:7" x14ac:dyDescent="0.2">
      <c r="A8" s="17" t="s">
        <v>24</v>
      </c>
      <c r="B8" s="18" t="s">
        <v>27</v>
      </c>
      <c r="C8" s="17" t="s">
        <v>24</v>
      </c>
      <c r="D8" s="18" t="s">
        <v>27</v>
      </c>
    </row>
    <row r="9" spans="1:7" x14ac:dyDescent="0.2">
      <c r="A9" s="14">
        <v>298.14999999999998</v>
      </c>
      <c r="B9" s="16">
        <f>(-3.672*10^(-4)*A9+1.695*10^(-1))*(8.314*A9^2)/1000</f>
        <v>44.357873517451338</v>
      </c>
      <c r="C9" s="14">
        <v>298.14999999999998</v>
      </c>
      <c r="D9" s="16">
        <f>(-3.618*10^(-4)*C9+1.678*10^(-1))*(8.314*C9^2)/1000</f>
        <v>44.291365515730618</v>
      </c>
    </row>
    <row r="10" spans="1:7" x14ac:dyDescent="0.2">
      <c r="A10" s="14">
        <v>299.84999999999997</v>
      </c>
      <c r="B10" s="16">
        <f t="shared" ref="B10:B24" si="0">(-3.672*10^(-4)*A10+1.695*10^(-1))*(8.314*A10^2)/1000</f>
        <v>44.398530708979841</v>
      </c>
      <c r="C10" s="14">
        <v>300.34999999999997</v>
      </c>
      <c r="D10" s="16">
        <f t="shared" ref="D10:D24" si="1">(-3.618*10^(-4)*C10+1.678*10^(-1))*(8.314*C10^2)/1000</f>
        <v>44.350438977485489</v>
      </c>
    </row>
    <row r="11" spans="1:7" x14ac:dyDescent="0.2">
      <c r="A11" s="14">
        <v>300.45</v>
      </c>
      <c r="B11" s="16">
        <f t="shared" si="0"/>
        <v>44.411039861091119</v>
      </c>
      <c r="C11" s="14">
        <v>301.84999999999997</v>
      </c>
      <c r="D11" s="16">
        <f t="shared" si="1"/>
        <v>44.383428253808781</v>
      </c>
    </row>
    <row r="12" spans="1:7" x14ac:dyDescent="0.2">
      <c r="A12" s="14">
        <v>303.45</v>
      </c>
      <c r="B12" s="16">
        <f t="shared" si="0"/>
        <v>44.459007391789086</v>
      </c>
      <c r="C12" s="14">
        <v>303.95</v>
      </c>
      <c r="D12" s="16">
        <f t="shared" si="1"/>
        <v>44.419553793438837</v>
      </c>
    </row>
    <row r="13" spans="1:7" x14ac:dyDescent="0.2">
      <c r="A13" s="14">
        <v>307.75</v>
      </c>
      <c r="B13" s="16">
        <f t="shared" si="0"/>
        <v>44.484632435946672</v>
      </c>
      <c r="C13" s="14">
        <v>308.84999999999997</v>
      </c>
      <c r="D13" s="16">
        <f t="shared" si="1"/>
        <v>44.457329650705304</v>
      </c>
    </row>
    <row r="14" spans="1:7" x14ac:dyDescent="0.2">
      <c r="A14" s="14">
        <v>310.64999999999998</v>
      </c>
      <c r="B14" s="16">
        <f t="shared" si="0"/>
        <v>44.472576088051767</v>
      </c>
      <c r="C14" s="14">
        <v>312.95</v>
      </c>
      <c r="D14" s="16">
        <f t="shared" si="1"/>
        <v>44.437662828518221</v>
      </c>
    </row>
    <row r="15" spans="1:7" x14ac:dyDescent="0.2">
      <c r="A15" s="14">
        <v>314.04999999999995</v>
      </c>
      <c r="B15" s="16">
        <f t="shared" si="0"/>
        <v>44.427650787287781</v>
      </c>
      <c r="C15" s="14">
        <v>319.75</v>
      </c>
      <c r="D15" s="16">
        <f t="shared" si="1"/>
        <v>44.298526973523089</v>
      </c>
    </row>
    <row r="16" spans="1:7" x14ac:dyDescent="0.2">
      <c r="A16" s="14">
        <v>318.64999999999998</v>
      </c>
      <c r="B16" s="16">
        <f t="shared" si="0"/>
        <v>44.31274659833462</v>
      </c>
      <c r="C16" s="14">
        <v>323.95</v>
      </c>
      <c r="D16" s="16">
        <f t="shared" si="1"/>
        <v>44.144097745282842</v>
      </c>
    </row>
    <row r="17" spans="1:4" x14ac:dyDescent="0.2">
      <c r="A17" s="14">
        <v>323.84999999999997</v>
      </c>
      <c r="B17" s="16">
        <f t="shared" si="0"/>
        <v>44.105852855372703</v>
      </c>
      <c r="C17" s="14">
        <v>328.45</v>
      </c>
      <c r="D17" s="16">
        <f t="shared" si="1"/>
        <v>43.918771907272301</v>
      </c>
    </row>
    <row r="18" spans="1:4" x14ac:dyDescent="0.2">
      <c r="A18" s="14">
        <v>327.64999999999998</v>
      </c>
      <c r="B18" s="16">
        <f t="shared" si="0"/>
        <v>43.901564108057151</v>
      </c>
      <c r="C18" s="14">
        <v>333.54999999999995</v>
      </c>
      <c r="D18" s="16">
        <f t="shared" si="1"/>
        <v>43.5865034275147</v>
      </c>
    </row>
    <row r="19" spans="1:4" x14ac:dyDescent="0.2">
      <c r="A19" s="14">
        <v>332.84999999999997</v>
      </c>
      <c r="B19" s="16">
        <f t="shared" si="0"/>
        <v>43.547322969978758</v>
      </c>
      <c r="C19" s="14">
        <v>338.54999999999995</v>
      </c>
      <c r="D19" s="16">
        <f t="shared" si="1"/>
        <v>43.179214210643202</v>
      </c>
    </row>
    <row r="20" spans="1:4" x14ac:dyDescent="0.2">
      <c r="A20" s="14">
        <v>338.84999999999997</v>
      </c>
      <c r="B20" s="16">
        <f t="shared" si="0"/>
        <v>43.028261397819847</v>
      </c>
      <c r="C20" s="14">
        <v>342.34999999999997</v>
      </c>
      <c r="D20" s="16">
        <f t="shared" si="1"/>
        <v>42.81428500260418</v>
      </c>
    </row>
    <row r="21" spans="1:4" x14ac:dyDescent="0.2">
      <c r="A21" s="14">
        <v>343.54999999999995</v>
      </c>
      <c r="B21" s="16">
        <f t="shared" si="0"/>
        <v>42.53666127141959</v>
      </c>
      <c r="C21" s="14">
        <v>347.75</v>
      </c>
      <c r="D21" s="16">
        <f t="shared" si="1"/>
        <v>42.211290334242975</v>
      </c>
    </row>
    <row r="22" spans="1:4" x14ac:dyDescent="0.2">
      <c r="A22" s="14">
        <v>347.65</v>
      </c>
      <c r="B22" s="16">
        <f t="shared" si="0"/>
        <v>42.045204745681069</v>
      </c>
      <c r="C22" s="14">
        <v>352.54999999999995</v>
      </c>
      <c r="D22" s="16">
        <f t="shared" si="1"/>
        <v>41.590045558107128</v>
      </c>
    </row>
    <row r="23" spans="1:4" x14ac:dyDescent="0.2">
      <c r="A23" s="14">
        <v>352.54999999999995</v>
      </c>
      <c r="B23" s="16">
        <f t="shared" si="0"/>
        <v>41.379477882239911</v>
      </c>
      <c r="C23" s="14">
        <v>354.75</v>
      </c>
      <c r="D23" s="16">
        <f t="shared" si="1"/>
        <v>41.277919366076461</v>
      </c>
    </row>
    <row r="24" spans="1:4" x14ac:dyDescent="0.2">
      <c r="A24" s="14">
        <v>355.65</v>
      </c>
      <c r="B24" s="16">
        <f t="shared" si="0"/>
        <v>40.913312022864417</v>
      </c>
      <c r="C24" s="14">
        <v>355.15</v>
      </c>
      <c r="D24" s="16">
        <f t="shared" si="1"/>
        <v>41.219296352781889</v>
      </c>
    </row>
    <row r="25" spans="1:4" x14ac:dyDescent="0.2">
      <c r="A25" s="9" t="s">
        <v>40</v>
      </c>
      <c r="B25" s="19">
        <f>AVERAGE(B9:B24)</f>
        <v>43.548857165147858</v>
      </c>
      <c r="C25" s="9" t="s">
        <v>40</v>
      </c>
      <c r="D25" s="19">
        <f>AVERAGE(D9:D24)</f>
        <v>43.4112331186085</v>
      </c>
    </row>
  </sheetData>
  <mergeCells count="8">
    <mergeCell ref="A7:B7"/>
    <mergeCell ref="C7:D7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C8D-17AA-6D45-B833-09AD593549A0}">
  <dimension ref="A1:P48"/>
  <sheetViews>
    <sheetView topLeftCell="A8" zoomScale="150" zoomScaleNormal="85" workbookViewId="0">
      <selection activeCell="A27" sqref="A27:C27"/>
    </sheetView>
  </sheetViews>
  <sheetFormatPr baseColWidth="10" defaultColWidth="11" defaultRowHeight="16" x14ac:dyDescent="0.2"/>
  <cols>
    <col min="2" max="2" width="12.6640625" bestFit="1" customWidth="1"/>
    <col min="4" max="4" width="12.6640625" customWidth="1"/>
    <col min="8" max="8" width="15.5" customWidth="1"/>
    <col min="10" max="10" width="13.6640625" customWidth="1"/>
    <col min="13" max="13" width="11.83203125" customWidth="1"/>
  </cols>
  <sheetData>
    <row r="1" spans="1:16" x14ac:dyDescent="0.2">
      <c r="A1" s="41" t="s">
        <v>28</v>
      </c>
      <c r="B1" s="41"/>
      <c r="C1" s="41"/>
      <c r="D1" s="49" t="s">
        <v>29</v>
      </c>
      <c r="E1" s="54"/>
      <c r="F1" s="50"/>
      <c r="H1" s="41" t="s">
        <v>64</v>
      </c>
      <c r="I1" s="41"/>
      <c r="J1" s="41"/>
      <c r="K1" s="41"/>
      <c r="L1" s="41"/>
      <c r="M1" s="41"/>
      <c r="N1" s="41"/>
      <c r="O1" s="23"/>
      <c r="P1" s="23"/>
    </row>
    <row r="2" spans="1:16" x14ac:dyDescent="0.2">
      <c r="A2" s="7" t="s">
        <v>70</v>
      </c>
      <c r="B2" s="8" t="s">
        <v>30</v>
      </c>
      <c r="C2" s="13" t="s">
        <v>41</v>
      </c>
      <c r="D2" s="7" t="s">
        <v>70</v>
      </c>
      <c r="E2" s="8" t="s">
        <v>30</v>
      </c>
      <c r="F2" s="13" t="s">
        <v>41</v>
      </c>
      <c r="H2" s="23"/>
      <c r="I2" s="23"/>
      <c r="J2" s="23"/>
      <c r="K2" s="23"/>
      <c r="L2" s="23"/>
      <c r="M2" s="23"/>
      <c r="N2" s="23"/>
      <c r="O2" s="23"/>
      <c r="P2" s="23"/>
    </row>
    <row r="3" spans="1:16" x14ac:dyDescent="0.2">
      <c r="A3" s="5">
        <v>25</v>
      </c>
      <c r="B3" s="6">
        <v>-1.2334306221661715</v>
      </c>
      <c r="C3" s="16">
        <f>A3*B3</f>
        <v>-30.835765554154289</v>
      </c>
      <c r="D3" s="5">
        <v>25</v>
      </c>
      <c r="E3" s="6">
        <v>-1.2344098660577218</v>
      </c>
      <c r="F3" s="16">
        <f>D3*E3</f>
        <v>-30.860246651443045</v>
      </c>
      <c r="H3" s="52" t="s">
        <v>42</v>
      </c>
      <c r="I3" s="53"/>
      <c r="J3" s="23"/>
      <c r="K3" s="23"/>
      <c r="L3" s="23"/>
      <c r="M3" s="23"/>
      <c r="N3" s="23"/>
      <c r="O3" s="23"/>
      <c r="P3" s="23"/>
    </row>
    <row r="4" spans="1:16" x14ac:dyDescent="0.2">
      <c r="A4" s="5">
        <v>26.7</v>
      </c>
      <c r="B4" s="6">
        <v>-1.1915047331571711</v>
      </c>
      <c r="C4" s="16">
        <f t="shared" ref="C4:C18" si="0">A4*B4</f>
        <v>-31.813176375296468</v>
      </c>
      <c r="D4" s="5">
        <v>27.2</v>
      </c>
      <c r="E4" s="6">
        <v>-1.1809758664135457</v>
      </c>
      <c r="F4" s="16">
        <f t="shared" ref="F4:F18" si="1">D4*E4</f>
        <v>-32.122543566448442</v>
      </c>
      <c r="H4" s="1" t="s">
        <v>43</v>
      </c>
      <c r="I4">
        <v>0.99599325508446401</v>
      </c>
      <c r="J4" s="23"/>
      <c r="K4" s="23"/>
      <c r="L4" s="23"/>
      <c r="M4" s="23"/>
      <c r="N4" s="23"/>
      <c r="O4" s="23"/>
      <c r="P4" s="23"/>
    </row>
    <row r="5" spans="1:16" x14ac:dyDescent="0.2">
      <c r="A5" s="5">
        <v>27.3</v>
      </c>
      <c r="B5" s="6">
        <v>-1.1758056329474553</v>
      </c>
      <c r="C5" s="16">
        <f t="shared" si="0"/>
        <v>-32.099493779465533</v>
      </c>
      <c r="D5" s="5">
        <v>28.7</v>
      </c>
      <c r="E5" s="6">
        <v>-1.1396619934290064</v>
      </c>
      <c r="F5" s="16">
        <f t="shared" si="1"/>
        <v>-32.708299211412481</v>
      </c>
      <c r="H5" s="1" t="s">
        <v>44</v>
      </c>
      <c r="I5">
        <v>0.99200256417374622</v>
      </c>
      <c r="J5" s="23"/>
      <c r="K5" s="23"/>
      <c r="L5" s="23"/>
      <c r="M5" s="23"/>
      <c r="N5" s="23"/>
      <c r="O5" s="23"/>
      <c r="P5" s="23"/>
    </row>
    <row r="6" spans="1:16" x14ac:dyDescent="0.2">
      <c r="A6" s="5">
        <v>30.3</v>
      </c>
      <c r="B6" s="6">
        <v>-1.1019391202780517</v>
      </c>
      <c r="C6" s="16">
        <f t="shared" si="0"/>
        <v>-33.388755344424972</v>
      </c>
      <c r="D6" s="5">
        <v>30.8</v>
      </c>
      <c r="E6" s="6">
        <v>-1.0877219921042112</v>
      </c>
      <c r="F6" s="16">
        <f t="shared" si="1"/>
        <v>-33.501837356809702</v>
      </c>
      <c r="H6" s="1" t="s">
        <v>45</v>
      </c>
      <c r="I6">
        <v>0.99077218943124568</v>
      </c>
      <c r="J6" s="23"/>
      <c r="K6" s="23"/>
      <c r="L6" s="23"/>
      <c r="M6" s="23"/>
      <c r="N6" s="23"/>
      <c r="O6" s="23"/>
      <c r="P6" s="23"/>
    </row>
    <row r="7" spans="1:16" x14ac:dyDescent="0.2">
      <c r="A7" s="5">
        <v>34.6</v>
      </c>
      <c r="B7" s="6">
        <v>-0.99885862094119082</v>
      </c>
      <c r="C7" s="16">
        <f t="shared" si="0"/>
        <v>-34.560508284565202</v>
      </c>
      <c r="D7" s="5">
        <v>35.700000000000003</v>
      </c>
      <c r="E7" s="6">
        <v>-0.96488638058367548</v>
      </c>
      <c r="F7" s="16">
        <f t="shared" si="1"/>
        <v>-34.446443786837214</v>
      </c>
      <c r="H7" s="1" t="s">
        <v>46</v>
      </c>
      <c r="I7">
        <v>1.1033375204740448</v>
      </c>
      <c r="J7" s="23"/>
      <c r="K7" s="23"/>
      <c r="L7" s="23"/>
      <c r="M7" s="23"/>
      <c r="N7" s="23"/>
      <c r="O7" s="23"/>
      <c r="P7" s="23"/>
    </row>
    <row r="8" spans="1:16" ht="17" thickBot="1" x14ac:dyDescent="0.25">
      <c r="A8" s="5">
        <v>37.5</v>
      </c>
      <c r="B8" s="6">
        <v>-0.92034281474649238</v>
      </c>
      <c r="C8" s="16">
        <f t="shared" si="0"/>
        <v>-34.512855552993464</v>
      </c>
      <c r="D8" s="5">
        <v>39.799999999999997</v>
      </c>
      <c r="E8" s="6">
        <v>-0.8658732424878548</v>
      </c>
      <c r="F8" s="16">
        <f t="shared" si="1"/>
        <v>-34.461755051016617</v>
      </c>
      <c r="H8" s="1" t="s">
        <v>47</v>
      </c>
      <c r="I8" s="40">
        <v>16</v>
      </c>
      <c r="J8" s="23"/>
      <c r="K8" s="23"/>
      <c r="L8" s="23"/>
      <c r="M8" s="23"/>
      <c r="N8" s="23"/>
      <c r="O8" s="23"/>
      <c r="P8" s="23"/>
    </row>
    <row r="9" spans="1:16" x14ac:dyDescent="0.2">
      <c r="A9" s="5">
        <v>40.9</v>
      </c>
      <c r="B9" s="6">
        <v>-0.84021125216671821</v>
      </c>
      <c r="C9" s="16">
        <f t="shared" si="0"/>
        <v>-34.36464021361877</v>
      </c>
      <c r="D9" s="5">
        <v>46.6</v>
      </c>
      <c r="E9" s="6">
        <v>-0.71143309696884194</v>
      </c>
      <c r="F9" s="16">
        <f t="shared" si="1"/>
        <v>-33.152782318748038</v>
      </c>
      <c r="H9" s="23"/>
      <c r="I9" s="23"/>
      <c r="J9" s="23"/>
      <c r="K9" s="23"/>
      <c r="L9" s="23"/>
      <c r="M9" s="23"/>
      <c r="N9" s="23"/>
      <c r="O9" s="23"/>
      <c r="P9" s="23"/>
    </row>
    <row r="10" spans="1:16" x14ac:dyDescent="0.2">
      <c r="A10" s="5">
        <v>45.5</v>
      </c>
      <c r="B10" s="6">
        <v>-0.74061991370216007</v>
      </c>
      <c r="C10" s="16">
        <f t="shared" si="0"/>
        <v>-33.698206073448283</v>
      </c>
      <c r="D10" s="5">
        <v>50.8</v>
      </c>
      <c r="E10" s="6">
        <v>-0.61978875828839397</v>
      </c>
      <c r="F10" s="16">
        <f t="shared" si="1"/>
        <v>-31.485268921050412</v>
      </c>
      <c r="H10" s="41" t="s">
        <v>48</v>
      </c>
      <c r="I10" s="41"/>
      <c r="J10" s="41"/>
      <c r="K10" s="41"/>
      <c r="L10" s="41"/>
      <c r="M10" s="41"/>
      <c r="N10" s="23"/>
      <c r="O10" s="23"/>
      <c r="P10" s="23"/>
    </row>
    <row r="11" spans="1:16" x14ac:dyDescent="0.2">
      <c r="A11" s="5">
        <v>50.7</v>
      </c>
      <c r="B11" s="6">
        <v>-0.61931281908251123</v>
      </c>
      <c r="C11" s="16">
        <f t="shared" si="0"/>
        <v>-31.399159927483321</v>
      </c>
      <c r="D11" s="5">
        <v>55.3</v>
      </c>
      <c r="E11" s="6">
        <v>-0.51495137687823633</v>
      </c>
      <c r="F11" s="16">
        <f t="shared" si="1"/>
        <v>-28.476811141366468</v>
      </c>
      <c r="H11" s="27"/>
      <c r="I11" s="27" t="s">
        <v>13</v>
      </c>
      <c r="J11" s="27" t="s">
        <v>53</v>
      </c>
      <c r="K11" s="27" t="s">
        <v>54</v>
      </c>
      <c r="L11" s="27" t="s">
        <v>55</v>
      </c>
      <c r="M11" s="27" t="s">
        <v>56</v>
      </c>
      <c r="N11" s="23"/>
      <c r="O11" s="23"/>
      <c r="P11" s="23"/>
    </row>
    <row r="12" spans="1:16" x14ac:dyDescent="0.2">
      <c r="A12" s="5">
        <v>54.5</v>
      </c>
      <c r="B12" s="6">
        <v>-0.53289840577910008</v>
      </c>
      <c r="C12" s="16">
        <f t="shared" si="0"/>
        <v>-29.042963114960955</v>
      </c>
      <c r="D12" s="5">
        <v>60.4</v>
      </c>
      <c r="E12" s="6">
        <v>-0.41409422059919271</v>
      </c>
      <c r="F12" s="16">
        <f t="shared" si="1"/>
        <v>-25.01129092419124</v>
      </c>
      <c r="H12" s="1" t="s">
        <v>49</v>
      </c>
      <c r="I12">
        <v>2</v>
      </c>
      <c r="J12">
        <v>1963.0083980189042</v>
      </c>
      <c r="K12">
        <v>981.50419900945212</v>
      </c>
      <c r="L12">
        <v>806.26050739438551</v>
      </c>
      <c r="M12">
        <v>2.3398066185876611E-14</v>
      </c>
      <c r="N12" s="23"/>
      <c r="O12" s="23"/>
      <c r="P12" s="23"/>
    </row>
    <row r="13" spans="1:16" x14ac:dyDescent="0.2">
      <c r="A13" s="5">
        <v>59.7</v>
      </c>
      <c r="B13" s="6">
        <v>-0.42612114304131449</v>
      </c>
      <c r="C13" s="16">
        <f t="shared" si="0"/>
        <v>-25.439432239566475</v>
      </c>
      <c r="D13" s="5">
        <v>65.400000000000006</v>
      </c>
      <c r="E13" s="6">
        <v>-0.31378722612173099</v>
      </c>
      <c r="F13" s="16">
        <f t="shared" si="1"/>
        <v>-20.521684588361207</v>
      </c>
      <c r="H13" s="1" t="s">
        <v>50</v>
      </c>
      <c r="I13">
        <v>13</v>
      </c>
      <c r="J13">
        <v>15.825597893115569</v>
      </c>
      <c r="K13">
        <v>1.217353684085813</v>
      </c>
      <c r="N13" s="23"/>
      <c r="O13" s="23"/>
      <c r="P13" s="23"/>
    </row>
    <row r="14" spans="1:16" ht="17" thickBot="1" x14ac:dyDescent="0.25">
      <c r="A14" s="5">
        <v>65.7</v>
      </c>
      <c r="B14" s="6">
        <v>-0.30898834323996222</v>
      </c>
      <c r="C14" s="16">
        <f t="shared" si="0"/>
        <v>-20.30053415086552</v>
      </c>
      <c r="D14" s="5">
        <v>69.2</v>
      </c>
      <c r="E14" s="6">
        <v>-0.23825015517640355</v>
      </c>
      <c r="F14" s="16">
        <f t="shared" si="1"/>
        <v>-16.486910738207126</v>
      </c>
      <c r="H14" s="1" t="s">
        <v>51</v>
      </c>
      <c r="I14" s="40">
        <v>15</v>
      </c>
      <c r="J14" s="40">
        <v>1978.8339959120199</v>
      </c>
      <c r="K14" s="40"/>
      <c r="L14" s="40"/>
      <c r="M14" s="40"/>
      <c r="N14" s="23"/>
      <c r="O14" s="23"/>
      <c r="P14" s="23"/>
    </row>
    <row r="15" spans="1:16" x14ac:dyDescent="0.2">
      <c r="A15" s="5">
        <v>70.400000000000006</v>
      </c>
      <c r="B15" s="6">
        <v>-0.21654779213311634</v>
      </c>
      <c r="C15" s="16">
        <f t="shared" si="0"/>
        <v>-15.244964566171392</v>
      </c>
      <c r="D15" s="5">
        <v>74.599999999999994</v>
      </c>
      <c r="E15" s="6">
        <v>-0.13934683051103644</v>
      </c>
      <c r="F15" s="16">
        <f t="shared" si="1"/>
        <v>-10.395273556123318</v>
      </c>
      <c r="H15" s="23"/>
      <c r="I15" s="23"/>
      <c r="J15" s="23"/>
      <c r="K15" s="23"/>
      <c r="L15" s="23"/>
      <c r="M15" s="23"/>
      <c r="N15" s="23"/>
      <c r="O15" s="23"/>
      <c r="P15" s="23"/>
    </row>
    <row r="16" spans="1:16" x14ac:dyDescent="0.2">
      <c r="A16" s="5">
        <v>74.5</v>
      </c>
      <c r="B16" s="6">
        <v>-0.13753906876885791</v>
      </c>
      <c r="C16" s="16">
        <f t="shared" si="0"/>
        <v>-10.246660623279913</v>
      </c>
      <c r="D16" s="5">
        <v>79.400000000000006</v>
      </c>
      <c r="E16" s="6">
        <v>-5.3961644460147472E-2</v>
      </c>
      <c r="F16" s="16">
        <f t="shared" si="1"/>
        <v>-4.2845545701357093</v>
      </c>
      <c r="H16" s="27"/>
      <c r="I16" s="27" t="s">
        <v>57</v>
      </c>
      <c r="J16" s="27" t="s">
        <v>46</v>
      </c>
      <c r="K16" s="27" t="s">
        <v>58</v>
      </c>
      <c r="L16" s="27" t="s">
        <v>59</v>
      </c>
      <c r="M16" s="27" t="s">
        <v>60</v>
      </c>
      <c r="N16" s="27" t="s">
        <v>61</v>
      </c>
      <c r="O16" s="27" t="s">
        <v>62</v>
      </c>
      <c r="P16" s="27" t="s">
        <v>63</v>
      </c>
    </row>
    <row r="17" spans="1:16" x14ac:dyDescent="0.2">
      <c r="A17" s="5">
        <v>79.400000000000006</v>
      </c>
      <c r="B17" s="6">
        <v>-5.1316842560608984E-2</v>
      </c>
      <c r="C17" s="16">
        <f t="shared" si="0"/>
        <v>-4.074557299312354</v>
      </c>
      <c r="D17" s="5">
        <v>81.599999999999994</v>
      </c>
      <c r="E17" s="6">
        <v>-1.3463975091998866E-2</v>
      </c>
      <c r="F17" s="16">
        <f t="shared" si="1"/>
        <v>-1.0986603675071074</v>
      </c>
      <c r="H17" s="1" t="s">
        <v>52</v>
      </c>
      <c r="I17">
        <v>-420.43725957094728</v>
      </c>
      <c r="J17">
        <v>20.778684344713096</v>
      </c>
      <c r="K17">
        <v>-20.23406547767895</v>
      </c>
      <c r="L17">
        <v>3.2794980276378727E-11</v>
      </c>
      <c r="M17">
        <v>-465.32687795179959</v>
      </c>
      <c r="N17">
        <v>-375.54764119009496</v>
      </c>
      <c r="O17">
        <v>-465.32687795179959</v>
      </c>
      <c r="P17">
        <v>-375.54764119009496</v>
      </c>
    </row>
    <row r="18" spans="1:16" x14ac:dyDescent="0.2">
      <c r="A18" s="5">
        <v>82.5</v>
      </c>
      <c r="B18" s="6">
        <v>-5.5786458306264211E-3</v>
      </c>
      <c r="C18" s="16">
        <f t="shared" si="0"/>
        <v>-0.46023828102667974</v>
      </c>
      <c r="D18" s="5">
        <v>82</v>
      </c>
      <c r="E18" s="6">
        <v>-7.8419615423478382E-3</v>
      </c>
      <c r="F18" s="16">
        <f t="shared" si="1"/>
        <v>-0.64304084647252269</v>
      </c>
      <c r="H18" s="1" t="s">
        <v>25</v>
      </c>
      <c r="I18">
        <v>5.0978534661406174</v>
      </c>
      <c r="J18">
        <v>0.25790967197671705</v>
      </c>
      <c r="K18">
        <v>19.766042223499198</v>
      </c>
      <c r="L18">
        <v>4.4060413472985984E-11</v>
      </c>
      <c r="M18">
        <v>4.5406734946035172</v>
      </c>
      <c r="N18">
        <v>5.6550334376777176</v>
      </c>
      <c r="O18">
        <v>4.5406734946035172</v>
      </c>
      <c r="P18">
        <v>5.6550334376777176</v>
      </c>
    </row>
    <row r="19" spans="1:16" ht="17" thickBot="1" x14ac:dyDescent="0.25">
      <c r="H19" s="1" t="s">
        <v>30</v>
      </c>
      <c r="I19" s="40">
        <v>-211.47693512163747</v>
      </c>
      <c r="J19" s="40">
        <v>11.892429631806694</v>
      </c>
      <c r="K19" s="40">
        <v>-17.782483619330019</v>
      </c>
      <c r="L19" s="40">
        <v>1.6641383715320624E-10</v>
      </c>
      <c r="M19" s="40">
        <v>-237.16896734738199</v>
      </c>
      <c r="N19" s="40">
        <v>-185.78490289589294</v>
      </c>
      <c r="O19" s="40">
        <v>-237.16896734738199</v>
      </c>
      <c r="P19" s="40">
        <v>-185.78490289589294</v>
      </c>
    </row>
    <row r="20" spans="1:16" x14ac:dyDescent="0.2">
      <c r="A20" s="55" t="s">
        <v>66</v>
      </c>
      <c r="B20" s="55"/>
      <c r="C20" s="55"/>
      <c r="D20" s="55"/>
      <c r="E20" s="55"/>
      <c r="F20" s="55"/>
      <c r="H20" s="23"/>
      <c r="I20" s="23"/>
      <c r="J20" s="23"/>
      <c r="K20" s="23"/>
      <c r="L20" s="23"/>
      <c r="M20" s="23"/>
      <c r="N20" s="23"/>
      <c r="O20" s="23"/>
      <c r="P20" s="23"/>
    </row>
    <row r="21" spans="1:16" x14ac:dyDescent="0.2">
      <c r="A21" s="41" t="s">
        <v>28</v>
      </c>
      <c r="B21" s="41"/>
      <c r="C21" s="41"/>
      <c r="D21" s="41" t="s">
        <v>29</v>
      </c>
      <c r="E21" s="41"/>
      <c r="F21" s="41"/>
      <c r="H21" s="41" t="s">
        <v>65</v>
      </c>
      <c r="I21" s="41"/>
      <c r="J21" s="41"/>
      <c r="K21" s="41"/>
      <c r="L21" s="41"/>
      <c r="M21" s="41"/>
      <c r="N21" s="41"/>
      <c r="O21" s="23"/>
      <c r="P21" s="23"/>
    </row>
    <row r="22" spans="1:16" x14ac:dyDescent="0.2">
      <c r="A22" s="13" t="s">
        <v>74</v>
      </c>
      <c r="B22" s="13" t="s">
        <v>75</v>
      </c>
      <c r="C22" s="13" t="s">
        <v>76</v>
      </c>
      <c r="D22" s="13" t="s">
        <v>74</v>
      </c>
      <c r="E22" s="13" t="s">
        <v>75</v>
      </c>
      <c r="F22" s="13" t="s">
        <v>76</v>
      </c>
      <c r="H22" s="23"/>
      <c r="I22" s="23"/>
      <c r="J22" s="23"/>
      <c r="K22" s="23"/>
      <c r="L22" s="23"/>
      <c r="M22" s="23"/>
      <c r="N22" s="23"/>
      <c r="O22" s="23"/>
      <c r="P22" s="23"/>
    </row>
    <row r="23" spans="1:16" x14ac:dyDescent="0.2">
      <c r="A23" s="1" t="s">
        <v>67</v>
      </c>
      <c r="B23" s="16">
        <f>I18</f>
        <v>5.0978534661406174</v>
      </c>
      <c r="C23" s="16">
        <f>TINV(0.05,I14)*J18</f>
        <v>0.54972145313024401</v>
      </c>
      <c r="D23" s="1" t="s">
        <v>67</v>
      </c>
      <c r="E23" s="16">
        <f>I38</f>
        <v>5.2319864903190334</v>
      </c>
      <c r="F23" s="16">
        <f>TINV(0.05,I34)*J38</f>
        <v>0.29515360477676045</v>
      </c>
      <c r="H23" s="52" t="s">
        <v>42</v>
      </c>
      <c r="I23" s="53"/>
      <c r="J23" s="23"/>
      <c r="K23" s="23"/>
      <c r="L23" s="23"/>
      <c r="M23" s="23"/>
      <c r="N23" s="23"/>
      <c r="O23" s="23"/>
      <c r="P23" s="23"/>
    </row>
    <row r="24" spans="1:16" x14ac:dyDescent="0.2">
      <c r="A24" s="1" t="s">
        <v>69</v>
      </c>
      <c r="B24" s="16">
        <f>B23*B25-I17</f>
        <v>1498.5156862895815</v>
      </c>
      <c r="C24" s="16">
        <f>SQRT((B23*B25*SQRT((C23/B23)^2+(C25/B25)^2))^2+J17^2)</f>
        <v>175.05618401337819</v>
      </c>
      <c r="D24" s="1" t="s">
        <v>69</v>
      </c>
      <c r="E24" s="16">
        <f>E23*E25-I37</f>
        <v>1569.6999828402586</v>
      </c>
      <c r="F24" s="16">
        <f>SQRT((E23*E25*SQRT((F23/E23)^2+(F25/E25)^2))^2+J37^2)</f>
        <v>96.918605598653755</v>
      </c>
      <c r="H24" s="1" t="s">
        <v>43</v>
      </c>
      <c r="I24">
        <v>0.99899935822446828</v>
      </c>
      <c r="J24" s="23"/>
      <c r="K24" s="23"/>
      <c r="L24" s="23"/>
      <c r="M24" s="23"/>
      <c r="N24" s="23"/>
      <c r="O24" s="23"/>
      <c r="P24" s="23"/>
    </row>
    <row r="25" spans="1:16" x14ac:dyDescent="0.2">
      <c r="A25" s="1" t="s">
        <v>68</v>
      </c>
      <c r="B25" s="16">
        <f>-I19</f>
        <v>211.47693512163747</v>
      </c>
      <c r="C25" s="16">
        <f>TINV(0.05,I14)*J19</f>
        <v>25.348113734315969</v>
      </c>
      <c r="D25" s="1" t="s">
        <v>68</v>
      </c>
      <c r="E25" s="16">
        <f>-I39</f>
        <v>217.62458970917697</v>
      </c>
      <c r="F25" s="16">
        <f>TINV(0.05,I34)*J39</f>
        <v>13.705753920033771</v>
      </c>
      <c r="H25" s="1" t="s">
        <v>44</v>
      </c>
      <c r="I25">
        <v>0.99799971773289942</v>
      </c>
      <c r="J25" s="23"/>
      <c r="K25" s="23"/>
      <c r="L25" s="23"/>
      <c r="M25" s="23"/>
      <c r="N25" s="23"/>
      <c r="O25" s="23"/>
      <c r="P25" s="23"/>
    </row>
    <row r="26" spans="1:16" x14ac:dyDescent="0.2">
      <c r="A26" s="42" t="s">
        <v>138</v>
      </c>
      <c r="B26" s="42"/>
      <c r="C26" s="42"/>
      <c r="D26" s="42" t="s">
        <v>139</v>
      </c>
      <c r="E26" s="42"/>
      <c r="F26" s="42"/>
      <c r="H26" s="1" t="s">
        <v>45</v>
      </c>
      <c r="I26">
        <v>0.99769198199949938</v>
      </c>
      <c r="J26" s="23"/>
      <c r="K26" s="23"/>
      <c r="L26" s="23"/>
      <c r="M26" s="23"/>
      <c r="N26" s="23"/>
      <c r="O26" s="23"/>
      <c r="P26" s="23"/>
    </row>
    <row r="27" spans="1:16" x14ac:dyDescent="0.2">
      <c r="A27" s="42" t="s">
        <v>141</v>
      </c>
      <c r="B27" s="42"/>
      <c r="C27" s="42"/>
      <c r="D27" s="42" t="s">
        <v>140</v>
      </c>
      <c r="E27" s="42"/>
      <c r="F27" s="42"/>
      <c r="H27" s="1" t="s">
        <v>46</v>
      </c>
      <c r="I27">
        <v>0.60235808397597967</v>
      </c>
      <c r="J27" s="23"/>
      <c r="K27" s="23"/>
      <c r="L27" s="23"/>
      <c r="M27" s="23"/>
      <c r="N27" s="23"/>
      <c r="O27" s="23"/>
      <c r="P27" s="23"/>
    </row>
    <row r="28" spans="1:16" ht="17" thickBot="1" x14ac:dyDescent="0.25">
      <c r="A28" s="42" t="s">
        <v>77</v>
      </c>
      <c r="B28" s="42"/>
      <c r="C28" s="42"/>
      <c r="D28" s="42" t="s">
        <v>78</v>
      </c>
      <c r="E28" s="42"/>
      <c r="F28" s="42"/>
      <c r="H28" s="1" t="s">
        <v>47</v>
      </c>
      <c r="I28" s="40">
        <v>16</v>
      </c>
      <c r="J28" s="23"/>
      <c r="K28" s="23"/>
      <c r="L28" s="23"/>
      <c r="M28" s="23"/>
      <c r="N28" s="23"/>
      <c r="O28" s="23"/>
      <c r="P28" s="23"/>
    </row>
    <row r="29" spans="1:16" x14ac:dyDescent="0.2">
      <c r="H29" s="23"/>
      <c r="I29" s="23"/>
      <c r="J29" s="23"/>
      <c r="K29" s="23"/>
      <c r="L29" s="23"/>
      <c r="M29" s="23"/>
      <c r="N29" s="23"/>
      <c r="O29" s="23"/>
      <c r="P29" s="23"/>
    </row>
    <row r="30" spans="1:16" x14ac:dyDescent="0.2">
      <c r="A30" s="41" t="s">
        <v>88</v>
      </c>
      <c r="B30" s="41"/>
      <c r="C30" s="41"/>
      <c r="D30" s="41"/>
      <c r="H30" s="41" t="s">
        <v>48</v>
      </c>
      <c r="I30" s="41"/>
      <c r="J30" s="41"/>
      <c r="K30" s="41"/>
      <c r="L30" s="41"/>
      <c r="M30" s="41"/>
      <c r="N30" s="23"/>
      <c r="O30" s="23"/>
      <c r="P30" s="23"/>
    </row>
    <row r="31" spans="1:16" x14ac:dyDescent="0.2">
      <c r="A31" s="41" t="s">
        <v>28</v>
      </c>
      <c r="B31" s="41"/>
      <c r="C31" s="41" t="s">
        <v>29</v>
      </c>
      <c r="D31" s="41"/>
      <c r="H31" s="27"/>
      <c r="I31" s="27" t="s">
        <v>13</v>
      </c>
      <c r="J31" s="27" t="s">
        <v>53</v>
      </c>
      <c r="K31" s="27" t="s">
        <v>54</v>
      </c>
      <c r="L31" s="27" t="s">
        <v>55</v>
      </c>
      <c r="M31" s="27" t="s">
        <v>56</v>
      </c>
      <c r="N31" s="23"/>
      <c r="O31" s="23"/>
      <c r="P31" s="23"/>
    </row>
    <row r="32" spans="1:16" x14ac:dyDescent="0.2">
      <c r="A32" s="9" t="s">
        <v>70</v>
      </c>
      <c r="B32" s="9" t="s">
        <v>1</v>
      </c>
      <c r="C32" s="9" t="s">
        <v>70</v>
      </c>
      <c r="D32" s="9" t="s">
        <v>1</v>
      </c>
      <c r="H32" s="1" t="s">
        <v>49</v>
      </c>
      <c r="I32">
        <v>2</v>
      </c>
      <c r="J32">
        <v>2353.3795337398587</v>
      </c>
      <c r="K32">
        <v>1176.6897668699294</v>
      </c>
      <c r="L32">
        <v>3243.0413806881647</v>
      </c>
      <c r="M32">
        <v>2.8647936911263114E-18</v>
      </c>
      <c r="N32" s="23"/>
      <c r="O32" s="23"/>
      <c r="P32" s="23"/>
    </row>
    <row r="33" spans="1:16" x14ac:dyDescent="0.2">
      <c r="A33" s="5">
        <v>25</v>
      </c>
      <c r="B33" s="16">
        <f>760*10^($B$23-$B$24/(A33+$B$25))</f>
        <v>43.835958385493413</v>
      </c>
      <c r="C33" s="5">
        <v>25</v>
      </c>
      <c r="D33" s="16">
        <f>760*10^($E$23-$E$24/(C33+$E$25))</f>
        <v>43.967765594842703</v>
      </c>
      <c r="H33" s="1" t="s">
        <v>50</v>
      </c>
      <c r="I33">
        <v>13</v>
      </c>
      <c r="J33">
        <v>4.7168583973057743</v>
      </c>
      <c r="K33">
        <v>0.36283526133121341</v>
      </c>
      <c r="N33" s="23"/>
      <c r="O33" s="23"/>
      <c r="P33" s="23"/>
    </row>
    <row r="34" spans="1:16" ht="17" thickBot="1" x14ac:dyDescent="0.25">
      <c r="A34" s="5">
        <v>26.7</v>
      </c>
      <c r="B34" s="16">
        <f t="shared" ref="B34:B48" si="2">760*10^($B$23-$B$24/(A34+$B$25))</f>
        <v>48.647440938412849</v>
      </c>
      <c r="C34" s="5">
        <v>27.2</v>
      </c>
      <c r="D34" s="16">
        <f t="shared" ref="D34:D48" si="3">760*10^($E$23-$E$24/(C34+$E$25))</f>
        <v>50.265612205496915</v>
      </c>
      <c r="H34" s="1" t="s">
        <v>51</v>
      </c>
      <c r="I34" s="40">
        <v>15</v>
      </c>
      <c r="J34" s="40">
        <v>2358.0963921371645</v>
      </c>
      <c r="K34" s="40"/>
      <c r="L34" s="40"/>
      <c r="M34" s="40"/>
      <c r="N34" s="23"/>
      <c r="O34" s="23"/>
      <c r="P34" s="23"/>
    </row>
    <row r="35" spans="1:16" x14ac:dyDescent="0.2">
      <c r="A35" s="5">
        <v>27.3</v>
      </c>
      <c r="B35" s="16">
        <f t="shared" si="2"/>
        <v>50.450977405869985</v>
      </c>
      <c r="C35" s="5">
        <v>28.7</v>
      </c>
      <c r="D35" s="16">
        <f t="shared" si="3"/>
        <v>54.993853162668017</v>
      </c>
      <c r="H35" s="23"/>
      <c r="I35" s="23"/>
      <c r="J35" s="23"/>
      <c r="K35" s="23"/>
      <c r="L35" s="23"/>
      <c r="M35" s="23"/>
      <c r="N35" s="23"/>
      <c r="O35" s="23"/>
      <c r="P35" s="23"/>
    </row>
    <row r="36" spans="1:16" x14ac:dyDescent="0.2">
      <c r="A36" s="5">
        <v>30.3</v>
      </c>
      <c r="B36" s="16">
        <f t="shared" si="2"/>
        <v>60.358787168862477</v>
      </c>
      <c r="C36" s="5">
        <v>30.8</v>
      </c>
      <c r="D36" s="16">
        <f t="shared" si="3"/>
        <v>62.256183067317188</v>
      </c>
      <c r="H36" s="27"/>
      <c r="I36" s="27" t="s">
        <v>57</v>
      </c>
      <c r="J36" s="27" t="s">
        <v>46</v>
      </c>
      <c r="K36" s="27" t="s">
        <v>58</v>
      </c>
      <c r="L36" s="27" t="s">
        <v>59</v>
      </c>
      <c r="M36" s="27" t="s">
        <v>60</v>
      </c>
      <c r="N36" s="27" t="s">
        <v>61</v>
      </c>
      <c r="O36" s="27" t="s">
        <v>62</v>
      </c>
      <c r="P36" s="27" t="s">
        <v>63</v>
      </c>
    </row>
    <row r="37" spans="1:16" x14ac:dyDescent="0.2">
      <c r="A37" s="5">
        <v>34.6</v>
      </c>
      <c r="B37" s="16">
        <f t="shared" si="2"/>
        <v>77.454093197585394</v>
      </c>
      <c r="C37" s="5">
        <v>35.700000000000003</v>
      </c>
      <c r="D37" s="16">
        <f t="shared" si="3"/>
        <v>82.490146601572064</v>
      </c>
      <c r="H37" s="1" t="s">
        <v>52</v>
      </c>
      <c r="I37">
        <v>-431.091069520622</v>
      </c>
      <c r="J37">
        <v>11.1935513712651</v>
      </c>
      <c r="K37">
        <v>-38.512448393033949</v>
      </c>
      <c r="L37">
        <v>8.7387424063178719E-15</v>
      </c>
      <c r="M37">
        <v>-455.27326705760879</v>
      </c>
      <c r="N37">
        <v>-406.9088719836343</v>
      </c>
      <c r="O37">
        <v>-455.27326705760879</v>
      </c>
      <c r="P37">
        <v>-406.9088719836343</v>
      </c>
    </row>
    <row r="38" spans="1:16" x14ac:dyDescent="0.2">
      <c r="A38" s="5">
        <v>37.5</v>
      </c>
      <c r="B38" s="16">
        <f t="shared" si="2"/>
        <v>91.195678825037049</v>
      </c>
      <c r="C38" s="5">
        <v>39.799999999999997</v>
      </c>
      <c r="D38" s="16">
        <f t="shared" si="3"/>
        <v>103.53616434056022</v>
      </c>
      <c r="H38" s="1" t="s">
        <v>25</v>
      </c>
      <c r="I38">
        <v>5.2319864903190334</v>
      </c>
      <c r="J38">
        <v>0.13847552966553822</v>
      </c>
      <c r="K38">
        <v>37.782751241002074</v>
      </c>
      <c r="L38">
        <v>1.118289931861982E-14</v>
      </c>
      <c r="M38">
        <v>4.932828296342521</v>
      </c>
      <c r="N38">
        <v>5.5311446842955458</v>
      </c>
      <c r="O38">
        <v>4.932828296342521</v>
      </c>
      <c r="P38">
        <v>5.5311446842955458</v>
      </c>
    </row>
    <row r="39" spans="1:16" ht="17" thickBot="1" x14ac:dyDescent="0.25">
      <c r="A39" s="5">
        <v>40.9</v>
      </c>
      <c r="B39" s="16">
        <f t="shared" si="2"/>
        <v>109.91515165363533</v>
      </c>
      <c r="C39" s="5">
        <v>46.6</v>
      </c>
      <c r="D39" s="16">
        <f t="shared" si="3"/>
        <v>148.6006625317942</v>
      </c>
      <c r="H39" s="1" t="s">
        <v>30</v>
      </c>
      <c r="I39" s="40">
        <v>-217.62458970917697</v>
      </c>
      <c r="J39" s="40">
        <v>6.4302502250571845</v>
      </c>
      <c r="K39" s="40">
        <v>-33.843875757920699</v>
      </c>
      <c r="L39" s="40">
        <v>4.6161429375155177E-14</v>
      </c>
      <c r="M39" s="40">
        <v>-231.51630074860333</v>
      </c>
      <c r="N39" s="40">
        <v>-203.73287866975062</v>
      </c>
      <c r="O39" s="40">
        <v>-231.51630074860333</v>
      </c>
      <c r="P39" s="40">
        <v>-203.73287866975062</v>
      </c>
    </row>
    <row r="40" spans="1:16" x14ac:dyDescent="0.2">
      <c r="A40" s="5">
        <v>45.5</v>
      </c>
      <c r="B40" s="16">
        <f t="shared" si="2"/>
        <v>140.39232978750655</v>
      </c>
      <c r="C40" s="5">
        <v>50.8</v>
      </c>
      <c r="D40" s="16">
        <f t="shared" si="3"/>
        <v>184.06670777081433</v>
      </c>
    </row>
    <row r="41" spans="1:16" x14ac:dyDescent="0.2">
      <c r="A41" s="5">
        <v>50.7</v>
      </c>
      <c r="B41" s="16">
        <f t="shared" si="2"/>
        <v>183.23206221943181</v>
      </c>
      <c r="C41" s="5">
        <v>55.3</v>
      </c>
      <c r="D41" s="16">
        <f t="shared" si="3"/>
        <v>229.82358527886461</v>
      </c>
    </row>
    <row r="42" spans="1:16" x14ac:dyDescent="0.2">
      <c r="A42" s="5">
        <v>54.5</v>
      </c>
      <c r="B42" s="16">
        <f t="shared" si="2"/>
        <v>221.13674651739481</v>
      </c>
      <c r="C42" s="5">
        <v>60.4</v>
      </c>
      <c r="D42" s="16">
        <f t="shared" si="3"/>
        <v>293.01959189935621</v>
      </c>
    </row>
    <row r="43" spans="1:16" x14ac:dyDescent="0.2">
      <c r="A43" s="5">
        <v>59.7</v>
      </c>
      <c r="B43" s="16">
        <f t="shared" si="2"/>
        <v>283.59382507676753</v>
      </c>
      <c r="C43" s="5">
        <v>65.400000000000006</v>
      </c>
      <c r="D43" s="16">
        <f t="shared" si="3"/>
        <v>368.67096565224239</v>
      </c>
    </row>
    <row r="44" spans="1:16" x14ac:dyDescent="0.2">
      <c r="A44" s="5">
        <v>65.7</v>
      </c>
      <c r="B44" s="16">
        <f t="shared" si="2"/>
        <v>373.52224398044984</v>
      </c>
      <c r="C44" s="5">
        <v>69.2</v>
      </c>
      <c r="D44" s="16">
        <f t="shared" si="3"/>
        <v>436.63378629817811</v>
      </c>
    </row>
    <row r="45" spans="1:16" x14ac:dyDescent="0.2">
      <c r="A45" s="5">
        <v>70.400000000000006</v>
      </c>
      <c r="B45" s="16">
        <f t="shared" si="2"/>
        <v>459.68639720618302</v>
      </c>
      <c r="C45" s="5">
        <v>74.599999999999994</v>
      </c>
      <c r="D45" s="16">
        <f t="shared" si="3"/>
        <v>551.12067248935796</v>
      </c>
    </row>
    <row r="46" spans="1:16" x14ac:dyDescent="0.2">
      <c r="A46" s="5">
        <v>74.5</v>
      </c>
      <c r="B46" s="16">
        <f t="shared" si="2"/>
        <v>547.87203765403876</v>
      </c>
      <c r="C46" s="5">
        <v>79.400000000000006</v>
      </c>
      <c r="D46" s="16">
        <f t="shared" si="3"/>
        <v>673.05801237021774</v>
      </c>
    </row>
    <row r="47" spans="1:16" x14ac:dyDescent="0.2">
      <c r="A47" s="5">
        <v>79.400000000000006</v>
      </c>
      <c r="B47" s="16">
        <f t="shared" si="2"/>
        <v>671.35146208938909</v>
      </c>
      <c r="C47" s="5">
        <v>81.599999999999994</v>
      </c>
      <c r="D47" s="16">
        <f t="shared" si="3"/>
        <v>736.05072269541392</v>
      </c>
    </row>
    <row r="48" spans="1:16" x14ac:dyDescent="0.2">
      <c r="A48" s="5">
        <v>82.5</v>
      </c>
      <c r="B48" s="16">
        <f t="shared" si="2"/>
        <v>760.80792490468843</v>
      </c>
      <c r="C48" s="5">
        <v>82</v>
      </c>
      <c r="D48" s="16">
        <f t="shared" si="3"/>
        <v>748.01624590267693</v>
      </c>
    </row>
  </sheetData>
  <mergeCells count="20">
    <mergeCell ref="D1:F1"/>
    <mergeCell ref="A21:C21"/>
    <mergeCell ref="D21:F21"/>
    <mergeCell ref="A20:F20"/>
    <mergeCell ref="H21:N21"/>
    <mergeCell ref="H1:N1"/>
    <mergeCell ref="H3:I3"/>
    <mergeCell ref="A1:C1"/>
    <mergeCell ref="A31:B31"/>
    <mergeCell ref="C31:D31"/>
    <mergeCell ref="A30:D30"/>
    <mergeCell ref="H10:M10"/>
    <mergeCell ref="H30:M30"/>
    <mergeCell ref="H23:I23"/>
    <mergeCell ref="A26:C26"/>
    <mergeCell ref="A27:C27"/>
    <mergeCell ref="A28:C28"/>
    <mergeCell ref="D26:F26"/>
    <mergeCell ref="D27:F27"/>
    <mergeCell ref="D28:F2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441D-BE61-D64B-8502-AF5C1C1DDE59}">
  <dimension ref="A1:O39"/>
  <sheetViews>
    <sheetView tabSelected="1" zoomScale="228" zoomScaleNormal="100" workbookViewId="0">
      <selection activeCell="E8" sqref="E8"/>
    </sheetView>
  </sheetViews>
  <sheetFormatPr baseColWidth="10" defaultColWidth="11" defaultRowHeight="16" x14ac:dyDescent="0.2"/>
  <cols>
    <col min="2" max="2" width="11.33203125" bestFit="1" customWidth="1"/>
    <col min="4" max="4" width="17" customWidth="1"/>
    <col min="5" max="5" width="11.1640625" bestFit="1" customWidth="1"/>
    <col min="6" max="6" width="13.5" bestFit="1" customWidth="1"/>
    <col min="7" max="7" width="12.33203125" bestFit="1" customWidth="1"/>
    <col min="12" max="12" width="18.6640625" customWidth="1"/>
  </cols>
  <sheetData>
    <row r="1" spans="1:15" x14ac:dyDescent="0.2">
      <c r="A1" s="41" t="s">
        <v>28</v>
      </c>
      <c r="B1" s="41"/>
      <c r="C1" s="41"/>
      <c r="D1" s="41"/>
      <c r="E1" s="41"/>
      <c r="F1" s="41"/>
      <c r="G1" s="41"/>
      <c r="I1" s="41" t="s">
        <v>29</v>
      </c>
      <c r="J1" s="41"/>
      <c r="K1" s="41"/>
      <c r="L1" s="41"/>
      <c r="M1" s="41"/>
      <c r="N1" s="41"/>
      <c r="O1" s="41"/>
    </row>
    <row r="2" spans="1:15" x14ac:dyDescent="0.2">
      <c r="A2" s="9" t="s">
        <v>70</v>
      </c>
      <c r="B2" s="9" t="s">
        <v>71</v>
      </c>
      <c r="C2" s="9" t="s">
        <v>72</v>
      </c>
      <c r="D2" s="9" t="s">
        <v>73</v>
      </c>
      <c r="E2" s="9" t="s">
        <v>67</v>
      </c>
      <c r="F2" s="9" t="s">
        <v>69</v>
      </c>
      <c r="G2" s="9" t="s">
        <v>68</v>
      </c>
      <c r="I2" s="9" t="s">
        <v>70</v>
      </c>
      <c r="J2" s="9" t="s">
        <v>71</v>
      </c>
      <c r="K2" s="9" t="s">
        <v>72</v>
      </c>
      <c r="L2" s="9" t="s">
        <v>73</v>
      </c>
      <c r="M2" s="9" t="s">
        <v>67</v>
      </c>
      <c r="N2" s="9" t="s">
        <v>69</v>
      </c>
      <c r="O2" s="9" t="s">
        <v>68</v>
      </c>
    </row>
    <row r="3" spans="1:15" x14ac:dyDescent="0.2">
      <c r="A3" s="5">
        <v>25</v>
      </c>
      <c r="B3" s="6">
        <v>-1.2334306221661699</v>
      </c>
      <c r="C3" s="22">
        <f>$E$3-$F$3/(A3+$G$3)</f>
        <v>-1.2457867560636124</v>
      </c>
      <c r="D3" s="22">
        <f>B3-C3</f>
        <v>1.2356133897442501E-2</v>
      </c>
      <c r="E3" s="24">
        <v>5.1522439259206152</v>
      </c>
      <c r="F3" s="16">
        <v>1529.9655471590154</v>
      </c>
      <c r="G3" s="16">
        <v>214.13069868000784</v>
      </c>
      <c r="I3" s="5">
        <v>25</v>
      </c>
      <c r="J3" s="6">
        <v>-1.2344098660577218</v>
      </c>
      <c r="K3" s="22">
        <f>$M$3-$N$3/(I3+$O$3)</f>
        <v>-1.2377338813852363</v>
      </c>
      <c r="L3" s="22">
        <f>J3-K3</f>
        <v>3.3240153275144735E-3</v>
      </c>
      <c r="M3" s="24">
        <v>5.0218296699412335</v>
      </c>
      <c r="N3" s="16">
        <v>1460.9845505711928</v>
      </c>
      <c r="O3" s="16">
        <v>208.40038623964352</v>
      </c>
    </row>
    <row r="4" spans="1:15" x14ac:dyDescent="0.2">
      <c r="A4" s="5">
        <v>26.7</v>
      </c>
      <c r="B4" s="6">
        <v>-1.1915047331571711</v>
      </c>
      <c r="C4" s="22">
        <f t="shared" ref="C4:C18" si="0">$E$3-$F$3/(A4+$G$3)</f>
        <v>-1.2006236924716864</v>
      </c>
      <c r="D4" s="22">
        <f t="shared" ref="D4:D18" si="1">B4-C4</f>
        <v>9.1189593145153403E-3</v>
      </c>
      <c r="E4" s="23"/>
      <c r="F4" s="23"/>
      <c r="G4" s="23"/>
      <c r="I4" s="5">
        <v>27.2</v>
      </c>
      <c r="J4" s="6">
        <v>-1.1809758664135457</v>
      </c>
      <c r="K4" s="22">
        <f t="shared" ref="K4:K17" si="2">$M$3-$N$3/(I4+$O$3)</f>
        <v>-1.179283044216783</v>
      </c>
      <c r="L4" s="22">
        <f t="shared" ref="L4:L18" si="3">J4-K4</f>
        <v>-1.6928221967627E-3</v>
      </c>
      <c r="M4" s="23"/>
      <c r="N4" s="23"/>
      <c r="O4" s="23"/>
    </row>
    <row r="5" spans="1:15" x14ac:dyDescent="0.2">
      <c r="A5" s="5">
        <v>27.3</v>
      </c>
      <c r="B5" s="6">
        <v>-1.1758056329474553</v>
      </c>
      <c r="C5" s="22">
        <f t="shared" si="0"/>
        <v>-1.1848356398674582</v>
      </c>
      <c r="D5" s="22">
        <f t="shared" si="1"/>
        <v>9.0300069200028865E-3</v>
      </c>
      <c r="E5" s="23"/>
      <c r="F5" s="23"/>
      <c r="G5" s="23"/>
      <c r="I5" s="5">
        <v>28.7</v>
      </c>
      <c r="J5" s="6">
        <v>-1.1396619934290064</v>
      </c>
      <c r="K5" s="22">
        <f t="shared" si="2"/>
        <v>-1.1400521124635317</v>
      </c>
      <c r="L5" s="22">
        <f t="shared" si="3"/>
        <v>3.9011903452523811E-4</v>
      </c>
      <c r="M5" s="23"/>
      <c r="N5" s="23"/>
      <c r="O5" s="23"/>
    </row>
    <row r="6" spans="1:15" x14ac:dyDescent="0.2">
      <c r="A6" s="5">
        <v>30.3</v>
      </c>
      <c r="B6" s="6">
        <v>-1.1019391202780517</v>
      </c>
      <c r="C6" s="22">
        <f t="shared" si="0"/>
        <v>-1.1070580170073594</v>
      </c>
      <c r="D6" s="22">
        <f t="shared" si="1"/>
        <v>5.1188967293076537E-3</v>
      </c>
      <c r="E6" s="23"/>
      <c r="F6" s="23"/>
      <c r="G6" s="23"/>
      <c r="I6" s="5">
        <v>30.8</v>
      </c>
      <c r="J6" s="6">
        <v>-1.0877219921042112</v>
      </c>
      <c r="K6" s="22">
        <f t="shared" si="2"/>
        <v>-1.0859554115907901</v>
      </c>
      <c r="L6" s="22">
        <f t="shared" si="3"/>
        <v>-1.7665805134210455E-3</v>
      </c>
      <c r="M6" s="23"/>
      <c r="N6" s="23"/>
      <c r="O6" s="23"/>
    </row>
    <row r="7" spans="1:15" x14ac:dyDescent="0.2">
      <c r="A7" s="5">
        <v>34.6</v>
      </c>
      <c r="B7" s="6">
        <v>-0.99885862094119082</v>
      </c>
      <c r="C7" s="22">
        <f t="shared" si="0"/>
        <v>-0.99884862227874027</v>
      </c>
      <c r="D7" s="22">
        <f t="shared" si="1"/>
        <v>-9.9986624505499222E-6</v>
      </c>
      <c r="E7" s="23"/>
      <c r="F7" s="23"/>
      <c r="G7" s="23"/>
      <c r="I7" s="5">
        <v>35.700000000000003</v>
      </c>
      <c r="J7" s="6">
        <v>-0.96488638058367548</v>
      </c>
      <c r="K7" s="22">
        <f t="shared" si="2"/>
        <v>-0.96334951423622783</v>
      </c>
      <c r="L7" s="22">
        <f t="shared" si="3"/>
        <v>-1.5368663474476518E-3</v>
      </c>
      <c r="M7" s="23"/>
      <c r="N7" s="23"/>
      <c r="O7" s="23"/>
    </row>
    <row r="8" spans="1:15" x14ac:dyDescent="0.2">
      <c r="A8" s="5">
        <v>37.5</v>
      </c>
      <c r="B8" s="6">
        <v>-0.92034281474649238</v>
      </c>
      <c r="C8" s="22">
        <f t="shared" si="0"/>
        <v>-0.92795835140418959</v>
      </c>
      <c r="D8" s="22">
        <f t="shared" si="1"/>
        <v>7.6155366576972083E-3</v>
      </c>
      <c r="E8" s="23"/>
      <c r="F8" s="23"/>
      <c r="G8" s="23"/>
      <c r="I8" s="5">
        <v>39.799999999999997</v>
      </c>
      <c r="J8" s="6">
        <v>-0.8658732424878548</v>
      </c>
      <c r="K8" s="22">
        <f t="shared" si="2"/>
        <v>-0.86448087415508645</v>
      </c>
      <c r="L8" s="22">
        <f t="shared" si="3"/>
        <v>-1.3923683327683456E-3</v>
      </c>
      <c r="M8" s="23"/>
      <c r="N8" s="23"/>
      <c r="O8" s="23"/>
    </row>
    <row r="9" spans="1:15" x14ac:dyDescent="0.2">
      <c r="A9" s="5">
        <v>40.9</v>
      </c>
      <c r="B9" s="6">
        <v>-0.84021125216671821</v>
      </c>
      <c r="C9" s="22">
        <f t="shared" si="0"/>
        <v>-0.84689874622762673</v>
      </c>
      <c r="D9" s="22">
        <f t="shared" si="1"/>
        <v>6.6874940609085165E-3</v>
      </c>
      <c r="E9" s="23"/>
      <c r="F9" s="23"/>
      <c r="G9" s="23"/>
      <c r="I9" s="5">
        <v>46.6</v>
      </c>
      <c r="J9" s="6">
        <v>-0.71143309696884194</v>
      </c>
      <c r="K9" s="22">
        <f t="shared" si="2"/>
        <v>-0.70751283073322835</v>
      </c>
      <c r="L9" s="22">
        <f t="shared" si="3"/>
        <v>-3.9202662356135898E-3</v>
      </c>
      <c r="M9" s="23"/>
      <c r="N9" s="23"/>
      <c r="O9" s="23"/>
    </row>
    <row r="10" spans="1:15" x14ac:dyDescent="0.2">
      <c r="A10" s="5">
        <v>45.5</v>
      </c>
      <c r="B10" s="6">
        <v>-0.74061991370216007</v>
      </c>
      <c r="C10" s="22">
        <f t="shared" si="0"/>
        <v>-0.74060909545757703</v>
      </c>
      <c r="D10" s="22">
        <f t="shared" si="1"/>
        <v>-1.0818244583044034E-5</v>
      </c>
      <c r="E10" s="23"/>
      <c r="F10" s="23"/>
      <c r="G10" s="23"/>
      <c r="I10" s="5">
        <v>50.8</v>
      </c>
      <c r="J10" s="6">
        <v>-0.61978875828839397</v>
      </c>
      <c r="K10" s="22">
        <f t="shared" si="2"/>
        <v>-0.61467640077287644</v>
      </c>
      <c r="L10" s="22">
        <f t="shared" si="3"/>
        <v>-5.1123575155175294E-3</v>
      </c>
      <c r="M10" s="23"/>
      <c r="N10" s="23"/>
      <c r="O10" s="23"/>
    </row>
    <row r="11" spans="1:15" x14ac:dyDescent="0.2">
      <c r="A11" s="5">
        <v>50.7</v>
      </c>
      <c r="B11" s="6">
        <v>-0.61931281908251123</v>
      </c>
      <c r="C11" s="22">
        <f t="shared" si="0"/>
        <v>-0.62490183091498697</v>
      </c>
      <c r="D11" s="22">
        <f t="shared" si="1"/>
        <v>5.5890118324757321E-3</v>
      </c>
      <c r="E11" s="23"/>
      <c r="F11" s="23"/>
      <c r="G11" s="23"/>
      <c r="I11" s="5">
        <v>55.3</v>
      </c>
      <c r="J11" s="6">
        <v>-0.51495137687823633</v>
      </c>
      <c r="K11" s="22">
        <f t="shared" si="2"/>
        <v>-0.51849043123408656</v>
      </c>
      <c r="L11" s="22">
        <f t="shared" si="3"/>
        <v>3.5390543558502241E-3</v>
      </c>
      <c r="M11" s="23"/>
      <c r="N11" s="23"/>
      <c r="O11" s="23"/>
    </row>
    <row r="12" spans="1:15" x14ac:dyDescent="0.2">
      <c r="A12" s="5">
        <v>54.5</v>
      </c>
      <c r="B12" s="6">
        <v>-0.53289840577910008</v>
      </c>
      <c r="C12" s="22">
        <f t="shared" si="0"/>
        <v>-0.54317939939897553</v>
      </c>
      <c r="D12" s="22">
        <f t="shared" si="1"/>
        <v>1.0280993619875445E-2</v>
      </c>
      <c r="E12" s="23"/>
      <c r="F12" s="23"/>
      <c r="G12" s="23"/>
      <c r="I12" s="5">
        <v>60.4</v>
      </c>
      <c r="J12" s="6">
        <v>-0.41409422059919271</v>
      </c>
      <c r="K12" s="22">
        <f t="shared" si="2"/>
        <v>-0.41337290178677666</v>
      </c>
      <c r="L12" s="22">
        <f t="shared" si="3"/>
        <v>-7.2131881241604967E-4</v>
      </c>
      <c r="M12" s="23"/>
      <c r="N12" s="23"/>
      <c r="O12" s="23"/>
    </row>
    <row r="13" spans="1:15" x14ac:dyDescent="0.2">
      <c r="A13" s="5">
        <v>59.7</v>
      </c>
      <c r="B13" s="6">
        <v>-0.42612114304131449</v>
      </c>
      <c r="C13" s="22">
        <f t="shared" si="0"/>
        <v>-0.43502424574226062</v>
      </c>
      <c r="D13" s="22">
        <f t="shared" si="1"/>
        <v>8.9031027009461305E-3</v>
      </c>
      <c r="E13" s="23"/>
      <c r="F13" s="23"/>
      <c r="G13" s="23"/>
      <c r="I13" s="5">
        <v>65.400000000000006</v>
      </c>
      <c r="J13" s="6">
        <v>-0.31378722612173099</v>
      </c>
      <c r="K13" s="22">
        <f t="shared" si="2"/>
        <v>-0.31411806423203892</v>
      </c>
      <c r="L13" s="22">
        <f t="shared" si="3"/>
        <v>3.3083811030792942E-4</v>
      </c>
      <c r="M13" s="23"/>
      <c r="N13" s="23"/>
      <c r="O13" s="23"/>
    </row>
    <row r="14" spans="1:15" x14ac:dyDescent="0.2">
      <c r="A14" s="5">
        <v>65.7</v>
      </c>
      <c r="B14" s="6">
        <v>-0.30898834323996222</v>
      </c>
      <c r="C14" s="22">
        <f t="shared" si="0"/>
        <v>-0.31522463409095902</v>
      </c>
      <c r="D14" s="22">
        <f t="shared" si="1"/>
        <v>6.2362908509968062E-3</v>
      </c>
      <c r="E14" s="23"/>
      <c r="F14" s="23"/>
      <c r="G14" s="23"/>
      <c r="I14" s="5">
        <v>69.2</v>
      </c>
      <c r="J14" s="6">
        <v>-0.23825015517640355</v>
      </c>
      <c r="K14" s="22">
        <f t="shared" si="2"/>
        <v>-0.24107565364852412</v>
      </c>
      <c r="L14" s="22">
        <f t="shared" si="3"/>
        <v>2.8254984721205745E-3</v>
      </c>
      <c r="M14" s="23"/>
      <c r="N14" s="23"/>
      <c r="O14" s="23"/>
    </row>
    <row r="15" spans="1:15" x14ac:dyDescent="0.2">
      <c r="A15" s="5">
        <v>70.400000000000006</v>
      </c>
      <c r="B15" s="6">
        <v>-0.21654779213311634</v>
      </c>
      <c r="C15" s="22">
        <f t="shared" si="0"/>
        <v>-0.22491064564869934</v>
      </c>
      <c r="D15" s="22">
        <f t="shared" si="1"/>
        <v>8.3628535155829964E-3</v>
      </c>
      <c r="E15" s="23"/>
      <c r="F15" s="23"/>
      <c r="G15" s="23"/>
      <c r="I15" s="5">
        <v>74.599999999999994</v>
      </c>
      <c r="J15" s="6">
        <v>-0.13934683051103644</v>
      </c>
      <c r="K15" s="22">
        <f t="shared" si="2"/>
        <v>-0.14065286227000318</v>
      </c>
      <c r="L15" s="22">
        <f t="shared" si="3"/>
        <v>1.3060317589667358E-3</v>
      </c>
      <c r="M15" s="23"/>
      <c r="N15" s="23"/>
      <c r="O15" s="23"/>
    </row>
    <row r="16" spans="1:15" x14ac:dyDescent="0.2">
      <c r="A16" s="5">
        <v>74.5</v>
      </c>
      <c r="B16" s="6">
        <v>-0.13753906876885791</v>
      </c>
      <c r="C16" s="22">
        <f t="shared" si="0"/>
        <v>-0.14852814772225376</v>
      </c>
      <c r="D16" s="22">
        <f>B16-C16</f>
        <v>1.0989078953395848E-2</v>
      </c>
      <c r="E16" s="23"/>
      <c r="F16" s="23"/>
      <c r="G16" s="23"/>
      <c r="I16" s="5">
        <v>79.400000000000006</v>
      </c>
      <c r="J16" s="6">
        <v>-5.3961644460147472E-2</v>
      </c>
      <c r="K16" s="22">
        <f t="shared" si="2"/>
        <v>-5.4551809806575591E-2</v>
      </c>
      <c r="L16" s="22">
        <f t="shared" si="3"/>
        <v>5.9016534642811896E-4</v>
      </c>
      <c r="M16" s="23"/>
      <c r="N16" s="23"/>
      <c r="O16" s="23"/>
    </row>
    <row r="17" spans="1:15" x14ac:dyDescent="0.2">
      <c r="A17" s="5">
        <v>79.400000000000006</v>
      </c>
      <c r="B17" s="6">
        <v>-5.1316842560608984E-2</v>
      </c>
      <c r="C17" s="22">
        <f t="shared" si="0"/>
        <v>-6.0040697252327746E-2</v>
      </c>
      <c r="D17" s="22">
        <f t="shared" si="1"/>
        <v>8.7238546917187618E-3</v>
      </c>
      <c r="E17" s="23"/>
      <c r="F17" s="23"/>
      <c r="G17" s="23"/>
      <c r="I17" s="5">
        <v>81.599999999999994</v>
      </c>
      <c r="J17" s="6">
        <v>-1.3463975091998866E-2</v>
      </c>
      <c r="K17" s="22">
        <f t="shared" si="2"/>
        <v>-1.6041380905918778E-2</v>
      </c>
      <c r="L17" s="22">
        <f t="shared" si="3"/>
        <v>2.577405813919912E-3</v>
      </c>
      <c r="M17" s="23"/>
      <c r="N17" s="23"/>
      <c r="O17" s="23"/>
    </row>
    <row r="18" spans="1:15" x14ac:dyDescent="0.2">
      <c r="A18" s="5">
        <v>82.5</v>
      </c>
      <c r="B18" s="6">
        <v>-5.5786458306264211E-3</v>
      </c>
      <c r="C18" s="22">
        <f t="shared" si="0"/>
        <v>-5.5686469765507951E-3</v>
      </c>
      <c r="D18" s="22">
        <f t="shared" si="1"/>
        <v>-9.9988540756259722E-6</v>
      </c>
      <c r="E18" s="23"/>
      <c r="F18" s="23"/>
      <c r="G18" s="23"/>
      <c r="I18" s="5">
        <v>82</v>
      </c>
      <c r="J18" s="6">
        <v>-7.8419615423478382E-3</v>
      </c>
      <c r="K18" s="22">
        <f>$M$3-$N$3/(I18+$O$3)</f>
        <v>-9.1021738117653683E-3</v>
      </c>
      <c r="L18" s="22">
        <f t="shared" si="3"/>
        <v>1.2602122694175301E-3</v>
      </c>
      <c r="M18" s="23"/>
      <c r="N18" s="23"/>
      <c r="O18" s="23"/>
    </row>
    <row r="19" spans="1:15" x14ac:dyDescent="0.2">
      <c r="C19" s="13" t="s">
        <v>79</v>
      </c>
      <c r="D19" s="28">
        <f>SUM(D3:D18)</f>
        <v>0.10898139798375661</v>
      </c>
      <c r="K19" s="13" t="s">
        <v>79</v>
      </c>
      <c r="L19" s="28">
        <f>SUM(L3:L18)</f>
        <v>7.6053510382478873E-7</v>
      </c>
    </row>
    <row r="21" spans="1:15" x14ac:dyDescent="0.2">
      <c r="A21" s="41" t="s">
        <v>87</v>
      </c>
      <c r="B21" s="41"/>
      <c r="C21" s="41"/>
      <c r="D21" s="41"/>
    </row>
    <row r="22" spans="1:15" x14ac:dyDescent="0.2">
      <c r="A22" s="41" t="s">
        <v>28</v>
      </c>
      <c r="B22" s="41"/>
      <c r="C22" s="41" t="s">
        <v>29</v>
      </c>
      <c r="D22" s="41"/>
    </row>
    <row r="23" spans="1:15" x14ac:dyDescent="0.2">
      <c r="A23" s="9" t="s">
        <v>70</v>
      </c>
      <c r="B23" s="9" t="s">
        <v>1</v>
      </c>
      <c r="C23" s="9" t="s">
        <v>70</v>
      </c>
      <c r="D23" s="9" t="s">
        <v>1</v>
      </c>
    </row>
    <row r="24" spans="1:15" x14ac:dyDescent="0.2">
      <c r="A24" s="5">
        <v>25</v>
      </c>
      <c r="B24" s="16">
        <f>760*10^($E$3-$F$3/(A24+$G$3))</f>
        <v>43.154574236910307</v>
      </c>
      <c r="C24" s="5">
        <v>25</v>
      </c>
      <c r="D24" s="16">
        <f>760*10^($M$3-$N$3/(C24+$O$3))</f>
        <v>43.962229680209191</v>
      </c>
      <c r="F24" s="29" t="s">
        <v>18</v>
      </c>
      <c r="G24" s="29" t="s">
        <v>67</v>
      </c>
      <c r="H24" s="29" t="s">
        <v>69</v>
      </c>
      <c r="I24" s="29" t="s">
        <v>68</v>
      </c>
    </row>
    <row r="25" spans="1:15" x14ac:dyDescent="0.2">
      <c r="A25" s="5">
        <v>26.7</v>
      </c>
      <c r="B25" s="16">
        <f t="shared" ref="B25:B39" si="4">760*10^($E$3-$F$3/(A25+$G$3))</f>
        <v>47.883942410449684</v>
      </c>
      <c r="C25" s="5">
        <v>27.2</v>
      </c>
      <c r="D25" s="16">
        <f t="shared" ref="D25:D39" si="5">760*10^($M$3-$N$3/(C25+$O$3))</f>
        <v>50.295664233344411</v>
      </c>
      <c r="F25" s="32" t="s">
        <v>19</v>
      </c>
      <c r="G25" s="24">
        <v>5.3040304177857758</v>
      </c>
      <c r="H25" s="16">
        <v>1608.366736661731</v>
      </c>
      <c r="I25" s="16">
        <v>220.85181962953612</v>
      </c>
    </row>
    <row r="26" spans="1:15" x14ac:dyDescent="0.2">
      <c r="A26" s="5">
        <v>27.3</v>
      </c>
      <c r="B26" s="16">
        <f t="shared" si="4"/>
        <v>49.656711186376768</v>
      </c>
      <c r="C26" s="5">
        <v>28.7</v>
      </c>
      <c r="D26" s="16">
        <f t="shared" si="5"/>
        <v>55.050526870480446</v>
      </c>
      <c r="F26" s="32" t="s">
        <v>20</v>
      </c>
      <c r="G26" s="24">
        <v>5.0218296699412335</v>
      </c>
      <c r="H26" s="16">
        <v>1460.9845505711928</v>
      </c>
      <c r="I26" s="16">
        <v>208.40038623964352</v>
      </c>
    </row>
    <row r="27" spans="1:15" x14ac:dyDescent="0.2">
      <c r="A27" s="5">
        <v>30.3</v>
      </c>
      <c r="B27" s="16">
        <f t="shared" si="4"/>
        <v>59.395777990394599</v>
      </c>
      <c r="C27" s="5">
        <v>30.8</v>
      </c>
      <c r="D27" s="16">
        <f t="shared" si="5"/>
        <v>62.35311874825473</v>
      </c>
    </row>
    <row r="28" spans="1:15" x14ac:dyDescent="0.2">
      <c r="A28" s="5">
        <v>34.6</v>
      </c>
      <c r="B28" s="16">
        <f t="shared" si="4"/>
        <v>76.201754355353458</v>
      </c>
      <c r="C28" s="5">
        <v>35.700000000000003</v>
      </c>
      <c r="D28" s="16">
        <f t="shared" si="5"/>
        <v>82.692110831658439</v>
      </c>
    </row>
    <row r="29" spans="1:15" x14ac:dyDescent="0.2">
      <c r="A29" s="5">
        <v>37.5</v>
      </c>
      <c r="B29" s="16">
        <f t="shared" si="4"/>
        <v>89.712971320351585</v>
      </c>
      <c r="C29" s="5">
        <v>39.799999999999997</v>
      </c>
      <c r="D29" s="16">
        <f t="shared" si="5"/>
        <v>103.83235831311256</v>
      </c>
    </row>
    <row r="30" spans="1:15" x14ac:dyDescent="0.2">
      <c r="A30" s="5">
        <v>40.9</v>
      </c>
      <c r="B30" s="16">
        <f t="shared" si="4"/>
        <v>108.12219307783485</v>
      </c>
      <c r="C30" s="5">
        <v>46.6</v>
      </c>
      <c r="D30" s="16">
        <f t="shared" si="5"/>
        <v>149.03928607606866</v>
      </c>
    </row>
    <row r="31" spans="1:15" x14ac:dyDescent="0.2">
      <c r="A31" s="5">
        <v>45.5</v>
      </c>
      <c r="B31" s="16">
        <f t="shared" si="4"/>
        <v>138.10344010400092</v>
      </c>
      <c r="C31" s="5">
        <v>50.8</v>
      </c>
      <c r="D31" s="16">
        <f t="shared" si="5"/>
        <v>184.55983426150678</v>
      </c>
    </row>
    <row r="32" spans="1:15" x14ac:dyDescent="0.2">
      <c r="A32" s="5">
        <v>50.7</v>
      </c>
      <c r="B32" s="16">
        <f t="shared" si="4"/>
        <v>180.26514464019965</v>
      </c>
      <c r="C32" s="5">
        <v>55.3</v>
      </c>
      <c r="D32" s="16">
        <f t="shared" si="5"/>
        <v>230.31549709381076</v>
      </c>
    </row>
    <row r="33" spans="1:4" x14ac:dyDescent="0.2">
      <c r="A33" s="5">
        <v>54.5</v>
      </c>
      <c r="B33" s="16">
        <f t="shared" si="4"/>
        <v>217.58762553148901</v>
      </c>
      <c r="C33" s="5">
        <v>60.4</v>
      </c>
      <c r="D33" s="16">
        <f t="shared" si="5"/>
        <v>293.38688122611046</v>
      </c>
    </row>
    <row r="34" spans="1:4" x14ac:dyDescent="0.2">
      <c r="A34" s="5">
        <v>59.7</v>
      </c>
      <c r="B34" s="16">
        <f t="shared" si="4"/>
        <v>279.11896532215081</v>
      </c>
      <c r="C34" s="5">
        <v>65.400000000000006</v>
      </c>
      <c r="D34" s="16">
        <f t="shared" si="5"/>
        <v>368.71900915013583</v>
      </c>
    </row>
    <row r="35" spans="1:4" x14ac:dyDescent="0.2">
      <c r="A35" s="5">
        <v>65.7</v>
      </c>
      <c r="B35" s="16">
        <f t="shared" si="4"/>
        <v>367.78071958629909</v>
      </c>
      <c r="C35" s="5">
        <v>69.2</v>
      </c>
      <c r="D35" s="16">
        <f t="shared" si="5"/>
        <v>436.25250992310714</v>
      </c>
    </row>
    <row r="36" spans="1:4" x14ac:dyDescent="0.2">
      <c r="A36" s="5">
        <v>70.400000000000006</v>
      </c>
      <c r="B36" s="16">
        <f t="shared" si="4"/>
        <v>452.79638054183727</v>
      </c>
      <c r="C36" s="5">
        <v>74.599999999999994</v>
      </c>
      <c r="D36" s="16">
        <f t="shared" si="5"/>
        <v>549.74429356725147</v>
      </c>
    </row>
    <row r="37" spans="1:4" x14ac:dyDescent="0.2">
      <c r="A37" s="5">
        <v>74.5</v>
      </c>
      <c r="B37" s="16">
        <f t="shared" si="4"/>
        <v>539.86533803224961</v>
      </c>
      <c r="C37" s="5">
        <v>79.400000000000006</v>
      </c>
      <c r="D37" s="16">
        <f t="shared" si="5"/>
        <v>670.28852178723378</v>
      </c>
    </row>
    <row r="38" spans="1:4" x14ac:dyDescent="0.2">
      <c r="A38" s="5">
        <v>79.400000000000006</v>
      </c>
      <c r="B38" s="16">
        <f t="shared" si="4"/>
        <v>661.87030233140888</v>
      </c>
      <c r="C38" s="5">
        <v>81.599999999999994</v>
      </c>
      <c r="D38" s="16">
        <f t="shared" si="5"/>
        <v>732.44026548160969</v>
      </c>
    </row>
    <row r="39" spans="1:4" x14ac:dyDescent="0.2">
      <c r="A39" s="5">
        <v>82.5</v>
      </c>
      <c r="B39" s="16">
        <f t="shared" si="4"/>
        <v>750.31727451507641</v>
      </c>
      <c r="C39" s="5">
        <v>82</v>
      </c>
      <c r="D39" s="16">
        <f t="shared" si="5"/>
        <v>744.23727615152825</v>
      </c>
    </row>
  </sheetData>
  <mergeCells count="5">
    <mergeCell ref="A1:G1"/>
    <mergeCell ref="I1:O1"/>
    <mergeCell ref="C22:D22"/>
    <mergeCell ref="A22:B22"/>
    <mergeCell ref="A21:D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0E1A-1F53-4E55-812F-12D8E7C9FDE6}">
  <dimension ref="A1:R18"/>
  <sheetViews>
    <sheetView zoomScaleNormal="85" workbookViewId="0">
      <selection activeCell="K27" sqref="K27"/>
    </sheetView>
  </sheetViews>
  <sheetFormatPr baseColWidth="10" defaultColWidth="8.83203125" defaultRowHeight="16" x14ac:dyDescent="0.2"/>
  <cols>
    <col min="1" max="1" width="11.1640625" customWidth="1"/>
    <col min="2" max="2" width="12.6640625" customWidth="1"/>
    <col min="3" max="3" width="11.6640625" customWidth="1"/>
    <col min="4" max="4" width="12.33203125" customWidth="1"/>
    <col min="5" max="5" width="18.1640625" customWidth="1"/>
    <col min="6" max="6" width="18.6640625" customWidth="1"/>
    <col min="7" max="7" width="18.1640625" customWidth="1"/>
    <col min="9" max="9" width="10.6640625" customWidth="1"/>
    <col min="10" max="12" width="12.1640625" customWidth="1"/>
    <col min="13" max="13" width="18.1640625" customWidth="1"/>
    <col min="14" max="14" width="19" customWidth="1"/>
    <col min="15" max="15" width="19.1640625" customWidth="1"/>
    <col min="18" max="18" width="34.6640625" customWidth="1"/>
  </cols>
  <sheetData>
    <row r="1" spans="1:18" x14ac:dyDescent="0.2">
      <c r="A1" s="41" t="s">
        <v>28</v>
      </c>
      <c r="B1" s="41"/>
      <c r="C1" s="41"/>
      <c r="D1" s="41"/>
      <c r="E1" s="41"/>
      <c r="F1" s="41"/>
      <c r="G1" s="41"/>
      <c r="I1" s="41" t="s">
        <v>29</v>
      </c>
      <c r="J1" s="41"/>
      <c r="K1" s="41"/>
      <c r="L1" s="41"/>
      <c r="M1" s="41"/>
      <c r="N1" s="41"/>
      <c r="O1" s="41"/>
      <c r="Q1" s="41" t="s">
        <v>117</v>
      </c>
      <c r="R1" s="41"/>
    </row>
    <row r="2" spans="1:18" x14ac:dyDescent="0.2">
      <c r="A2" s="9" t="s">
        <v>92</v>
      </c>
      <c r="B2" s="9" t="s">
        <v>89</v>
      </c>
      <c r="C2" s="9" t="s">
        <v>90</v>
      </c>
      <c r="D2" s="9" t="s">
        <v>91</v>
      </c>
      <c r="E2" s="9" t="s">
        <v>83</v>
      </c>
      <c r="F2" s="9" t="s">
        <v>84</v>
      </c>
      <c r="G2" s="9" t="s">
        <v>85</v>
      </c>
      <c r="I2" s="9" t="s">
        <v>92</v>
      </c>
      <c r="J2" s="9" t="s">
        <v>89</v>
      </c>
      <c r="K2" s="9" t="s">
        <v>90</v>
      </c>
      <c r="L2" s="9" t="s">
        <v>93</v>
      </c>
      <c r="M2" s="9" t="s">
        <v>83</v>
      </c>
      <c r="N2" s="9" t="s">
        <v>84</v>
      </c>
      <c r="O2" s="9" t="s">
        <v>85</v>
      </c>
      <c r="Q2" s="13" t="s">
        <v>80</v>
      </c>
      <c r="R2" s="1" t="s">
        <v>119</v>
      </c>
    </row>
    <row r="3" spans="1:18" x14ac:dyDescent="0.2">
      <c r="A3" s="5">
        <v>44.4</v>
      </c>
      <c r="B3" s="14">
        <v>44.506883843023822</v>
      </c>
      <c r="C3" s="14">
        <v>43.835958385493413</v>
      </c>
      <c r="D3" s="14">
        <v>43.936676303800915</v>
      </c>
      <c r="E3" s="15">
        <f>(A3-B3)/A3</f>
        <v>-2.4072937617978163E-3</v>
      </c>
      <c r="F3" s="15">
        <f>(A3-C3)/A3</f>
        <v>1.2703639966364541E-2</v>
      </c>
      <c r="G3" s="15">
        <f>(A3-D3)/A3</f>
        <v>1.0435218382862235E-2</v>
      </c>
      <c r="I3" s="5">
        <v>44.3</v>
      </c>
      <c r="J3" s="14">
        <v>44.593056333363158</v>
      </c>
      <c r="K3" s="14">
        <v>43.967765594842703</v>
      </c>
      <c r="L3" s="14">
        <v>43.962229680209191</v>
      </c>
      <c r="M3" s="15">
        <f>(I3-J3)/I3</f>
        <v>-6.6152671188072481E-3</v>
      </c>
      <c r="N3" s="15">
        <f>(I3-K3)/I3</f>
        <v>7.4996479719479483E-3</v>
      </c>
      <c r="O3" s="15">
        <f>(I3-L3)/I3</f>
        <v>7.6246121848940456E-3</v>
      </c>
      <c r="Q3" s="13" t="s">
        <v>81</v>
      </c>
      <c r="R3" s="1" t="s">
        <v>120</v>
      </c>
    </row>
    <row r="4" spans="1:18" x14ac:dyDescent="0.2">
      <c r="A4" s="5">
        <v>48.9</v>
      </c>
      <c r="B4" s="14">
        <v>49.195082469553249</v>
      </c>
      <c r="C4" s="14">
        <v>48.647440938412849</v>
      </c>
      <c r="D4" s="14">
        <v>48.725113489276552</v>
      </c>
      <c r="E4" s="15">
        <f t="shared" ref="E4:E18" si="0">(A4-B4)/A4</f>
        <v>-6.0344063303323179E-3</v>
      </c>
      <c r="F4" s="15">
        <f t="shared" ref="F4:F18" si="1">(A4-C4)/A4</f>
        <v>5.1648069854222777E-3</v>
      </c>
      <c r="G4" s="15">
        <f t="shared" ref="G4:G18" si="2">(A4-D4)/A4</f>
        <v>3.5764112622381702E-3</v>
      </c>
      <c r="I4" s="5">
        <v>50.1</v>
      </c>
      <c r="J4" s="14">
        <v>50.745610494971089</v>
      </c>
      <c r="K4" s="14">
        <v>50.265612205496915</v>
      </c>
      <c r="L4" s="14">
        <v>50.295664233344411</v>
      </c>
      <c r="M4" s="15">
        <f t="shared" ref="M4:M18" si="3">(I4-J4)/I4</f>
        <v>-1.2886437025371011E-2</v>
      </c>
      <c r="N4" s="15">
        <f t="shared" ref="N4:N18" si="4">(I4-K4)/I4</f>
        <v>-3.3056328442497632E-3</v>
      </c>
      <c r="O4" s="15">
        <f t="shared" ref="O4:O18" si="5">(I4-L4)/I4</f>
        <v>-3.9054737194492897E-3</v>
      </c>
      <c r="Q4" s="13" t="s">
        <v>82</v>
      </c>
      <c r="R4" s="1" t="s">
        <v>121</v>
      </c>
    </row>
    <row r="5" spans="1:18" x14ac:dyDescent="0.2">
      <c r="A5" s="5">
        <v>50.7</v>
      </c>
      <c r="B5" s="14">
        <v>50.951289510062864</v>
      </c>
      <c r="C5" s="14">
        <v>50.450977405869985</v>
      </c>
      <c r="D5" s="14">
        <v>50.519845239718052</v>
      </c>
      <c r="E5" s="15">
        <f t="shared" si="0"/>
        <v>-4.9564005929558412E-3</v>
      </c>
      <c r="F5" s="15">
        <f t="shared" si="1"/>
        <v>4.9116882471403975E-3</v>
      </c>
      <c r="G5" s="15">
        <f t="shared" si="2"/>
        <v>3.553348329032566E-3</v>
      </c>
      <c r="I5" s="5">
        <v>55.1</v>
      </c>
      <c r="J5" s="14">
        <v>55.360584085014025</v>
      </c>
      <c r="K5" s="14">
        <v>54.993853162668017</v>
      </c>
      <c r="L5" s="14">
        <v>55.050526870480446</v>
      </c>
      <c r="M5" s="15">
        <f t="shared" si="3"/>
        <v>-4.7292937389115056E-3</v>
      </c>
      <c r="N5" s="15">
        <f t="shared" si="4"/>
        <v>1.9264398789833764E-3</v>
      </c>
      <c r="O5" s="15">
        <f t="shared" si="5"/>
        <v>8.9787893864891029E-4</v>
      </c>
      <c r="Q5" s="41" t="s">
        <v>118</v>
      </c>
      <c r="R5" s="41"/>
    </row>
    <row r="6" spans="1:18" x14ac:dyDescent="0.2">
      <c r="A6" s="5">
        <v>60.1</v>
      </c>
      <c r="B6" s="14">
        <v>60.592517514903058</v>
      </c>
      <c r="C6" s="14">
        <v>60.358787168862477</v>
      </c>
      <c r="D6" s="14">
        <v>60.378441741836546</v>
      </c>
      <c r="E6" s="15">
        <f t="shared" si="0"/>
        <v>-8.1949669701007737E-3</v>
      </c>
      <c r="F6" s="15">
        <f t="shared" si="1"/>
        <v>-4.3059429095253891E-3</v>
      </c>
      <c r="G6" s="15">
        <f t="shared" si="2"/>
        <v>-4.6329740738193844E-3</v>
      </c>
      <c r="I6" s="5">
        <v>62.1</v>
      </c>
      <c r="J6" s="14">
        <v>62.444888525713338</v>
      </c>
      <c r="K6" s="14">
        <v>62.256183067317188</v>
      </c>
      <c r="L6" s="14">
        <v>62.35311874825473</v>
      </c>
      <c r="M6" s="15">
        <f t="shared" si="3"/>
        <v>-5.5537604784756354E-3</v>
      </c>
      <c r="N6" s="15">
        <f t="shared" si="4"/>
        <v>-2.5150252386020432E-3</v>
      </c>
      <c r="O6" s="15">
        <f t="shared" si="5"/>
        <v>-4.0759862842951388E-3</v>
      </c>
      <c r="Q6" s="13" t="s">
        <v>80</v>
      </c>
      <c r="R6" s="1" t="s">
        <v>122</v>
      </c>
    </row>
    <row r="7" spans="1:18" x14ac:dyDescent="0.2">
      <c r="A7" s="5">
        <v>76.2</v>
      </c>
      <c r="B7" s="14">
        <v>77.221495124039279</v>
      </c>
      <c r="C7" s="14">
        <v>77.454093197585394</v>
      </c>
      <c r="D7" s="14">
        <v>77.389008267938266</v>
      </c>
      <c r="E7" s="15">
        <f t="shared" si="0"/>
        <v>-1.3405447822037748E-2</v>
      </c>
      <c r="F7" s="15">
        <f t="shared" si="1"/>
        <v>-1.6457915978810904E-2</v>
      </c>
      <c r="G7" s="15">
        <f t="shared" si="2"/>
        <v>-1.5603783043809225E-2</v>
      </c>
      <c r="I7" s="5">
        <v>82.4</v>
      </c>
      <c r="J7" s="14">
        <v>82.17804049734174</v>
      </c>
      <c r="K7" s="14">
        <v>82.490146601572064</v>
      </c>
      <c r="L7" s="14">
        <v>82.692110831658439</v>
      </c>
      <c r="M7" s="15">
        <f t="shared" si="3"/>
        <v>2.693683284687685E-3</v>
      </c>
      <c r="N7" s="15">
        <f t="shared" si="4"/>
        <v>-1.094012155000712E-3</v>
      </c>
      <c r="O7" s="15">
        <f t="shared" si="5"/>
        <v>-3.5450343647868174E-3</v>
      </c>
      <c r="Q7" s="13" t="s">
        <v>81</v>
      </c>
      <c r="R7" s="1" t="s">
        <v>123</v>
      </c>
    </row>
    <row r="8" spans="1:18" x14ac:dyDescent="0.2">
      <c r="A8" s="5">
        <v>91.3</v>
      </c>
      <c r="B8" s="14">
        <v>90.598536122387102</v>
      </c>
      <c r="C8" s="14">
        <v>91.195678825037049</v>
      </c>
      <c r="D8" s="14">
        <v>91.065473575970103</v>
      </c>
      <c r="E8" s="15">
        <f t="shared" si="0"/>
        <v>7.6830654722113336E-3</v>
      </c>
      <c r="F8" s="15">
        <f t="shared" si="1"/>
        <v>1.1426196600541928E-3</v>
      </c>
      <c r="G8" s="15">
        <f t="shared" si="2"/>
        <v>2.5687450605683961E-3</v>
      </c>
      <c r="I8" s="5">
        <v>103.5</v>
      </c>
      <c r="J8" s="14">
        <v>102.72450715119007</v>
      </c>
      <c r="K8" s="14">
        <v>103.53616434056022</v>
      </c>
      <c r="L8" s="14">
        <v>103.83235831311256</v>
      </c>
      <c r="M8" s="15">
        <f t="shared" si="3"/>
        <v>7.4926845295645644E-3</v>
      </c>
      <c r="N8" s="15">
        <f t="shared" si="4"/>
        <v>-3.4941391845622652E-4</v>
      </c>
      <c r="O8" s="15">
        <f t="shared" si="5"/>
        <v>-3.2111914310392702E-3</v>
      </c>
      <c r="Q8" s="13" t="s">
        <v>82</v>
      </c>
      <c r="R8" s="1" t="s">
        <v>124</v>
      </c>
    </row>
    <row r="9" spans="1:18" x14ac:dyDescent="0.2">
      <c r="A9" s="5">
        <v>109.8</v>
      </c>
      <c r="B9" s="14">
        <v>108.85162185059384</v>
      </c>
      <c r="C9" s="14">
        <v>109.91515165363533</v>
      </c>
      <c r="D9" s="14">
        <v>109.70316448247219</v>
      </c>
      <c r="E9" s="15">
        <f t="shared" si="0"/>
        <v>8.6373237650833618E-3</v>
      </c>
      <c r="F9" s="15">
        <f t="shared" si="1"/>
        <v>-1.0487400148937794E-3</v>
      </c>
      <c r="G9" s="15">
        <f t="shared" si="2"/>
        <v>8.8192638914214689E-4</v>
      </c>
      <c r="I9" s="5">
        <v>147.69999999999999</v>
      </c>
      <c r="J9" s="14">
        <v>146.87132552100084</v>
      </c>
      <c r="K9" s="14">
        <v>148.6006625317942</v>
      </c>
      <c r="L9" s="14">
        <v>149.03928607606866</v>
      </c>
      <c r="M9" s="15">
        <f t="shared" si="3"/>
        <v>5.6105245700687027E-3</v>
      </c>
      <c r="N9" s="15">
        <f t="shared" si="4"/>
        <v>-6.097918292445572E-3</v>
      </c>
      <c r="O9" s="15">
        <f t="shared" si="5"/>
        <v>-9.0676105353329345E-3</v>
      </c>
    </row>
    <row r="10" spans="1:18" x14ac:dyDescent="0.2">
      <c r="A10" s="5">
        <v>138.1</v>
      </c>
      <c r="B10" s="14">
        <v>138.6676837221479</v>
      </c>
      <c r="C10" s="14">
        <v>140.39232978750655</v>
      </c>
      <c r="D10" s="14">
        <v>140.0680967756399</v>
      </c>
      <c r="E10" s="15">
        <f t="shared" si="0"/>
        <v>-4.1106714130912728E-3</v>
      </c>
      <c r="F10" s="15">
        <f t="shared" si="1"/>
        <v>-1.659905711445735E-2</v>
      </c>
      <c r="G10" s="15">
        <f t="shared" si="2"/>
        <v>-1.4251243849673476E-2</v>
      </c>
      <c r="I10" s="5">
        <v>182.4</v>
      </c>
      <c r="J10" s="14">
        <v>181.79353261223409</v>
      </c>
      <c r="K10" s="14">
        <v>184.06670777081433</v>
      </c>
      <c r="L10" s="14">
        <v>184.55983426150678</v>
      </c>
      <c r="M10" s="15">
        <f t="shared" si="3"/>
        <v>3.3249308539798107E-3</v>
      </c>
      <c r="N10" s="15">
        <f t="shared" si="4"/>
        <v>-9.1376522522715279E-3</v>
      </c>
      <c r="O10" s="15">
        <f t="shared" si="5"/>
        <v>-1.1841196609138013E-2</v>
      </c>
    </row>
    <row r="11" spans="1:18" x14ac:dyDescent="0.2">
      <c r="A11" s="5">
        <v>182.6</v>
      </c>
      <c r="B11" s="14">
        <v>180.81436748043114</v>
      </c>
      <c r="C11" s="14">
        <v>183.23206221943181</v>
      </c>
      <c r="D11" s="14">
        <v>182.79813520809532</v>
      </c>
      <c r="E11" s="15">
        <f t="shared" si="0"/>
        <v>9.7789294609466042E-3</v>
      </c>
      <c r="F11" s="15">
        <f t="shared" si="1"/>
        <v>-3.4614579377426954E-3</v>
      </c>
      <c r="G11" s="15">
        <f t="shared" si="2"/>
        <v>-1.0850778099415275E-3</v>
      </c>
      <c r="I11" s="5">
        <v>232.2</v>
      </c>
      <c r="J11" s="14">
        <v>227.09518128113348</v>
      </c>
      <c r="K11" s="14">
        <v>229.82358527886461</v>
      </c>
      <c r="L11" s="14">
        <v>230.31549709381076</v>
      </c>
      <c r="M11" s="15">
        <f t="shared" si="3"/>
        <v>2.1984576739304526E-2</v>
      </c>
      <c r="N11" s="15">
        <f t="shared" si="4"/>
        <v>1.0234344190936159E-2</v>
      </c>
      <c r="O11" s="15">
        <f t="shared" si="5"/>
        <v>8.1158609224342218E-3</v>
      </c>
    </row>
    <row r="12" spans="1:18" x14ac:dyDescent="0.2">
      <c r="A12" s="5">
        <v>222.8</v>
      </c>
      <c r="B12" s="14">
        <v>218.34644743612247</v>
      </c>
      <c r="C12" s="14">
        <v>221.13674651739481</v>
      </c>
      <c r="D12" s="14">
        <v>220.65334455266859</v>
      </c>
      <c r="E12" s="15">
        <f t="shared" si="0"/>
        <v>1.9989015098193612E-2</v>
      </c>
      <c r="F12" s="15">
        <f t="shared" si="1"/>
        <v>7.4652310709389562E-3</v>
      </c>
      <c r="G12" s="15">
        <f t="shared" si="2"/>
        <v>9.6348987761733663E-3</v>
      </c>
      <c r="I12" s="5">
        <v>292.89999999999998</v>
      </c>
      <c r="J12" s="14">
        <v>290.11447854349262</v>
      </c>
      <c r="K12" s="14">
        <v>293.01959189935621</v>
      </c>
      <c r="L12" s="14">
        <v>293.38688122611046</v>
      </c>
      <c r="M12" s="15">
        <f t="shared" si="3"/>
        <v>9.510144952227224E-3</v>
      </c>
      <c r="N12" s="15">
        <f t="shared" si="4"/>
        <v>-4.0830283153375649E-4</v>
      </c>
      <c r="O12" s="15">
        <f t="shared" si="5"/>
        <v>-1.6622779996943789E-3</v>
      </c>
    </row>
    <row r="13" spans="1:18" x14ac:dyDescent="0.2">
      <c r="A13" s="5">
        <v>284.89999999999998</v>
      </c>
      <c r="B13" s="14">
        <v>280.67711073243811</v>
      </c>
      <c r="C13" s="14">
        <v>283.59382507676753</v>
      </c>
      <c r="D13" s="14">
        <v>283.12312387958048</v>
      </c>
      <c r="E13" s="15">
        <f t="shared" si="0"/>
        <v>1.482235615149831E-2</v>
      </c>
      <c r="F13" s="15">
        <f t="shared" si="1"/>
        <v>4.5846785652244558E-3</v>
      </c>
      <c r="G13" s="15">
        <f t="shared" si="2"/>
        <v>6.2368414195138706E-3</v>
      </c>
      <c r="I13" s="5">
        <v>369</v>
      </c>
      <c r="J13" s="14">
        <v>366.2136196597732</v>
      </c>
      <c r="K13" s="14">
        <v>368.67096565224239</v>
      </c>
      <c r="L13" s="14">
        <v>368.71900915013583</v>
      </c>
      <c r="M13" s="15">
        <f t="shared" si="3"/>
        <v>7.5511662336769621E-3</v>
      </c>
      <c r="N13" s="15">
        <f t="shared" si="4"/>
        <v>8.9169199934312465E-4</v>
      </c>
      <c r="O13" s="15">
        <f t="shared" si="5"/>
        <v>7.6149281806007466E-4</v>
      </c>
    </row>
    <row r="14" spans="1:18" x14ac:dyDescent="0.2">
      <c r="A14" s="5">
        <v>373.1</v>
      </c>
      <c r="B14" s="14">
        <v>371.43864889872106</v>
      </c>
      <c r="C14" s="14">
        <v>373.52224398044984</v>
      </c>
      <c r="D14" s="14">
        <v>373.26193819053594</v>
      </c>
      <c r="E14" s="15">
        <f t="shared" si="0"/>
        <v>4.4528306118439215E-3</v>
      </c>
      <c r="F14" s="15">
        <f t="shared" si="1"/>
        <v>-1.1317179856602003E-3</v>
      </c>
      <c r="G14" s="15">
        <f t="shared" si="2"/>
        <v>-4.3403428179019163E-4</v>
      </c>
      <c r="I14" s="5">
        <v>439.1</v>
      </c>
      <c r="J14" s="14">
        <v>435.15466352384306</v>
      </c>
      <c r="K14" s="14">
        <v>436.63378629817811</v>
      </c>
      <c r="L14" s="14">
        <v>436.25250992310714</v>
      </c>
      <c r="M14" s="15">
        <f t="shared" si="3"/>
        <v>8.9850523255681335E-3</v>
      </c>
      <c r="N14" s="15">
        <f t="shared" si="4"/>
        <v>5.6165194757957504E-3</v>
      </c>
      <c r="O14" s="15">
        <f t="shared" si="5"/>
        <v>6.4848327872759773E-3</v>
      </c>
    </row>
    <row r="15" spans="1:18" x14ac:dyDescent="0.2">
      <c r="A15" s="5">
        <v>461.6</v>
      </c>
      <c r="B15" s="14">
        <v>459.44603468942523</v>
      </c>
      <c r="C15" s="14">
        <v>459.68639720618302</v>
      </c>
      <c r="D15" s="14">
        <v>459.82151353687289</v>
      </c>
      <c r="E15" s="15">
        <f t="shared" si="0"/>
        <v>4.6663026658899263E-3</v>
      </c>
      <c r="F15" s="15">
        <f t="shared" si="1"/>
        <v>4.1455866417179502E-3</v>
      </c>
      <c r="G15" s="15">
        <f t="shared" si="2"/>
        <v>3.8528736202927587E-3</v>
      </c>
      <c r="I15" s="5">
        <v>551.4</v>
      </c>
      <c r="J15" s="14">
        <v>552.43002260181504</v>
      </c>
      <c r="K15" s="14">
        <v>551.12067248935796</v>
      </c>
      <c r="L15" s="14">
        <v>549.74429356725147</v>
      </c>
      <c r="M15" s="15">
        <f t="shared" si="3"/>
        <v>-1.8680134236762106E-3</v>
      </c>
      <c r="N15" s="15">
        <f t="shared" si="4"/>
        <v>5.0657872804138492E-4</v>
      </c>
      <c r="O15" s="15">
        <f t="shared" si="5"/>
        <v>3.0027320144151294E-3</v>
      </c>
    </row>
    <row r="16" spans="1:18" x14ac:dyDescent="0.2">
      <c r="A16" s="5">
        <v>553.70000000000005</v>
      </c>
      <c r="B16" s="14">
        <v>550.49544901493914</v>
      </c>
      <c r="C16" s="14">
        <v>547.87203765403876</v>
      </c>
      <c r="D16" s="14">
        <v>548.58994576040709</v>
      </c>
      <c r="E16" s="15">
        <f t="shared" si="0"/>
        <v>5.7875220969133192E-3</v>
      </c>
      <c r="F16" s="15">
        <f t="shared" si="1"/>
        <v>1.0525487350480913E-2</v>
      </c>
      <c r="G16" s="15">
        <f t="shared" si="2"/>
        <v>9.2289222315205966E-3</v>
      </c>
      <c r="I16" s="5">
        <v>671.2</v>
      </c>
      <c r="J16" s="14">
        <v>678.78286256854744</v>
      </c>
      <c r="K16" s="14">
        <v>673.05801237021774</v>
      </c>
      <c r="L16" s="14">
        <v>670.28852178723378</v>
      </c>
      <c r="M16" s="15">
        <f t="shared" si="3"/>
        <v>-1.129747104968325E-2</v>
      </c>
      <c r="N16" s="15">
        <f t="shared" si="4"/>
        <v>-2.7681948304792807E-3</v>
      </c>
      <c r="O16" s="15">
        <f t="shared" si="5"/>
        <v>1.3579830345147039E-3</v>
      </c>
    </row>
    <row r="17" spans="1:15" x14ac:dyDescent="0.2">
      <c r="A17" s="5">
        <v>675.3</v>
      </c>
      <c r="B17" s="14">
        <v>679.51368315018988</v>
      </c>
      <c r="C17" s="14">
        <v>671.35146208938909</v>
      </c>
      <c r="D17" s="14">
        <v>673.15950707274226</v>
      </c>
      <c r="E17" s="15">
        <f t="shared" si="0"/>
        <v>-6.2397203467939033E-3</v>
      </c>
      <c r="F17" s="15">
        <f t="shared" si="1"/>
        <v>5.847087088125081E-3</v>
      </c>
      <c r="G17" s="15">
        <f t="shared" si="2"/>
        <v>3.1696918810272421E-3</v>
      </c>
      <c r="I17" s="5">
        <v>736.8</v>
      </c>
      <c r="J17" s="14">
        <v>744.59723995588138</v>
      </c>
      <c r="K17" s="14">
        <v>736.05072269541392</v>
      </c>
      <c r="L17" s="14">
        <v>732.44026548160969</v>
      </c>
      <c r="M17" s="15">
        <f t="shared" si="3"/>
        <v>-1.0582573230023647E-2</v>
      </c>
      <c r="N17" s="15">
        <f t="shared" si="4"/>
        <v>1.0169344524783258E-3</v>
      </c>
      <c r="O17" s="15">
        <f t="shared" si="5"/>
        <v>5.9171206818543287E-3</v>
      </c>
    </row>
    <row r="18" spans="1:15" x14ac:dyDescent="0.2">
      <c r="A18" s="5">
        <v>750.3</v>
      </c>
      <c r="B18" s="14">
        <v>774.01520829410435</v>
      </c>
      <c r="C18" s="14">
        <v>760.80792490468843</v>
      </c>
      <c r="D18" s="14">
        <v>763.5882031983532</v>
      </c>
      <c r="E18" s="15">
        <f t="shared" si="0"/>
        <v>-3.1607634671603893E-2</v>
      </c>
      <c r="F18" s="15">
        <f t="shared" si="1"/>
        <v>-1.4004964553763136E-2</v>
      </c>
      <c r="G18" s="15">
        <f t="shared" si="2"/>
        <v>-1.7710520056448412E-2</v>
      </c>
      <c r="I18" s="5">
        <v>746.4</v>
      </c>
      <c r="J18" s="14">
        <v>757.1384456330012</v>
      </c>
      <c r="K18" s="14">
        <v>748.01624590267693</v>
      </c>
      <c r="L18" s="14">
        <v>744.23727615152825</v>
      </c>
      <c r="M18" s="15">
        <f t="shared" si="3"/>
        <v>-1.4386985038854796E-2</v>
      </c>
      <c r="N18" s="15">
        <f t="shared" si="4"/>
        <v>-2.1653884012284982E-3</v>
      </c>
      <c r="O18" s="15">
        <f t="shared" si="5"/>
        <v>2.8975399899138911E-3</v>
      </c>
    </row>
  </sheetData>
  <mergeCells count="4">
    <mergeCell ref="A1:G1"/>
    <mergeCell ref="I1:O1"/>
    <mergeCell ref="Q5:R5"/>
    <mergeCell ref="Q1:R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1-5</vt:lpstr>
      <vt:lpstr>5</vt:lpstr>
      <vt:lpstr>6A</vt:lpstr>
      <vt:lpstr>6B</vt:lpstr>
      <vt:lpstr>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2020-02-12T18:04:24Z</dcterms:created>
  <dcterms:modified xsi:type="dcterms:W3CDTF">2022-09-28T15:11:00Z</dcterms:modified>
</cp:coreProperties>
</file>