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"/>
    </mc:Choice>
  </mc:AlternateContent>
  <xr:revisionPtr revIDLastSave="0" documentId="13_ncr:1_{5EC34504-174B-E447-B438-015C3D1378EF}" xr6:coauthVersionLast="45" xr6:coauthVersionMax="45" xr10:uidLastSave="{00000000-0000-0000-0000-000000000000}"/>
  <bookViews>
    <workbookView xWindow="0" yWindow="460" windowWidth="28800" windowHeight="16520" activeTab="1" xr2:uid="{6A6513C7-1C1F-E244-B9AF-3564EBD418B6}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6" l="1"/>
  <c r="H18" i="5"/>
  <c r="I18" i="5"/>
  <c r="G18" i="5"/>
  <c r="F18" i="5"/>
  <c r="E9" i="4" l="1"/>
  <c r="B6" i="4"/>
  <c r="U15" i="1"/>
  <c r="I15" i="2"/>
  <c r="E10" i="4" l="1"/>
  <c r="E11" i="4"/>
  <c r="C36" i="1"/>
  <c r="D13" i="6" l="1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F14" i="5"/>
  <c r="D2" i="2"/>
  <c r="E3" i="2"/>
  <c r="E4" i="2"/>
  <c r="E5" i="2"/>
  <c r="E6" i="2"/>
  <c r="E7" i="2"/>
  <c r="E8" i="2"/>
  <c r="E9" i="2"/>
  <c r="E10" i="2"/>
  <c r="E11" i="2"/>
  <c r="E12" i="2"/>
  <c r="E13" i="2"/>
  <c r="E2" i="2"/>
  <c r="C37" i="1"/>
  <c r="C38" i="1"/>
  <c r="C39" i="1"/>
  <c r="C40" i="1"/>
  <c r="C41" i="1"/>
  <c r="C42" i="1"/>
  <c r="C43" i="1"/>
  <c r="C44" i="1"/>
  <c r="C45" i="1"/>
  <c r="C46" i="1"/>
  <c r="C47" i="1"/>
  <c r="C48" i="1"/>
  <c r="F21" i="1"/>
  <c r="I4" i="1"/>
  <c r="I3" i="1"/>
  <c r="H2" i="6" l="1"/>
  <c r="G2" i="6"/>
  <c r="H10" i="6"/>
  <c r="G10" i="6"/>
  <c r="E3" i="6"/>
  <c r="F3" i="6" s="1"/>
  <c r="H3" i="6"/>
  <c r="G3" i="6"/>
  <c r="H7" i="6"/>
  <c r="G7" i="6"/>
  <c r="E11" i="6"/>
  <c r="F11" i="6" s="1"/>
  <c r="H11" i="6"/>
  <c r="G11" i="6"/>
  <c r="G8" i="6"/>
  <c r="H8" i="6"/>
  <c r="E6" i="6"/>
  <c r="F6" i="6" s="1"/>
  <c r="H6" i="6"/>
  <c r="G6" i="6"/>
  <c r="E12" i="6"/>
  <c r="F12" i="6" s="1"/>
  <c r="H12" i="6"/>
  <c r="G12" i="6"/>
  <c r="E5" i="6"/>
  <c r="F5" i="6" s="1"/>
  <c r="H5" i="6"/>
  <c r="G5" i="6"/>
  <c r="H9" i="6"/>
  <c r="G9" i="6"/>
  <c r="E13" i="6"/>
  <c r="F13" i="6" s="1"/>
  <c r="G13" i="6"/>
  <c r="H13" i="6"/>
  <c r="E4" i="6"/>
  <c r="F4" i="6" s="1"/>
  <c r="H4" i="6"/>
  <c r="G4" i="6"/>
  <c r="E2" i="6"/>
  <c r="F2" i="6" s="1"/>
  <c r="F16" i="6" s="1"/>
  <c r="E10" i="6"/>
  <c r="F10" i="6" s="1"/>
  <c r="E9" i="6"/>
  <c r="F9" i="6" s="1"/>
  <c r="E8" i="6"/>
  <c r="F8" i="6" s="1"/>
  <c r="E7" i="6"/>
  <c r="F7" i="6" s="1"/>
  <c r="C15" i="5"/>
  <c r="G14" i="5" s="1"/>
  <c r="H14" i="5" s="1"/>
  <c r="D14" i="5"/>
  <c r="F13" i="5" s="1"/>
  <c r="C14" i="5"/>
  <c r="G13" i="5" s="1"/>
  <c r="H13" i="5" s="1"/>
  <c r="D13" i="5"/>
  <c r="F12" i="5" s="1"/>
  <c r="C13" i="5"/>
  <c r="G12" i="5" s="1"/>
  <c r="H12" i="5" s="1"/>
  <c r="D12" i="5"/>
  <c r="F11" i="5" s="1"/>
  <c r="C12" i="5"/>
  <c r="G11" i="5" s="1"/>
  <c r="H11" i="5" s="1"/>
  <c r="D11" i="5"/>
  <c r="F10" i="5" s="1"/>
  <c r="C11" i="5"/>
  <c r="G10" i="5" s="1"/>
  <c r="H10" i="5" s="1"/>
  <c r="D10" i="5"/>
  <c r="F9" i="5" s="1"/>
  <c r="C10" i="5"/>
  <c r="G9" i="5" s="1"/>
  <c r="H9" i="5" s="1"/>
  <c r="D9" i="5"/>
  <c r="F8" i="5" s="1"/>
  <c r="C9" i="5"/>
  <c r="G8" i="5" s="1"/>
  <c r="H8" i="5" s="1"/>
  <c r="D8" i="5"/>
  <c r="C8" i="5"/>
  <c r="D7" i="5"/>
  <c r="F7" i="5" s="1"/>
  <c r="C7" i="5"/>
  <c r="G7" i="5" s="1"/>
  <c r="H7" i="5" s="1"/>
  <c r="D6" i="5"/>
  <c r="F6" i="5" s="1"/>
  <c r="C6" i="5"/>
  <c r="G6" i="5" s="1"/>
  <c r="H6" i="5" s="1"/>
  <c r="D5" i="5"/>
  <c r="F5" i="5" s="1"/>
  <c r="C5" i="5"/>
  <c r="G5" i="5" s="1"/>
  <c r="H5" i="5" s="1"/>
  <c r="D4" i="5"/>
  <c r="F4" i="5" s="1"/>
  <c r="C4" i="5"/>
  <c r="G4" i="5" s="1"/>
  <c r="H4" i="5" s="1"/>
  <c r="D3" i="5"/>
  <c r="F3" i="5" s="1"/>
  <c r="C3" i="5"/>
  <c r="G3" i="5" s="1"/>
  <c r="H3" i="5" s="1"/>
  <c r="B5" i="4"/>
  <c r="C3" i="4"/>
  <c r="H16" i="6" l="1"/>
  <c r="G16" i="6"/>
  <c r="E14" i="4"/>
  <c r="E15" i="4"/>
  <c r="E16" i="4"/>
  <c r="E17" i="4"/>
  <c r="E18" i="4"/>
  <c r="E19" i="4"/>
  <c r="E12" i="4"/>
  <c r="E20" i="4"/>
  <c r="E13" i="4"/>
  <c r="E21" i="4"/>
  <c r="D14" i="2"/>
  <c r="D3" i="2"/>
  <c r="D4" i="2"/>
  <c r="D5" i="2"/>
  <c r="D6" i="2"/>
  <c r="D7" i="2"/>
  <c r="D8" i="2"/>
  <c r="D9" i="2"/>
  <c r="D10" i="2"/>
  <c r="D11" i="2"/>
  <c r="D12" i="2"/>
  <c r="D13" i="2"/>
  <c r="G21" i="1" l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H32" i="1" l="1"/>
  <c r="J32" i="1" s="1"/>
  <c r="K32" i="1" s="1"/>
  <c r="H25" i="1"/>
  <c r="J25" i="1" s="1"/>
  <c r="K25" i="1" s="1"/>
  <c r="H28" i="1"/>
  <c r="J28" i="1" s="1"/>
  <c r="K28" i="1"/>
  <c r="H27" i="1"/>
  <c r="J27" i="1" s="1"/>
  <c r="K27" i="1" s="1"/>
  <c r="H31" i="1"/>
  <c r="J31" i="1" s="1"/>
  <c r="K31" i="1" s="1"/>
  <c r="H26" i="1"/>
  <c r="J26" i="1" s="1"/>
  <c r="K26" i="1" s="1"/>
  <c r="H24" i="1"/>
  <c r="J24" i="1" s="1"/>
  <c r="K24" i="1" s="1"/>
  <c r="H23" i="1"/>
  <c r="J23" i="1" s="1"/>
  <c r="K23" i="1" s="1"/>
  <c r="H30" i="1"/>
  <c r="J30" i="1" s="1"/>
  <c r="K30" i="1" s="1"/>
  <c r="H22" i="1"/>
  <c r="J22" i="1" s="1"/>
  <c r="K22" i="1" s="1"/>
  <c r="H29" i="1"/>
  <c r="J29" i="1" s="1"/>
  <c r="K29" i="1"/>
  <c r="H21" i="1"/>
  <c r="J21" i="1" s="1"/>
  <c r="K21" i="1" s="1"/>
  <c r="L10" i="1"/>
  <c r="L8" i="1"/>
  <c r="L6" i="1"/>
  <c r="L4" i="1"/>
  <c r="L5" i="1"/>
  <c r="L12" i="1"/>
  <c r="L13" i="1"/>
  <c r="L14" i="1"/>
  <c r="L15" i="1"/>
  <c r="L16" i="1"/>
  <c r="L17" i="1"/>
  <c r="L3" i="1"/>
  <c r="I5" i="1"/>
  <c r="I6" i="1"/>
  <c r="I8" i="1"/>
  <c r="I10" i="1"/>
  <c r="I12" i="1"/>
  <c r="I13" i="1"/>
  <c r="I14" i="1"/>
  <c r="I15" i="1"/>
  <c r="I16" i="1"/>
  <c r="I17" i="1"/>
  <c r="E4" i="1"/>
  <c r="E5" i="1" s="1"/>
  <c r="E6" i="1" s="1"/>
  <c r="E8" i="1" s="1"/>
  <c r="E10" i="1" s="1"/>
  <c r="E12" i="1" s="1"/>
  <c r="E13" i="1" s="1"/>
  <c r="E14" i="1" s="1"/>
  <c r="E15" i="1" s="1"/>
  <c r="E16" i="1" s="1"/>
  <c r="E17" i="1" s="1"/>
  <c r="C3" i="1"/>
  <c r="B5" i="1"/>
  <c r="D21" i="1" s="1"/>
  <c r="D26" i="1" l="1"/>
  <c r="D27" i="1"/>
  <c r="D31" i="1"/>
  <c r="D24" i="1"/>
  <c r="D28" i="1"/>
  <c r="D29" i="1"/>
  <c r="D22" i="1"/>
  <c r="D23" i="1"/>
  <c r="D30" i="1"/>
  <c r="D32" i="1"/>
  <c r="D25" i="1"/>
</calcChain>
</file>

<file path=xl/sharedStrings.xml><?xml version="1.0" encoding="utf-8"?>
<sst xmlns="http://schemas.openxmlformats.org/spreadsheetml/2006/main" count="136" uniqueCount="87">
  <si>
    <t>Freezing point of water (DI water)</t>
  </si>
  <si>
    <t>Trial</t>
  </si>
  <si>
    <t>Temperature (°C)</t>
  </si>
  <si>
    <t>Average</t>
  </si>
  <si>
    <t>Agreement (°C)</t>
  </si>
  <si>
    <t>Freezing Point of Solutions</t>
  </si>
  <si>
    <t>Set #</t>
  </si>
  <si>
    <t>Temperature of Solution (°C)</t>
  </si>
  <si>
    <t>Initial Buret Reading (mL)</t>
  </si>
  <si>
    <t>Final Buret Reading (mL)</t>
  </si>
  <si>
    <t>Volume Titrated (mL)</t>
  </si>
  <si>
    <t>Concentration of NaOH (N)</t>
  </si>
  <si>
    <t>0.1000 ± 0.0005</t>
  </si>
  <si>
    <t>0.1M technically</t>
  </si>
  <si>
    <t>Mass of HCl (g)</t>
  </si>
  <si>
    <t>Mol of HCl (mol)</t>
  </si>
  <si>
    <t>Mol of NaOH (mol)</t>
  </si>
  <si>
    <t>Molar mass of HCl (g/mol)</t>
  </si>
  <si>
    <t>Mass of solution (g)</t>
  </si>
  <si>
    <t>Mass of solvent (g)</t>
  </si>
  <si>
    <t>Molality (m)</t>
  </si>
  <si>
    <t>Pure</t>
  </si>
  <si>
    <t>-</t>
  </si>
  <si>
    <t xml:space="preserve">Osmotic coefficient </t>
  </si>
  <si>
    <t>New</t>
  </si>
  <si>
    <t>Uncertainty for Average</t>
  </si>
  <si>
    <t>Uncertainty of Temperature of Solution</t>
  </si>
  <si>
    <t>Uncertainty for delta Tf</t>
  </si>
  <si>
    <t>Error Bars</t>
  </si>
  <si>
    <t>Multiple Linear Regression</t>
  </si>
  <si>
    <t>1-g</t>
  </si>
  <si>
    <t>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</si>
  <si>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</si>
  <si>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</si>
  <si>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</si>
  <si>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</si>
  <si>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</si>
  <si>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</si>
  <si>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</si>
  <si>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</si>
  <si>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</si>
  <si>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</si>
  <si>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</si>
  <si>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</si>
  <si>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</si>
  <si>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</si>
  <si>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</si>
  <si>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</si>
  <si>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</si>
  <si>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</si>
  <si>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</si>
  <si>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</si>
  <si>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</si>
  <si>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</si>
  <si>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</si>
  <si>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</si>
  <si>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</t>
    </r>
    <r>
      <rPr>
        <b/>
        <vertAlign val="subscript"/>
        <sz val="12"/>
        <color theme="1"/>
        <rFont val="Calibri"/>
        <family val="2"/>
        <scheme val="minor"/>
      </rPr>
      <t>f</t>
    </r>
    <r>
      <rPr>
        <b/>
        <sz val="12"/>
        <color theme="1"/>
        <rFont val="Calibri"/>
        <family val="2"/>
        <scheme val="minor"/>
      </rPr>
      <t xml:space="preserve"> (°C)</t>
    </r>
  </si>
  <si>
    <r>
      <t>Square Root of Molality (m</t>
    </r>
    <r>
      <rPr>
        <b/>
        <vertAlign val="superscript"/>
        <sz val="12"/>
        <color theme="1"/>
        <rFont val="Calibri"/>
        <family val="2"/>
        <scheme val="minor"/>
      </rPr>
      <t>1/2</t>
    </r>
    <r>
      <rPr>
        <b/>
        <sz val="12"/>
        <color theme="1"/>
        <rFont val="Calibri"/>
        <family val="2"/>
        <scheme val="minor"/>
      </rPr>
      <t>)</t>
    </r>
  </si>
  <si>
    <t xml:space="preserve">Osmotic Coefficient </t>
  </si>
  <si>
    <t>Freezing Point of Water (DI water)</t>
  </si>
  <si>
    <t>Weight of Empty Jar with Cap (g)</t>
  </si>
  <si>
    <t>Weight of Solution (g)</t>
  </si>
  <si>
    <t>Weight of Jar, Cap, and Solution (g)</t>
  </si>
  <si>
    <r>
      <rPr>
        <b/>
        <sz val="12"/>
        <color theme="1"/>
        <rFont val="Calibri"/>
        <family val="2"/>
      </rPr>
      <t>ΔT</t>
    </r>
    <r>
      <rPr>
        <b/>
        <vertAlign val="subscript"/>
        <sz val="12"/>
        <color theme="1"/>
        <rFont val="Calibri"/>
        <family val="2"/>
      </rPr>
      <t>f</t>
    </r>
    <r>
      <rPr>
        <b/>
        <sz val="12"/>
        <color theme="1"/>
        <rFont val="Calibri"/>
        <family val="2"/>
        <scheme val="minor"/>
      </rPr>
      <t xml:space="preserve"> {exp} (°C)</t>
    </r>
  </si>
  <si>
    <r>
      <rPr>
        <b/>
        <sz val="12"/>
        <color theme="1"/>
        <rFont val="Calibri"/>
        <family val="2"/>
      </rPr>
      <t>ΔT</t>
    </r>
    <r>
      <rPr>
        <b/>
        <vertAlign val="subscript"/>
        <sz val="12"/>
        <color theme="1"/>
        <rFont val="Calibri"/>
        <family val="2"/>
      </rPr>
      <t>f</t>
    </r>
    <r>
      <rPr>
        <b/>
        <sz val="12"/>
        <color theme="1"/>
        <rFont val="Calibri"/>
        <family val="2"/>
        <scheme val="minor"/>
      </rPr>
      <t xml:space="preserve"> {calculated} (°C)</t>
    </r>
  </si>
  <si>
    <r>
      <rPr>
        <b/>
        <sz val="12"/>
        <color theme="1"/>
        <rFont val="Calibri"/>
        <family val="2"/>
      </rPr>
      <t>ΔT</t>
    </r>
    <r>
      <rPr>
        <b/>
        <vertAlign val="subscript"/>
        <sz val="12"/>
        <color theme="1"/>
        <rFont val="Calibri"/>
        <family val="2"/>
      </rPr>
      <t>f</t>
    </r>
    <r>
      <rPr>
        <b/>
        <vertAlign val="subscript"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(°C)</t>
    </r>
  </si>
  <si>
    <r>
      <rPr>
        <b/>
        <sz val="12"/>
        <color theme="1"/>
        <rFont val="Calibri"/>
        <family val="2"/>
      </rPr>
      <t>ΔT</t>
    </r>
    <r>
      <rPr>
        <b/>
        <vertAlign val="subscript"/>
        <sz val="12"/>
        <color theme="1"/>
        <rFont val="Calibri"/>
        <family val="2"/>
      </rPr>
      <t>f</t>
    </r>
    <r>
      <rPr>
        <b/>
        <sz val="12"/>
        <color theme="1"/>
        <rFont val="Calibri"/>
        <family val="2"/>
        <scheme val="minor"/>
      </rPr>
      <t>(°C)</t>
    </r>
  </si>
  <si>
    <r>
      <t>m</t>
    </r>
    <r>
      <rPr>
        <b/>
        <vertAlign val="superscript"/>
        <sz val="12"/>
        <color theme="1"/>
        <rFont val="Calibri"/>
        <family val="2"/>
        <scheme val="minor"/>
      </rPr>
      <t>1/2</t>
    </r>
  </si>
  <si>
    <t>m1/2</t>
  </si>
  <si>
    <t>DHLL</t>
  </si>
  <si>
    <t>Davies</t>
  </si>
  <si>
    <r>
      <t>ln(</t>
    </r>
    <r>
      <rPr>
        <b/>
        <sz val="12"/>
        <color theme="1"/>
        <rFont val="Calibri"/>
        <family val="2"/>
      </rPr>
      <t>γ)</t>
    </r>
  </si>
  <si>
    <r>
      <t>log(</t>
    </r>
    <r>
      <rPr>
        <b/>
        <sz val="12"/>
        <color theme="1"/>
        <rFont val="Calibri"/>
        <family val="2"/>
      </rPr>
      <t>γ)</t>
    </r>
  </si>
  <si>
    <t>qtest &gt; qtable, remove the value</t>
  </si>
  <si>
    <t>95%ci qtable: &lt; 0.466</t>
  </si>
  <si>
    <t>n</t>
  </si>
  <si>
    <t>qtest</t>
  </si>
  <si>
    <t>Square root of Molality (m1/2)</t>
  </si>
  <si>
    <t>delta Tf (°C)</t>
  </si>
  <si>
    <t>qtest &lt; qtable, (still way less even if interpolate), keep the value</t>
  </si>
  <si>
    <t>suspected outlier</t>
  </si>
  <si>
    <t>outlier!</t>
  </si>
  <si>
    <t>a</t>
  </si>
  <si>
    <t>b</t>
  </si>
  <si>
    <t>ua</t>
  </si>
  <si>
    <t>ub</t>
  </si>
  <si>
    <t>qcalc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</si>
</sst>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0" fillId="0" borderId="0" xfId="0" applyBorder="1"/>
    <xf numFmtId="165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66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16" xfId="0" applyFill="1" applyBorder="1" applyAlignment="1"/>
    <xf numFmtId="0" fontId="2" fillId="0" borderId="17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Continuous"/>
    </xf>
    <xf numFmtId="0" fontId="0" fillId="0" borderId="15" xfId="0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0" xfId="0"/>
    <xf numFmtId="0" fontId="1" fillId="0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6" fontId="0" fillId="0" borderId="6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Fill="1" applyBorder="1" applyAlignment="1"/>
    <xf numFmtId="0" fontId="1" fillId="2" borderId="14" xfId="0" applyFont="1" applyFill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15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1" fillId="3" borderId="0" xfId="0" applyFont="1" applyFill="1"/>
    <xf numFmtId="0" fontId="1" fillId="2" borderId="2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Sheet1!$K$21:$K$33</c:f>
              <c:numCache>
                <c:formatCode>0.0000</c:formatCode>
                <c:ptCount val="13"/>
                <c:pt idx="0">
                  <c:v>4.3001122902656057E-2</c:v>
                </c:pt>
                <c:pt idx="1">
                  <c:v>8.3435380249043747E-2</c:v>
                </c:pt>
                <c:pt idx="2">
                  <c:v>0.13044813812312386</c:v>
                </c:pt>
                <c:pt idx="3">
                  <c:v>0.16722477535707606</c:v>
                </c:pt>
                <c:pt idx="4">
                  <c:v>0.21057366161486413</c:v>
                </c:pt>
                <c:pt idx="5">
                  <c:v>0.36478594181861002</c:v>
                </c:pt>
                <c:pt idx="6">
                  <c:v>0.26246702894256863</c:v>
                </c:pt>
                <c:pt idx="7">
                  <c:v>0.28640435807553694</c:v>
                </c:pt>
                <c:pt idx="8">
                  <c:v>0.31408650035282437</c:v>
                </c:pt>
                <c:pt idx="9">
                  <c:v>0.33390817965431163</c:v>
                </c:pt>
                <c:pt idx="10">
                  <c:v>0.35211136329649084</c:v>
                </c:pt>
                <c:pt idx="11">
                  <c:v>0.39520052865145244</c:v>
                </c:pt>
                <c:pt idx="12">
                  <c:v>0</c:v>
                </c:pt>
              </c:numCache>
            </c:numRef>
          </c:xVal>
          <c:yVal>
            <c:numRef>
              <c:f>Sheet1!$D$21:$D$33</c:f>
              <c:numCache>
                <c:formatCode>0.000</c:formatCode>
                <c:ptCount val="13"/>
                <c:pt idx="0">
                  <c:v>0.16549999999999976</c:v>
                </c:pt>
                <c:pt idx="1">
                  <c:v>0.32549999999999901</c:v>
                </c:pt>
                <c:pt idx="2">
                  <c:v>0.47149999999999892</c:v>
                </c:pt>
                <c:pt idx="3">
                  <c:v>0.60549999999999926</c:v>
                </c:pt>
                <c:pt idx="4">
                  <c:v>0.75549999999999917</c:v>
                </c:pt>
                <c:pt idx="5">
                  <c:v>0.90149999999999952</c:v>
                </c:pt>
                <c:pt idx="6">
                  <c:v>0.92049999999999921</c:v>
                </c:pt>
                <c:pt idx="7">
                  <c:v>1.0454999999999992</c:v>
                </c:pt>
                <c:pt idx="8">
                  <c:v>1.1504999999999992</c:v>
                </c:pt>
                <c:pt idx="9">
                  <c:v>1.2804999999999995</c:v>
                </c:pt>
                <c:pt idx="10">
                  <c:v>1.3604999999999992</c:v>
                </c:pt>
                <c:pt idx="11">
                  <c:v>1.4054999999999995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5-4641-94BC-1F812FB3A438}"/>
            </c:ext>
          </c:extLst>
        </c:ser>
        <c:ser>
          <c:idx val="1"/>
          <c:order val="1"/>
          <c:tx>
            <c:v>Calculated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Sheet1!$B$36:$B$48</c:f>
              <c:numCache>
                <c:formatCode>0.0000</c:formatCode>
                <c:ptCount val="13"/>
                <c:pt idx="0">
                  <c:v>4.3001122902656057E-2</c:v>
                </c:pt>
                <c:pt idx="1">
                  <c:v>8.3435380249043747E-2</c:v>
                </c:pt>
                <c:pt idx="2">
                  <c:v>0.13044813812312386</c:v>
                </c:pt>
                <c:pt idx="3">
                  <c:v>0.16722477535707606</c:v>
                </c:pt>
                <c:pt idx="4">
                  <c:v>0.21057366161486413</c:v>
                </c:pt>
                <c:pt idx="5">
                  <c:v>0.36478594181861002</c:v>
                </c:pt>
                <c:pt idx="6">
                  <c:v>0.26246702894256863</c:v>
                </c:pt>
                <c:pt idx="7">
                  <c:v>0.28640435807553694</c:v>
                </c:pt>
                <c:pt idx="8">
                  <c:v>0.31408650035282437</c:v>
                </c:pt>
                <c:pt idx="9">
                  <c:v>0.33390817965431163</c:v>
                </c:pt>
                <c:pt idx="10">
                  <c:v>0.35211136329649084</c:v>
                </c:pt>
                <c:pt idx="11">
                  <c:v>0.39520052865145244</c:v>
                </c:pt>
                <c:pt idx="12">
                  <c:v>0</c:v>
                </c:pt>
              </c:numCache>
            </c:numRef>
          </c:xVal>
          <c:yVal>
            <c:numRef>
              <c:f>Sheet1!$C$36:$C$48</c:f>
              <c:numCache>
                <c:formatCode>0.000</c:formatCode>
                <c:ptCount val="13"/>
                <c:pt idx="0">
                  <c:v>0.15996417719788053</c:v>
                </c:pt>
                <c:pt idx="1">
                  <c:v>0.31037961452644275</c:v>
                </c:pt>
                <c:pt idx="2">
                  <c:v>0.48526707381802081</c:v>
                </c:pt>
                <c:pt idx="3">
                  <c:v>0.62207616432832291</c:v>
                </c:pt>
                <c:pt idx="4">
                  <c:v>0.78333402120729456</c:v>
                </c:pt>
                <c:pt idx="5">
                  <c:v>1.3570037035652294</c:v>
                </c:pt>
                <c:pt idx="6">
                  <c:v>0.97637734766635531</c:v>
                </c:pt>
                <c:pt idx="7">
                  <c:v>1.0654242120409974</c:v>
                </c:pt>
                <c:pt idx="8">
                  <c:v>1.1684017813125067</c:v>
                </c:pt>
                <c:pt idx="9">
                  <c:v>1.2421384283140393</c:v>
                </c:pt>
                <c:pt idx="10">
                  <c:v>1.309854271462946</c:v>
                </c:pt>
                <c:pt idx="11">
                  <c:v>1.4701459665834031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E5-4641-94BC-1F812FB3A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51567"/>
        <c:axId val="1319453199"/>
      </c:scatterChart>
      <c:valAx>
        <c:axId val="1319451567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Molality (m)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53199"/>
        <c:crosses val="autoZero"/>
        <c:crossBetween val="midCat"/>
      </c:valAx>
      <c:valAx>
        <c:axId val="13194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>
                    <a:solidFill>
                      <a:sysClr val="windowText" lastClr="000000"/>
                    </a:solidFill>
                  </a:rPr>
                  <a:t>Δ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T</a:t>
                </a:r>
                <a:r>
                  <a:rPr lang="en-US" b="1" baseline="-25000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515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Osmotic Coefficient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8098727062912098"/>
                  <c:y val="0.13966399164284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intercept val="1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Sheet2!$F$3:$F$14</c:f>
                <c:numCache>
                  <c:formatCode>General</c:formatCode>
                  <c:ptCount val="12"/>
                  <c:pt idx="0">
                    <c:v>3.4641016151377548E-3</c:v>
                  </c:pt>
                  <c:pt idx="1">
                    <c:v>3.4641016151377548E-3</c:v>
                  </c:pt>
                  <c:pt idx="2">
                    <c:v>3.4641016151377548E-3</c:v>
                  </c:pt>
                  <c:pt idx="3">
                    <c:v>3.4641016151377548E-3</c:v>
                  </c:pt>
                  <c:pt idx="4">
                    <c:v>3.4641016151377548E-3</c:v>
                  </c:pt>
                  <c:pt idx="5">
                    <c:v>3.4641016151377548E-3</c:v>
                  </c:pt>
                  <c:pt idx="6">
                    <c:v>3.4641016151377548E-3</c:v>
                  </c:pt>
                  <c:pt idx="7">
                    <c:v>3.4641016151377548E-3</c:v>
                  </c:pt>
                  <c:pt idx="8">
                    <c:v>3.4641016151377548E-3</c:v>
                  </c:pt>
                  <c:pt idx="9">
                    <c:v>3.4641016151377548E-3</c:v>
                  </c:pt>
                  <c:pt idx="10">
                    <c:v>3.4641016151377548E-3</c:v>
                  </c:pt>
                  <c:pt idx="11">
                    <c:v>3.4641016151377548E-3</c:v>
                  </c:pt>
                </c:numCache>
              </c:numRef>
            </c:plus>
            <c:minus>
              <c:numRef>
                <c:f>Sheet2!$F$2:$F$14</c:f>
                <c:numCache>
                  <c:formatCode>General</c:formatCode>
                  <c:ptCount val="13"/>
                  <c:pt idx="0">
                    <c:v>3.46410161513775E-3</c:v>
                  </c:pt>
                  <c:pt idx="1">
                    <c:v>3.4641016151377548E-3</c:v>
                  </c:pt>
                  <c:pt idx="2">
                    <c:v>3.4641016151377548E-3</c:v>
                  </c:pt>
                  <c:pt idx="3">
                    <c:v>3.4641016151377548E-3</c:v>
                  </c:pt>
                  <c:pt idx="4">
                    <c:v>3.4641016151377548E-3</c:v>
                  </c:pt>
                  <c:pt idx="5">
                    <c:v>3.4641016151377548E-3</c:v>
                  </c:pt>
                  <c:pt idx="6">
                    <c:v>3.4641016151377548E-3</c:v>
                  </c:pt>
                  <c:pt idx="7">
                    <c:v>3.4641016151377548E-3</c:v>
                  </c:pt>
                  <c:pt idx="8">
                    <c:v>3.4641016151377548E-3</c:v>
                  </c:pt>
                  <c:pt idx="9">
                    <c:v>3.4641016151377548E-3</c:v>
                  </c:pt>
                  <c:pt idx="10">
                    <c:v>3.4641016151377548E-3</c:v>
                  </c:pt>
                  <c:pt idx="11">
                    <c:v>3.4641016151377548E-3</c:v>
                  </c:pt>
                  <c:pt idx="12">
                    <c:v>3.4641016151377548E-3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(Sheet2!$D$2:$D$6,Sheet2!$D$8:$D$14)</c:f>
              <c:numCache>
                <c:formatCode>0.0000</c:formatCode>
                <c:ptCount val="12"/>
                <c:pt idx="0">
                  <c:v>0.20736712107433053</c:v>
                </c:pt>
                <c:pt idx="1">
                  <c:v>0.28885183096017192</c:v>
                </c:pt>
                <c:pt idx="2">
                  <c:v>0.36117604865650194</c:v>
                </c:pt>
                <c:pt idx="3">
                  <c:v>0.40893125994117402</c:v>
                </c:pt>
                <c:pt idx="4">
                  <c:v>0.4588830587577451</c:v>
                </c:pt>
                <c:pt idx="5">
                  <c:v>0.5123153608301908</c:v>
                </c:pt>
                <c:pt idx="6">
                  <c:v>0.53516759811813808</c:v>
                </c:pt>
                <c:pt idx="7">
                  <c:v>0.56043420697957436</c:v>
                </c:pt>
                <c:pt idx="8">
                  <c:v>0.57784788625927463</c:v>
                </c:pt>
                <c:pt idx="9">
                  <c:v>0.59338972294478676</c:v>
                </c:pt>
                <c:pt idx="10">
                  <c:v>0.62864976628600799</c:v>
                </c:pt>
                <c:pt idx="11">
                  <c:v>0</c:v>
                </c:pt>
              </c:numCache>
            </c:numRef>
          </c:xVal>
          <c:yVal>
            <c:numRef>
              <c:f>(Sheet2!$E$2:$E$6,Sheet2!$E$8:$E$14)</c:f>
              <c:numCache>
                <c:formatCode>0.0000</c:formatCode>
                <c:ptCount val="12"/>
                <c:pt idx="0">
                  <c:v>1.0346066406810022</c:v>
                </c:pt>
                <c:pt idx="1">
                  <c:v>1.0487157814685284</c:v>
                </c:pt>
                <c:pt idx="2">
                  <c:v>0.97162990328252796</c:v>
                </c:pt>
                <c:pt idx="3">
                  <c:v>0.97335348100626629</c:v>
                </c:pt>
                <c:pt idx="4">
                  <c:v>0.96446723817204205</c:v>
                </c:pt>
                <c:pt idx="5">
                  <c:v>0.94277074555251728</c:v>
                </c:pt>
                <c:pt idx="6">
                  <c:v>0.98129926857694549</c:v>
                </c:pt>
                <c:pt idx="7">
                  <c:v>0.98467840292711828</c:v>
                </c:pt>
                <c:pt idx="8">
                  <c:v>1.0308834915751126</c:v>
                </c:pt>
                <c:pt idx="9">
                  <c:v>1.0386651627134735</c:v>
                </c:pt>
                <c:pt idx="10">
                  <c:v>0.95602751831939525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9-D64D-A9E7-B03C73731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496784"/>
        <c:axId val="1623881472"/>
      </c:scatterChart>
      <c:valAx>
        <c:axId val="1623496784"/>
        <c:scaling>
          <c:orientation val="minMax"/>
          <c:max val="0.70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Square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Root of Molality (m</a:t>
                </a:r>
                <a:r>
                  <a:rPr lang="en-US" b="1" baseline="30000">
                    <a:solidFill>
                      <a:sysClr val="windowText" lastClr="000000"/>
                    </a:solidFill>
                  </a:rPr>
                  <a:t>1/2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81472"/>
        <c:crosses val="autoZero"/>
        <c:crossBetween val="midCat"/>
      </c:valAx>
      <c:valAx>
        <c:axId val="1623881472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Osmotic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coefficient,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967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4989845420993"/>
          <c:y val="4.2291426374471357E-2"/>
          <c:w val="0.64034707743794239"/>
          <c:h val="0.78699228340402083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Sheet5!$C$2:$C$14</c:f>
              <c:numCache>
                <c:formatCode>0.0000</c:formatCode>
                <c:ptCount val="13"/>
                <c:pt idx="0">
                  <c:v>0.20736712107433053</c:v>
                </c:pt>
                <c:pt idx="1">
                  <c:v>0.28885183096017192</c:v>
                </c:pt>
                <c:pt idx="2">
                  <c:v>0.36117604865650194</c:v>
                </c:pt>
                <c:pt idx="3">
                  <c:v>0.40893125994117402</c:v>
                </c:pt>
                <c:pt idx="4">
                  <c:v>0.4588830587577451</c:v>
                </c:pt>
                <c:pt idx="5">
                  <c:v>0.60397511688695427</c:v>
                </c:pt>
                <c:pt idx="6">
                  <c:v>0.5123153608301908</c:v>
                </c:pt>
                <c:pt idx="7">
                  <c:v>0.53516759811813808</c:v>
                </c:pt>
                <c:pt idx="8">
                  <c:v>0.56043420697957436</c:v>
                </c:pt>
                <c:pt idx="9">
                  <c:v>0.57784788625927463</c:v>
                </c:pt>
                <c:pt idx="10">
                  <c:v>0.59338972294478676</c:v>
                </c:pt>
                <c:pt idx="11">
                  <c:v>0.62864976628600799</c:v>
                </c:pt>
                <c:pt idx="12">
                  <c:v>0</c:v>
                </c:pt>
              </c:numCache>
            </c:numRef>
          </c:xVal>
          <c:yVal>
            <c:numRef>
              <c:f>Sheet5!$F$2:$F$14</c:f>
              <c:numCache>
                <c:formatCode>0.00000</c:formatCode>
                <c:ptCount val="13"/>
                <c:pt idx="0">
                  <c:v>3.1875055182442893E-3</c:v>
                </c:pt>
                <c:pt idx="1">
                  <c:v>2.7805406126540574E-3</c:v>
                </c:pt>
                <c:pt idx="2">
                  <c:v>1.6350139300801677E-3</c:v>
                </c:pt>
                <c:pt idx="3">
                  <c:v>4.743211730875219E-4</c:v>
                </c:pt>
                <c:pt idx="4">
                  <c:v>-1.0838725316777704E-3</c:v>
                </c:pt>
                <c:pt idx="5">
                  <c:v>-7.6051280169800936E-3</c:v>
                </c:pt>
                <c:pt idx="6">
                  <c:v>-3.1401136606846441E-3</c:v>
                </c:pt>
                <c:pt idx="7">
                  <c:v>-4.1424493699589102E-3</c:v>
                </c:pt>
                <c:pt idx="8">
                  <c:v>-5.3364040601655187E-3</c:v>
                </c:pt>
                <c:pt idx="9">
                  <c:v>-6.2116757128578516E-3</c:v>
                </c:pt>
                <c:pt idx="10">
                  <c:v>-7.0289743308889832E-3</c:v>
                </c:pt>
                <c:pt idx="11">
                  <c:v>-9.0094894693156929E-3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4-49EE-867A-70F71D6FCA66}"/>
            </c:ext>
          </c:extLst>
        </c:ser>
        <c:ser>
          <c:idx val="1"/>
          <c:order val="1"/>
          <c:tx>
            <c:v>DHLL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Sheet5!$C$2:$C$14</c:f>
              <c:numCache>
                <c:formatCode>0.0000</c:formatCode>
                <c:ptCount val="13"/>
                <c:pt idx="0">
                  <c:v>0.20736712107433053</c:v>
                </c:pt>
                <c:pt idx="1">
                  <c:v>0.28885183096017192</c:v>
                </c:pt>
                <c:pt idx="2">
                  <c:v>0.36117604865650194</c:v>
                </c:pt>
                <c:pt idx="3">
                  <c:v>0.40893125994117402</c:v>
                </c:pt>
                <c:pt idx="4">
                  <c:v>0.4588830587577451</c:v>
                </c:pt>
                <c:pt idx="5">
                  <c:v>0.60397511688695427</c:v>
                </c:pt>
                <c:pt idx="6">
                  <c:v>0.5123153608301908</c:v>
                </c:pt>
                <c:pt idx="7">
                  <c:v>0.53516759811813808</c:v>
                </c:pt>
                <c:pt idx="8">
                  <c:v>0.56043420697957436</c:v>
                </c:pt>
                <c:pt idx="9">
                  <c:v>0.57784788625927463</c:v>
                </c:pt>
                <c:pt idx="10">
                  <c:v>0.59338972294478676</c:v>
                </c:pt>
                <c:pt idx="11">
                  <c:v>0.62864976628600799</c:v>
                </c:pt>
                <c:pt idx="12">
                  <c:v>0</c:v>
                </c:pt>
              </c:numCache>
            </c:numRef>
          </c:xVal>
          <c:yVal>
            <c:numRef>
              <c:f>Sheet5!$G$2:$G$14</c:f>
              <c:numCache>
                <c:formatCode>0.00000</c:formatCode>
                <c:ptCount val="13"/>
                <c:pt idx="0">
                  <c:v>-0.10181725644749628</c:v>
                </c:pt>
                <c:pt idx="1">
                  <c:v>-0.14182624900144442</c:v>
                </c:pt>
                <c:pt idx="2">
                  <c:v>-0.17733743989034245</c:v>
                </c:pt>
                <c:pt idx="3">
                  <c:v>-0.20078524863111644</c:v>
                </c:pt>
                <c:pt idx="4">
                  <c:v>-0.22531158185005284</c:v>
                </c:pt>
                <c:pt idx="5">
                  <c:v>-0.29655178239149454</c:v>
                </c:pt>
                <c:pt idx="6">
                  <c:v>-0.25154684216762369</c:v>
                </c:pt>
                <c:pt idx="7">
                  <c:v>-0.26276729067600579</c:v>
                </c:pt>
                <c:pt idx="8">
                  <c:v>-0.27517319562697101</c:v>
                </c:pt>
                <c:pt idx="9">
                  <c:v>-0.28372331215330382</c:v>
                </c:pt>
                <c:pt idx="10">
                  <c:v>-0.29135435396589027</c:v>
                </c:pt>
                <c:pt idx="11">
                  <c:v>-0.30866703524642991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4-49EE-867A-70F71D6FCA66}"/>
            </c:ext>
          </c:extLst>
        </c:ser>
        <c:ser>
          <c:idx val="2"/>
          <c:order val="2"/>
          <c:tx>
            <c:v>Davies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Sheet5!$C$2:$C$14</c:f>
              <c:numCache>
                <c:formatCode>0.0000</c:formatCode>
                <c:ptCount val="13"/>
                <c:pt idx="0">
                  <c:v>0.20736712107433053</c:v>
                </c:pt>
                <c:pt idx="1">
                  <c:v>0.28885183096017192</c:v>
                </c:pt>
                <c:pt idx="2">
                  <c:v>0.36117604865650194</c:v>
                </c:pt>
                <c:pt idx="3">
                  <c:v>0.40893125994117402</c:v>
                </c:pt>
                <c:pt idx="4">
                  <c:v>0.4588830587577451</c:v>
                </c:pt>
                <c:pt idx="5">
                  <c:v>0.60397511688695427</c:v>
                </c:pt>
                <c:pt idx="6">
                  <c:v>0.5123153608301908</c:v>
                </c:pt>
                <c:pt idx="7">
                  <c:v>0.53516759811813808</c:v>
                </c:pt>
                <c:pt idx="8">
                  <c:v>0.56043420697957436</c:v>
                </c:pt>
                <c:pt idx="9">
                  <c:v>0.57784788625927463</c:v>
                </c:pt>
                <c:pt idx="10">
                  <c:v>0.59338972294478676</c:v>
                </c:pt>
                <c:pt idx="11">
                  <c:v>0.62864976628600799</c:v>
                </c:pt>
                <c:pt idx="12">
                  <c:v>0</c:v>
                </c:pt>
              </c:numCache>
            </c:numRef>
          </c:xVal>
          <c:yVal>
            <c:numRef>
              <c:f>Sheet5!$H$2:$H$14</c:f>
              <c:numCache>
                <c:formatCode>0.00000</c:formatCode>
                <c:ptCount val="13"/>
                <c:pt idx="0">
                  <c:v>-7.7995923934642705E-2</c:v>
                </c:pt>
                <c:pt idx="1">
                  <c:v>-9.7750739347969448E-2</c:v>
                </c:pt>
                <c:pt idx="2">
                  <c:v>-0.11106750492565624</c:v>
                </c:pt>
                <c:pt idx="3">
                  <c:v>-0.11787669385570125</c:v>
                </c:pt>
                <c:pt idx="4">
                  <c:v>-0.12342365275609288</c:v>
                </c:pt>
                <c:pt idx="5">
                  <c:v>-0.13115255628067132</c:v>
                </c:pt>
                <c:pt idx="6">
                  <c:v>-0.12767087349248751</c:v>
                </c:pt>
                <c:pt idx="7">
                  <c:v>-0.12897785219763946</c:v>
                </c:pt>
                <c:pt idx="8">
                  <c:v>-0.13007904941809789</c:v>
                </c:pt>
                <c:pt idx="9">
                  <c:v>-0.13063196945613151</c:v>
                </c:pt>
                <c:pt idx="10">
                  <c:v>-0.13098590603019722</c:v>
                </c:pt>
                <c:pt idx="11">
                  <c:v>-0.1313102357247479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4-49EE-867A-70F71D6F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40208"/>
        <c:axId val="658040864"/>
      </c:scatterChart>
      <c:valAx>
        <c:axId val="6580402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Square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Root of Molality (m</a:t>
                </a:r>
                <a:r>
                  <a:rPr lang="en-US" b="1" baseline="30000">
                    <a:solidFill>
                      <a:sysClr val="windowText" lastClr="000000"/>
                    </a:solidFill>
                  </a:rPr>
                  <a:t>1/2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  <a:endParaRPr lang="en-US" b="1" baseline="30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40864"/>
        <c:crossesAt val="-0.35000000000000003"/>
        <c:crossBetween val="midCat"/>
      </c:valAx>
      <c:valAx>
        <c:axId val="6580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log(</a:t>
                </a:r>
                <a:r>
                  <a:rPr lang="el-GR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γ</a:t>
                </a:r>
                <a:r>
                  <a:rPr lang="en-US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40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497890</xdr:colOff>
      <xdr:row>34</xdr:row>
      <xdr:rowOff>208131</xdr:rowOff>
    </xdr:from>
    <xdr:to>
      <xdr:col>8</xdr:col>
      <xdr:colOff>638578</xdr:colOff>
      <xdr:row>59</xdr:row>
      <xdr:rowOff>171720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67A99A0D-7637-994E-8AC1-C16CD01C0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10160</xdr:colOff>
      <xdr:row>19</xdr:row>
      <xdr:rowOff>20320</xdr:rowOff>
    </xdr:from>
    <xdr:to>
      <xdr:col>21</xdr:col>
      <xdr:colOff>246940</xdr:colOff>
      <xdr:row>24</xdr:row>
      <xdr:rowOff>4233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E038ED-D496-6041-978E-094F5D64D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25680" y="3677920"/>
          <a:ext cx="4453180" cy="1025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592035</xdr:colOff>
      <xdr:row>14</xdr:row>
      <xdr:rowOff>96052</xdr:rowOff>
    </xdr:from>
    <xdr:to>
      <xdr:col>5</xdr:col>
      <xdr:colOff>106723</xdr:colOff>
      <xdr:row>32</xdr:row>
      <xdr:rowOff>3768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D8FCA-731F-0A44-84D1-B0D35A1ED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812800</xdr:colOff>
      <xdr:row>20</xdr:row>
      <xdr:rowOff>12700</xdr:rowOff>
    </xdr:from>
    <xdr:to>
      <xdr:col>10</xdr:col>
      <xdr:colOff>160580</xdr:colOff>
      <xdr:row>25</xdr:row>
      <xdr:rowOff>21967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5B1597-9C64-8648-B06A-5142CACAF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0" y="4127500"/>
          <a:ext cx="4453180" cy="1025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85304</xdr:colOff>
      <xdr:row>3</xdr:row>
      <xdr:rowOff>112511</xdr:rowOff>
    </xdr:from>
    <xdr:to>
      <xdr:col>19</xdr:col>
      <xdr:colOff>249658</xdr:colOff>
      <xdr:row>26</xdr:row>
      <xdr:rowOff>43419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6AB86-5581-4F8D-B816-0DCDDB978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8</xdr:col>
      <xdr:colOff>127989</xdr:colOff>
      <xdr:row>25</xdr:row>
      <xdr:rowOff>26840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CF951E-B0E8-B54F-8696-EB5BB9D1A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3600" y="3949700"/>
          <a:ext cx="4484089" cy="1042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17463-7BA8-494A-BF0C-F36F553E11EA}">
  <dimension ref="A1:Z48"/>
  <sheetViews>
    <sheetView topLeftCell="B32" zoomScale="109" zoomScaleNormal="71" workbookViewId="0">
      <selection activeCell="I58" sqref="I58"/>
    </sheetView>
  </sheetViews>
  <sheetFormatPr baseColWidth="10" defaultColWidth="10.83203125" defaultRowHeight="16" x14ac:dyDescent="0.2"/>
  <cols>
    <col min="1" max="1" width="10.83203125" customWidth="1"/>
    <col min="2" max="2" width="16.6640625" customWidth="1"/>
    <col min="3" max="3" width="24.6640625" customWidth="1"/>
    <col min="4" max="4" width="11.5" bestFit="1" customWidth="1"/>
    <col min="5" max="5" width="18" style="5" customWidth="1"/>
    <col min="6" max="6" width="24.6640625" style="5" bestFit="1" customWidth="1"/>
    <col min="7" max="7" width="27.33203125" style="5" customWidth="1"/>
    <col min="8" max="8" width="33.83203125" style="5" bestFit="1" customWidth="1"/>
    <col min="9" max="9" width="19.33203125" style="5" customWidth="1"/>
    <col min="10" max="10" width="23.1640625" style="5" customWidth="1"/>
    <col min="11" max="11" width="23.33203125" style="5" customWidth="1"/>
    <col min="12" max="12" width="20.6640625" style="5" customWidth="1"/>
    <col min="20" max="20" width="29.5" customWidth="1"/>
    <col min="21" max="21" width="25.83203125" customWidth="1"/>
    <col min="22" max="22" width="16.5" customWidth="1"/>
  </cols>
  <sheetData>
    <row r="1" spans="1:26" x14ac:dyDescent="0.2">
      <c r="A1" s="118" t="s">
        <v>59</v>
      </c>
      <c r="B1" s="118"/>
      <c r="C1" s="118"/>
      <c r="E1" s="115" t="s">
        <v>5</v>
      </c>
      <c r="F1" s="116"/>
      <c r="G1" s="116"/>
      <c r="H1" s="116"/>
      <c r="I1" s="116"/>
      <c r="J1" s="116"/>
      <c r="K1" s="116"/>
      <c r="L1" s="117"/>
      <c r="T1" s="31" t="s">
        <v>78</v>
      </c>
      <c r="U1" s="31" t="s">
        <v>20</v>
      </c>
      <c r="V1" s="67"/>
      <c r="X1" s="67"/>
      <c r="Y1" s="67"/>
      <c r="Z1" s="67"/>
    </row>
    <row r="2" spans="1:26" x14ac:dyDescent="0.2">
      <c r="A2" s="75" t="s">
        <v>1</v>
      </c>
      <c r="B2" s="75" t="s">
        <v>2</v>
      </c>
      <c r="C2" s="75" t="s">
        <v>4</v>
      </c>
      <c r="E2" s="75" t="s">
        <v>6</v>
      </c>
      <c r="F2" s="75" t="s">
        <v>7</v>
      </c>
      <c r="G2" s="75" t="s">
        <v>60</v>
      </c>
      <c r="H2" s="75" t="s">
        <v>62</v>
      </c>
      <c r="I2" s="75" t="s">
        <v>61</v>
      </c>
      <c r="J2" s="75" t="s">
        <v>8</v>
      </c>
      <c r="K2" s="75" t="s">
        <v>9</v>
      </c>
      <c r="L2" s="75" t="s">
        <v>10</v>
      </c>
      <c r="T2" s="30">
        <v>0.16549999999999976</v>
      </c>
      <c r="U2" s="34">
        <v>4.3001122902656057E-2</v>
      </c>
      <c r="V2" s="67"/>
      <c r="W2" s="67"/>
      <c r="X2" s="67"/>
      <c r="Y2" s="67"/>
      <c r="Z2" s="67"/>
    </row>
    <row r="3" spans="1:26" x14ac:dyDescent="0.2">
      <c r="A3" s="1">
        <v>1</v>
      </c>
      <c r="B3" s="1">
        <v>4.5609999999999999</v>
      </c>
      <c r="C3" s="3">
        <f>B3-B4</f>
        <v>1.000000000000334E-3</v>
      </c>
      <c r="E3" s="1">
        <v>1</v>
      </c>
      <c r="F3" s="3">
        <v>4.3949999999999996</v>
      </c>
      <c r="G3" s="10">
        <v>75.881900000000002</v>
      </c>
      <c r="H3" s="10">
        <v>95.446899999999999</v>
      </c>
      <c r="I3" s="10">
        <f>H3-G3</f>
        <v>19.564999999999998</v>
      </c>
      <c r="J3" s="19">
        <v>1.21</v>
      </c>
      <c r="K3" s="19">
        <v>9.61</v>
      </c>
      <c r="L3" s="19">
        <f>K3-J3</f>
        <v>8.3999999999999986</v>
      </c>
      <c r="T3" s="30">
        <v>0.32549999999999901</v>
      </c>
      <c r="U3" s="34">
        <v>8.3435380249043747E-2</v>
      </c>
      <c r="V3" s="67"/>
      <c r="W3" s="67"/>
      <c r="X3" s="67"/>
      <c r="Y3" s="67"/>
      <c r="Z3" s="67"/>
    </row>
    <row r="4" spans="1:26" x14ac:dyDescent="0.2">
      <c r="A4" s="1">
        <v>2</v>
      </c>
      <c r="B4" s="3">
        <v>4.5599999999999996</v>
      </c>
      <c r="E4" s="1">
        <f>E3+1</f>
        <v>2</v>
      </c>
      <c r="F4" s="3">
        <v>4.2350000000000003</v>
      </c>
      <c r="G4" s="10">
        <v>105.5287</v>
      </c>
      <c r="H4" s="10">
        <v>139.911</v>
      </c>
      <c r="I4" s="10">
        <f>H4-G4</f>
        <v>34.382300000000001</v>
      </c>
      <c r="J4" s="19">
        <v>0.51</v>
      </c>
      <c r="K4" s="19">
        <v>29.11</v>
      </c>
      <c r="L4" s="19">
        <f t="shared" ref="L4:L17" si="0">K4-J4</f>
        <v>28.599999999999998</v>
      </c>
      <c r="T4" s="30">
        <v>0.47149999999999892</v>
      </c>
      <c r="U4" s="34">
        <v>0.13044813812312386</v>
      </c>
      <c r="V4" s="67"/>
      <c r="W4" s="67"/>
      <c r="X4" s="67"/>
      <c r="Y4" s="67"/>
      <c r="Z4" s="67"/>
    </row>
    <row r="5" spans="1:26" x14ac:dyDescent="0.2">
      <c r="A5" s="2" t="s">
        <v>3</v>
      </c>
      <c r="B5" s="4">
        <f>AVERAGE(B3:B4)</f>
        <v>4.5604999999999993</v>
      </c>
      <c r="E5" s="7">
        <f t="shared" ref="E5:E6" si="1">E4+1</f>
        <v>3</v>
      </c>
      <c r="F5" s="16">
        <v>4.0890000000000004</v>
      </c>
      <c r="G5" s="11">
        <v>73.378600000000006</v>
      </c>
      <c r="H5" s="11">
        <v>103.3099</v>
      </c>
      <c r="I5" s="11">
        <f t="shared" ref="I5:I6" si="2">H5-G5</f>
        <v>29.931299999999993</v>
      </c>
      <c r="J5" s="20">
        <v>1.0900000000000001</v>
      </c>
      <c r="K5" s="20">
        <v>39.950000000000003</v>
      </c>
      <c r="L5" s="20">
        <f t="shared" si="0"/>
        <v>38.86</v>
      </c>
      <c r="T5" s="30">
        <v>0.60549999999999926</v>
      </c>
      <c r="U5" s="34">
        <v>0.16722477535707606</v>
      </c>
      <c r="V5" s="67"/>
      <c r="W5" s="67"/>
      <c r="X5" s="67"/>
      <c r="Y5" s="67"/>
      <c r="Z5" s="67"/>
    </row>
    <row r="6" spans="1:26" x14ac:dyDescent="0.2">
      <c r="E6" s="7">
        <f t="shared" si="1"/>
        <v>4</v>
      </c>
      <c r="F6" s="16">
        <v>3.9550000000000001</v>
      </c>
      <c r="G6" s="12">
        <v>76.697400000000002</v>
      </c>
      <c r="H6" s="11">
        <v>110.04649999999999</v>
      </c>
      <c r="I6" s="11">
        <f t="shared" si="2"/>
        <v>33.349099999999993</v>
      </c>
      <c r="J6" s="19">
        <v>0.68</v>
      </c>
      <c r="K6" s="19">
        <v>49.79</v>
      </c>
      <c r="L6" s="27">
        <f>K6-J6+K7-J7</f>
        <v>55.43</v>
      </c>
      <c r="T6" s="30">
        <v>0.75549999999999917</v>
      </c>
      <c r="U6" s="34">
        <v>0.21057366161486413</v>
      </c>
      <c r="V6" s="67"/>
      <c r="W6" s="67"/>
      <c r="X6" s="67"/>
      <c r="Y6" s="67"/>
      <c r="Z6" s="67"/>
    </row>
    <row r="7" spans="1:26" x14ac:dyDescent="0.2">
      <c r="E7" s="9"/>
      <c r="F7" s="17"/>
      <c r="G7" s="14"/>
      <c r="H7" s="13"/>
      <c r="I7" s="13"/>
      <c r="J7" s="19">
        <v>1.4</v>
      </c>
      <c r="K7" s="19">
        <v>7.72</v>
      </c>
      <c r="L7" s="28"/>
      <c r="T7" s="91">
        <v>0.90149999999999952</v>
      </c>
      <c r="U7" s="92">
        <v>0.36478594181861002</v>
      </c>
      <c r="V7" s="97" t="s">
        <v>80</v>
      </c>
      <c r="W7" s="67"/>
      <c r="X7" s="67"/>
      <c r="Y7" s="67"/>
      <c r="Z7" s="67"/>
    </row>
    <row r="8" spans="1:26" x14ac:dyDescent="0.2">
      <c r="A8" s="115" t="s">
        <v>11</v>
      </c>
      <c r="B8" s="117"/>
      <c r="E8" s="7">
        <f>E6+1</f>
        <v>5</v>
      </c>
      <c r="F8" s="16">
        <v>3.8050000000000002</v>
      </c>
      <c r="G8" s="12">
        <v>76.964799999999997</v>
      </c>
      <c r="H8" s="11">
        <v>106.87350000000001</v>
      </c>
      <c r="I8" s="11">
        <f>H8-G8</f>
        <v>29.90870000000001</v>
      </c>
      <c r="J8" s="23">
        <v>0.43</v>
      </c>
      <c r="K8" s="24">
        <v>49.1</v>
      </c>
      <c r="L8" s="20">
        <f>K8-J8+K9-J9</f>
        <v>62.500000000000007</v>
      </c>
      <c r="T8" s="30">
        <v>0.92049999999999921</v>
      </c>
      <c r="U8" s="34">
        <v>0.26246702894256863</v>
      </c>
      <c r="V8" s="67"/>
      <c r="W8" s="67"/>
      <c r="X8" s="67"/>
      <c r="Y8" s="67"/>
      <c r="Z8" s="67"/>
    </row>
    <row r="9" spans="1:26" x14ac:dyDescent="0.2">
      <c r="A9" s="113" t="s">
        <v>12</v>
      </c>
      <c r="B9" s="114"/>
      <c r="E9" s="9"/>
      <c r="F9" s="17"/>
      <c r="G9" s="14"/>
      <c r="H9" s="13"/>
      <c r="I9" s="13"/>
      <c r="J9" s="25">
        <v>1.82</v>
      </c>
      <c r="K9" s="26">
        <v>15.65</v>
      </c>
      <c r="L9" s="21"/>
      <c r="T9" s="30">
        <v>1.0454999999999992</v>
      </c>
      <c r="U9" s="34">
        <v>0.28640435807553694</v>
      </c>
      <c r="V9" s="67"/>
      <c r="W9" s="67"/>
      <c r="X9" s="67"/>
      <c r="Y9" s="67"/>
      <c r="Z9" s="67"/>
    </row>
    <row r="10" spans="1:26" x14ac:dyDescent="0.2">
      <c r="A10" s="119" t="s">
        <v>13</v>
      </c>
      <c r="B10" s="119"/>
      <c r="E10" s="7">
        <f>E8+1</f>
        <v>6</v>
      </c>
      <c r="F10" s="16">
        <v>3.6589999999999998</v>
      </c>
      <c r="G10" s="11">
        <v>76.413600000000002</v>
      </c>
      <c r="H10" s="11">
        <v>101.5943</v>
      </c>
      <c r="I10" s="11">
        <f>H10-G10</f>
        <v>25.180700000000002</v>
      </c>
      <c r="J10" s="25">
        <v>0.28999999999999998</v>
      </c>
      <c r="K10" s="26">
        <v>50</v>
      </c>
      <c r="L10" s="20">
        <f>K10-J10+K11-J11</f>
        <v>90.65</v>
      </c>
      <c r="T10" s="30">
        <v>1.1504999999999992</v>
      </c>
      <c r="U10" s="34">
        <v>0.31408650035282437</v>
      </c>
      <c r="V10" s="67"/>
      <c r="W10" s="67"/>
      <c r="X10" s="67"/>
      <c r="Y10" s="67"/>
      <c r="Z10" s="67"/>
    </row>
    <row r="11" spans="1:26" x14ac:dyDescent="0.2">
      <c r="E11" s="8"/>
      <c r="F11" s="18"/>
      <c r="G11" s="15"/>
      <c r="H11" s="15"/>
      <c r="I11" s="15"/>
      <c r="J11" s="25">
        <v>0.25</v>
      </c>
      <c r="K11" s="26">
        <v>41.19</v>
      </c>
      <c r="L11" s="22"/>
      <c r="T11" s="30">
        <v>1.2804999999999995</v>
      </c>
      <c r="U11" s="34">
        <v>0.33390817965431163</v>
      </c>
      <c r="V11" s="67"/>
      <c r="W11" s="67"/>
      <c r="X11" s="67"/>
      <c r="Y11" s="67"/>
      <c r="Z11" s="67"/>
    </row>
    <row r="12" spans="1:26" x14ac:dyDescent="0.2">
      <c r="A12" s="115" t="s">
        <v>17</v>
      </c>
      <c r="B12" s="117"/>
      <c r="E12" s="8">
        <f>E10+1</f>
        <v>7</v>
      </c>
      <c r="F12" s="18">
        <v>3.64</v>
      </c>
      <c r="G12" s="15">
        <v>106.11320000000001</v>
      </c>
      <c r="H12" s="15">
        <v>124.8147</v>
      </c>
      <c r="I12" s="15">
        <f t="shared" ref="I12:I17" si="3">H12-G12</f>
        <v>18.701499999999996</v>
      </c>
      <c r="J12" s="19">
        <v>1.03</v>
      </c>
      <c r="K12" s="19">
        <v>49.65</v>
      </c>
      <c r="L12" s="22">
        <f t="shared" si="0"/>
        <v>48.62</v>
      </c>
      <c r="T12" s="30">
        <v>1.3604999999999992</v>
      </c>
      <c r="U12" s="88">
        <v>0.35211136329649084</v>
      </c>
      <c r="V12" s="67"/>
      <c r="W12" s="67"/>
      <c r="X12" s="67"/>
      <c r="Y12" s="67"/>
      <c r="Z12" s="67"/>
    </row>
    <row r="13" spans="1:26" x14ac:dyDescent="0.2">
      <c r="A13" s="113">
        <v>36.46</v>
      </c>
      <c r="B13" s="114"/>
      <c r="E13" s="1">
        <f>E12+1</f>
        <v>8</v>
      </c>
      <c r="F13" s="3">
        <v>3.5150000000000001</v>
      </c>
      <c r="G13" s="10">
        <v>74.778599999999997</v>
      </c>
      <c r="H13" s="10">
        <v>85.239199999999997</v>
      </c>
      <c r="I13" s="72">
        <f t="shared" si="3"/>
        <v>10.460599999999999</v>
      </c>
      <c r="J13" s="19">
        <v>1.8</v>
      </c>
      <c r="K13" s="19">
        <v>31.45</v>
      </c>
      <c r="L13" s="19">
        <f t="shared" si="0"/>
        <v>29.65</v>
      </c>
      <c r="T13" s="90">
        <v>1.4055</v>
      </c>
      <c r="U13" s="72">
        <v>0.39520052865145244</v>
      </c>
      <c r="V13" s="67"/>
      <c r="Y13" s="67"/>
      <c r="Z13" s="67"/>
    </row>
    <row r="14" spans="1:26" x14ac:dyDescent="0.2">
      <c r="E14" s="1">
        <f>E13+1</f>
        <v>9</v>
      </c>
      <c r="F14" s="3">
        <v>3.41</v>
      </c>
      <c r="G14" s="10">
        <v>105.1332</v>
      </c>
      <c r="H14" s="10">
        <v>109.4806</v>
      </c>
      <c r="I14" s="72">
        <f t="shared" si="3"/>
        <v>4.3473999999999933</v>
      </c>
      <c r="J14" s="19">
        <v>1.19</v>
      </c>
      <c r="K14" s="19">
        <v>14.69</v>
      </c>
      <c r="L14" s="19">
        <f t="shared" si="0"/>
        <v>13.5</v>
      </c>
      <c r="T14" s="89"/>
      <c r="U14" s="39"/>
      <c r="V14" s="67"/>
      <c r="W14" s="67"/>
      <c r="X14" s="67"/>
      <c r="Y14" s="67"/>
      <c r="Z14" s="67"/>
    </row>
    <row r="15" spans="1:26" x14ac:dyDescent="0.2">
      <c r="E15" s="1">
        <f>E14+1</f>
        <v>10</v>
      </c>
      <c r="F15" s="3">
        <v>3.28</v>
      </c>
      <c r="G15" s="10">
        <v>106.93729999999999</v>
      </c>
      <c r="H15" s="10">
        <v>113.63039999999999</v>
      </c>
      <c r="I15" s="10">
        <f t="shared" si="3"/>
        <v>6.6931000000000012</v>
      </c>
      <c r="J15" s="19">
        <v>0.9</v>
      </c>
      <c r="K15" s="19">
        <v>22.98</v>
      </c>
      <c r="L15" s="19">
        <f t="shared" si="0"/>
        <v>22.080000000000002</v>
      </c>
      <c r="T15" s="81" t="s">
        <v>76</v>
      </c>
      <c r="U15" s="4">
        <f>(T8-T7)/(T13-T2)</f>
        <v>1.5322580645161033E-2</v>
      </c>
      <c r="V15" s="67"/>
      <c r="W15" s="67"/>
      <c r="X15" s="67"/>
      <c r="Y15" s="67"/>
      <c r="Z15" s="67"/>
    </row>
    <row r="16" spans="1:26" x14ac:dyDescent="0.2">
      <c r="E16" s="1">
        <f>E15+1</f>
        <v>11</v>
      </c>
      <c r="F16" s="3">
        <v>3.2</v>
      </c>
      <c r="G16" s="10">
        <v>106.9892</v>
      </c>
      <c r="H16" s="10">
        <v>111.3413</v>
      </c>
      <c r="I16" s="10">
        <f t="shared" si="3"/>
        <v>4.3521000000000072</v>
      </c>
      <c r="J16" s="19">
        <v>0.62</v>
      </c>
      <c r="K16" s="19">
        <v>15.75</v>
      </c>
      <c r="L16" s="19">
        <f t="shared" si="0"/>
        <v>15.13</v>
      </c>
      <c r="T16" s="81" t="s">
        <v>75</v>
      </c>
      <c r="U16" s="81">
        <v>12</v>
      </c>
    </row>
    <row r="17" spans="2:21" x14ac:dyDescent="0.2">
      <c r="E17" s="1">
        <f>E16+1</f>
        <v>12</v>
      </c>
      <c r="F17" s="3">
        <v>3.1549999999999998</v>
      </c>
      <c r="G17" s="10">
        <v>75.586799999999997</v>
      </c>
      <c r="H17" s="10">
        <v>80.576700000000002</v>
      </c>
      <c r="I17" s="10">
        <f t="shared" si="3"/>
        <v>4.9899000000000058</v>
      </c>
      <c r="J17" s="19">
        <v>0.15</v>
      </c>
      <c r="K17" s="19">
        <v>19.59</v>
      </c>
      <c r="L17" s="19">
        <f t="shared" si="0"/>
        <v>19.440000000000001</v>
      </c>
      <c r="T17" s="111" t="s">
        <v>74</v>
      </c>
      <c r="U17" s="112"/>
    </row>
    <row r="18" spans="2:21" x14ac:dyDescent="0.2">
      <c r="T18" s="111" t="s">
        <v>79</v>
      </c>
      <c r="U18" s="112"/>
    </row>
    <row r="20" spans="2:21" ht="18" x14ac:dyDescent="0.25">
      <c r="B20" s="87" t="s">
        <v>6</v>
      </c>
      <c r="C20" s="87" t="s">
        <v>7</v>
      </c>
      <c r="D20" s="87" t="s">
        <v>63</v>
      </c>
      <c r="E20" s="87" t="s">
        <v>10</v>
      </c>
      <c r="F20" s="87" t="s">
        <v>16</v>
      </c>
      <c r="G20" s="87" t="s">
        <v>15</v>
      </c>
      <c r="H20" s="87" t="s">
        <v>14</v>
      </c>
      <c r="I20" s="87" t="s">
        <v>18</v>
      </c>
      <c r="J20" s="87" t="s">
        <v>19</v>
      </c>
      <c r="K20" s="87" t="s">
        <v>20</v>
      </c>
    </row>
    <row r="21" spans="2:21" x14ac:dyDescent="0.2">
      <c r="B21" s="29">
        <v>1</v>
      </c>
      <c r="C21" s="30">
        <v>4.3949999999999996</v>
      </c>
      <c r="D21" s="30">
        <f>ABS(C21-$B$5)</f>
        <v>0.16549999999999976</v>
      </c>
      <c r="E21" s="32">
        <v>8.3999999999999986</v>
      </c>
      <c r="F21" s="33">
        <f>0.1*(E21/1000)</f>
        <v>8.3999999999999982E-4</v>
      </c>
      <c r="G21" s="33">
        <f>F21</f>
        <v>8.3999999999999982E-4</v>
      </c>
      <c r="H21" s="34">
        <f>G21*$A$13</f>
        <v>3.0626399999999995E-2</v>
      </c>
      <c r="I21" s="34">
        <v>19.564999999999998</v>
      </c>
      <c r="J21" s="34">
        <f>I21-H21</f>
        <v>19.534373599999999</v>
      </c>
      <c r="K21" s="34">
        <f>G21/(J21*0.001)</f>
        <v>4.3001122902656057E-2</v>
      </c>
    </row>
    <row r="22" spans="2:21" x14ac:dyDescent="0.2">
      <c r="B22" s="29">
        <f>B21+1</f>
        <v>2</v>
      </c>
      <c r="C22" s="30">
        <v>4.2350000000000003</v>
      </c>
      <c r="D22" s="30">
        <f t="shared" ref="D22:D32" si="4">ABS(C22-$B$5)</f>
        <v>0.32549999999999901</v>
      </c>
      <c r="E22" s="32">
        <v>28.599999999999998</v>
      </c>
      <c r="F22" s="33">
        <f t="shared" ref="F22:F32" si="5">0.1*E22/1000</f>
        <v>2.8599999999999997E-3</v>
      </c>
      <c r="G22" s="33">
        <f t="shared" ref="G22:G32" si="6">F22</f>
        <v>2.8599999999999997E-3</v>
      </c>
      <c r="H22" s="34">
        <f t="shared" ref="H22:H32" si="7">G22*$A$13</f>
        <v>0.1042756</v>
      </c>
      <c r="I22" s="34">
        <v>34.382300000000001</v>
      </c>
      <c r="J22" s="34">
        <f t="shared" ref="J22:J32" si="8">I22-H22</f>
        <v>34.2780244</v>
      </c>
      <c r="K22" s="34">
        <f t="shared" ref="K22:K32" si="9">G22/(J22/1000)</f>
        <v>8.3435380249043747E-2</v>
      </c>
    </row>
    <row r="23" spans="2:21" x14ac:dyDescent="0.2">
      <c r="B23" s="29">
        <f t="shared" ref="B23:B31" si="10">B22+1</f>
        <v>3</v>
      </c>
      <c r="C23" s="30">
        <v>4.0890000000000004</v>
      </c>
      <c r="D23" s="30">
        <f t="shared" si="4"/>
        <v>0.47149999999999892</v>
      </c>
      <c r="E23" s="32">
        <v>38.86</v>
      </c>
      <c r="F23" s="33">
        <f t="shared" si="5"/>
        <v>3.8860000000000001E-3</v>
      </c>
      <c r="G23" s="33">
        <f t="shared" si="6"/>
        <v>3.8860000000000001E-3</v>
      </c>
      <c r="H23" s="34">
        <f t="shared" si="7"/>
        <v>0.14168356000000001</v>
      </c>
      <c r="I23" s="34">
        <v>29.931299999999993</v>
      </c>
      <c r="J23" s="34">
        <f t="shared" si="8"/>
        <v>29.789616439999993</v>
      </c>
      <c r="K23" s="34">
        <f t="shared" si="9"/>
        <v>0.13044813812312386</v>
      </c>
    </row>
    <row r="24" spans="2:21" x14ac:dyDescent="0.2">
      <c r="B24" s="29">
        <f t="shared" si="10"/>
        <v>4</v>
      </c>
      <c r="C24" s="30">
        <v>3.9550000000000001</v>
      </c>
      <c r="D24" s="30">
        <f t="shared" si="4"/>
        <v>0.60549999999999926</v>
      </c>
      <c r="E24" s="32">
        <v>55.43</v>
      </c>
      <c r="F24" s="33">
        <f t="shared" si="5"/>
        <v>5.5430000000000002E-3</v>
      </c>
      <c r="G24" s="33">
        <f t="shared" si="6"/>
        <v>5.5430000000000002E-3</v>
      </c>
      <c r="H24" s="34">
        <f t="shared" si="7"/>
        <v>0.20209778</v>
      </c>
      <c r="I24" s="34">
        <v>33.349099999999993</v>
      </c>
      <c r="J24" s="34">
        <f t="shared" si="8"/>
        <v>33.14700221999999</v>
      </c>
      <c r="K24" s="34">
        <f t="shared" si="9"/>
        <v>0.16722477535707606</v>
      </c>
    </row>
    <row r="25" spans="2:21" x14ac:dyDescent="0.2">
      <c r="B25" s="29">
        <f t="shared" si="10"/>
        <v>5</v>
      </c>
      <c r="C25" s="30">
        <v>3.8050000000000002</v>
      </c>
      <c r="D25" s="30">
        <f t="shared" si="4"/>
        <v>0.75549999999999917</v>
      </c>
      <c r="E25" s="32">
        <v>62.500000000000007</v>
      </c>
      <c r="F25" s="33">
        <f t="shared" si="5"/>
        <v>6.2500000000000012E-3</v>
      </c>
      <c r="G25" s="33">
        <f t="shared" si="6"/>
        <v>6.2500000000000012E-3</v>
      </c>
      <c r="H25" s="34">
        <f t="shared" si="7"/>
        <v>0.22787500000000005</v>
      </c>
      <c r="I25" s="34">
        <v>29.90870000000001</v>
      </c>
      <c r="J25" s="34">
        <f t="shared" si="8"/>
        <v>29.680825000000009</v>
      </c>
      <c r="K25" s="34">
        <f t="shared" si="9"/>
        <v>0.21057366161486413</v>
      </c>
    </row>
    <row r="26" spans="2:21" x14ac:dyDescent="0.2">
      <c r="B26" s="93">
        <f t="shared" si="10"/>
        <v>6</v>
      </c>
      <c r="C26" s="91">
        <v>3.6589999999999998</v>
      </c>
      <c r="D26" s="91">
        <f t="shared" si="4"/>
        <v>0.90149999999999952</v>
      </c>
      <c r="E26" s="94">
        <v>90.649999999999991</v>
      </c>
      <c r="F26" s="95">
        <f t="shared" si="5"/>
        <v>9.0650000000000001E-3</v>
      </c>
      <c r="G26" s="95">
        <f t="shared" si="6"/>
        <v>9.0650000000000001E-3</v>
      </c>
      <c r="H26" s="92">
        <f t="shared" si="7"/>
        <v>0.33050990000000002</v>
      </c>
      <c r="I26" s="92">
        <v>25.180700000000002</v>
      </c>
      <c r="J26" s="92">
        <f t="shared" si="8"/>
        <v>24.850190100000003</v>
      </c>
      <c r="K26" s="92">
        <f t="shared" si="9"/>
        <v>0.36478594181861002</v>
      </c>
      <c r="L26" s="96" t="s">
        <v>80</v>
      </c>
    </row>
    <row r="27" spans="2:21" x14ac:dyDescent="0.2">
      <c r="B27" s="29">
        <f t="shared" si="10"/>
        <v>7</v>
      </c>
      <c r="C27" s="30">
        <v>3.64</v>
      </c>
      <c r="D27" s="30">
        <f t="shared" si="4"/>
        <v>0.92049999999999921</v>
      </c>
      <c r="E27" s="32">
        <v>48.62</v>
      </c>
      <c r="F27" s="33">
        <f t="shared" si="5"/>
        <v>4.862E-3</v>
      </c>
      <c r="G27" s="33">
        <f t="shared" si="6"/>
        <v>4.862E-3</v>
      </c>
      <c r="H27" s="34">
        <f t="shared" si="7"/>
        <v>0.17726852000000001</v>
      </c>
      <c r="I27" s="34">
        <v>18.701499999999996</v>
      </c>
      <c r="J27" s="34">
        <f t="shared" si="8"/>
        <v>18.524231479999997</v>
      </c>
      <c r="K27" s="34">
        <f t="shared" si="9"/>
        <v>0.26246702894256863</v>
      </c>
    </row>
    <row r="28" spans="2:21" x14ac:dyDescent="0.2">
      <c r="B28" s="29">
        <f t="shared" si="10"/>
        <v>8</v>
      </c>
      <c r="C28" s="30">
        <v>3.5150000000000001</v>
      </c>
      <c r="D28" s="30">
        <f t="shared" si="4"/>
        <v>1.0454999999999992</v>
      </c>
      <c r="E28" s="32">
        <v>29.65</v>
      </c>
      <c r="F28" s="33">
        <f t="shared" si="5"/>
        <v>2.9649999999999998E-3</v>
      </c>
      <c r="G28" s="33">
        <f t="shared" si="6"/>
        <v>2.9649999999999998E-3</v>
      </c>
      <c r="H28" s="34">
        <f t="shared" si="7"/>
        <v>0.10810389999999999</v>
      </c>
      <c r="I28" s="34">
        <v>10.460599999999999</v>
      </c>
      <c r="J28" s="34">
        <f t="shared" si="8"/>
        <v>10.3524961</v>
      </c>
      <c r="K28" s="34">
        <f t="shared" si="9"/>
        <v>0.28640435807553694</v>
      </c>
    </row>
    <row r="29" spans="2:21" x14ac:dyDescent="0.2">
      <c r="B29" s="29">
        <f t="shared" si="10"/>
        <v>9</v>
      </c>
      <c r="C29" s="30">
        <v>3.41</v>
      </c>
      <c r="D29" s="30">
        <f t="shared" si="4"/>
        <v>1.1504999999999992</v>
      </c>
      <c r="E29" s="32">
        <v>13.5</v>
      </c>
      <c r="F29" s="33">
        <f t="shared" si="5"/>
        <v>1.3500000000000001E-3</v>
      </c>
      <c r="G29" s="33">
        <f t="shared" si="6"/>
        <v>1.3500000000000001E-3</v>
      </c>
      <c r="H29" s="34">
        <f t="shared" si="7"/>
        <v>4.9221000000000001E-2</v>
      </c>
      <c r="I29" s="34">
        <v>4.3473999999999933</v>
      </c>
      <c r="J29" s="34">
        <f t="shared" si="8"/>
        <v>4.2981789999999931</v>
      </c>
      <c r="K29" s="34">
        <f t="shared" si="9"/>
        <v>0.31408650035282437</v>
      </c>
    </row>
    <row r="30" spans="2:21" x14ac:dyDescent="0.2">
      <c r="B30" s="29">
        <f t="shared" si="10"/>
        <v>10</v>
      </c>
      <c r="C30" s="30">
        <v>3.28</v>
      </c>
      <c r="D30" s="30">
        <f t="shared" si="4"/>
        <v>1.2804999999999995</v>
      </c>
      <c r="E30" s="32">
        <v>22.080000000000002</v>
      </c>
      <c r="F30" s="33">
        <f t="shared" si="5"/>
        <v>2.2080000000000003E-3</v>
      </c>
      <c r="G30" s="33">
        <f t="shared" si="6"/>
        <v>2.2080000000000003E-3</v>
      </c>
      <c r="H30" s="34">
        <f t="shared" si="7"/>
        <v>8.0503680000000008E-2</v>
      </c>
      <c r="I30" s="34">
        <v>6.6931000000000012</v>
      </c>
      <c r="J30" s="34">
        <f t="shared" si="8"/>
        <v>6.6125963200000015</v>
      </c>
      <c r="K30" s="34">
        <f t="shared" si="9"/>
        <v>0.33390817965431163</v>
      </c>
    </row>
    <row r="31" spans="2:21" x14ac:dyDescent="0.2">
      <c r="B31" s="29">
        <f t="shared" si="10"/>
        <v>11</v>
      </c>
      <c r="C31" s="30">
        <v>3.2</v>
      </c>
      <c r="D31" s="30">
        <f t="shared" si="4"/>
        <v>1.3604999999999992</v>
      </c>
      <c r="E31" s="32">
        <v>15.13</v>
      </c>
      <c r="F31" s="33">
        <f t="shared" si="5"/>
        <v>1.513E-3</v>
      </c>
      <c r="G31" s="33">
        <f t="shared" si="6"/>
        <v>1.513E-3</v>
      </c>
      <c r="H31" s="34">
        <f t="shared" si="7"/>
        <v>5.5163980000000001E-2</v>
      </c>
      <c r="I31" s="34">
        <v>4.3521000000000072</v>
      </c>
      <c r="J31" s="34">
        <f t="shared" si="8"/>
        <v>4.2969360200000075</v>
      </c>
      <c r="K31" s="34">
        <f t="shared" si="9"/>
        <v>0.35211136329649084</v>
      </c>
    </row>
    <row r="32" spans="2:21" x14ac:dyDescent="0.2">
      <c r="B32" s="29">
        <f>B31+1</f>
        <v>12</v>
      </c>
      <c r="C32" s="30">
        <v>3.1549999999999998</v>
      </c>
      <c r="D32" s="30">
        <f t="shared" si="4"/>
        <v>1.4054999999999995</v>
      </c>
      <c r="E32" s="32">
        <v>19.440000000000001</v>
      </c>
      <c r="F32" s="33">
        <f t="shared" si="5"/>
        <v>1.9440000000000002E-3</v>
      </c>
      <c r="G32" s="33">
        <f t="shared" si="6"/>
        <v>1.9440000000000002E-3</v>
      </c>
      <c r="H32" s="34">
        <f t="shared" si="7"/>
        <v>7.0878240000000009E-2</v>
      </c>
      <c r="I32" s="34">
        <v>4.9899000000000058</v>
      </c>
      <c r="J32" s="34">
        <f t="shared" si="8"/>
        <v>4.9190217600000059</v>
      </c>
      <c r="K32" s="34">
        <f t="shared" si="9"/>
        <v>0.39520052865145244</v>
      </c>
    </row>
    <row r="33" spans="2:11" x14ac:dyDescent="0.2">
      <c r="B33" s="29" t="s">
        <v>21</v>
      </c>
      <c r="C33" s="29" t="s">
        <v>22</v>
      </c>
      <c r="D33" s="30">
        <v>0</v>
      </c>
      <c r="E33" s="29" t="s">
        <v>22</v>
      </c>
      <c r="F33" s="29" t="s">
        <v>22</v>
      </c>
      <c r="G33" s="29" t="s">
        <v>22</v>
      </c>
      <c r="H33" s="29" t="s">
        <v>22</v>
      </c>
      <c r="I33" s="29" t="s">
        <v>22</v>
      </c>
      <c r="J33" s="29" t="s">
        <v>22</v>
      </c>
      <c r="K33" s="34">
        <v>0</v>
      </c>
    </row>
    <row r="35" spans="2:11" ht="18" x14ac:dyDescent="0.25">
      <c r="B35" s="87" t="s">
        <v>20</v>
      </c>
      <c r="C35" s="87" t="s">
        <v>64</v>
      </c>
    </row>
    <row r="36" spans="2:11" x14ac:dyDescent="0.2">
      <c r="B36" s="34">
        <v>4.3001122902656057E-2</v>
      </c>
      <c r="C36" s="30">
        <f>1.86*B36*2</f>
        <v>0.15996417719788053</v>
      </c>
    </row>
    <row r="37" spans="2:11" x14ac:dyDescent="0.2">
      <c r="B37" s="34">
        <v>8.3435380249043747E-2</v>
      </c>
      <c r="C37" s="30">
        <f t="shared" ref="C37:C48" si="11">1.86*B37*2</f>
        <v>0.31037961452644275</v>
      </c>
    </row>
    <row r="38" spans="2:11" x14ac:dyDescent="0.2">
      <c r="B38" s="34">
        <v>0.13044813812312386</v>
      </c>
      <c r="C38" s="30">
        <f t="shared" si="11"/>
        <v>0.48526707381802081</v>
      </c>
    </row>
    <row r="39" spans="2:11" x14ac:dyDescent="0.2">
      <c r="B39" s="34">
        <v>0.16722477535707606</v>
      </c>
      <c r="C39" s="30">
        <f t="shared" si="11"/>
        <v>0.62207616432832291</v>
      </c>
    </row>
    <row r="40" spans="2:11" x14ac:dyDescent="0.2">
      <c r="B40" s="34">
        <v>0.21057366161486413</v>
      </c>
      <c r="C40" s="30">
        <f t="shared" si="11"/>
        <v>0.78333402120729456</v>
      </c>
    </row>
    <row r="41" spans="2:11" x14ac:dyDescent="0.2">
      <c r="B41" s="34">
        <v>0.36478594181861002</v>
      </c>
      <c r="C41" s="30">
        <f t="shared" si="11"/>
        <v>1.3570037035652294</v>
      </c>
    </row>
    <row r="42" spans="2:11" x14ac:dyDescent="0.2">
      <c r="B42" s="34">
        <v>0.26246702894256863</v>
      </c>
      <c r="C42" s="30">
        <f t="shared" si="11"/>
        <v>0.97637734766635531</v>
      </c>
    </row>
    <row r="43" spans="2:11" x14ac:dyDescent="0.2">
      <c r="B43" s="34">
        <v>0.28640435807553694</v>
      </c>
      <c r="C43" s="30">
        <f t="shared" si="11"/>
        <v>1.0654242120409974</v>
      </c>
    </row>
    <row r="44" spans="2:11" x14ac:dyDescent="0.2">
      <c r="B44" s="34">
        <v>0.31408650035282437</v>
      </c>
      <c r="C44" s="30">
        <f t="shared" si="11"/>
        <v>1.1684017813125067</v>
      </c>
    </row>
    <row r="45" spans="2:11" x14ac:dyDescent="0.2">
      <c r="B45" s="34">
        <v>0.33390817965431163</v>
      </c>
      <c r="C45" s="30">
        <f t="shared" si="11"/>
        <v>1.2421384283140393</v>
      </c>
    </row>
    <row r="46" spans="2:11" x14ac:dyDescent="0.2">
      <c r="B46" s="34">
        <v>0.35211136329649084</v>
      </c>
      <c r="C46" s="30">
        <f t="shared" si="11"/>
        <v>1.309854271462946</v>
      </c>
    </row>
    <row r="47" spans="2:11" x14ac:dyDescent="0.2">
      <c r="B47" s="34">
        <v>0.39520052865145244</v>
      </c>
      <c r="C47" s="30">
        <f t="shared" si="11"/>
        <v>1.4701459665834031</v>
      </c>
    </row>
    <row r="48" spans="2:11" x14ac:dyDescent="0.2">
      <c r="B48" s="34">
        <v>0</v>
      </c>
      <c r="C48" s="30">
        <f t="shared" si="11"/>
        <v>0</v>
      </c>
    </row>
  </sheetData>
  <sortState xmlns:xlrd2="http://schemas.microsoft.com/office/spreadsheetml/2017/richdata2" ref="T1:W35">
    <sortCondition ref="T1"/>
  </sortState>
  <mergeCells count="9">
    <mergeCell ref="T17:U17"/>
    <mergeCell ref="T18:U18"/>
    <mergeCell ref="A13:B13"/>
    <mergeCell ref="E1:L1"/>
    <mergeCell ref="A8:B8"/>
    <mergeCell ref="A9:B9"/>
    <mergeCell ref="A1:C1"/>
    <mergeCell ref="A12:B12"/>
    <mergeCell ref="A10:B10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764C-4728-4CBF-A8C6-AE5FD0008E2E}">
  <dimension ref="A1:N18"/>
  <sheetViews>
    <sheetView tabSelected="1" topLeftCell="A6" zoomScale="115" workbookViewId="0">
      <selection activeCell="F28" sqref="F28"/>
    </sheetView>
  </sheetViews>
  <sheetFormatPr baseColWidth="10" defaultColWidth="10.83203125" defaultRowHeight="16" x14ac:dyDescent="0.2"/>
  <cols>
    <col min="2" max="2" width="10.6640625" customWidth="1"/>
    <col min="3" max="3" width="11.83203125" customWidth="1"/>
    <col min="4" max="4" width="26.6640625" bestFit="1" customWidth="1"/>
    <col min="5" max="5" width="17.83203125" customWidth="1"/>
    <col min="8" max="8" width="26.83203125" customWidth="1"/>
    <col min="9" max="9" width="18.5" customWidth="1"/>
  </cols>
  <sheetData>
    <row r="1" spans="1:14" ht="20" x14ac:dyDescent="0.25">
      <c r="A1" s="35" t="s">
        <v>6</v>
      </c>
      <c r="B1" s="2" t="s">
        <v>56</v>
      </c>
      <c r="C1" s="2" t="s">
        <v>20</v>
      </c>
      <c r="D1" s="2" t="s">
        <v>57</v>
      </c>
      <c r="E1" s="6" t="s">
        <v>58</v>
      </c>
      <c r="F1" s="2" t="s">
        <v>28</v>
      </c>
      <c r="H1" s="81" t="s">
        <v>77</v>
      </c>
      <c r="I1" s="81" t="s">
        <v>23</v>
      </c>
      <c r="L1" s="101" t="s">
        <v>6</v>
      </c>
      <c r="M1" s="75" t="s">
        <v>57</v>
      </c>
      <c r="N1" s="75" t="s">
        <v>58</v>
      </c>
    </row>
    <row r="2" spans="1:14" x14ac:dyDescent="0.2">
      <c r="A2" s="51">
        <v>1</v>
      </c>
      <c r="B2" s="3">
        <v>0.16549999999999976</v>
      </c>
      <c r="C2" s="10">
        <v>4.3001122902656057E-2</v>
      </c>
      <c r="D2" s="10">
        <f>SQRT(C2)</f>
        <v>0.20736712107433053</v>
      </c>
      <c r="E2" s="10">
        <f>B2/(2*1.86*C2)</f>
        <v>1.0346066406810022</v>
      </c>
      <c r="F2" s="52">
        <v>3.46410161513775E-3</v>
      </c>
      <c r="G2" s="46"/>
      <c r="H2" s="64">
        <v>0.60397511688695427</v>
      </c>
      <c r="I2" s="64">
        <v>0.66433127458053798</v>
      </c>
      <c r="J2" s="100" t="s">
        <v>81</v>
      </c>
      <c r="L2" s="102">
        <v>1</v>
      </c>
      <c r="M2" s="72">
        <v>0.20736712107433053</v>
      </c>
      <c r="N2" s="72">
        <v>1.0346066406810022</v>
      </c>
    </row>
    <row r="3" spans="1:14" x14ac:dyDescent="0.2">
      <c r="A3" s="51">
        <v>2</v>
      </c>
      <c r="B3" s="3">
        <v>0.32549999999999901</v>
      </c>
      <c r="C3" s="10">
        <v>8.3435380249043747E-2</v>
      </c>
      <c r="D3" s="10">
        <f t="shared" ref="D3:D14" si="0">SQRT(C3)</f>
        <v>0.28885183096017192</v>
      </c>
      <c r="E3" s="10">
        <f t="shared" ref="E3:E12" si="1">B3/(2*1.86*C3)</f>
        <v>1.0487157814685284</v>
      </c>
      <c r="F3" s="52">
        <v>3.4641016151377548E-3</v>
      </c>
      <c r="G3" s="46"/>
      <c r="H3" s="72">
        <v>0.5123153608301908</v>
      </c>
      <c r="I3" s="72">
        <v>0.94277074555251728</v>
      </c>
      <c r="L3" s="102">
        <v>2</v>
      </c>
      <c r="M3" s="72">
        <v>0.28885183096017192</v>
      </c>
      <c r="N3" s="72">
        <v>1.0487157814685284</v>
      </c>
    </row>
    <row r="4" spans="1:14" x14ac:dyDescent="0.2">
      <c r="A4" s="51">
        <v>3</v>
      </c>
      <c r="B4" s="3">
        <v>0.47149999999999892</v>
      </c>
      <c r="C4" s="10">
        <v>0.13044813812312386</v>
      </c>
      <c r="D4" s="10">
        <f t="shared" si="0"/>
        <v>0.36117604865650194</v>
      </c>
      <c r="E4" s="10">
        <f t="shared" si="1"/>
        <v>0.97162990328252796</v>
      </c>
      <c r="F4" s="52">
        <v>3.4641016151377548E-3</v>
      </c>
      <c r="G4" s="46"/>
      <c r="H4" s="72">
        <v>0.62864976628600799</v>
      </c>
      <c r="I4" s="72">
        <v>0.95602751831939525</v>
      </c>
      <c r="L4" s="102">
        <v>3</v>
      </c>
      <c r="M4" s="72">
        <v>0.36117604865650194</v>
      </c>
      <c r="N4" s="72">
        <v>0.97162990328252796</v>
      </c>
    </row>
    <row r="5" spans="1:14" x14ac:dyDescent="0.2">
      <c r="A5" s="51">
        <v>4</v>
      </c>
      <c r="B5" s="3">
        <v>0.60549999999999926</v>
      </c>
      <c r="C5" s="10">
        <v>0.16722477535707606</v>
      </c>
      <c r="D5" s="10">
        <f t="shared" si="0"/>
        <v>0.40893125994117402</v>
      </c>
      <c r="E5" s="10">
        <f t="shared" si="1"/>
        <v>0.97335348100626629</v>
      </c>
      <c r="F5" s="52">
        <v>3.4641016151377548E-3</v>
      </c>
      <c r="G5" s="46"/>
      <c r="H5" s="72">
        <v>0.4588830587577451</v>
      </c>
      <c r="I5" s="72">
        <v>0.96446723817204205</v>
      </c>
      <c r="L5" s="102">
        <v>4</v>
      </c>
      <c r="M5" s="72">
        <v>0.40893125994117402</v>
      </c>
      <c r="N5" s="72">
        <v>0.97335348100626629</v>
      </c>
    </row>
    <row r="6" spans="1:14" x14ac:dyDescent="0.2">
      <c r="A6" s="51">
        <v>5</v>
      </c>
      <c r="B6" s="3">
        <v>0.75549999999999917</v>
      </c>
      <c r="C6" s="10">
        <v>0.21057366161486413</v>
      </c>
      <c r="D6" s="10">
        <f t="shared" si="0"/>
        <v>0.4588830587577451</v>
      </c>
      <c r="E6" s="10">
        <f t="shared" si="1"/>
        <v>0.96446723817204205</v>
      </c>
      <c r="F6" s="52">
        <v>3.4641016151377548E-3</v>
      </c>
      <c r="G6" s="46"/>
      <c r="H6" s="72">
        <v>0.36117604865650194</v>
      </c>
      <c r="I6" s="72">
        <v>0.97162990328252796</v>
      </c>
      <c r="L6" s="102">
        <v>5</v>
      </c>
      <c r="M6" s="72">
        <v>0.4588830587577451</v>
      </c>
      <c r="N6" s="72">
        <v>0.96446723817204205</v>
      </c>
    </row>
    <row r="7" spans="1:14" x14ac:dyDescent="0.2">
      <c r="A7" s="98">
        <v>6</v>
      </c>
      <c r="B7" s="74">
        <v>0.90149999999999952</v>
      </c>
      <c r="C7" s="64">
        <v>0.36478594181861002</v>
      </c>
      <c r="D7" s="64">
        <f t="shared" si="0"/>
        <v>0.60397511688695427</v>
      </c>
      <c r="E7" s="64">
        <f t="shared" si="1"/>
        <v>0.66433127458053809</v>
      </c>
      <c r="F7" s="99">
        <v>3.4641016151377548E-3</v>
      </c>
      <c r="G7" s="46"/>
      <c r="H7" s="72">
        <v>0.40893125994117402</v>
      </c>
      <c r="I7" s="72">
        <v>0.97335348100626629</v>
      </c>
      <c r="L7" s="103">
        <v>6</v>
      </c>
      <c r="M7" s="64">
        <v>0.60397511688695427</v>
      </c>
      <c r="N7" s="64">
        <v>0.66433127458053809</v>
      </c>
    </row>
    <row r="8" spans="1:14" x14ac:dyDescent="0.2">
      <c r="A8" s="51">
        <v>7</v>
      </c>
      <c r="B8" s="3">
        <v>0.92049999999999921</v>
      </c>
      <c r="C8" s="10">
        <v>0.26246702894256863</v>
      </c>
      <c r="D8" s="10">
        <f t="shared" si="0"/>
        <v>0.5123153608301908</v>
      </c>
      <c r="E8" s="10">
        <f t="shared" si="1"/>
        <v>0.94277074555251728</v>
      </c>
      <c r="F8" s="52">
        <v>3.4641016151377548E-3</v>
      </c>
      <c r="G8" s="46"/>
      <c r="H8" s="72">
        <v>0.53516759811813808</v>
      </c>
      <c r="I8" s="72">
        <v>0.98129926857694549</v>
      </c>
      <c r="L8" s="102">
        <v>7</v>
      </c>
      <c r="M8" s="72">
        <v>0.5123153608301908</v>
      </c>
      <c r="N8" s="72">
        <v>0.94277074555251728</v>
      </c>
    </row>
    <row r="9" spans="1:14" x14ac:dyDescent="0.2">
      <c r="A9" s="51">
        <v>8</v>
      </c>
      <c r="B9" s="3">
        <v>1.0454999999999992</v>
      </c>
      <c r="C9" s="10">
        <v>0.28640435807553694</v>
      </c>
      <c r="D9" s="10">
        <f t="shared" si="0"/>
        <v>0.53516759811813808</v>
      </c>
      <c r="E9" s="10">
        <f t="shared" si="1"/>
        <v>0.98129926857694549</v>
      </c>
      <c r="F9" s="52">
        <v>3.4641016151377548E-3</v>
      </c>
      <c r="G9" s="46"/>
      <c r="H9" s="72">
        <v>0.56043420697957436</v>
      </c>
      <c r="I9" s="72">
        <v>0.98467840292711828</v>
      </c>
      <c r="L9" s="102">
        <v>8</v>
      </c>
      <c r="M9" s="72">
        <v>0.53516759811813808</v>
      </c>
      <c r="N9" s="72">
        <v>0.98129926857694549</v>
      </c>
    </row>
    <row r="10" spans="1:14" x14ac:dyDescent="0.2">
      <c r="A10" s="51">
        <v>9</v>
      </c>
      <c r="B10" s="3">
        <v>1.1504999999999992</v>
      </c>
      <c r="C10" s="10">
        <v>0.31408650035282437</v>
      </c>
      <c r="D10" s="10">
        <f t="shared" si="0"/>
        <v>0.56043420697957436</v>
      </c>
      <c r="E10" s="10">
        <f t="shared" si="1"/>
        <v>0.98467840292711828</v>
      </c>
      <c r="F10" s="52">
        <v>3.4641016151377548E-3</v>
      </c>
      <c r="G10" s="46"/>
      <c r="H10" s="72">
        <v>0.57784788625927463</v>
      </c>
      <c r="I10" s="72">
        <v>1.0308834915751126</v>
      </c>
      <c r="L10" s="102">
        <v>9</v>
      </c>
      <c r="M10" s="72">
        <v>0.56043420697957436</v>
      </c>
      <c r="N10" s="72">
        <v>0.98467840292711828</v>
      </c>
    </row>
    <row r="11" spans="1:14" x14ac:dyDescent="0.2">
      <c r="A11" s="51">
        <v>10</v>
      </c>
      <c r="B11" s="3">
        <v>1.2804999999999995</v>
      </c>
      <c r="C11" s="10">
        <v>0.33390817965431163</v>
      </c>
      <c r="D11" s="10">
        <f t="shared" si="0"/>
        <v>0.57784788625927463</v>
      </c>
      <c r="E11" s="10">
        <f t="shared" si="1"/>
        <v>1.0308834915751126</v>
      </c>
      <c r="F11" s="52">
        <v>3.4641016151377548E-3</v>
      </c>
      <c r="G11" s="46"/>
      <c r="H11" s="72">
        <v>0.20736712107433053</v>
      </c>
      <c r="I11" s="72">
        <v>1.0346066406810022</v>
      </c>
      <c r="L11" s="102">
        <v>10</v>
      </c>
      <c r="M11" s="72">
        <v>0.57784788625927463</v>
      </c>
      <c r="N11" s="72">
        <v>1.0308834915751126</v>
      </c>
    </row>
    <row r="12" spans="1:14" x14ac:dyDescent="0.2">
      <c r="A12" s="51">
        <v>11</v>
      </c>
      <c r="B12" s="3">
        <v>1.3604999999999992</v>
      </c>
      <c r="C12" s="10">
        <v>0.35211136329649084</v>
      </c>
      <c r="D12" s="10">
        <f t="shared" si="0"/>
        <v>0.59338972294478676</v>
      </c>
      <c r="E12" s="10">
        <f t="shared" si="1"/>
        <v>1.0386651627134735</v>
      </c>
      <c r="F12" s="52">
        <v>3.4641016151377548E-3</v>
      </c>
      <c r="G12" s="46"/>
      <c r="H12" s="72">
        <v>0.59338972294478676</v>
      </c>
      <c r="I12" s="72">
        <v>1.0386651627134735</v>
      </c>
      <c r="L12" s="104">
        <v>11</v>
      </c>
      <c r="M12" s="72">
        <v>0.59338972294478676</v>
      </c>
      <c r="N12" s="72">
        <v>1.0386651627134735</v>
      </c>
    </row>
    <row r="13" spans="1:14" x14ac:dyDescent="0.2">
      <c r="A13" s="76">
        <v>12</v>
      </c>
      <c r="B13" s="3">
        <v>1.4054999999999995</v>
      </c>
      <c r="C13" s="10">
        <v>0.39520052865145244</v>
      </c>
      <c r="D13" s="10">
        <f t="shared" si="0"/>
        <v>0.62864976628600799</v>
      </c>
      <c r="E13" s="10">
        <f>B13/(2*1.86*C13)</f>
        <v>0.95602751831939525</v>
      </c>
      <c r="F13" s="52">
        <v>3.4641016151377548E-3</v>
      </c>
      <c r="G13" s="46"/>
      <c r="H13" s="72">
        <v>0.28885183096017192</v>
      </c>
      <c r="I13" s="72">
        <v>1.0487157814685284</v>
      </c>
      <c r="L13" s="68">
        <v>12</v>
      </c>
      <c r="M13" s="72">
        <v>0.62864976628600799</v>
      </c>
      <c r="N13" s="72">
        <v>0.95602751831939525</v>
      </c>
    </row>
    <row r="14" spans="1:14" x14ac:dyDescent="0.2">
      <c r="A14" s="68" t="s">
        <v>24</v>
      </c>
      <c r="B14" s="53">
        <v>0</v>
      </c>
      <c r="C14" s="54">
        <v>0</v>
      </c>
      <c r="D14" s="54">
        <f t="shared" si="0"/>
        <v>0</v>
      </c>
      <c r="E14" s="10">
        <v>1</v>
      </c>
      <c r="F14" s="52">
        <v>3.4641016151377548E-3</v>
      </c>
      <c r="G14" s="46"/>
      <c r="H14" s="67"/>
      <c r="I14" s="67"/>
    </row>
    <row r="15" spans="1:14" x14ac:dyDescent="0.2">
      <c r="H15" s="81" t="s">
        <v>76</v>
      </c>
      <c r="I15" s="4">
        <f>(I3-I2)/(I13-I2)</f>
        <v>0.72437745534087439</v>
      </c>
    </row>
    <row r="16" spans="1:14" x14ac:dyDescent="0.2">
      <c r="H16" s="81" t="s">
        <v>75</v>
      </c>
      <c r="I16" s="81">
        <v>12</v>
      </c>
    </row>
    <row r="17" spans="8:9" x14ac:dyDescent="0.2">
      <c r="H17" s="111" t="s">
        <v>74</v>
      </c>
      <c r="I17" s="112"/>
    </row>
    <row r="18" spans="8:9" x14ac:dyDescent="0.2">
      <c r="H18" s="111" t="s">
        <v>73</v>
      </c>
      <c r="I18" s="112"/>
    </row>
  </sheetData>
  <mergeCells count="2">
    <mergeCell ref="H18:I18"/>
    <mergeCell ref="H17:I17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130A-8AE8-4DAB-9719-05068FDDAC2E}">
  <dimension ref="A1:L21"/>
  <sheetViews>
    <sheetView zoomScale="170" zoomScaleNormal="100" workbookViewId="0">
      <selection activeCell="E10" sqref="E10"/>
    </sheetView>
  </sheetViews>
  <sheetFormatPr baseColWidth="10" defaultColWidth="8.83203125" defaultRowHeight="16" x14ac:dyDescent="0.2"/>
  <cols>
    <col min="1" max="1" width="22.5" customWidth="1"/>
    <col min="2" max="2" width="24.6640625" bestFit="1" customWidth="1"/>
    <col min="3" max="3" width="13.33203125" bestFit="1" customWidth="1"/>
    <col min="4" max="4" width="33.83203125" bestFit="1" customWidth="1"/>
    <col min="5" max="5" width="20.1640625" bestFit="1" customWidth="1"/>
    <col min="6" max="6" width="14.33203125" bestFit="1" customWidth="1"/>
    <col min="7" max="7" width="13.1640625" bestFit="1" customWidth="1"/>
  </cols>
  <sheetData>
    <row r="1" spans="1:12" x14ac:dyDescent="0.2">
      <c r="A1" s="118" t="s">
        <v>0</v>
      </c>
      <c r="B1" s="118"/>
      <c r="C1" s="118"/>
    </row>
    <row r="2" spans="1:12" x14ac:dyDescent="0.2">
      <c r="A2" s="2" t="s">
        <v>1</v>
      </c>
      <c r="B2" s="2" t="s">
        <v>2</v>
      </c>
      <c r="C2" s="2" t="s">
        <v>4</v>
      </c>
    </row>
    <row r="3" spans="1:12" x14ac:dyDescent="0.2">
      <c r="A3" s="1">
        <v>1</v>
      </c>
      <c r="B3" s="1">
        <v>4.5609999999999999</v>
      </c>
      <c r="C3" s="3">
        <f>B3-B4</f>
        <v>1.000000000000334E-3</v>
      </c>
    </row>
    <row r="4" spans="1:12" x14ac:dyDescent="0.2">
      <c r="A4" s="1">
        <v>2</v>
      </c>
      <c r="B4" s="3">
        <v>4.5599999999999996</v>
      </c>
      <c r="D4" s="55"/>
    </row>
    <row r="5" spans="1:12" x14ac:dyDescent="0.2">
      <c r="A5" s="2" t="s">
        <v>3</v>
      </c>
      <c r="B5" s="4">
        <f>AVERAGE(B3:B4)</f>
        <v>4.5604999999999993</v>
      </c>
    </row>
    <row r="6" spans="1:12" x14ac:dyDescent="0.2">
      <c r="A6" s="69" t="s">
        <v>25</v>
      </c>
      <c r="B6" s="77">
        <f>SQRT(0.002^2+0.002^2)</f>
        <v>2.8284271247461901E-3</v>
      </c>
    </row>
    <row r="8" spans="1:12" ht="18" x14ac:dyDescent="0.25">
      <c r="A8" s="69" t="s">
        <v>6</v>
      </c>
      <c r="B8" s="71" t="s">
        <v>7</v>
      </c>
      <c r="C8" s="69" t="s">
        <v>65</v>
      </c>
      <c r="D8" s="71" t="s">
        <v>26</v>
      </c>
      <c r="E8" s="69" t="s">
        <v>27</v>
      </c>
      <c r="F8" s="40"/>
      <c r="G8" s="40"/>
      <c r="H8" s="40"/>
      <c r="I8" s="40"/>
      <c r="J8" s="40"/>
      <c r="K8" s="41"/>
      <c r="L8" s="42"/>
    </row>
    <row r="9" spans="1:12" x14ac:dyDescent="0.2">
      <c r="A9" s="68">
        <v>1</v>
      </c>
      <c r="B9" s="70">
        <v>4.3949999999999996</v>
      </c>
      <c r="C9" s="70">
        <v>0.16550000000000001</v>
      </c>
      <c r="D9" s="73">
        <v>2E-3</v>
      </c>
      <c r="E9" s="52">
        <f>SQRT(D9^2+$B$6^2)</f>
        <v>3.4641016151377548E-3</v>
      </c>
      <c r="F9" s="43"/>
      <c r="G9" s="44"/>
      <c r="H9" s="44"/>
      <c r="I9" s="44"/>
      <c r="J9" s="44"/>
      <c r="K9" s="41"/>
      <c r="L9" s="42"/>
    </row>
    <row r="10" spans="1:12" x14ac:dyDescent="0.2">
      <c r="A10" s="68">
        <v>2</v>
      </c>
      <c r="B10" s="70">
        <v>4.2350000000000003</v>
      </c>
      <c r="C10" s="70">
        <v>0.32549999999999901</v>
      </c>
      <c r="D10" s="73">
        <v>2E-3</v>
      </c>
      <c r="E10" s="52">
        <f>SQRT(D10^2+$B$6^2)</f>
        <v>3.4641016151377548E-3</v>
      </c>
      <c r="F10" s="43"/>
      <c r="G10" s="44"/>
      <c r="H10" s="44"/>
      <c r="I10" s="44"/>
      <c r="J10" s="44"/>
      <c r="K10" s="41"/>
      <c r="L10" s="42"/>
    </row>
    <row r="11" spans="1:12" x14ac:dyDescent="0.2">
      <c r="A11" s="68">
        <v>3</v>
      </c>
      <c r="B11" s="70">
        <v>4.0890000000000004</v>
      </c>
      <c r="C11" s="70">
        <v>0.47149999999999892</v>
      </c>
      <c r="D11" s="73">
        <v>2E-3</v>
      </c>
      <c r="E11" s="52">
        <f>SQRT(D11^2+$B$6^2)</f>
        <v>3.4641016151377548E-3</v>
      </c>
      <c r="F11" s="43"/>
      <c r="G11" s="44"/>
      <c r="H11" s="44"/>
      <c r="I11" s="44"/>
      <c r="J11" s="44"/>
      <c r="K11" s="41"/>
      <c r="L11" s="42"/>
    </row>
    <row r="12" spans="1:12" x14ac:dyDescent="0.2">
      <c r="A12" s="68">
        <v>4</v>
      </c>
      <c r="B12" s="70">
        <v>3.9550000000000001</v>
      </c>
      <c r="C12" s="70">
        <v>0.60549999999999926</v>
      </c>
      <c r="D12" s="73">
        <v>2E-3</v>
      </c>
      <c r="E12" s="52">
        <f t="shared" ref="E12:E21" si="0">SQRT(D12^2+$B$6^2)</f>
        <v>3.4641016151377548E-3</v>
      </c>
      <c r="F12" s="43"/>
      <c r="G12" s="44"/>
      <c r="H12" s="44"/>
      <c r="I12" s="44"/>
      <c r="J12" s="44"/>
      <c r="K12" s="41"/>
      <c r="L12" s="42"/>
    </row>
    <row r="13" spans="1:12" x14ac:dyDescent="0.2">
      <c r="A13" s="68">
        <v>5</v>
      </c>
      <c r="B13" s="70">
        <v>3.8050000000000002</v>
      </c>
      <c r="C13" s="70">
        <v>0.75549999999999917</v>
      </c>
      <c r="D13" s="73">
        <v>2E-3</v>
      </c>
      <c r="E13" s="52">
        <f t="shared" si="0"/>
        <v>3.4641016151377548E-3</v>
      </c>
      <c r="F13" s="43"/>
      <c r="G13" s="44"/>
      <c r="H13" s="44"/>
      <c r="I13" s="44"/>
      <c r="J13" s="44"/>
      <c r="K13" s="41"/>
      <c r="L13" s="42"/>
    </row>
    <row r="14" spans="1:12" x14ac:dyDescent="0.2">
      <c r="A14" s="66">
        <v>6</v>
      </c>
      <c r="B14" s="74">
        <v>3.6589999999999998</v>
      </c>
      <c r="C14" s="74">
        <v>0.90149999999999952</v>
      </c>
      <c r="D14" s="74">
        <v>2E-3</v>
      </c>
      <c r="E14" s="99">
        <f t="shared" si="0"/>
        <v>3.4641016151377548E-3</v>
      </c>
      <c r="F14" s="43"/>
      <c r="G14" s="44"/>
      <c r="H14" s="44"/>
      <c r="I14" s="44"/>
      <c r="J14" s="44"/>
      <c r="K14" s="41"/>
      <c r="L14" s="42"/>
    </row>
    <row r="15" spans="1:12" x14ac:dyDescent="0.2">
      <c r="A15" s="68">
        <v>7</v>
      </c>
      <c r="B15" s="70">
        <v>3.64</v>
      </c>
      <c r="C15" s="70">
        <v>0.92049999999999921</v>
      </c>
      <c r="D15" s="73">
        <v>2E-3</v>
      </c>
      <c r="E15" s="52">
        <f t="shared" si="0"/>
        <v>3.4641016151377548E-3</v>
      </c>
      <c r="F15" s="43"/>
      <c r="G15" s="44"/>
      <c r="H15" s="44"/>
      <c r="I15" s="44"/>
      <c r="J15" s="44"/>
      <c r="K15" s="41"/>
      <c r="L15" s="42"/>
    </row>
    <row r="16" spans="1:12" x14ac:dyDescent="0.2">
      <c r="A16" s="68">
        <v>8</v>
      </c>
      <c r="B16" s="70">
        <v>3.5150000000000001</v>
      </c>
      <c r="C16" s="70">
        <v>1.0454999999999992</v>
      </c>
      <c r="D16" s="73">
        <v>2E-3</v>
      </c>
      <c r="E16" s="52">
        <f t="shared" si="0"/>
        <v>3.4641016151377548E-3</v>
      </c>
      <c r="F16" s="43"/>
      <c r="G16" s="44"/>
      <c r="H16" s="44"/>
      <c r="I16" s="44"/>
      <c r="J16" s="44"/>
      <c r="K16" s="41"/>
      <c r="L16" s="42"/>
    </row>
    <row r="17" spans="1:12" x14ac:dyDescent="0.2">
      <c r="A17" s="68">
        <v>9</v>
      </c>
      <c r="B17" s="70">
        <v>3.41</v>
      </c>
      <c r="C17" s="70">
        <v>1.1504999999999992</v>
      </c>
      <c r="D17" s="73">
        <v>2E-3</v>
      </c>
      <c r="E17" s="52">
        <f t="shared" si="0"/>
        <v>3.4641016151377548E-3</v>
      </c>
      <c r="F17" s="43"/>
      <c r="G17" s="44"/>
      <c r="H17" s="44"/>
      <c r="I17" s="44"/>
      <c r="J17" s="44"/>
      <c r="K17" s="41"/>
      <c r="L17" s="42"/>
    </row>
    <row r="18" spans="1:12" x14ac:dyDescent="0.2">
      <c r="A18" s="68">
        <v>10</v>
      </c>
      <c r="B18" s="70">
        <v>3.28</v>
      </c>
      <c r="C18" s="70">
        <v>1.2804999999999995</v>
      </c>
      <c r="D18" s="73">
        <v>2E-3</v>
      </c>
      <c r="E18" s="52">
        <f t="shared" si="0"/>
        <v>3.4641016151377548E-3</v>
      </c>
      <c r="F18" s="43"/>
      <c r="G18" s="44"/>
      <c r="H18" s="44"/>
      <c r="I18" s="44"/>
      <c r="J18" s="44"/>
      <c r="K18" s="41"/>
      <c r="L18" s="42"/>
    </row>
    <row r="19" spans="1:12" x14ac:dyDescent="0.2">
      <c r="A19" s="68">
        <v>11</v>
      </c>
      <c r="B19" s="70">
        <v>3.2</v>
      </c>
      <c r="C19" s="70">
        <v>1.3604999999999992</v>
      </c>
      <c r="D19" s="73">
        <v>2E-3</v>
      </c>
      <c r="E19" s="52">
        <f t="shared" si="0"/>
        <v>3.4641016151377548E-3</v>
      </c>
      <c r="F19" s="43"/>
      <c r="G19" s="44"/>
      <c r="H19" s="44"/>
      <c r="I19" s="44"/>
      <c r="J19" s="44"/>
      <c r="K19" s="41"/>
      <c r="L19" s="42"/>
    </row>
    <row r="20" spans="1:12" x14ac:dyDescent="0.2">
      <c r="A20" s="68">
        <v>12</v>
      </c>
      <c r="B20" s="70">
        <v>3.1549999999999998</v>
      </c>
      <c r="C20" s="70">
        <v>1.4054999999999995</v>
      </c>
      <c r="D20" s="73">
        <v>2E-3</v>
      </c>
      <c r="E20" s="52">
        <f t="shared" si="0"/>
        <v>3.4641016151377548E-3</v>
      </c>
      <c r="F20" s="43"/>
      <c r="G20" s="44"/>
      <c r="H20" s="44"/>
      <c r="I20" s="44"/>
      <c r="J20" s="44"/>
      <c r="K20" s="41"/>
      <c r="L20" s="42"/>
    </row>
    <row r="21" spans="1:12" x14ac:dyDescent="0.2">
      <c r="A21" s="68" t="s">
        <v>21</v>
      </c>
      <c r="B21" s="68" t="s">
        <v>22</v>
      </c>
      <c r="C21" s="70">
        <v>0</v>
      </c>
      <c r="D21" s="73">
        <v>2E-3</v>
      </c>
      <c r="E21" s="52">
        <f t="shared" si="0"/>
        <v>3.4641016151377548E-3</v>
      </c>
      <c r="F21" s="45"/>
      <c r="G21" s="45"/>
      <c r="H21" s="45"/>
      <c r="I21" s="45"/>
      <c r="J21" s="44"/>
      <c r="K21" s="41"/>
      <c r="L21" s="4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DFF3-AE43-4B46-B471-FB1466478F8D}">
  <dimension ref="A1:I35"/>
  <sheetViews>
    <sheetView zoomScale="125" workbookViewId="0">
      <selection activeCell="A8" sqref="A8:H8"/>
    </sheetView>
  </sheetViews>
  <sheetFormatPr baseColWidth="10" defaultColWidth="8.83203125" defaultRowHeight="16" x14ac:dyDescent="0.2"/>
  <cols>
    <col min="1" max="1" width="22.83203125" bestFit="1" customWidth="1"/>
    <col min="2" max="2" width="11" bestFit="1" customWidth="1"/>
    <col min="3" max="3" width="26.83203125" bestFit="1" customWidth="1"/>
    <col min="4" max="4" width="17.5" bestFit="1" customWidth="1"/>
    <col min="5" max="5" width="8.83203125" bestFit="1" customWidth="1"/>
    <col min="8" max="8" width="12.1640625" bestFit="1" customWidth="1"/>
    <col min="9" max="9" width="11.83203125" bestFit="1" customWidth="1"/>
  </cols>
  <sheetData>
    <row r="1" spans="1:9" ht="18" customHeight="1" x14ac:dyDescent="0.2">
      <c r="A1" s="120" t="s">
        <v>66</v>
      </c>
      <c r="B1" s="120" t="s">
        <v>20</v>
      </c>
      <c r="C1" s="120" t="s">
        <v>57</v>
      </c>
      <c r="D1" s="121" t="s">
        <v>23</v>
      </c>
      <c r="E1" s="120" t="s">
        <v>28</v>
      </c>
      <c r="F1" s="118" t="s">
        <v>29</v>
      </c>
      <c r="G1" s="118"/>
      <c r="H1" s="118"/>
      <c r="I1" s="38"/>
    </row>
    <row r="2" spans="1:9" ht="19" x14ac:dyDescent="0.2">
      <c r="A2" s="120"/>
      <c r="B2" s="120"/>
      <c r="C2" s="120"/>
      <c r="D2" s="121"/>
      <c r="E2" s="120"/>
      <c r="F2" s="6" t="s">
        <v>30</v>
      </c>
      <c r="G2" s="6" t="s">
        <v>67</v>
      </c>
      <c r="H2" s="6" t="s">
        <v>31</v>
      </c>
      <c r="I2" s="38"/>
    </row>
    <row r="3" spans="1:9" x14ac:dyDescent="0.2">
      <c r="A3" s="82">
        <v>0.16549999999999976</v>
      </c>
      <c r="B3" s="83">
        <v>4.3001122902656057E-2</v>
      </c>
      <c r="C3" s="15">
        <f>SQRT(B3)</f>
        <v>0.20736712107433053</v>
      </c>
      <c r="D3" s="15">
        <f>A3/(2*1.86*B3)</f>
        <v>1.0346066406810022</v>
      </c>
      <c r="E3" s="84">
        <v>3.4641016151377548E-3</v>
      </c>
      <c r="F3" s="78">
        <f>1-D3</f>
        <v>-3.4606640681002165E-2</v>
      </c>
      <c r="G3" s="10">
        <f>C3</f>
        <v>0.20736712107433053</v>
      </c>
      <c r="H3" s="10">
        <f>G3^2</f>
        <v>4.3001122902656057E-2</v>
      </c>
      <c r="I3" s="39"/>
    </row>
    <row r="4" spans="1:9" x14ac:dyDescent="0.2">
      <c r="A4" s="30">
        <v>0.32549999999999901</v>
      </c>
      <c r="B4" s="36">
        <v>8.3435380249043747E-2</v>
      </c>
      <c r="C4" s="10">
        <f t="shared" ref="C4:C15" si="0">SQRT(B4)</f>
        <v>0.28885183096017192</v>
      </c>
      <c r="D4" s="10">
        <f t="shared" ref="D4:D13" si="1">A4/(2*1.86*B4)</f>
        <v>1.0487157814685284</v>
      </c>
      <c r="E4" s="52">
        <v>3.4641016151377548E-3</v>
      </c>
      <c r="F4" s="78">
        <f t="shared" ref="F4:F7" si="2">1-D4</f>
        <v>-4.8715781468528396E-2</v>
      </c>
      <c r="G4" s="10">
        <f t="shared" ref="G4:G7" si="3">C4</f>
        <v>0.28885183096017192</v>
      </c>
      <c r="H4" s="10">
        <f t="shared" ref="H4:H7" si="4">G4^2</f>
        <v>8.3435380249043734E-2</v>
      </c>
      <c r="I4" s="39"/>
    </row>
    <row r="5" spans="1:9" x14ac:dyDescent="0.2">
      <c r="A5" s="30">
        <v>0.47149999999999892</v>
      </c>
      <c r="B5" s="36">
        <v>0.13044813812312386</v>
      </c>
      <c r="C5" s="10">
        <f t="shared" si="0"/>
        <v>0.36117604865650194</v>
      </c>
      <c r="D5" s="10">
        <f t="shared" si="1"/>
        <v>0.97162990328252796</v>
      </c>
      <c r="E5" s="52">
        <v>3.4641016151377548E-3</v>
      </c>
      <c r="F5" s="78">
        <f t="shared" si="2"/>
        <v>2.8370096717472038E-2</v>
      </c>
      <c r="G5" s="10">
        <f t="shared" si="3"/>
        <v>0.36117604865650194</v>
      </c>
      <c r="H5" s="10">
        <f t="shared" si="4"/>
        <v>0.13044813812312386</v>
      </c>
      <c r="I5" s="39"/>
    </row>
    <row r="6" spans="1:9" x14ac:dyDescent="0.2">
      <c r="A6" s="30">
        <v>0.60549999999999926</v>
      </c>
      <c r="B6" s="36">
        <v>0.16722477535707606</v>
      </c>
      <c r="C6" s="10">
        <f t="shared" si="0"/>
        <v>0.40893125994117402</v>
      </c>
      <c r="D6" s="10">
        <f t="shared" si="1"/>
        <v>0.97335348100626629</v>
      </c>
      <c r="E6" s="52">
        <v>3.4641016151377548E-3</v>
      </c>
      <c r="F6" s="78">
        <f t="shared" si="2"/>
        <v>2.6646518993733714E-2</v>
      </c>
      <c r="G6" s="10">
        <f t="shared" si="3"/>
        <v>0.40893125994117402</v>
      </c>
      <c r="H6" s="10">
        <f t="shared" si="4"/>
        <v>0.16722477535707603</v>
      </c>
      <c r="I6" s="39"/>
    </row>
    <row r="7" spans="1:9" x14ac:dyDescent="0.2">
      <c r="A7" s="30">
        <v>0.75549999999999917</v>
      </c>
      <c r="B7" s="36">
        <v>0.21057366161486413</v>
      </c>
      <c r="C7" s="10">
        <f t="shared" si="0"/>
        <v>0.4588830587577451</v>
      </c>
      <c r="D7" s="10">
        <f t="shared" si="1"/>
        <v>0.96446723817204205</v>
      </c>
      <c r="E7" s="52">
        <v>3.4641016151377548E-3</v>
      </c>
      <c r="F7" s="78">
        <f t="shared" si="2"/>
        <v>3.5532761827957948E-2</v>
      </c>
      <c r="G7" s="10">
        <f t="shared" si="3"/>
        <v>0.4588830587577451</v>
      </c>
      <c r="H7" s="10">
        <f t="shared" si="4"/>
        <v>0.21057366161486415</v>
      </c>
      <c r="I7" s="39"/>
    </row>
    <row r="8" spans="1:9" x14ac:dyDescent="0.2">
      <c r="A8" s="37">
        <v>0.90149999999999952</v>
      </c>
      <c r="B8" s="109">
        <v>0.36478594181861002</v>
      </c>
      <c r="C8" s="64">
        <f t="shared" si="0"/>
        <v>0.60397511688695427</v>
      </c>
      <c r="D8" s="64">
        <f t="shared" si="1"/>
        <v>0.66433127458053809</v>
      </c>
      <c r="E8" s="99">
        <v>3.4641016151377548E-3</v>
      </c>
      <c r="F8" s="110">
        <f t="shared" ref="F8:F14" si="5">1-D9</f>
        <v>5.7229254447482725E-2</v>
      </c>
      <c r="G8" s="64">
        <f t="shared" ref="G8:G14" si="6">C9</f>
        <v>0.5123153608301908</v>
      </c>
      <c r="H8" s="64">
        <f t="shared" ref="H8:H14" si="7">G8^2</f>
        <v>0.26246702894256863</v>
      </c>
      <c r="I8" s="39"/>
    </row>
    <row r="9" spans="1:9" x14ac:dyDescent="0.2">
      <c r="A9" s="30">
        <v>0.92049999999999921</v>
      </c>
      <c r="B9" s="36">
        <v>0.26246702894256863</v>
      </c>
      <c r="C9" s="10">
        <f t="shared" si="0"/>
        <v>0.5123153608301908</v>
      </c>
      <c r="D9" s="10">
        <f t="shared" si="1"/>
        <v>0.94277074555251728</v>
      </c>
      <c r="E9" s="52">
        <v>3.4641016151377548E-3</v>
      </c>
      <c r="F9" s="78">
        <f t="shared" si="5"/>
        <v>1.8700731423054506E-2</v>
      </c>
      <c r="G9" s="10">
        <f t="shared" si="6"/>
        <v>0.53516759811813808</v>
      </c>
      <c r="H9" s="10">
        <f t="shared" si="7"/>
        <v>0.28640435807553694</v>
      </c>
      <c r="I9" s="39"/>
    </row>
    <row r="10" spans="1:9" x14ac:dyDescent="0.2">
      <c r="A10" s="30">
        <v>1.0454999999999992</v>
      </c>
      <c r="B10" s="36">
        <v>0.28640435807553694</v>
      </c>
      <c r="C10" s="10">
        <f t="shared" si="0"/>
        <v>0.53516759811813808</v>
      </c>
      <c r="D10" s="10">
        <f t="shared" si="1"/>
        <v>0.98129926857694549</v>
      </c>
      <c r="E10" s="52">
        <v>3.4641016151377548E-3</v>
      </c>
      <c r="F10" s="78">
        <f t="shared" si="5"/>
        <v>1.5321597072881721E-2</v>
      </c>
      <c r="G10" s="10">
        <f t="shared" si="6"/>
        <v>0.56043420697957436</v>
      </c>
      <c r="H10" s="10">
        <f t="shared" si="7"/>
        <v>0.31408650035282437</v>
      </c>
      <c r="I10" s="39"/>
    </row>
    <row r="11" spans="1:9" x14ac:dyDescent="0.2">
      <c r="A11" s="30">
        <v>1.1504999999999992</v>
      </c>
      <c r="B11" s="36">
        <v>0.31408650035282437</v>
      </c>
      <c r="C11" s="10">
        <f t="shared" si="0"/>
        <v>0.56043420697957436</v>
      </c>
      <c r="D11" s="10">
        <f t="shared" si="1"/>
        <v>0.98467840292711828</v>
      </c>
      <c r="E11" s="52">
        <v>3.4641016151377548E-3</v>
      </c>
      <c r="F11" s="78">
        <f t="shared" si="5"/>
        <v>-3.0883491575112609E-2</v>
      </c>
      <c r="G11" s="10">
        <f t="shared" si="6"/>
        <v>0.57784788625927463</v>
      </c>
      <c r="H11" s="10">
        <f t="shared" si="7"/>
        <v>0.33390817965431158</v>
      </c>
      <c r="I11" s="39"/>
    </row>
    <row r="12" spans="1:9" x14ac:dyDescent="0.2">
      <c r="A12" s="30">
        <v>1.2804999999999995</v>
      </c>
      <c r="B12" s="36">
        <v>0.33390817965431163</v>
      </c>
      <c r="C12" s="10">
        <f t="shared" si="0"/>
        <v>0.57784788625927463</v>
      </c>
      <c r="D12" s="10">
        <f t="shared" si="1"/>
        <v>1.0308834915751126</v>
      </c>
      <c r="E12" s="52">
        <v>3.4641016151377548E-3</v>
      </c>
      <c r="F12" s="78">
        <f t="shared" si="5"/>
        <v>-3.8665162713473533E-2</v>
      </c>
      <c r="G12" s="10">
        <f t="shared" si="6"/>
        <v>0.59338972294478676</v>
      </c>
      <c r="H12" s="10">
        <f t="shared" si="7"/>
        <v>0.35211136329649079</v>
      </c>
      <c r="I12" s="39"/>
    </row>
    <row r="13" spans="1:9" x14ac:dyDescent="0.2">
      <c r="A13" s="30">
        <v>1.3604999999999992</v>
      </c>
      <c r="B13" s="36">
        <v>0.35211136329649084</v>
      </c>
      <c r="C13" s="10">
        <f t="shared" si="0"/>
        <v>0.59338972294478676</v>
      </c>
      <c r="D13" s="10">
        <f t="shared" si="1"/>
        <v>1.0386651627134735</v>
      </c>
      <c r="E13" s="52">
        <v>3.4641016151377548E-3</v>
      </c>
      <c r="F13" s="78">
        <f t="shared" si="5"/>
        <v>4.3972481680604747E-2</v>
      </c>
      <c r="G13" s="10">
        <f t="shared" si="6"/>
        <v>0.62864976628600799</v>
      </c>
      <c r="H13" s="10">
        <f t="shared" si="7"/>
        <v>0.3952005286514525</v>
      </c>
      <c r="I13" s="39"/>
    </row>
    <row r="14" spans="1:9" x14ac:dyDescent="0.2">
      <c r="A14" s="79">
        <v>1.4054999999999995</v>
      </c>
      <c r="B14" s="80">
        <v>0.39520052865145244</v>
      </c>
      <c r="C14" s="11">
        <f t="shared" si="0"/>
        <v>0.62864976628600799</v>
      </c>
      <c r="D14" s="11">
        <f>A14/(2*1.86*B14)</f>
        <v>0.95602751831939525</v>
      </c>
      <c r="E14" s="52">
        <v>3.4641016151377548E-3</v>
      </c>
      <c r="F14" s="78">
        <f t="shared" si="5"/>
        <v>0</v>
      </c>
      <c r="G14" s="10">
        <f t="shared" si="6"/>
        <v>0</v>
      </c>
      <c r="H14" s="10">
        <f t="shared" si="7"/>
        <v>0</v>
      </c>
      <c r="I14" s="44"/>
    </row>
    <row r="15" spans="1:9" x14ac:dyDescent="0.2">
      <c r="A15" s="73">
        <v>0</v>
      </c>
      <c r="B15" s="65">
        <v>0</v>
      </c>
      <c r="C15" s="65">
        <f t="shared" si="0"/>
        <v>0</v>
      </c>
      <c r="D15" s="72">
        <v>1</v>
      </c>
      <c r="E15" s="52">
        <v>3.4641016151377548E-3</v>
      </c>
      <c r="I15" s="38"/>
    </row>
    <row r="16" spans="1:9" x14ac:dyDescent="0.2">
      <c r="H16" s="38"/>
    </row>
    <row r="17" spans="1:9" x14ac:dyDescent="0.2">
      <c r="A17" t="s">
        <v>32</v>
      </c>
      <c r="F17" s="75" t="s">
        <v>82</v>
      </c>
      <c r="G17" s="75" t="s">
        <v>84</v>
      </c>
      <c r="H17" s="75" t="s">
        <v>83</v>
      </c>
      <c r="I17" s="75" t="s">
        <v>85</v>
      </c>
    </row>
    <row r="18" spans="1:9" ht="17" thickBot="1" x14ac:dyDescent="0.25">
      <c r="F18" s="70">
        <f>-B34</f>
        <v>2.3019611212124376E-2</v>
      </c>
      <c r="G18" s="70">
        <f>C34</f>
        <v>0.12954716389417076</v>
      </c>
      <c r="H18" s="70">
        <f>-B35</f>
        <v>-8.1172634044739012E-2</v>
      </c>
      <c r="I18" s="70">
        <f>C35</f>
        <v>0.24194347972388808</v>
      </c>
    </row>
    <row r="19" spans="1:9" x14ac:dyDescent="0.2">
      <c r="A19" s="50" t="s">
        <v>33</v>
      </c>
      <c r="B19" s="50"/>
    </row>
    <row r="20" spans="1:9" x14ac:dyDescent="0.2">
      <c r="A20" s="47" t="s">
        <v>34</v>
      </c>
      <c r="B20" s="47">
        <v>0.28178781336992087</v>
      </c>
    </row>
    <row r="21" spans="1:9" x14ac:dyDescent="0.2">
      <c r="A21" s="47" t="s">
        <v>35</v>
      </c>
      <c r="B21" s="47">
        <v>7.9404371763801357E-2</v>
      </c>
    </row>
    <row r="22" spans="1:9" x14ac:dyDescent="0.2">
      <c r="A22" s="47" t="s">
        <v>36</v>
      </c>
      <c r="B22" s="47">
        <v>-0.1126551910598185</v>
      </c>
    </row>
    <row r="23" spans="1:9" x14ac:dyDescent="0.2">
      <c r="A23" s="47" t="s">
        <v>37</v>
      </c>
      <c r="B23" s="47">
        <v>3.6649429262743519E-2</v>
      </c>
    </row>
    <row r="24" spans="1:9" ht="17" thickBot="1" x14ac:dyDescent="0.25">
      <c r="A24" s="48" t="s">
        <v>38</v>
      </c>
      <c r="B24" s="48">
        <v>12</v>
      </c>
    </row>
    <row r="26" spans="1:9" ht="17" thickBot="1" x14ac:dyDescent="0.25">
      <c r="A26" t="s">
        <v>39</v>
      </c>
    </row>
    <row r="27" spans="1:9" x14ac:dyDescent="0.2">
      <c r="A27" s="49"/>
      <c r="B27" s="49" t="s">
        <v>44</v>
      </c>
      <c r="C27" s="49" t="s">
        <v>45</v>
      </c>
      <c r="D27" s="49" t="s">
        <v>46</v>
      </c>
      <c r="E27" s="49" t="s">
        <v>47</v>
      </c>
      <c r="F27" s="49" t="s">
        <v>48</v>
      </c>
    </row>
    <row r="28" spans="1:9" x14ac:dyDescent="0.2">
      <c r="A28" s="47" t="s">
        <v>40</v>
      </c>
      <c r="B28" s="47">
        <v>2</v>
      </c>
      <c r="C28" s="47">
        <v>1.1585370777457468E-3</v>
      </c>
      <c r="D28" s="47">
        <v>5.7926853887287338E-4</v>
      </c>
      <c r="E28" s="47">
        <v>0.43126628743574946</v>
      </c>
      <c r="F28" s="47">
        <v>0.66243499095580782</v>
      </c>
    </row>
    <row r="29" spans="1:9" x14ac:dyDescent="0.2">
      <c r="A29" s="47" t="s">
        <v>41</v>
      </c>
      <c r="B29" s="47">
        <v>10</v>
      </c>
      <c r="C29" s="47">
        <v>1.3431806652848408E-2</v>
      </c>
      <c r="D29" s="47">
        <v>1.3431806652848409E-3</v>
      </c>
      <c r="E29" s="47"/>
      <c r="F29" s="47"/>
    </row>
    <row r="30" spans="1:9" ht="17" thickBot="1" x14ac:dyDescent="0.25">
      <c r="A30" s="48" t="s">
        <v>42</v>
      </c>
      <c r="B30" s="48">
        <v>12</v>
      </c>
      <c r="C30" s="48">
        <v>1.4590343730594155E-2</v>
      </c>
      <c r="D30" s="48"/>
      <c r="E30" s="48"/>
      <c r="F30" s="48"/>
    </row>
    <row r="31" spans="1:9" ht="17" thickBot="1" x14ac:dyDescent="0.25"/>
    <row r="32" spans="1:9" x14ac:dyDescent="0.2">
      <c r="A32" s="49"/>
      <c r="B32" s="49" t="s">
        <v>49</v>
      </c>
      <c r="C32" s="49" t="s">
        <v>37</v>
      </c>
      <c r="D32" s="49" t="s">
        <v>50</v>
      </c>
      <c r="E32" s="49" t="s">
        <v>51</v>
      </c>
      <c r="F32" s="49" t="s">
        <v>52</v>
      </c>
      <c r="G32" s="49" t="s">
        <v>53</v>
      </c>
      <c r="H32" s="49" t="s">
        <v>54</v>
      </c>
      <c r="I32" s="49" t="s">
        <v>55</v>
      </c>
    </row>
    <row r="33" spans="1:9" x14ac:dyDescent="0.2">
      <c r="A33" s="47" t="s">
        <v>43</v>
      </c>
      <c r="B33" s="47">
        <v>0</v>
      </c>
      <c r="C33" s="47" t="e">
        <v>#N/A</v>
      </c>
      <c r="D33" s="47" t="e">
        <v>#N/A</v>
      </c>
      <c r="E33" s="47" t="e">
        <v>#N/A</v>
      </c>
      <c r="F33" s="47" t="e">
        <v>#N/A</v>
      </c>
      <c r="G33" s="47" t="e">
        <v>#N/A</v>
      </c>
      <c r="H33" s="47" t="e">
        <v>#N/A</v>
      </c>
      <c r="I33" s="47" t="e">
        <v>#N/A</v>
      </c>
    </row>
    <row r="34" spans="1:9" x14ac:dyDescent="0.2">
      <c r="A34" s="47" t="s">
        <v>68</v>
      </c>
      <c r="B34" s="47">
        <v>-2.3019611212124376E-2</v>
      </c>
      <c r="C34" s="47">
        <v>0.12954716389417076</v>
      </c>
      <c r="D34" s="47">
        <v>-0.17769289979153446</v>
      </c>
      <c r="E34" s="47">
        <v>0.862511988085362</v>
      </c>
      <c r="F34" s="47">
        <v>-0.31166868024935973</v>
      </c>
      <c r="G34" s="47">
        <v>0.26562945782511099</v>
      </c>
      <c r="H34" s="47">
        <v>-0.31166868024935973</v>
      </c>
      <c r="I34" s="47">
        <v>0.26562945782511099</v>
      </c>
    </row>
    <row r="35" spans="1:9" ht="17" thickBot="1" x14ac:dyDescent="0.25">
      <c r="A35" s="48" t="s">
        <v>31</v>
      </c>
      <c r="B35" s="48">
        <v>8.1172634044739012E-2</v>
      </c>
      <c r="C35" s="48">
        <v>0.24194347972388808</v>
      </c>
      <c r="D35" s="48">
        <v>0.33550246585431953</v>
      </c>
      <c r="E35" s="48">
        <v>0.74417844398366839</v>
      </c>
      <c r="F35" s="48">
        <v>-0.4579110331128094</v>
      </c>
      <c r="G35" s="48">
        <v>0.62025630120228747</v>
      </c>
      <c r="H35" s="48">
        <v>-0.4579110331128094</v>
      </c>
      <c r="I35" s="48">
        <v>0.62025630120228747</v>
      </c>
    </row>
  </sheetData>
  <mergeCells count="6">
    <mergeCell ref="F1:H1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F509-3989-4606-AA61-78A510564C78}">
  <dimension ref="A1:T30"/>
  <sheetViews>
    <sheetView topLeftCell="F1" zoomScale="117" workbookViewId="0">
      <selection activeCell="U15" sqref="U15"/>
    </sheetView>
  </sheetViews>
  <sheetFormatPr baseColWidth="10" defaultColWidth="8.83203125" defaultRowHeight="16" x14ac:dyDescent="0.2"/>
  <cols>
    <col min="1" max="1" width="6.6640625" bestFit="1" customWidth="1"/>
    <col min="2" max="2" width="11" bestFit="1" customWidth="1"/>
    <col min="3" max="3" width="26" bestFit="1" customWidth="1"/>
    <col min="4" max="4" width="17.6640625" bestFit="1" customWidth="1"/>
    <col min="5" max="5" width="14.1640625" customWidth="1"/>
    <col min="6" max="6" width="15" customWidth="1"/>
    <col min="7" max="7" width="13.6640625" customWidth="1"/>
    <col min="8" max="8" width="14.33203125" customWidth="1"/>
    <col min="9" max="9" width="18.6640625" customWidth="1"/>
    <col min="10" max="10" width="10.5" bestFit="1" customWidth="1"/>
  </cols>
  <sheetData>
    <row r="1" spans="1:16" ht="20" x14ac:dyDescent="0.25">
      <c r="A1" s="60" t="s">
        <v>56</v>
      </c>
      <c r="B1" s="60" t="s">
        <v>20</v>
      </c>
      <c r="C1" s="60" t="s">
        <v>57</v>
      </c>
      <c r="D1" s="62" t="s">
        <v>58</v>
      </c>
      <c r="E1" s="57" t="s">
        <v>71</v>
      </c>
      <c r="F1" s="71" t="s">
        <v>72</v>
      </c>
      <c r="G1" s="71" t="s">
        <v>69</v>
      </c>
      <c r="H1" s="71" t="s">
        <v>70</v>
      </c>
      <c r="I1" s="59"/>
      <c r="J1" s="115" t="s">
        <v>49</v>
      </c>
      <c r="K1" s="117"/>
    </row>
    <row r="2" spans="1:16" ht="19" x14ac:dyDescent="0.2">
      <c r="A2" s="61">
        <v>0.16549999999999976</v>
      </c>
      <c r="B2" s="63">
        <v>4.3001122902656057E-2</v>
      </c>
      <c r="C2" s="63">
        <f t="shared" ref="C2:C13" si="0">SQRT(B2)</f>
        <v>0.20736712107433053</v>
      </c>
      <c r="D2" s="63">
        <f t="shared" ref="D2:D13" si="1">A2/(2*1.86*B2)</f>
        <v>1.0346066406810022</v>
      </c>
      <c r="E2" s="58">
        <f t="shared" ref="E2:E13" si="2">3*$K$2*C2+2*$K$3*B2</f>
        <v>7.3395026901455617E-3</v>
      </c>
      <c r="F2" s="85">
        <f t="shared" ref="F2:F13" si="3">E2/LN(10)</f>
        <v>3.1875055182442893E-3</v>
      </c>
      <c r="G2" s="85">
        <f t="shared" ref="G2:G13" si="4">-0.491*C2</f>
        <v>-0.10181725644749628</v>
      </c>
      <c r="H2" s="85">
        <f t="shared" ref="H2:H13" si="5">-0.491*1*((C2/(1+C2))-0.3*B2)</f>
        <v>-7.7995923934642705E-2</v>
      </c>
      <c r="I2" s="56"/>
      <c r="J2" s="71" t="s">
        <v>67</v>
      </c>
      <c r="K2" s="86">
        <v>2.30196112121244E-2</v>
      </c>
      <c r="P2">
        <f>10^-2.3</f>
        <v>5.0118723362727212E-3</v>
      </c>
    </row>
    <row r="3" spans="1:16" x14ac:dyDescent="0.2">
      <c r="A3" s="70">
        <v>0.32549999999999901</v>
      </c>
      <c r="B3" s="72">
        <v>8.3435380249043747E-2</v>
      </c>
      <c r="C3" s="72">
        <f t="shared" si="0"/>
        <v>0.28885183096017192</v>
      </c>
      <c r="D3" s="72">
        <f t="shared" si="1"/>
        <v>1.0487157814685284</v>
      </c>
      <c r="E3" s="72">
        <f t="shared" si="2"/>
        <v>6.4024313651617638E-3</v>
      </c>
      <c r="F3" s="85">
        <f t="shared" si="3"/>
        <v>2.7805406126540574E-3</v>
      </c>
      <c r="G3" s="85">
        <f t="shared" si="4"/>
        <v>-0.14182624900144442</v>
      </c>
      <c r="H3" s="85">
        <f t="shared" si="5"/>
        <v>-9.7750739347969448E-2</v>
      </c>
      <c r="I3" s="56"/>
      <c r="J3" s="71" t="s">
        <v>31</v>
      </c>
      <c r="K3" s="86">
        <v>-8.1172634044738998E-2</v>
      </c>
    </row>
    <row r="4" spans="1:16" x14ac:dyDescent="0.2">
      <c r="A4" s="61">
        <v>0.47149999999999892</v>
      </c>
      <c r="B4" s="63">
        <v>0.13044813812312386</v>
      </c>
      <c r="C4" s="63">
        <f t="shared" si="0"/>
        <v>0.36117604865650194</v>
      </c>
      <c r="D4" s="63">
        <f t="shared" si="1"/>
        <v>0.97162990328252796</v>
      </c>
      <c r="E4" s="72">
        <f t="shared" si="2"/>
        <v>3.7647587022402035E-3</v>
      </c>
      <c r="F4" s="85">
        <f t="shared" si="3"/>
        <v>1.6350139300801677E-3</v>
      </c>
      <c r="G4" s="85">
        <f t="shared" si="4"/>
        <v>-0.17733743989034245</v>
      </c>
      <c r="H4" s="85">
        <f t="shared" si="5"/>
        <v>-0.11106750492565624</v>
      </c>
      <c r="I4" s="56"/>
      <c r="L4" s="67"/>
      <c r="M4" s="67"/>
      <c r="N4" s="67"/>
    </row>
    <row r="5" spans="1:16" x14ac:dyDescent="0.2">
      <c r="A5" s="61">
        <v>0.60549999999999926</v>
      </c>
      <c r="B5" s="63">
        <v>0.16722477535707606</v>
      </c>
      <c r="C5" s="63">
        <f t="shared" si="0"/>
        <v>0.40893125994117402</v>
      </c>
      <c r="D5" s="63">
        <f t="shared" si="1"/>
        <v>0.97335348100626629</v>
      </c>
      <c r="E5" s="72">
        <f t="shared" si="2"/>
        <v>1.0921648624427766E-3</v>
      </c>
      <c r="F5" s="85">
        <f t="shared" si="3"/>
        <v>4.743211730875219E-4</v>
      </c>
      <c r="G5" s="85">
        <f t="shared" si="4"/>
        <v>-0.20078524863111644</v>
      </c>
      <c r="H5" s="85">
        <f t="shared" si="5"/>
        <v>-0.11787669385570125</v>
      </c>
      <c r="I5" s="56"/>
      <c r="L5" s="67"/>
      <c r="M5" s="67"/>
      <c r="N5" s="67"/>
    </row>
    <row r="6" spans="1:16" x14ac:dyDescent="0.2">
      <c r="A6" s="61">
        <v>0.75549999999999917</v>
      </c>
      <c r="B6" s="63">
        <v>0.21057366161486413</v>
      </c>
      <c r="C6" s="63">
        <f t="shared" si="0"/>
        <v>0.4588830587577451</v>
      </c>
      <c r="D6" s="63">
        <f t="shared" si="1"/>
        <v>0.96446723817204205</v>
      </c>
      <c r="E6" s="72">
        <f t="shared" si="2"/>
        <v>-2.4957087341469508E-3</v>
      </c>
      <c r="F6" s="85">
        <f t="shared" si="3"/>
        <v>-1.0838725316777704E-3</v>
      </c>
      <c r="G6" s="85">
        <f t="shared" si="4"/>
        <v>-0.22531158185005284</v>
      </c>
      <c r="H6" s="85">
        <f t="shared" si="5"/>
        <v>-0.12342365275609288</v>
      </c>
      <c r="I6" s="56"/>
      <c r="L6" s="67"/>
      <c r="M6" s="67"/>
      <c r="N6" s="67"/>
    </row>
    <row r="7" spans="1:16" x14ac:dyDescent="0.2">
      <c r="A7" s="106">
        <v>0.90149999999999952</v>
      </c>
      <c r="B7" s="107">
        <v>0.36478594181861002</v>
      </c>
      <c r="C7" s="107">
        <f t="shared" si="0"/>
        <v>0.60397511688695427</v>
      </c>
      <c r="D7" s="107">
        <f t="shared" si="1"/>
        <v>0.66433127458053809</v>
      </c>
      <c r="E7" s="107">
        <f t="shared" si="2"/>
        <v>-1.7511454402209733E-2</v>
      </c>
      <c r="F7" s="108">
        <f t="shared" si="3"/>
        <v>-7.6051280169800936E-3</v>
      </c>
      <c r="G7" s="108">
        <f t="shared" si="4"/>
        <v>-0.29655178239149454</v>
      </c>
      <c r="H7" s="108">
        <f t="shared" si="5"/>
        <v>-0.13115255628067132</v>
      </c>
      <c r="I7" s="96" t="s">
        <v>80</v>
      </c>
      <c r="L7" s="67"/>
      <c r="M7" s="67"/>
      <c r="N7" s="67"/>
    </row>
    <row r="8" spans="1:16" x14ac:dyDescent="0.2">
      <c r="A8" s="61">
        <v>0.92049999999999921</v>
      </c>
      <c r="B8" s="63">
        <v>0.26246702894256863</v>
      </c>
      <c r="C8" s="63">
        <f t="shared" si="0"/>
        <v>0.5123153608301908</v>
      </c>
      <c r="D8" s="63">
        <f t="shared" si="1"/>
        <v>0.94277074555251728</v>
      </c>
      <c r="E8" s="72">
        <f t="shared" si="2"/>
        <v>-7.2303789053994247E-3</v>
      </c>
      <c r="F8" s="85">
        <f t="shared" si="3"/>
        <v>-3.1401136606846441E-3</v>
      </c>
      <c r="G8" s="85">
        <f t="shared" si="4"/>
        <v>-0.25154684216762369</v>
      </c>
      <c r="H8" s="85">
        <f t="shared" si="5"/>
        <v>-0.12767087349248751</v>
      </c>
      <c r="I8" s="56"/>
      <c r="L8" s="67"/>
      <c r="M8" s="67"/>
      <c r="N8" s="67"/>
    </row>
    <row r="9" spans="1:16" x14ac:dyDescent="0.2">
      <c r="A9" s="61">
        <v>1.0454999999999992</v>
      </c>
      <c r="B9" s="63">
        <v>0.28640435807553694</v>
      </c>
      <c r="C9" s="63">
        <f t="shared" si="0"/>
        <v>0.53516759811813808</v>
      </c>
      <c r="D9" s="63">
        <f t="shared" si="1"/>
        <v>0.98129926857694549</v>
      </c>
      <c r="E9" s="72">
        <f t="shared" si="2"/>
        <v>-9.538342167749965E-3</v>
      </c>
      <c r="F9" s="85">
        <f t="shared" si="3"/>
        <v>-4.1424493699589102E-3</v>
      </c>
      <c r="G9" s="85">
        <f t="shared" si="4"/>
        <v>-0.26276729067600579</v>
      </c>
      <c r="H9" s="85">
        <f t="shared" si="5"/>
        <v>-0.12897785219763946</v>
      </c>
      <c r="I9" s="56"/>
      <c r="L9" s="67"/>
      <c r="M9" s="67"/>
      <c r="N9" s="67"/>
    </row>
    <row r="10" spans="1:16" x14ac:dyDescent="0.2">
      <c r="A10" s="70">
        <v>1.1504999999999992</v>
      </c>
      <c r="B10" s="72">
        <v>0.31408650035282437</v>
      </c>
      <c r="C10" s="72">
        <f t="shared" si="0"/>
        <v>0.56043420697957436</v>
      </c>
      <c r="D10" s="63">
        <f t="shared" si="1"/>
        <v>0.98467840292711828</v>
      </c>
      <c r="E10" s="72">
        <f t="shared" si="2"/>
        <v>-1.2287524439130025E-2</v>
      </c>
      <c r="F10" s="85">
        <f t="shared" si="3"/>
        <v>-5.3364040601655187E-3</v>
      </c>
      <c r="G10" s="85">
        <f t="shared" si="4"/>
        <v>-0.27517319562697101</v>
      </c>
      <c r="H10" s="85">
        <f t="shared" si="5"/>
        <v>-0.13007904941809789</v>
      </c>
      <c r="I10" s="56"/>
      <c r="L10" s="67"/>
      <c r="M10" s="67"/>
      <c r="N10" s="67"/>
    </row>
    <row r="11" spans="1:16" x14ac:dyDescent="0.2">
      <c r="A11" s="61">
        <v>1.2804999999999995</v>
      </c>
      <c r="B11" s="63">
        <v>0.33390817965431163</v>
      </c>
      <c r="C11" s="63">
        <f t="shared" si="0"/>
        <v>0.57784788625927463</v>
      </c>
      <c r="D11" s="63">
        <f t="shared" si="1"/>
        <v>1.0308834915751126</v>
      </c>
      <c r="E11" s="72">
        <f t="shared" si="2"/>
        <v>-1.4302911898939653E-2</v>
      </c>
      <c r="F11" s="85">
        <f t="shared" si="3"/>
        <v>-6.2116757128578516E-3</v>
      </c>
      <c r="G11" s="85">
        <f t="shared" si="4"/>
        <v>-0.28372331215330382</v>
      </c>
      <c r="H11" s="85">
        <f t="shared" si="5"/>
        <v>-0.13063196945613151</v>
      </c>
      <c r="I11" s="56"/>
      <c r="L11" s="67"/>
      <c r="M11" s="67"/>
      <c r="N11" s="67"/>
    </row>
    <row r="12" spans="1:16" x14ac:dyDescent="0.2">
      <c r="A12" s="70">
        <v>1.3604999999999992</v>
      </c>
      <c r="B12" s="72">
        <v>0.35211136329649084</v>
      </c>
      <c r="C12" s="72">
        <f t="shared" si="0"/>
        <v>0.59338972294478676</v>
      </c>
      <c r="D12" s="72">
        <f t="shared" si="1"/>
        <v>1.0386651627134735</v>
      </c>
      <c r="E12" s="72">
        <f t="shared" si="2"/>
        <v>-1.6184811513342771E-2</v>
      </c>
      <c r="F12" s="85">
        <f t="shared" si="3"/>
        <v>-7.0289743308889832E-3</v>
      </c>
      <c r="G12" s="85">
        <f t="shared" si="4"/>
        <v>-0.29135435396589027</v>
      </c>
      <c r="H12" s="85">
        <f t="shared" si="5"/>
        <v>-0.13098590603019722</v>
      </c>
    </row>
    <row r="13" spans="1:16" x14ac:dyDescent="0.2">
      <c r="A13" s="61">
        <v>1.4054999999999995</v>
      </c>
      <c r="B13" s="63">
        <v>0.39520052865145244</v>
      </c>
      <c r="C13" s="63">
        <f t="shared" si="0"/>
        <v>0.62864976628600799</v>
      </c>
      <c r="D13" s="63">
        <f t="shared" si="1"/>
        <v>0.95602751831939525</v>
      </c>
      <c r="E13" s="72">
        <f t="shared" si="2"/>
        <v>-2.0745116147533153E-2</v>
      </c>
      <c r="F13" s="85">
        <f t="shared" si="3"/>
        <v>-9.0094894693156929E-3</v>
      </c>
      <c r="G13" s="85">
        <f t="shared" si="4"/>
        <v>-0.30866703524642991</v>
      </c>
      <c r="H13" s="85">
        <f t="shared" si="5"/>
        <v>-0.1313102357247479</v>
      </c>
      <c r="L13" s="67"/>
      <c r="M13" s="67"/>
      <c r="N13" s="67"/>
    </row>
    <row r="14" spans="1:16" x14ac:dyDescent="0.2">
      <c r="A14" s="68" t="s">
        <v>22</v>
      </c>
      <c r="B14" s="68" t="s">
        <v>22</v>
      </c>
      <c r="C14" s="72">
        <v>0</v>
      </c>
      <c r="D14" s="68" t="s">
        <v>22</v>
      </c>
      <c r="E14" s="68" t="s">
        <v>22</v>
      </c>
      <c r="F14" s="85">
        <v>0</v>
      </c>
      <c r="G14" s="85">
        <v>0</v>
      </c>
      <c r="H14" s="85">
        <v>0</v>
      </c>
      <c r="L14" s="67"/>
      <c r="M14" s="67"/>
      <c r="N14" s="67"/>
    </row>
    <row r="16" spans="1:16" x14ac:dyDescent="0.2">
      <c r="E16" s="81" t="s">
        <v>86</v>
      </c>
      <c r="F16" s="105">
        <f>ABS((F3-F4)/(F13-F2))</f>
        <v>9.3918763084041665E-2</v>
      </c>
      <c r="G16" s="105">
        <f>ABS((G3-G4)/(G13-G2))</f>
        <v>0.17167623332784104</v>
      </c>
      <c r="H16" s="105">
        <f>ABS((H3-H4)/(H13-H2))</f>
        <v>0.24977843904492272</v>
      </c>
    </row>
    <row r="17" spans="5:20" x14ac:dyDescent="0.2">
      <c r="E17" s="81" t="s">
        <v>75</v>
      </c>
      <c r="F17" s="81">
        <v>12</v>
      </c>
      <c r="G17" s="81">
        <v>12</v>
      </c>
      <c r="H17" s="81">
        <v>12</v>
      </c>
    </row>
    <row r="18" spans="5:20" x14ac:dyDescent="0.2">
      <c r="E18" s="111" t="s">
        <v>74</v>
      </c>
      <c r="F18" s="122"/>
      <c r="G18" s="122"/>
      <c r="H18" s="112"/>
    </row>
    <row r="19" spans="5:20" x14ac:dyDescent="0.2">
      <c r="E19" s="111" t="s">
        <v>79</v>
      </c>
      <c r="F19" s="122"/>
      <c r="G19" s="122"/>
      <c r="H19" s="112"/>
    </row>
    <row r="20" spans="5:20" x14ac:dyDescent="0.2">
      <c r="E20" s="67"/>
      <c r="F20" s="67"/>
      <c r="G20" s="67"/>
      <c r="H20" s="67"/>
    </row>
    <row r="21" spans="5:20" x14ac:dyDescent="0.2">
      <c r="E21" s="67"/>
      <c r="F21" s="67"/>
      <c r="G21" s="67"/>
      <c r="H21" s="67"/>
    </row>
    <row r="22" spans="5:20" x14ac:dyDescent="0.2">
      <c r="E22" s="67"/>
      <c r="F22" s="67"/>
      <c r="G22" s="67"/>
      <c r="H22" s="67"/>
    </row>
    <row r="23" spans="5:20" x14ac:dyDescent="0.2">
      <c r="E23" s="67"/>
      <c r="F23" s="67"/>
      <c r="G23" s="67"/>
      <c r="H23" s="67"/>
    </row>
    <row r="24" spans="5:20" x14ac:dyDescent="0.2">
      <c r="E24" s="67"/>
      <c r="F24" s="67"/>
      <c r="G24" s="67"/>
      <c r="H24" s="67"/>
    </row>
    <row r="25" spans="5:20" x14ac:dyDescent="0.2">
      <c r="E25" s="67"/>
      <c r="F25" s="67"/>
      <c r="G25" s="67"/>
      <c r="H25" s="67"/>
    </row>
    <row r="26" spans="5:20" x14ac:dyDescent="0.2">
      <c r="E26" s="67"/>
      <c r="F26" s="67"/>
      <c r="G26" s="67"/>
      <c r="H26" s="67"/>
    </row>
    <row r="27" spans="5:20" x14ac:dyDescent="0.2">
      <c r="E27" s="67"/>
      <c r="F27" s="67"/>
      <c r="G27" s="67"/>
      <c r="H27" s="67"/>
    </row>
    <row r="28" spans="5:20" x14ac:dyDescent="0.2">
      <c r="E28" s="67"/>
      <c r="F28" s="67"/>
      <c r="G28" s="67"/>
      <c r="H28" s="67"/>
    </row>
    <row r="30" spans="5:20" x14ac:dyDescent="0.2">
      <c r="T30" s="67"/>
    </row>
  </sheetData>
  <sortState xmlns:xlrd2="http://schemas.microsoft.com/office/spreadsheetml/2017/richdata2" ref="A2:H14">
    <sortCondition ref="A1"/>
  </sortState>
  <mergeCells count="3">
    <mergeCell ref="E18:H18"/>
    <mergeCell ref="E19:H19"/>
    <mergeCell ref="J1:K1"/>
  </mergeCells>
  <phoneticPr fontId="7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2020-03-01T21:46:10Z</dcterms:created>
  <dcterms:modified xsi:type="dcterms:W3CDTF">2020-03-10T04:58:43Z</dcterms:modified>
</cp:coreProperties>
</file>