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SOPHOMORE 2ND SEMESTER/CHEM445/SCS/"/>
    </mc:Choice>
  </mc:AlternateContent>
  <xr:revisionPtr revIDLastSave="0" documentId="13_ncr:1_{3EA026D8-E6BB-9C45-8C48-36B41A9D419A}" xr6:coauthVersionLast="45" xr6:coauthVersionMax="45" xr10:uidLastSave="{00000000-0000-0000-0000-000000000000}"/>
  <bookViews>
    <workbookView xWindow="0" yWindow="0" windowWidth="28800" windowHeight="18000" xr2:uid="{67E2D042-7857-DF47-A2BA-5ABD80EF6BE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6" i="1" l="1"/>
  <c r="U26" i="1"/>
  <c r="B31" i="1" l="1"/>
  <c r="B38" i="1" l="1"/>
  <c r="B39" i="1" s="1"/>
  <c r="C31" i="1"/>
  <c r="D31" i="1"/>
  <c r="E30" i="1"/>
  <c r="E31" i="1" s="1"/>
  <c r="E11" i="1"/>
  <c r="B11" i="1"/>
  <c r="R8" i="1"/>
  <c r="R9" i="1"/>
  <c r="R10" i="1"/>
  <c r="R7" i="1"/>
  <c r="N9" i="1"/>
  <c r="B32" i="1" l="1"/>
  <c r="B40" i="1"/>
  <c r="D39" i="1"/>
  <c r="D40" i="1"/>
  <c r="B12" i="1"/>
  <c r="E12" i="1"/>
  <c r="N10" i="1"/>
  <c r="N8" i="1"/>
  <c r="M9" i="1"/>
  <c r="M10" i="1"/>
  <c r="M8" i="1"/>
  <c r="C6" i="1"/>
  <c r="D6" i="1"/>
  <c r="E6" i="1"/>
  <c r="F6" i="1"/>
  <c r="G6" i="1"/>
  <c r="B6" i="1"/>
  <c r="B16" i="1" l="1"/>
  <c r="B18" i="1" s="1"/>
  <c r="E16" i="1"/>
  <c r="E18" i="1" s="1"/>
  <c r="E7" i="1"/>
  <c r="E13" i="1" s="1"/>
  <c r="B14" i="1"/>
  <c r="B15" i="1" s="1"/>
  <c r="E14" i="1"/>
  <c r="E15" i="1" s="1"/>
  <c r="B7" i="1"/>
  <c r="B13" i="1" s="1"/>
  <c r="F18" i="1" l="1"/>
  <c r="B36" i="1"/>
  <c r="E19" i="1"/>
  <c r="E20" i="1" s="1"/>
  <c r="E21" i="1" s="1"/>
  <c r="F19" i="1"/>
  <c r="F22" i="1" s="1"/>
  <c r="F23" i="1" s="1"/>
  <c r="B24" i="1"/>
  <c r="B25" i="1" s="1"/>
  <c r="F20" i="1"/>
  <c r="F21" i="1" s="1"/>
  <c r="E24" i="1"/>
  <c r="E25" i="1" s="1"/>
  <c r="C18" i="1"/>
  <c r="B19" i="1"/>
  <c r="B22" i="1" s="1"/>
  <c r="C19" i="1"/>
  <c r="C22" i="1" l="1"/>
  <c r="C23" i="1" s="1"/>
  <c r="B20" i="1"/>
  <c r="B35" i="1" s="1"/>
  <c r="E22" i="1"/>
  <c r="E23" i="1" s="1"/>
  <c r="C20" i="1"/>
  <c r="D35" i="1" s="1"/>
  <c r="D41" i="1" s="1"/>
  <c r="D43" i="1" s="1"/>
  <c r="B23" i="1"/>
  <c r="B41" i="1" l="1"/>
  <c r="B21" i="1"/>
  <c r="C21" i="1"/>
  <c r="B43" i="1" l="1"/>
  <c r="B42" i="1"/>
  <c r="B45" i="1" s="1"/>
  <c r="B46" i="1" s="1"/>
  <c r="D42" i="1"/>
  <c r="D45" i="1" s="1"/>
  <c r="D46" i="1" s="1"/>
  <c r="D48" i="1" s="1"/>
  <c r="D50" i="1" s="1"/>
  <c r="B47" i="1" l="1"/>
  <c r="B48" i="1"/>
  <c r="B50" i="1" s="1"/>
  <c r="D49" i="1"/>
  <c r="D47" i="1"/>
  <c r="B49" i="1" l="1"/>
</calcChain>
</file>

<file path=xl/sharedStrings.xml><?xml version="1.0" encoding="utf-8"?>
<sst xmlns="http://schemas.openxmlformats.org/spreadsheetml/2006/main" count="129" uniqueCount="71">
  <si>
    <t>EXPERIMENTAL DATA</t>
  </si>
  <si>
    <t>V {aliquot) (mL)</t>
  </si>
  <si>
    <t>M {EDTA) (M)</t>
  </si>
  <si>
    <t>M {NaCl) (M)</t>
  </si>
  <si>
    <t>Trial #</t>
  </si>
  <si>
    <t>S{CaSO4.H2O} (M)</t>
  </si>
  <si>
    <t>Save{CaSO4.H2O} (M)</t>
  </si>
  <si>
    <t>ISE Data</t>
  </si>
  <si>
    <t>Calibration Data</t>
  </si>
  <si>
    <t>Trial of ISE reading (mV)</t>
  </si>
  <si>
    <t>Average reading (mV)</t>
  </si>
  <si>
    <t>log(Ca2+)</t>
  </si>
  <si>
    <r>
      <t>[Ca</t>
    </r>
    <r>
      <rPr>
        <b/>
        <vertAlign val="superscript"/>
        <sz val="12"/>
        <color theme="1"/>
        <rFont val="Times New Roman"/>
        <family val="1"/>
      </rPr>
      <t>2+</t>
    </r>
    <r>
      <rPr>
        <b/>
        <sz val="12"/>
        <color theme="1"/>
        <rFont val="Times New Roman"/>
        <family val="1"/>
      </rPr>
      <t>] (M)</t>
    </r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</si>
  <si>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</si>
  <si>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</si>
  <si>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</si>
  <si>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</si>
  <si>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</si>
  <si>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</si>
  <si>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</si>
  <si>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</si>
  <si>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</si>
  <si>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</si>
  <si>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</si>
  <si>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</si>
  <si>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</si>
  <si>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</si>
  <si>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</si>
  <si>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</si>
  <si>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</si>
  <si>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</si>
  <si>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</si>
  <si>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</si>
  <si>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</si>
  <si>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</si>
  <si>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</si>
  <si>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Slope</t>
  </si>
  <si>
    <t>ISE Data, No NaCl</t>
  </si>
  <si>
    <t>M{NaCl}</t>
  </si>
  <si>
    <t>mv</t>
  </si>
  <si>
    <r>
      <t>[Ca</t>
    </r>
    <r>
      <rPr>
        <b/>
        <vertAlign val="superscript"/>
        <sz val="12"/>
        <color theme="1"/>
        <rFont val="Times New Roman"/>
        <family val="1"/>
      </rPr>
      <t>2+</t>
    </r>
    <r>
      <rPr>
        <b/>
        <sz val="12"/>
        <color theme="1"/>
        <rFont val="Times New Roman"/>
        <family val="1"/>
      </rPr>
      <t>]</t>
    </r>
  </si>
  <si>
    <t>E = 31.054*log(Ca2+) + 109.593</t>
  </si>
  <si>
    <t>Solution #</t>
  </si>
  <si>
    <t>[Ca2+] (M)</t>
  </si>
  <si>
    <t>[Ca2+]ave (M)</t>
  </si>
  <si>
    <t>[SO42-] (M)</t>
  </si>
  <si>
    <t>[CaSO4] (M)</t>
  </si>
  <si>
    <t>Ksp{apparent}</t>
  </si>
  <si>
    <t>pKsp</t>
  </si>
  <si>
    <t>V{EDTA} (mL)</t>
  </si>
  <si>
    <t>DHLL</t>
  </si>
  <si>
    <t>Davies</t>
  </si>
  <si>
    <t>Type of Equation</t>
  </si>
  <si>
    <t>gamma +</t>
  </si>
  <si>
    <t>gamma -</t>
  </si>
  <si>
    <t>Ionic strength (M)</t>
  </si>
  <si>
    <t>Ksp0</t>
  </si>
  <si>
    <t>pKsp0</t>
  </si>
  <si>
    <t>KD0</t>
  </si>
  <si>
    <t>pKD0</t>
  </si>
  <si>
    <t>KD</t>
  </si>
  <si>
    <t>pKD</t>
  </si>
  <si>
    <t>Titration Data (no NaCl solution)</t>
  </si>
  <si>
    <t>Titration Data (with NaCl solution)</t>
  </si>
  <si>
    <t>CALCULATED DATA</t>
  </si>
  <si>
    <t>Ionic Strength (M)</t>
  </si>
  <si>
    <t>Ksp0ave</t>
  </si>
  <si>
    <t>Assume all ions affects ionic strength</t>
  </si>
  <si>
    <t>Assume only NaCl affects ionic strength</t>
  </si>
  <si>
    <t>SUMMARY OUTPUT of ISE data</t>
  </si>
  <si>
    <t>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</si>
</sst>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"/>
    <numFmt numFmtId="166" formatCode="0.000"/>
    <numFmt numFmtId="167" formatCode="0.0"/>
    <numFmt numFmtId="169" formatCode="0.0E+00"/>
    <numFmt numFmtId="172" formatCode="0.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166" fontId="2" fillId="0" borderId="1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2" fillId="0" borderId="3" xfId="0" applyFont="1" applyFill="1" applyBorder="1" applyAlignment="1"/>
    <xf numFmtId="0" fontId="4" fillId="0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1" fontId="2" fillId="0" borderId="1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11" fontId="2" fillId="0" borderId="6" xfId="0" applyNumberFormat="1" applyFont="1" applyBorder="1" applyAlignment="1">
      <alignment horizontal="center"/>
    </xf>
    <xf numFmtId="11" fontId="2" fillId="0" borderId="4" xfId="0" applyNumberFormat="1" applyFont="1" applyBorder="1" applyAlignment="1">
      <alignment horizontal="center"/>
    </xf>
    <xf numFmtId="11" fontId="2" fillId="0" borderId="7" xfId="0" applyNumberFormat="1" applyFont="1" applyBorder="1" applyAlignment="1">
      <alignment horizontal="center"/>
    </xf>
    <xf numFmtId="17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35BD-F496-C24F-8ED0-A11C1DCDB42C}">
  <dimension ref="A1:X56"/>
  <sheetViews>
    <sheetView tabSelected="1" topLeftCell="O9" zoomScale="136" workbookViewId="0">
      <selection activeCell="T26" sqref="T26:V26"/>
    </sheetView>
  </sheetViews>
  <sheetFormatPr baseColWidth="10" defaultRowHeight="16" x14ac:dyDescent="0.2"/>
  <cols>
    <col min="1" max="1" width="23.1640625" style="13" customWidth="1"/>
    <col min="2" max="7" width="10.83203125" style="13"/>
    <col min="8" max="8" width="10.83203125" style="1"/>
    <col min="9" max="9" width="15.6640625" style="1" customWidth="1"/>
    <col min="10" max="10" width="10.83203125" style="1"/>
    <col min="11" max="11" width="14.5" style="1" customWidth="1"/>
    <col min="12" max="12" width="10.83203125" style="1"/>
    <col min="13" max="13" width="22.1640625" style="1" customWidth="1"/>
    <col min="14" max="14" width="16" style="1" customWidth="1"/>
    <col min="15" max="15" width="12.1640625" style="1" customWidth="1"/>
    <col min="16" max="16" width="14.6640625" style="1" customWidth="1"/>
    <col min="17" max="17" width="14.33203125" style="1" customWidth="1"/>
    <col min="18" max="19" width="10.83203125" style="1"/>
    <col min="20" max="20" width="23.83203125" style="1" customWidth="1"/>
    <col min="21" max="16384" width="10.83203125" style="1"/>
  </cols>
  <sheetData>
    <row r="1" spans="1:24" x14ac:dyDescent="0.2">
      <c r="A1" s="43" t="s">
        <v>0</v>
      </c>
      <c r="B1" s="43"/>
      <c r="C1" s="43"/>
      <c r="D1" s="43"/>
      <c r="E1" s="43"/>
      <c r="F1" s="43"/>
      <c r="G1" s="43"/>
      <c r="I1" s="2" t="s">
        <v>1</v>
      </c>
      <c r="J1" s="3">
        <v>25</v>
      </c>
      <c r="T1" s="31" t="s">
        <v>70</v>
      </c>
      <c r="U1" s="31"/>
      <c r="V1" s="31"/>
      <c r="W1" s="31"/>
      <c r="X1" s="31"/>
    </row>
    <row r="2" spans="1:24" x14ac:dyDescent="0.2">
      <c r="A2" s="31" t="s">
        <v>62</v>
      </c>
      <c r="B2" s="31"/>
      <c r="C2" s="31"/>
      <c r="D2" s="31"/>
      <c r="E2" s="31"/>
      <c r="F2" s="31"/>
      <c r="G2" s="31"/>
      <c r="I2" s="2" t="s">
        <v>2</v>
      </c>
      <c r="J2" s="4">
        <v>0.06</v>
      </c>
      <c r="T2" s="22" t="s">
        <v>42</v>
      </c>
      <c r="U2" s="31">
        <v>1</v>
      </c>
      <c r="V2" s="31"/>
      <c r="W2" s="31">
        <v>2</v>
      </c>
      <c r="X2" s="31"/>
    </row>
    <row r="3" spans="1:24" x14ac:dyDescent="0.2">
      <c r="A3" s="2" t="s">
        <v>42</v>
      </c>
      <c r="B3" s="42">
        <v>1</v>
      </c>
      <c r="C3" s="42"/>
      <c r="D3" s="42"/>
      <c r="E3" s="42">
        <v>2</v>
      </c>
      <c r="F3" s="42"/>
      <c r="G3" s="42"/>
      <c r="I3" s="2" t="s">
        <v>3</v>
      </c>
      <c r="J3" s="5">
        <v>0.14990000000000001</v>
      </c>
      <c r="T3" s="22" t="s">
        <v>6</v>
      </c>
      <c r="U3" s="37">
        <v>1.3856406460550954E-4</v>
      </c>
      <c r="V3" s="37"/>
      <c r="W3" s="37">
        <v>1.2079735096433195E-3</v>
      </c>
      <c r="X3" s="37"/>
    </row>
    <row r="4" spans="1:24" x14ac:dyDescent="0.2">
      <c r="A4" s="2" t="s">
        <v>4</v>
      </c>
      <c r="B4" s="15">
        <v>1</v>
      </c>
      <c r="C4" s="15">
        <v>2</v>
      </c>
      <c r="D4" s="15">
        <v>3</v>
      </c>
      <c r="E4" s="15">
        <v>1</v>
      </c>
      <c r="F4" s="15">
        <v>2</v>
      </c>
      <c r="G4" s="15">
        <v>3</v>
      </c>
      <c r="P4" s="31" t="s">
        <v>41</v>
      </c>
      <c r="Q4" s="31"/>
      <c r="R4" s="31"/>
      <c r="T4" s="22" t="s">
        <v>44</v>
      </c>
      <c r="U4" s="37">
        <v>4.5903423346272087E-4</v>
      </c>
      <c r="V4" s="37"/>
      <c r="W4" s="37">
        <v>9.9495012048852831E-4</v>
      </c>
      <c r="X4" s="37"/>
    </row>
    <row r="5" spans="1:24" x14ac:dyDescent="0.2">
      <c r="A5" s="2" t="s">
        <v>49</v>
      </c>
      <c r="B5" s="3">
        <v>4.7</v>
      </c>
      <c r="C5" s="3">
        <v>4.7</v>
      </c>
      <c r="D5" s="3">
        <v>4.5999999999999996</v>
      </c>
      <c r="E5" s="3">
        <v>4.9000000000000004</v>
      </c>
      <c r="F5" s="3">
        <v>5.3</v>
      </c>
      <c r="G5" s="3">
        <v>5.9</v>
      </c>
      <c r="I5" s="31" t="s">
        <v>8</v>
      </c>
      <c r="J5" s="31"/>
      <c r="K5" s="31"/>
      <c r="L5" s="31"/>
      <c r="M5" s="31"/>
      <c r="N5" s="31"/>
      <c r="P5" s="31" t="s">
        <v>37</v>
      </c>
      <c r="Q5" s="31"/>
      <c r="R5" s="31"/>
      <c r="T5" s="22" t="s">
        <v>45</v>
      </c>
      <c r="U5" s="37">
        <v>4.5903423346272087E-4</v>
      </c>
      <c r="V5" s="37"/>
      <c r="W5" s="37">
        <v>9.9495012048852831E-4</v>
      </c>
      <c r="X5" s="37"/>
    </row>
    <row r="6" spans="1:24" ht="18" x14ac:dyDescent="0.2">
      <c r="A6" s="2" t="s">
        <v>5</v>
      </c>
      <c r="B6" s="16">
        <f>B5*$J$2/$J$1</f>
        <v>1.1279999999999998E-2</v>
      </c>
      <c r="C6" s="16">
        <f t="shared" ref="C6:G6" si="0">C5*$J$2/$J$1</f>
        <v>1.1279999999999998E-2</v>
      </c>
      <c r="D6" s="16">
        <f t="shared" si="0"/>
        <v>1.1039999999999999E-2</v>
      </c>
      <c r="E6" s="16">
        <f t="shared" si="0"/>
        <v>1.176E-2</v>
      </c>
      <c r="F6" s="16">
        <f t="shared" si="0"/>
        <v>1.272E-2</v>
      </c>
      <c r="G6" s="16">
        <f t="shared" si="0"/>
        <v>1.4159999999999999E-2</v>
      </c>
      <c r="I6" s="31" t="s">
        <v>12</v>
      </c>
      <c r="J6" s="31" t="s">
        <v>9</v>
      </c>
      <c r="K6" s="31"/>
      <c r="L6" s="31"/>
      <c r="M6" s="31" t="s">
        <v>10</v>
      </c>
      <c r="N6" s="31" t="s">
        <v>11</v>
      </c>
      <c r="P6" s="2" t="s">
        <v>38</v>
      </c>
      <c r="Q6" s="2" t="s">
        <v>39</v>
      </c>
      <c r="R6" s="2" t="s">
        <v>40</v>
      </c>
      <c r="T6" s="22" t="s">
        <v>46</v>
      </c>
      <c r="U6" s="37">
        <v>4.7949184298662221E-4</v>
      </c>
      <c r="V6" s="37"/>
      <c r="W6" s="38">
        <v>1.5649682879407289E-3</v>
      </c>
      <c r="X6" s="38"/>
    </row>
    <row r="7" spans="1:24" x14ac:dyDescent="0.2">
      <c r="A7" s="2" t="s">
        <v>6</v>
      </c>
      <c r="B7" s="37">
        <f>AVERAGE(B6:D6)</f>
        <v>1.12E-2</v>
      </c>
      <c r="C7" s="37"/>
      <c r="D7" s="37"/>
      <c r="E7" s="37">
        <f>AVERAGE(E6:G6)</f>
        <v>1.2880000000000001E-2</v>
      </c>
      <c r="F7" s="37"/>
      <c r="G7" s="37"/>
      <c r="I7" s="31"/>
      <c r="J7" s="2">
        <v>1</v>
      </c>
      <c r="K7" s="2">
        <v>2</v>
      </c>
      <c r="L7" s="2">
        <v>3</v>
      </c>
      <c r="M7" s="31"/>
      <c r="N7" s="31"/>
      <c r="P7" s="5">
        <v>0</v>
      </c>
      <c r="Q7" s="5">
        <v>48.3</v>
      </c>
      <c r="R7" s="6">
        <f>10^((Q7-$J$28)/$J$29)</f>
        <v>1.0622351055581413E-2</v>
      </c>
      <c r="T7" s="22" t="s">
        <v>47</v>
      </c>
      <c r="U7" s="39">
        <v>7.106449965445891E-6</v>
      </c>
      <c r="V7" s="39"/>
      <c r="W7" s="39">
        <v>1.7819026002739106E-5</v>
      </c>
      <c r="X7" s="39"/>
    </row>
    <row r="8" spans="1:24" x14ac:dyDescent="0.2">
      <c r="A8" s="31" t="s">
        <v>7</v>
      </c>
      <c r="B8" s="31"/>
      <c r="C8" s="31"/>
      <c r="D8" s="31"/>
      <c r="E8" s="31"/>
      <c r="F8" s="31"/>
      <c r="G8" s="31"/>
      <c r="I8" s="6">
        <v>5.0000000000000001E-3</v>
      </c>
      <c r="J8" s="5">
        <v>36.200000000000003</v>
      </c>
      <c r="K8" s="5">
        <v>35.1</v>
      </c>
      <c r="L8" s="5">
        <v>36.200000000000003</v>
      </c>
      <c r="M8" s="7">
        <f>AVERAGE(J8:L8)</f>
        <v>35.833333333333336</v>
      </c>
      <c r="N8" s="8">
        <f>LOG10(I8)</f>
        <v>-2.3010299956639813</v>
      </c>
      <c r="P8" s="5">
        <v>0</v>
      </c>
      <c r="Q8" s="5">
        <v>49.1</v>
      </c>
      <c r="R8" s="6">
        <f t="shared" ref="R8:R10" si="1">10^((Q8-$J$28)/$J$29)</f>
        <v>1.1271523494137931E-2</v>
      </c>
      <c r="T8" s="22" t="s">
        <v>48</v>
      </c>
      <c r="U8" s="40">
        <v>2.5754418865288269E-2</v>
      </c>
      <c r="V8" s="40"/>
      <c r="W8" s="40">
        <v>4.8253960378246474E-2</v>
      </c>
      <c r="X8" s="40"/>
    </row>
    <row r="9" spans="1:24" x14ac:dyDescent="0.2">
      <c r="A9" s="2" t="s">
        <v>42</v>
      </c>
      <c r="B9" s="18">
        <v>1</v>
      </c>
      <c r="C9" s="18">
        <v>2</v>
      </c>
      <c r="D9" s="44"/>
      <c r="E9" s="18">
        <v>1</v>
      </c>
      <c r="F9" s="18">
        <v>2</v>
      </c>
      <c r="G9" s="44"/>
      <c r="I9" s="6">
        <v>0.01</v>
      </c>
      <c r="J9" s="5">
        <v>51.7</v>
      </c>
      <c r="K9" s="5">
        <v>51.7</v>
      </c>
      <c r="L9" s="5">
        <v>51.2</v>
      </c>
      <c r="M9" s="7">
        <f t="shared" ref="M9:M10" si="2">AVERAGE(J9:L9)</f>
        <v>51.533333333333339</v>
      </c>
      <c r="N9" s="8">
        <f>LOG10(I9)</f>
        <v>-2</v>
      </c>
      <c r="P9" s="5">
        <v>0</v>
      </c>
      <c r="Q9" s="5">
        <v>51.4</v>
      </c>
      <c r="R9" s="6">
        <f t="shared" si="1"/>
        <v>1.3367441293809922E-2</v>
      </c>
      <c r="T9" s="22" t="s">
        <v>55</v>
      </c>
      <c r="U9" s="37">
        <v>6.4917243855651743E-4</v>
      </c>
      <c r="V9" s="37"/>
      <c r="W9" s="38">
        <v>1.4070719542796217E-3</v>
      </c>
      <c r="X9" s="38"/>
    </row>
    <row r="10" spans="1:24" x14ac:dyDescent="0.2">
      <c r="A10" s="2" t="s">
        <v>43</v>
      </c>
      <c r="B10" s="16">
        <v>1.0622351055581413E-2</v>
      </c>
      <c r="C10" s="16">
        <v>1.1271523494137931E-2</v>
      </c>
      <c r="D10" s="45"/>
      <c r="E10" s="16">
        <v>1.3367441293809922E-2</v>
      </c>
      <c r="F10" s="16">
        <v>1.19603693395303E-2</v>
      </c>
      <c r="G10" s="45"/>
      <c r="I10" s="6">
        <v>2.5000000000000001E-2</v>
      </c>
      <c r="J10" s="5">
        <v>58.1</v>
      </c>
      <c r="K10" s="5">
        <v>58.1</v>
      </c>
      <c r="L10" s="5">
        <v>58.1</v>
      </c>
      <c r="M10" s="7">
        <f t="shared" si="2"/>
        <v>58.1</v>
      </c>
      <c r="N10" s="8">
        <f t="shared" ref="N10" si="3">LOG10(I10)</f>
        <v>-1.6020599913279623</v>
      </c>
      <c r="P10" s="5">
        <v>0</v>
      </c>
      <c r="Q10" s="5">
        <v>49.9</v>
      </c>
      <c r="R10" s="6">
        <f t="shared" si="1"/>
        <v>1.19603693395303E-2</v>
      </c>
      <c r="T10" s="22" t="s">
        <v>52</v>
      </c>
      <c r="U10" s="22" t="s">
        <v>50</v>
      </c>
      <c r="V10" s="22" t="s">
        <v>51</v>
      </c>
      <c r="W10" s="22" t="s">
        <v>50</v>
      </c>
      <c r="X10" s="22" t="s">
        <v>51</v>
      </c>
    </row>
    <row r="11" spans="1:24" ht="19" customHeight="1" x14ac:dyDescent="0.2">
      <c r="A11" s="2" t="s">
        <v>44</v>
      </c>
      <c r="B11" s="38">
        <f>AVERAGE(B10:C10)</f>
        <v>1.0946937274859672E-2</v>
      </c>
      <c r="C11" s="38"/>
      <c r="D11" s="45"/>
      <c r="E11" s="38">
        <f t="shared" ref="E11" si="4">AVERAGE(E10:F10)</f>
        <v>1.266390531667011E-2</v>
      </c>
      <c r="F11" s="38"/>
      <c r="G11" s="45"/>
      <c r="T11" s="22" t="s">
        <v>56</v>
      </c>
      <c r="U11" s="29">
        <v>9.9985110174660652E-7</v>
      </c>
      <c r="V11" s="29">
        <v>1.5875912690236251E-6</v>
      </c>
      <c r="W11" s="29">
        <v>2.1626228984460663E-6</v>
      </c>
      <c r="X11" s="29">
        <v>3.6728213368440701E-6</v>
      </c>
    </row>
    <row r="12" spans="1:24" x14ac:dyDescent="0.2">
      <c r="A12" s="2" t="s">
        <v>45</v>
      </c>
      <c r="B12" s="38">
        <f>B11</f>
        <v>1.0946937274859672E-2</v>
      </c>
      <c r="C12" s="38"/>
      <c r="D12" s="45"/>
      <c r="E12" s="38">
        <f>E11</f>
        <v>1.266390531667011E-2</v>
      </c>
      <c r="F12" s="38"/>
      <c r="G12" s="45"/>
      <c r="I12" s="31" t="s">
        <v>69</v>
      </c>
      <c r="J12" s="31"/>
      <c r="K12" s="31"/>
      <c r="T12" s="22" t="s">
        <v>57</v>
      </c>
      <c r="U12" s="23">
        <v>2.5776364052938337E-2</v>
      </c>
      <c r="V12" s="23">
        <v>2.5768237574553304E-2</v>
      </c>
      <c r="W12" s="23">
        <v>4.8317765902829261E-2</v>
      </c>
      <c r="X12" s="23">
        <v>4.8291520012529711E-2</v>
      </c>
    </row>
    <row r="13" spans="1:24" ht="17" thickBot="1" x14ac:dyDescent="0.25">
      <c r="A13" s="2" t="s">
        <v>46</v>
      </c>
      <c r="B13" s="50">
        <f>B7-B11</f>
        <v>2.5306272514032807E-4</v>
      </c>
      <c r="C13" s="50"/>
      <c r="D13" s="45"/>
      <c r="E13" s="50">
        <f>E7-E11</f>
        <v>2.1609468332989094E-4</v>
      </c>
      <c r="F13" s="50"/>
      <c r="G13" s="45"/>
      <c r="T13" s="22" t="s">
        <v>58</v>
      </c>
      <c r="U13" s="30">
        <v>0.12619315900270139</v>
      </c>
      <c r="V13" s="30">
        <v>0.20043612193399746</v>
      </c>
      <c r="W13" s="30">
        <v>0.65151869599991397</v>
      </c>
      <c r="X13" s="30">
        <v>1.107087131658093</v>
      </c>
    </row>
    <row r="14" spans="1:24" x14ac:dyDescent="0.2">
      <c r="A14" s="2" t="s">
        <v>47</v>
      </c>
      <c r="B14" s="50">
        <f>B11*B12</f>
        <v>1.198354356997121E-4</v>
      </c>
      <c r="C14" s="50"/>
      <c r="D14" s="45"/>
      <c r="E14" s="50">
        <f>E11*E12</f>
        <v>1.6037449786958548E-4</v>
      </c>
      <c r="F14" s="50"/>
      <c r="G14" s="45"/>
      <c r="I14" s="9" t="s">
        <v>13</v>
      </c>
      <c r="J14" s="9"/>
      <c r="T14" s="22" t="s">
        <v>59</v>
      </c>
      <c r="U14" s="30">
        <v>0.82328522240208935</v>
      </c>
      <c r="V14" s="30">
        <v>0.82328496800899187</v>
      </c>
      <c r="W14" s="30">
        <v>3.1455530418929825</v>
      </c>
      <c r="X14" s="30">
        <v>3.1455526388482999</v>
      </c>
    </row>
    <row r="15" spans="1:24" x14ac:dyDescent="0.2">
      <c r="A15" s="2" t="s">
        <v>48</v>
      </c>
      <c r="B15" s="41">
        <f>-LOG10(B14)</f>
        <v>3.9214147407675921</v>
      </c>
      <c r="C15" s="41"/>
      <c r="D15" s="45"/>
      <c r="E15" s="41">
        <f>-LOG10(E14)</f>
        <v>3.7948646903851189</v>
      </c>
      <c r="F15" s="41"/>
      <c r="G15" s="45"/>
      <c r="I15" s="10" t="s">
        <v>14</v>
      </c>
      <c r="J15" s="10">
        <v>0.95159531377174378</v>
      </c>
      <c r="T15" s="22" t="s">
        <v>60</v>
      </c>
      <c r="U15" s="41">
        <v>0.89768243053340091</v>
      </c>
      <c r="V15" s="41"/>
      <c r="W15" s="41">
        <v>5.3753134474133617</v>
      </c>
      <c r="X15" s="41"/>
    </row>
    <row r="16" spans="1:24" x14ac:dyDescent="0.2">
      <c r="A16" s="2" t="s">
        <v>55</v>
      </c>
      <c r="B16" s="38">
        <f>0.5*(B11*4+B12*4)</f>
        <v>4.3787749099438687E-2</v>
      </c>
      <c r="C16" s="38"/>
      <c r="D16" s="45"/>
      <c r="E16" s="38">
        <f>0.5*(E11*4+E12*4)</f>
        <v>5.065562126668044E-2</v>
      </c>
      <c r="F16" s="38"/>
      <c r="G16" s="45"/>
      <c r="I16" s="10" t="s">
        <v>15</v>
      </c>
      <c r="J16" s="10">
        <v>0.90553364119234347</v>
      </c>
      <c r="T16" s="22" t="s">
        <v>61</v>
      </c>
      <c r="U16" s="41">
        <v>0.82328453560901826</v>
      </c>
      <c r="V16" s="41"/>
      <c r="W16" s="41">
        <v>3.1455520624450872</v>
      </c>
      <c r="X16" s="41"/>
    </row>
    <row r="17" spans="1:22" x14ac:dyDescent="0.2">
      <c r="A17" s="2" t="s">
        <v>52</v>
      </c>
      <c r="B17" s="19" t="s">
        <v>50</v>
      </c>
      <c r="C17" s="19" t="s">
        <v>51</v>
      </c>
      <c r="D17" s="45"/>
      <c r="E17" s="19" t="s">
        <v>50</v>
      </c>
      <c r="F17" s="19" t="s">
        <v>51</v>
      </c>
      <c r="G17" s="45"/>
      <c r="I17" s="10" t="s">
        <v>16</v>
      </c>
      <c r="J17" s="10">
        <v>0.81106728238468695</v>
      </c>
    </row>
    <row r="18" spans="1:22" x14ac:dyDescent="0.2">
      <c r="A18" s="2" t="s">
        <v>53</v>
      </c>
      <c r="B18" s="27">
        <f>10^(-0.509*4*SQRT($B$16))</f>
        <v>0.37493532706614985</v>
      </c>
      <c r="C18" s="27">
        <f>10^(-0.509*4*(SQRT($B$16)/(1+SQRT($B$16))-0.3*$B$16))</f>
        <v>0.47252688036768986</v>
      </c>
      <c r="D18" s="45"/>
      <c r="E18" s="27">
        <f>10^(-0.509*4*SQRT($E$16))</f>
        <v>0.34814605369419893</v>
      </c>
      <c r="F18" s="27">
        <f>10^(-0.509*4*(SQRT($E$16)/(1+SQRT($E$16))-0.3*$E$16))</f>
        <v>0.45382557286443959</v>
      </c>
      <c r="G18" s="45"/>
      <c r="I18" s="10" t="s">
        <v>17</v>
      </c>
      <c r="J18" s="10">
        <v>4.9731059270247471</v>
      </c>
      <c r="T18" s="34" t="s">
        <v>70</v>
      </c>
      <c r="U18" s="35"/>
      <c r="V18" s="36"/>
    </row>
    <row r="19" spans="1:22" ht="17" thickBot="1" x14ac:dyDescent="0.25">
      <c r="A19" s="2" t="s">
        <v>54</v>
      </c>
      <c r="B19" s="27">
        <f>10^(-0.509*4*SQRT($B$16))</f>
        <v>0.37493532706614985</v>
      </c>
      <c r="C19" s="27">
        <f>10^(-0.509*4*(SQRT($B$16)/(1+SQRT($B$16))-0.3*$B$16))</f>
        <v>0.47252688036768986</v>
      </c>
      <c r="D19" s="45"/>
      <c r="E19" s="27">
        <f>10^(-0.509*4*SQRT($E$16))</f>
        <v>0.34814605369419893</v>
      </c>
      <c r="F19" s="27">
        <f>10^(-0.509*4*(SQRT($E$16)/(1+SQRT($E$16))-0.3*$E$16))</f>
        <v>0.45382557286443959</v>
      </c>
      <c r="G19" s="45"/>
      <c r="I19" s="11" t="s">
        <v>18</v>
      </c>
      <c r="J19" s="11">
        <v>3</v>
      </c>
      <c r="T19" s="22" t="s">
        <v>6</v>
      </c>
      <c r="U19" s="32">
        <v>5.1716148348460752E-4</v>
      </c>
      <c r="V19" s="33"/>
    </row>
    <row r="20" spans="1:22" x14ac:dyDescent="0.2">
      <c r="A20" s="2" t="s">
        <v>56</v>
      </c>
      <c r="B20" s="51">
        <f>$B$11*$B$12*B18*B19</f>
        <v>1.6846046064589881E-5</v>
      </c>
      <c r="C20" s="51">
        <f>$B$11*$B$12*C18*C19</f>
        <v>2.6757054131463765E-5</v>
      </c>
      <c r="D20" s="45"/>
      <c r="E20" s="51">
        <f>$E$11*$E$12*E18*E19</f>
        <v>1.9438299219412935E-5</v>
      </c>
      <c r="F20" s="51">
        <f>$E$11*$E$12*F18*F19</f>
        <v>3.3030354795087068E-5</v>
      </c>
      <c r="G20" s="45"/>
      <c r="T20" s="22" t="s">
        <v>52</v>
      </c>
      <c r="U20" s="22" t="s">
        <v>50</v>
      </c>
      <c r="V20" s="22" t="s">
        <v>51</v>
      </c>
    </row>
    <row r="21" spans="1:22" ht="17" thickBot="1" x14ac:dyDescent="0.25">
      <c r="A21" s="2" t="s">
        <v>57</v>
      </c>
      <c r="B21" s="30">
        <f>-LOG10(B20)</f>
        <v>4.7735020160883934</v>
      </c>
      <c r="C21" s="30">
        <f t="shared" ref="C21:F21" si="5">-LOG10(C20)</f>
        <v>4.5725617027455705</v>
      </c>
      <c r="D21" s="45"/>
      <c r="E21" s="30">
        <f t="shared" si="5"/>
        <v>4.7113417369373725</v>
      </c>
      <c r="F21" s="30">
        <f t="shared" si="5"/>
        <v>4.4810867613155203</v>
      </c>
      <c r="G21" s="45"/>
      <c r="I21" s="1" t="s">
        <v>19</v>
      </c>
      <c r="T21" s="22" t="s">
        <v>66</v>
      </c>
      <c r="U21" s="29">
        <v>2.382570046514303E-6</v>
      </c>
      <c r="V21" s="29">
        <v>4.0012576285284488E-6</v>
      </c>
    </row>
    <row r="22" spans="1:22" x14ac:dyDescent="0.2">
      <c r="A22" s="2" t="s">
        <v>58</v>
      </c>
      <c r="B22" s="17">
        <f>$B$11*$B$12*B18*B19/$B$13</f>
        <v>6.6568658245691581E-2</v>
      </c>
      <c r="C22" s="17">
        <f>$B$11*$B$12*C18*C19/$B$13</f>
        <v>0.10573289336320263</v>
      </c>
      <c r="D22" s="45"/>
      <c r="E22" s="17">
        <f>$E$11*$E$12*E18*E19/$E$13</f>
        <v>8.9952695364273985E-2</v>
      </c>
      <c r="F22" s="17">
        <f>$E$11*$E$12*F18*F19/$E$13</f>
        <v>0.15285130705720698</v>
      </c>
      <c r="G22" s="45"/>
      <c r="I22" s="12"/>
      <c r="J22" s="12" t="s">
        <v>24</v>
      </c>
      <c r="K22" s="12" t="s">
        <v>25</v>
      </c>
      <c r="L22" s="12" t="s">
        <v>26</v>
      </c>
      <c r="M22" s="12" t="s">
        <v>27</v>
      </c>
      <c r="N22" s="12" t="s">
        <v>28</v>
      </c>
      <c r="T22" s="34" t="s">
        <v>68</v>
      </c>
      <c r="U22" s="35"/>
      <c r="V22" s="36"/>
    </row>
    <row r="23" spans="1:22" x14ac:dyDescent="0.2">
      <c r="A23" s="2" t="s">
        <v>59</v>
      </c>
      <c r="B23" s="30">
        <f>-LOG10(B22)</f>
        <v>1.1767301965764165</v>
      </c>
      <c r="C23" s="30">
        <f t="shared" ref="C23:F23" si="6">-LOG10(C22)</f>
        <v>0.9757898832335935</v>
      </c>
      <c r="D23" s="45"/>
      <c r="E23" s="30">
        <f t="shared" si="6"/>
        <v>1.0459858188187863</v>
      </c>
      <c r="F23" s="30">
        <f t="shared" si="6"/>
        <v>0.81573084319693401</v>
      </c>
      <c r="G23" s="45"/>
      <c r="I23" s="10" t="s">
        <v>20</v>
      </c>
      <c r="J23" s="10">
        <v>1</v>
      </c>
      <c r="K23" s="10">
        <v>237.0734026237765</v>
      </c>
      <c r="L23" s="10">
        <v>237.0734026237765</v>
      </c>
      <c r="M23" s="10">
        <v>9.585779028872123</v>
      </c>
      <c r="N23" s="10">
        <v>0.19888700424397313</v>
      </c>
      <c r="T23" s="22" t="s">
        <v>65</v>
      </c>
      <c r="U23" s="32">
        <v>1.4142135623730951E-4</v>
      </c>
      <c r="V23" s="33"/>
    </row>
    <row r="24" spans="1:22" x14ac:dyDescent="0.2">
      <c r="A24" s="2" t="s">
        <v>60</v>
      </c>
      <c r="B24" s="40">
        <f>B11*B12/B13</f>
        <v>0.47354044588455724</v>
      </c>
      <c r="C24" s="40"/>
      <c r="D24" s="45"/>
      <c r="E24" s="40">
        <f>E11*E12/E13</f>
        <v>0.74214920699718079</v>
      </c>
      <c r="F24" s="40"/>
      <c r="G24" s="45"/>
      <c r="I24" s="10" t="s">
        <v>21</v>
      </c>
      <c r="J24" s="10">
        <v>1</v>
      </c>
      <c r="K24" s="10">
        <v>24.731782561408668</v>
      </c>
      <c r="L24" s="10">
        <v>24.731782561408668</v>
      </c>
      <c r="M24" s="10"/>
      <c r="N24" s="10"/>
      <c r="T24" s="22" t="s">
        <v>43</v>
      </c>
      <c r="U24" s="24">
        <v>3.4355521372982029E-3</v>
      </c>
      <c r="V24" s="21">
        <v>9.6295095099671081E-4</v>
      </c>
    </row>
    <row r="25" spans="1:22" ht="17" thickBot="1" x14ac:dyDescent="0.25">
      <c r="A25" s="2" t="s">
        <v>61</v>
      </c>
      <c r="B25" s="41">
        <f>-LOG10(B24)</f>
        <v>0.32464292125561517</v>
      </c>
      <c r="C25" s="41"/>
      <c r="D25" s="46"/>
      <c r="E25" s="41">
        <f t="shared" ref="E25" si="7">-LOG10(E24)</f>
        <v>0.12950877226653268</v>
      </c>
      <c r="F25" s="41"/>
      <c r="G25" s="46"/>
      <c r="I25" s="11" t="s">
        <v>22</v>
      </c>
      <c r="J25" s="11">
        <v>2</v>
      </c>
      <c r="K25" s="11">
        <v>261.80518518518517</v>
      </c>
      <c r="L25" s="11"/>
      <c r="M25" s="11"/>
      <c r="N25" s="11"/>
      <c r="T25" s="22" t="s">
        <v>45</v>
      </c>
      <c r="U25" s="25">
        <v>3.4355521372981999E-3</v>
      </c>
      <c r="V25" s="28">
        <v>9.6295095099671081E-4</v>
      </c>
    </row>
    <row r="26" spans="1:22" ht="17" thickBot="1" x14ac:dyDescent="0.25">
      <c r="T26" s="26" t="s">
        <v>6</v>
      </c>
      <c r="U26" s="25">
        <f>SQRT(U24^2+U6^2)</f>
        <v>3.4688515268868104E-3</v>
      </c>
      <c r="V26" s="25">
        <f>SQRT(V24^2+W6^2)</f>
        <v>1.8374983744987655E-3</v>
      </c>
    </row>
    <row r="27" spans="1:22" x14ac:dyDescent="0.2">
      <c r="A27" s="43" t="s">
        <v>0</v>
      </c>
      <c r="B27" s="43"/>
      <c r="C27" s="43"/>
      <c r="D27" s="43"/>
      <c r="E27" s="43"/>
      <c r="F27" s="14"/>
      <c r="I27" s="12"/>
      <c r="J27" s="12" t="s">
        <v>29</v>
      </c>
      <c r="K27" s="12" t="s">
        <v>17</v>
      </c>
      <c r="L27" s="12" t="s">
        <v>30</v>
      </c>
      <c r="M27" s="12" t="s">
        <v>31</v>
      </c>
      <c r="N27" s="12" t="s">
        <v>32</v>
      </c>
      <c r="O27" s="12" t="s">
        <v>33</v>
      </c>
      <c r="P27" s="12" t="s">
        <v>34</v>
      </c>
      <c r="Q27" s="12" t="s">
        <v>35</v>
      </c>
      <c r="T27" s="31" t="s">
        <v>67</v>
      </c>
      <c r="U27" s="31"/>
      <c r="V27" s="31"/>
    </row>
    <row r="28" spans="1:22" x14ac:dyDescent="0.2">
      <c r="A28" s="31" t="s">
        <v>63</v>
      </c>
      <c r="B28" s="31"/>
      <c r="C28" s="31"/>
      <c r="D28" s="31"/>
      <c r="E28" s="31"/>
      <c r="I28" s="10" t="s">
        <v>23</v>
      </c>
      <c r="J28" s="10">
        <v>109.59280703317214</v>
      </c>
      <c r="K28" s="10">
        <v>19.943591353690188</v>
      </c>
      <c r="L28" s="10">
        <v>5.4951390193268299</v>
      </c>
      <c r="M28" s="10">
        <v>0.11459740597515099</v>
      </c>
      <c r="N28" s="10">
        <v>-143.81454788141906</v>
      </c>
      <c r="O28" s="10">
        <v>363.00016194776333</v>
      </c>
      <c r="P28" s="10">
        <v>-143.81454788141906</v>
      </c>
      <c r="Q28" s="10">
        <v>363.00016194776333</v>
      </c>
      <c r="T28" s="22" t="s">
        <v>65</v>
      </c>
      <c r="U28" s="24">
        <v>4.8606621952351822E-3</v>
      </c>
      <c r="V28" s="24">
        <v>1.369141726794907E-3</v>
      </c>
    </row>
    <row r="29" spans="1:22" ht="17" thickBot="1" x14ac:dyDescent="0.25">
      <c r="A29" s="2" t="s">
        <v>4</v>
      </c>
      <c r="B29" s="15">
        <v>1</v>
      </c>
      <c r="C29" s="15">
        <v>2</v>
      </c>
      <c r="D29" s="15">
        <v>3</v>
      </c>
      <c r="E29" s="15">
        <v>4</v>
      </c>
      <c r="I29" s="11" t="s">
        <v>36</v>
      </c>
      <c r="J29" s="11">
        <v>31.053525329411507</v>
      </c>
      <c r="K29" s="11">
        <v>10.029913869001364</v>
      </c>
      <c r="L29" s="11">
        <v>3.096090927100192</v>
      </c>
      <c r="M29" s="11">
        <v>0.1988870042439731</v>
      </c>
      <c r="N29" s="11">
        <v>-96.38861377631801</v>
      </c>
      <c r="O29" s="11">
        <v>158.49566443514101</v>
      </c>
      <c r="P29" s="11">
        <v>-96.38861377631801</v>
      </c>
      <c r="Q29" s="11">
        <v>158.49566443514101</v>
      </c>
      <c r="T29" s="22" t="s">
        <v>43</v>
      </c>
      <c r="U29" s="24">
        <v>6.8173780228467876E-3</v>
      </c>
      <c r="V29" s="24">
        <v>2.2993706784547232E-3</v>
      </c>
    </row>
    <row r="30" spans="1:22" x14ac:dyDescent="0.2">
      <c r="A30" s="2" t="s">
        <v>49</v>
      </c>
      <c r="B30" s="3">
        <v>2.85</v>
      </c>
      <c r="C30" s="3">
        <v>2.42</v>
      </c>
      <c r="D30" s="3">
        <v>2.61</v>
      </c>
      <c r="E30" s="3">
        <f>AVERAGE(B30:D30)</f>
        <v>2.6266666666666665</v>
      </c>
      <c r="T30" s="26" t="s">
        <v>6</v>
      </c>
      <c r="U30" s="24">
        <v>6.8342194531552094E-3</v>
      </c>
      <c r="V30" s="24">
        <v>2.7814081432248399E-3</v>
      </c>
    </row>
    <row r="31" spans="1:22" x14ac:dyDescent="0.2">
      <c r="A31" s="2" t="s">
        <v>5</v>
      </c>
      <c r="B31" s="21">
        <f>B30*$J$2/25</f>
        <v>6.8399999999999997E-3</v>
      </c>
      <c r="C31" s="21">
        <f t="shared" ref="C31:E31" si="8">C30*$J$2/25</f>
        <v>5.8079999999999998E-3</v>
      </c>
      <c r="D31" s="21">
        <f t="shared" si="8"/>
        <v>6.2639999999999996E-3</v>
      </c>
      <c r="E31" s="21">
        <f t="shared" si="8"/>
        <v>6.3039999999999997E-3</v>
      </c>
    </row>
    <row r="32" spans="1:22" x14ac:dyDescent="0.2">
      <c r="A32" s="2" t="s">
        <v>6</v>
      </c>
      <c r="B32" s="55">
        <f>AVERAGE(B31:E31)</f>
        <v>6.3039999999999997E-3</v>
      </c>
      <c r="C32" s="55"/>
      <c r="D32" s="55"/>
      <c r="E32" s="55"/>
    </row>
    <row r="33" spans="1:7" x14ac:dyDescent="0.2">
      <c r="A33" s="43" t="s">
        <v>64</v>
      </c>
      <c r="B33" s="43"/>
      <c r="C33" s="43"/>
      <c r="D33" s="43"/>
      <c r="E33" s="43"/>
    </row>
    <row r="34" spans="1:7" x14ac:dyDescent="0.2">
      <c r="A34" s="2" t="s">
        <v>52</v>
      </c>
      <c r="B34" s="31" t="s">
        <v>50</v>
      </c>
      <c r="C34" s="31"/>
      <c r="D34" s="31" t="s">
        <v>51</v>
      </c>
      <c r="E34" s="31"/>
    </row>
    <row r="35" spans="1:7" x14ac:dyDescent="0.2">
      <c r="A35" s="2" t="s">
        <v>66</v>
      </c>
      <c r="B35" s="50">
        <f>AVERAGE(B20,E20)</f>
        <v>1.8142172642001406E-5</v>
      </c>
      <c r="C35" s="50"/>
      <c r="D35" s="50">
        <f>AVERAGE(C20,F20)</f>
        <v>2.9893704463275417E-5</v>
      </c>
      <c r="E35" s="50"/>
    </row>
    <row r="36" spans="1:7" x14ac:dyDescent="0.2">
      <c r="A36" s="2" t="s">
        <v>46</v>
      </c>
      <c r="B36" s="52">
        <f>AVERAGE(B13,E13)</f>
        <v>2.3457870423510951E-4</v>
      </c>
      <c r="C36" s="53"/>
      <c r="D36" s="53"/>
      <c r="E36" s="54"/>
      <c r="G36" s="20"/>
    </row>
    <row r="37" spans="1:7" x14ac:dyDescent="0.2">
      <c r="A37" s="31" t="s">
        <v>68</v>
      </c>
      <c r="B37" s="31"/>
      <c r="C37" s="31"/>
      <c r="D37" s="31"/>
      <c r="E37" s="31"/>
    </row>
    <row r="38" spans="1:7" x14ac:dyDescent="0.2">
      <c r="A38" s="2" t="s">
        <v>65</v>
      </c>
      <c r="B38" s="47">
        <f>0.5*($J$3+$J$3)</f>
        <v>0.14990000000000001</v>
      </c>
      <c r="C38" s="47"/>
      <c r="D38" s="47"/>
      <c r="E38" s="47"/>
    </row>
    <row r="39" spans="1:7" x14ac:dyDescent="0.2">
      <c r="A39" s="2" t="s">
        <v>53</v>
      </c>
      <c r="B39" s="40">
        <f>10^(-0.509*4*SQRT($B$38))</f>
        <v>0.16282589761646563</v>
      </c>
      <c r="C39" s="40"/>
      <c r="D39" s="40">
        <f>10^(-0.509*(SQRT($B$38)/(1+SQRT($B$38))-0.3*$B$38))</f>
        <v>0.76001831077997983</v>
      </c>
      <c r="E39" s="40"/>
    </row>
    <row r="40" spans="1:7" x14ac:dyDescent="0.2">
      <c r="A40" s="2" t="s">
        <v>54</v>
      </c>
      <c r="B40" s="40">
        <f>10^(-0.509*4*SQRT($B$38))</f>
        <v>0.16282589761646563</v>
      </c>
      <c r="C40" s="40"/>
      <c r="D40" s="40">
        <f>10^(-0.509*(SQRT($B$38)/(1+SQRT($B$38))-0.3*$B$38))</f>
        <v>0.76001831077997983</v>
      </c>
      <c r="E40" s="40"/>
    </row>
    <row r="41" spans="1:7" x14ac:dyDescent="0.2">
      <c r="A41" s="2" t="s">
        <v>43</v>
      </c>
      <c r="B41" s="38">
        <f>SQRT(B35/(B39^2))</f>
        <v>2.6159001736619395E-2</v>
      </c>
      <c r="C41" s="38"/>
      <c r="D41" s="38">
        <f>SQRT(D35/(D39^2))</f>
        <v>7.1939234574469471E-3</v>
      </c>
      <c r="E41" s="38"/>
    </row>
    <row r="42" spans="1:7" x14ac:dyDescent="0.2">
      <c r="A42" s="2" t="s">
        <v>45</v>
      </c>
      <c r="B42" s="38">
        <f>B41</f>
        <v>2.6159001736619395E-2</v>
      </c>
      <c r="C42" s="38"/>
      <c r="D42" s="38">
        <f t="shared" ref="D42" si="9">D41</f>
        <v>7.1939234574469471E-3</v>
      </c>
      <c r="E42" s="38"/>
    </row>
    <row r="43" spans="1:7" x14ac:dyDescent="0.2">
      <c r="A43" s="2" t="s">
        <v>5</v>
      </c>
      <c r="B43" s="48">
        <f>B41+B36</f>
        <v>2.6393580440854505E-2</v>
      </c>
      <c r="C43" s="48"/>
      <c r="D43" s="48">
        <f>D41+B36</f>
        <v>7.4285021616820567E-3</v>
      </c>
      <c r="E43" s="48"/>
    </row>
    <row r="44" spans="1:7" x14ac:dyDescent="0.2">
      <c r="A44" s="31" t="s">
        <v>67</v>
      </c>
      <c r="B44" s="31"/>
      <c r="C44" s="31"/>
      <c r="D44" s="31"/>
      <c r="E44" s="31"/>
    </row>
    <row r="45" spans="1:7" x14ac:dyDescent="0.2">
      <c r="A45" s="2" t="s">
        <v>65</v>
      </c>
      <c r="B45" s="38">
        <f>0.5*(B41*4+B42*4+2*$J$3)</f>
        <v>0.2545360069464776</v>
      </c>
      <c r="C45" s="38"/>
      <c r="D45" s="38">
        <f>0.5*(D41*4+D42*4+2*$J$3)</f>
        <v>0.17867569382978779</v>
      </c>
      <c r="E45" s="38"/>
    </row>
    <row r="46" spans="1:7" x14ac:dyDescent="0.2">
      <c r="A46" s="2" t="s">
        <v>53</v>
      </c>
      <c r="B46" s="40">
        <f>10^(-0.509*4*SQRT(B45))</f>
        <v>9.39304072957442E-2</v>
      </c>
      <c r="C46" s="40"/>
      <c r="D46" s="40">
        <f>10^(-0.509*4*(SQRT(D45)/(1+SQRT(D45))-0.3*D45))</f>
        <v>0.3193128376596967</v>
      </c>
      <c r="E46" s="40"/>
    </row>
    <row r="47" spans="1:7" x14ac:dyDescent="0.2">
      <c r="A47" s="2" t="s">
        <v>54</v>
      </c>
      <c r="B47" s="40">
        <f>B46</f>
        <v>9.39304072957442E-2</v>
      </c>
      <c r="C47" s="40"/>
      <c r="D47" s="40">
        <f>D46</f>
        <v>0.3193128376596967</v>
      </c>
      <c r="E47" s="40"/>
    </row>
    <row r="48" spans="1:7" x14ac:dyDescent="0.2">
      <c r="A48" s="2" t="s">
        <v>43</v>
      </c>
      <c r="B48" s="38">
        <f>SQRT(B35/B46^2)</f>
        <v>4.534594346115136E-2</v>
      </c>
      <c r="C48" s="38"/>
      <c r="D48" s="38">
        <f>SQRT(D35/D46^2)</f>
        <v>1.7122748944520136E-2</v>
      </c>
      <c r="E48" s="38"/>
    </row>
    <row r="49" spans="1:5" x14ac:dyDescent="0.2">
      <c r="A49" s="2" t="s">
        <v>45</v>
      </c>
      <c r="B49" s="38">
        <f>B48</f>
        <v>4.534594346115136E-2</v>
      </c>
      <c r="C49" s="38"/>
      <c r="D49" s="38">
        <f>D48</f>
        <v>1.7122748944520136E-2</v>
      </c>
      <c r="E49" s="38"/>
    </row>
    <row r="50" spans="1:5" x14ac:dyDescent="0.2">
      <c r="A50" s="2" t="s">
        <v>5</v>
      </c>
      <c r="B50" s="48">
        <f>B36+B48</f>
        <v>4.5580522165386467E-2</v>
      </c>
      <c r="C50" s="48"/>
      <c r="D50" s="48">
        <f>B36+D48</f>
        <v>1.7357327648755246E-2</v>
      </c>
      <c r="E50" s="48"/>
    </row>
    <row r="51" spans="1:5" x14ac:dyDescent="0.2">
      <c r="B51" s="49"/>
      <c r="C51" s="49"/>
      <c r="D51" s="49"/>
      <c r="E51" s="49"/>
    </row>
    <row r="52" spans="1:5" x14ac:dyDescent="0.2">
      <c r="B52" s="49"/>
      <c r="C52" s="49"/>
      <c r="D52" s="49"/>
      <c r="E52" s="49"/>
    </row>
    <row r="53" spans="1:5" x14ac:dyDescent="0.2">
      <c r="B53" s="49"/>
      <c r="C53" s="49"/>
      <c r="D53" s="49"/>
      <c r="E53" s="49"/>
    </row>
    <row r="54" spans="1:5" x14ac:dyDescent="0.2">
      <c r="B54" s="49"/>
      <c r="C54" s="49"/>
      <c r="D54" s="49"/>
      <c r="E54" s="49"/>
    </row>
    <row r="55" spans="1:5" x14ac:dyDescent="0.2">
      <c r="B55" s="49"/>
      <c r="C55" s="49"/>
      <c r="D55" s="49"/>
      <c r="E55" s="49"/>
    </row>
    <row r="56" spans="1:5" x14ac:dyDescent="0.2">
      <c r="B56" s="49"/>
      <c r="C56" s="49"/>
    </row>
  </sheetData>
  <mergeCells count="104">
    <mergeCell ref="B55:C55"/>
    <mergeCell ref="B56:C56"/>
    <mergeCell ref="D49:E49"/>
    <mergeCell ref="D50:E50"/>
    <mergeCell ref="D51:E51"/>
    <mergeCell ref="D52:E52"/>
    <mergeCell ref="D53:E53"/>
    <mergeCell ref="D54:E54"/>
    <mergeCell ref="D55:E55"/>
    <mergeCell ref="B49:C49"/>
    <mergeCell ref="B50:C50"/>
    <mergeCell ref="B51:C51"/>
    <mergeCell ref="B52:C52"/>
    <mergeCell ref="B53:C53"/>
    <mergeCell ref="B54:C54"/>
    <mergeCell ref="D41:E41"/>
    <mergeCell ref="D46:E46"/>
    <mergeCell ref="D47:E47"/>
    <mergeCell ref="D48:E48"/>
    <mergeCell ref="B36:E36"/>
    <mergeCell ref="B38:E38"/>
    <mergeCell ref="B43:C43"/>
    <mergeCell ref="B45:C45"/>
    <mergeCell ref="D43:E43"/>
    <mergeCell ref="D45:E45"/>
    <mergeCell ref="B41:C41"/>
    <mergeCell ref="B46:C46"/>
    <mergeCell ref="B47:C47"/>
    <mergeCell ref="B48:C48"/>
    <mergeCell ref="A44:E44"/>
    <mergeCell ref="D42:E42"/>
    <mergeCell ref="B42:C42"/>
    <mergeCell ref="A33:E33"/>
    <mergeCell ref="A37:E37"/>
    <mergeCell ref="D34:E34"/>
    <mergeCell ref="D39:E39"/>
    <mergeCell ref="D40:E40"/>
    <mergeCell ref="D35:E35"/>
    <mergeCell ref="B34:C34"/>
    <mergeCell ref="B39:C39"/>
    <mergeCell ref="B40:C40"/>
    <mergeCell ref="B35:C35"/>
    <mergeCell ref="I6:I7"/>
    <mergeCell ref="G9:G25"/>
    <mergeCell ref="D9:D25"/>
    <mergeCell ref="E14:F14"/>
    <mergeCell ref="E15:F15"/>
    <mergeCell ref="E16:F16"/>
    <mergeCell ref="E13:F13"/>
    <mergeCell ref="B32:E32"/>
    <mergeCell ref="A27:E27"/>
    <mergeCell ref="A28:E28"/>
    <mergeCell ref="B16:C16"/>
    <mergeCell ref="B24:C24"/>
    <mergeCell ref="E24:F24"/>
    <mergeCell ref="B25:C25"/>
    <mergeCell ref="E25:F25"/>
    <mergeCell ref="T22:V22"/>
    <mergeCell ref="U23:V23"/>
    <mergeCell ref="T27:V27"/>
    <mergeCell ref="M6:M7"/>
    <mergeCell ref="N6:N7"/>
    <mergeCell ref="B3:D3"/>
    <mergeCell ref="E3:G3"/>
    <mergeCell ref="A1:G1"/>
    <mergeCell ref="A2:G2"/>
    <mergeCell ref="B13:C13"/>
    <mergeCell ref="B14:C14"/>
    <mergeCell ref="B15:C15"/>
    <mergeCell ref="P5:R5"/>
    <mergeCell ref="P4:R4"/>
    <mergeCell ref="E11:F11"/>
    <mergeCell ref="B11:C11"/>
    <mergeCell ref="B12:C12"/>
    <mergeCell ref="E12:F12"/>
    <mergeCell ref="I12:K12"/>
    <mergeCell ref="A8:G8"/>
    <mergeCell ref="E7:G7"/>
    <mergeCell ref="B7:D7"/>
    <mergeCell ref="I5:N5"/>
    <mergeCell ref="J6:L6"/>
    <mergeCell ref="T1:X1"/>
    <mergeCell ref="U15:V15"/>
    <mergeCell ref="U16:V16"/>
    <mergeCell ref="W15:X15"/>
    <mergeCell ref="W16:X16"/>
    <mergeCell ref="U3:V3"/>
    <mergeCell ref="U4:V4"/>
    <mergeCell ref="U5:V5"/>
    <mergeCell ref="U6:V6"/>
    <mergeCell ref="U7:V7"/>
    <mergeCell ref="U8:V8"/>
    <mergeCell ref="U9:V9"/>
    <mergeCell ref="W3:X3"/>
    <mergeCell ref="W4:X4"/>
    <mergeCell ref="W2:X2"/>
    <mergeCell ref="U2:V2"/>
    <mergeCell ref="U19:V19"/>
    <mergeCell ref="T18:V18"/>
    <mergeCell ref="W5:X5"/>
    <mergeCell ref="W6:X6"/>
    <mergeCell ref="W7:X7"/>
    <mergeCell ref="W8:X8"/>
    <mergeCell ref="W9:X9"/>
  </mergeCells>
  <pageMargins left="0.7" right="0.7" top="0.75" bottom="0.75" header="0.3" footer="0.3"/>
  <pageSetup orientation="portrait" horizontalDpi="0" verticalDpi="0"/>
  <ignoredErrors>
    <ignoredError sqref="M8:M10" formulaRange="1"/>
    <ignoredError sqref="B48:E48 B9:F23 B25:F25 C24:F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71B0-85A3-BC4C-BA2C-369287C4D6E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2020-04-14T18:43:35Z</dcterms:created>
  <dcterms:modified xsi:type="dcterms:W3CDTF">2020-04-24T00:06:11Z</dcterms:modified>
</cp:coreProperties>
</file>