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ma\OneDrive\Documents\"/>
    </mc:Choice>
  </mc:AlternateContent>
  <xr:revisionPtr revIDLastSave="0" documentId="13_ncr:1_{2A000E6D-F7EA-45CD-A791-FFA0222E1C5E}" xr6:coauthVersionLast="44" xr6:coauthVersionMax="44" xr10:uidLastSave="{00000000-0000-0000-0000-000000000000}"/>
  <bookViews>
    <workbookView xWindow="-96" yWindow="-96" windowWidth="23232" windowHeight="12552" activeTab="1" xr2:uid="{0A8AB0C3-C8CE-4F6E-9F7E-6D5ACF23A8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J21" i="2"/>
  <c r="J36" i="2" s="1"/>
  <c r="I36" i="2"/>
  <c r="I34" i="2"/>
  <c r="K19" i="2"/>
  <c r="L21" i="2" s="1"/>
  <c r="L22" i="2" s="1"/>
  <c r="I19" i="2"/>
  <c r="I18" i="2"/>
  <c r="K18" i="2"/>
  <c r="B21" i="2"/>
  <c r="B22" i="2"/>
  <c r="B16" i="2"/>
  <c r="K21" i="2"/>
  <c r="K22" i="2" s="1"/>
  <c r="I21" i="2"/>
  <c r="I22" i="2" s="1"/>
  <c r="I14" i="2"/>
  <c r="I15" i="2" s="1"/>
  <c r="B17" i="2"/>
  <c r="K15" i="2"/>
  <c r="K17" i="2" s="1"/>
  <c r="K14" i="2"/>
  <c r="E12" i="2"/>
  <c r="E13" i="2" s="1"/>
  <c r="B12" i="2"/>
  <c r="D21" i="1"/>
  <c r="E22" i="1"/>
  <c r="E23" i="1"/>
  <c r="E21" i="1"/>
  <c r="J22" i="2" l="1"/>
  <c r="I17" i="2"/>
  <c r="E15" i="2"/>
  <c r="E16" i="2" s="1"/>
  <c r="E17" i="2"/>
  <c r="B13" i="2"/>
  <c r="B37" i="2"/>
  <c r="D14" i="1"/>
  <c r="D32" i="2"/>
  <c r="D33" i="2" s="1"/>
  <c r="C32" i="2"/>
  <c r="C33" i="2" s="1"/>
  <c r="B32" i="2"/>
  <c r="B33" i="2" s="1"/>
  <c r="D32" i="1"/>
  <c r="D33" i="1"/>
  <c r="D34" i="1"/>
  <c r="D31" i="1"/>
  <c r="I33" i="2" l="1"/>
  <c r="C19" i="2"/>
  <c r="B15" i="2"/>
  <c r="C38" i="2"/>
  <c r="B38" i="2"/>
  <c r="B39" i="2"/>
  <c r="B34" i="2"/>
  <c r="C39" i="2"/>
  <c r="E20" i="2"/>
  <c r="F20" i="2"/>
  <c r="C41" i="2" l="1"/>
  <c r="C43" i="2" s="1"/>
  <c r="B41" i="2"/>
  <c r="B43" i="2" s="1"/>
  <c r="B20" i="2"/>
  <c r="B19" i="2"/>
  <c r="C20" i="2"/>
  <c r="C21" i="2" s="1"/>
  <c r="F19" i="2"/>
  <c r="F21" i="2" s="1"/>
  <c r="E19" i="2"/>
  <c r="B44" i="2" l="1"/>
  <c r="I37" i="2"/>
  <c r="B45" i="2"/>
  <c r="C44" i="2"/>
  <c r="J37" i="2"/>
  <c r="C45" i="2"/>
  <c r="E21" i="2"/>
  <c r="C40" i="2"/>
  <c r="C22" i="2"/>
  <c r="F22" i="2"/>
  <c r="J38" i="2" l="1"/>
  <c r="J39" i="2"/>
  <c r="C46" i="2"/>
  <c r="C48" i="2" s="1"/>
  <c r="C47" i="2"/>
  <c r="I38" i="2"/>
  <c r="I39" i="2"/>
  <c r="B47" i="2"/>
  <c r="B46" i="2"/>
  <c r="B40" i="2"/>
  <c r="E22" i="2"/>
  <c r="D22" i="1"/>
  <c r="D23" i="1"/>
  <c r="F6" i="2"/>
  <c r="F7" i="2" s="1"/>
  <c r="G6" i="2"/>
  <c r="G7" i="2" s="1"/>
  <c r="E6" i="2"/>
  <c r="D6" i="2"/>
  <c r="D7" i="2" s="1"/>
  <c r="C6" i="2"/>
  <c r="C7" i="2" s="1"/>
  <c r="B6" i="2"/>
  <c r="B7" i="2" s="1"/>
  <c r="C17" i="1"/>
  <c r="C14" i="1"/>
  <c r="D4" i="1"/>
  <c r="D3" i="1"/>
  <c r="D2" i="1"/>
  <c r="J11" i="1"/>
  <c r="I11" i="1"/>
  <c r="H11" i="1"/>
  <c r="F11" i="1"/>
  <c r="G11" i="1"/>
  <c r="E11" i="1"/>
  <c r="D11" i="1"/>
  <c r="C11" i="1"/>
  <c r="B11" i="1"/>
  <c r="B48" i="2" l="1"/>
  <c r="I40" i="2" s="1"/>
  <c r="J40" i="2"/>
  <c r="I13" i="2"/>
  <c r="I16" i="2" s="1"/>
  <c r="E7" i="2"/>
  <c r="K13" i="2" s="1"/>
  <c r="K16" i="2" s="1"/>
  <c r="J41" i="2" s="1"/>
  <c r="B8" i="2"/>
  <c r="I41" i="2" l="1"/>
  <c r="E8" i="2"/>
  <c r="E14" i="2" s="1"/>
  <c r="B14" i="2"/>
  <c r="B25" i="2" l="1"/>
  <c r="I25" i="2" s="1"/>
  <c r="I26" i="2" s="1"/>
  <c r="C23" i="2"/>
  <c r="B49" i="2"/>
  <c r="E25" i="2"/>
  <c r="K25" i="2" s="1"/>
  <c r="K26" i="2" s="1"/>
  <c r="F23" i="2"/>
  <c r="C49" i="2"/>
  <c r="E23" i="2"/>
  <c r="B23" i="2"/>
  <c r="I23" i="2" s="1"/>
  <c r="L23" i="2" l="1"/>
  <c r="L24" i="2" s="1"/>
  <c r="J23" i="2"/>
  <c r="J24" i="2" s="1"/>
  <c r="C24" i="2"/>
  <c r="F24" i="2"/>
  <c r="B26" i="2"/>
  <c r="E26" i="2"/>
  <c r="B24" i="2"/>
  <c r="I24" i="2"/>
  <c r="E24" i="2"/>
  <c r="K23" i="2"/>
  <c r="K24" i="2" s="1"/>
</calcChain>
</file>

<file path=xl/sharedStrings.xml><?xml version="1.0" encoding="utf-8"?>
<sst xmlns="http://schemas.openxmlformats.org/spreadsheetml/2006/main" count="148" uniqueCount="92">
  <si>
    <t>Solution 1</t>
  </si>
  <si>
    <t>Solution 2</t>
  </si>
  <si>
    <t>NaCl Solution</t>
  </si>
  <si>
    <t>Initial Volume (mL)</t>
  </si>
  <si>
    <t>Final Volume (mL)</t>
  </si>
  <si>
    <t>Volume EDTA needed (mL)</t>
  </si>
  <si>
    <t xml:space="preserve">Trial </t>
  </si>
  <si>
    <r>
      <t>Mass of 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.2H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(g)</t>
    </r>
  </si>
  <si>
    <t xml:space="preserve">Mass of Empty Flask (g) </t>
  </si>
  <si>
    <r>
      <t>Mass of Flask and 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.2H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 (g)</t>
    </r>
  </si>
  <si>
    <t>Mass of Empty Flask (g)</t>
  </si>
  <si>
    <t>Mass of Flask and NaCl (g)</t>
  </si>
  <si>
    <t>Mass of NaCl (g)</t>
  </si>
  <si>
    <t xml:space="preserve">Solution </t>
  </si>
  <si>
    <t xml:space="preserve">             3 (NaCl)</t>
  </si>
  <si>
    <t>Mass of Flask and EDTA (g)</t>
  </si>
  <si>
    <t>Mass of EDTA (g)</t>
  </si>
  <si>
    <t>Concentration of EDTA (M)</t>
  </si>
  <si>
    <t>Calibration Data</t>
  </si>
  <si>
    <t>mV</t>
  </si>
  <si>
    <t>Slope</t>
  </si>
  <si>
    <t>Intercept</t>
  </si>
  <si>
    <r>
      <t>mV = XX.XXX*log[Ca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 + XX.XXX</t>
    </r>
  </si>
  <si>
    <t>M{NaCl}</t>
  </si>
  <si>
    <r>
      <t>[Ca</t>
    </r>
    <r>
      <rPr>
        <b/>
        <vertAlign val="superscript"/>
        <sz val="12"/>
        <color theme="1"/>
        <rFont val="Calibri"/>
        <family val="2"/>
        <scheme val="minor"/>
      </rPr>
      <t>2+</t>
    </r>
    <r>
      <rPr>
        <b/>
        <sz val="12"/>
        <color theme="1"/>
        <rFont val="Calibri"/>
        <family val="2"/>
        <scheme val="minor"/>
      </rPr>
      <t>] (M)</t>
    </r>
  </si>
  <si>
    <t>ISE Data</t>
  </si>
  <si>
    <t>Volume of Aliquot (mL)</t>
  </si>
  <si>
    <t>Average mV</t>
  </si>
  <si>
    <r>
      <t>Log [Ca</t>
    </r>
    <r>
      <rPr>
        <b/>
        <vertAlign val="superscript"/>
        <sz val="12"/>
        <color theme="1"/>
        <rFont val="Calibri"/>
        <family val="2"/>
        <scheme val="minor"/>
      </rPr>
      <t>2+</t>
    </r>
    <r>
      <rPr>
        <b/>
        <sz val="12"/>
        <color theme="1"/>
        <rFont val="Calibri"/>
        <family val="2"/>
        <scheme val="minor"/>
      </rPr>
      <t>]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</si>
  <si>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</si>
  <si>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</si>
  <si>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</si>
  <si>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</si>
  <si>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</si>
  <si>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</si>
  <si>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</si>
  <si>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</si>
  <si>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</si>
  <si>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</si>
  <si>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</si>
  <si>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</si>
  <si>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</si>
  <si>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</si>
  <si>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</si>
  <si>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</si>
  <si>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</si>
  <si>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</si>
  <si>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</si>
  <si>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</si>
  <si>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</si>
  <si>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</si>
  <si>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</si>
  <si>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</si>
  <si>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r>
      <t>E = 32.255*log[Ca</t>
    </r>
    <r>
      <rPr>
        <vertAlign val="superscript"/>
        <sz val="12"/>
        <color theme="1"/>
        <rFont val="Calibri"/>
        <family val="2"/>
        <scheme val="minor"/>
      </rPr>
      <t>2+</t>
    </r>
    <r>
      <rPr>
        <sz val="12"/>
        <color theme="1"/>
        <rFont val="Calibri"/>
        <family val="2"/>
        <scheme val="minor"/>
      </rPr>
      <t>] + 108.069</t>
    </r>
  </si>
  <si>
    <r>
      <t>Concentration of Ca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</si>
  <si>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>{Apparent}</t>
    </r>
  </si>
  <si>
    <r>
      <t>pK</t>
    </r>
    <r>
      <rPr>
        <b/>
        <vertAlign val="subscript"/>
        <sz val="11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>{Apparent}</t>
    </r>
  </si>
  <si>
    <r>
      <t>γ</t>
    </r>
    <r>
      <rPr>
        <b/>
        <vertAlign val="subscript"/>
        <sz val="11"/>
        <color theme="1"/>
        <rFont val="Calibri"/>
        <family val="2"/>
        <scheme val="minor"/>
      </rPr>
      <t>-</t>
    </r>
  </si>
  <si>
    <r>
      <t>γ</t>
    </r>
    <r>
      <rPr>
        <b/>
        <vertAlign val="sub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</si>
  <si>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</si>
  <si>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pK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</si>
  <si>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Experimental Data</t>
  </si>
  <si>
    <t>Debye-Huckel Limiting Law</t>
  </si>
  <si>
    <t>Davies Equation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</si>
  <si>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sp</t>
    </r>
    <r>
      <rPr>
        <b/>
        <vertAlign val="superscript"/>
        <sz val="11"/>
        <color theme="1"/>
        <rFont val="Calibri"/>
        <family val="2"/>
        <scheme val="minor"/>
      </rPr>
      <t>°</t>
    </r>
    <r>
      <rPr>
        <b/>
        <sz val="11"/>
        <color theme="1"/>
        <rFont val="Calibri"/>
        <family val="2"/>
        <scheme val="minor"/>
      </rPr>
      <t xml:space="preserve"> </t>
    </r>
  </si>
  <si>
    <r>
      <t>pK</t>
    </r>
    <r>
      <rPr>
        <b/>
        <vertAlign val="subscript"/>
        <sz val="11"/>
        <color theme="1"/>
        <rFont val="Calibri"/>
        <family val="2"/>
        <scheme val="minor"/>
      </rPr>
      <t>sp</t>
    </r>
    <r>
      <rPr>
        <b/>
        <vertAlign val="superscript"/>
        <sz val="11"/>
        <color theme="1"/>
        <rFont val="Calibri"/>
        <family val="2"/>
        <scheme val="minor"/>
      </rPr>
      <t>°</t>
    </r>
    <r>
      <rPr>
        <b/>
        <sz val="11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</si>
  <si>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vertAlign val="superscript"/>
        <sz val="11"/>
        <color theme="1"/>
        <rFont val="Calibri"/>
        <family val="2"/>
        <scheme val="minor"/>
      </rPr>
      <t>°</t>
    </r>
    <r>
      <rPr>
        <b/>
        <sz val="11"/>
        <color theme="1"/>
        <rFont val="Calibri"/>
        <family val="2"/>
        <scheme val="minor"/>
      </rPr>
      <t xml:space="preserve"> </t>
    </r>
  </si>
  <si>
    <r>
      <t>pK</t>
    </r>
    <r>
      <rPr>
        <b/>
        <vertAlign val="subscript"/>
        <sz val="11"/>
        <color theme="1"/>
        <rFont val="Calibri"/>
        <family val="2"/>
        <scheme val="minor"/>
      </rPr>
      <t>D</t>
    </r>
    <r>
      <rPr>
        <b/>
        <vertAlign val="superscript"/>
        <sz val="11"/>
        <color theme="1"/>
        <rFont val="Calibri"/>
        <family val="2"/>
        <scheme val="minor"/>
      </rPr>
      <t>°</t>
    </r>
    <r>
      <rPr>
        <b/>
        <sz val="11"/>
        <color theme="1"/>
        <rFont val="Calibri"/>
        <family val="2"/>
        <scheme val="minor"/>
      </rPr>
      <t xml:space="preserve"> </t>
    </r>
  </si>
  <si>
    <t>Ionic Strength (M)</t>
  </si>
  <si>
    <t>Concentration of NaCl (M)</t>
  </si>
  <si>
    <r>
      <t>Average K</t>
    </r>
    <r>
      <rPr>
        <b/>
        <vertAlign val="subscript"/>
        <sz val="11"/>
        <color theme="1"/>
        <rFont val="Calibri"/>
        <family val="2"/>
        <scheme val="minor"/>
      </rPr>
      <t>sp</t>
    </r>
    <r>
      <rPr>
        <b/>
        <vertAlign val="superscript"/>
        <sz val="11"/>
        <color theme="1"/>
        <rFont val="Calibri"/>
        <family val="2"/>
        <scheme val="minor"/>
      </rPr>
      <t>°</t>
    </r>
    <r>
      <rPr>
        <b/>
        <sz val="11"/>
        <color theme="1"/>
        <rFont val="Calibri"/>
        <family val="2"/>
        <scheme val="minor"/>
      </rPr>
      <t xml:space="preserve"> </t>
    </r>
  </si>
  <si>
    <t>Calculated from Trendline</t>
  </si>
  <si>
    <t>NaCl Only</t>
  </si>
  <si>
    <r>
      <t>γ</t>
    </r>
    <r>
      <rPr>
        <b/>
        <vertAlign val="sub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</t>
    </r>
  </si>
  <si>
    <t>All Ions Included</t>
  </si>
  <si>
    <r>
      <t>Concentration of 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  <r>
      <rPr>
        <b/>
        <sz val="11"/>
        <color theme="1"/>
        <rFont val="Calibri"/>
        <family val="2"/>
        <scheme val="minor"/>
      </rPr>
      <t xml:space="preserve"> (M)</t>
    </r>
  </si>
  <si>
    <r>
      <t>Calculated Solubility of 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(M)</t>
    </r>
  </si>
  <si>
    <r>
      <t>S{CaSO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.2H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O} (M)</t>
    </r>
  </si>
  <si>
    <t>V{EDTA} (mL)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</si>
  <si>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{CaSO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.2H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O} (M)</t>
    </r>
  </si>
  <si>
    <r>
      <t>[Ca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>] (M)</t>
    </r>
  </si>
  <si>
    <r>
      <t xml:space="preserve"> [Ca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>]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 xml:space="preserve"> (M)</t>
    </r>
  </si>
  <si>
    <r>
      <t>[SO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  <r>
      <rPr>
        <b/>
        <sz val="11"/>
        <color theme="1"/>
        <rFont val="Calibri"/>
        <family val="2"/>
        <scheme val="minor"/>
      </rPr>
      <t>] (M)</t>
    </r>
  </si>
  <si>
    <r>
      <t>[CaSO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(M)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</si>
  <si>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NaCl</t>
    </r>
    <r>
      <rPr>
        <b/>
        <sz val="11"/>
        <color theme="1"/>
        <rFont val="Calibri"/>
        <family val="2"/>
        <scheme val="minor"/>
      </rPr>
      <t xml:space="preserve"> (M)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</si>
  <si>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Ions</t>
    </r>
    <r>
      <rPr>
        <b/>
        <sz val="11"/>
        <color theme="1"/>
        <rFont val="Calibri"/>
        <family val="2"/>
        <scheme val="minor"/>
      </rPr>
      <t xml:space="preserve"> (M) </t>
    </r>
  </si>
  <si>
    <t>Uncertainty</t>
  </si>
  <si>
    <t>DHLL</t>
  </si>
  <si>
    <t>Davies</t>
  </si>
  <si>
    <t>Calculated Solubility of CaSO4 (M)</t>
  </si>
  <si>
    <r>
      <t>New Concentration of Ca</t>
    </r>
    <r>
      <rPr>
        <b/>
        <vertAlign val="superscript"/>
        <sz val="11"/>
        <color theme="1"/>
        <rFont val="Calibri"/>
        <family val="2"/>
        <scheme val="minor"/>
      </rPr>
      <t>2+</t>
    </r>
    <r>
      <rPr>
        <b/>
        <sz val="11"/>
        <color theme="1"/>
        <rFont val="Calibri"/>
        <family val="2"/>
        <scheme val="minor"/>
      </rPr>
      <t xml:space="preserve"> (M)</t>
    </r>
  </si>
  <si>
    <t>New Concentration of Ca2+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</si>
</sst>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"/>
    <numFmt numFmtId="168" formatCode="0.0E+00"/>
    <numFmt numFmtId="169" formatCode="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3" fillId="0" borderId="0" xfId="1"/>
    <xf numFmtId="0" fontId="3" fillId="0" borderId="1" xfId="1" applyFill="1" applyBorder="1" applyAlignment="1">
      <alignment horizontal="center"/>
    </xf>
    <xf numFmtId="165" fontId="3" fillId="0" borderId="1" xfId="1" applyNumberFormat="1" applyFill="1" applyBorder="1" applyAlignment="1">
      <alignment horizontal="center"/>
    </xf>
    <xf numFmtId="0" fontId="3" fillId="0" borderId="4" xfId="1" applyFill="1" applyBorder="1" applyAlignment="1">
      <alignment horizontal="left"/>
    </xf>
    <xf numFmtId="0" fontId="3" fillId="0" borderId="1" xfId="1" applyBorder="1" applyAlignment="1">
      <alignment horizontal="center"/>
    </xf>
    <xf numFmtId="0" fontId="3" fillId="0" borderId="2" xfId="1" applyFill="1" applyBorder="1" applyAlignment="1">
      <alignment horizontal="left"/>
    </xf>
    <xf numFmtId="0" fontId="3" fillId="0" borderId="5" xfId="1" applyFill="1" applyBorder="1"/>
    <xf numFmtId="0" fontId="3" fillId="0" borderId="9" xfId="1" applyFill="1" applyBorder="1" applyAlignment="1">
      <alignment horizontal="center"/>
    </xf>
    <xf numFmtId="0" fontId="3" fillId="0" borderId="0" xfId="1" applyFill="1"/>
    <xf numFmtId="0" fontId="5" fillId="0" borderId="1" xfId="1" applyFont="1" applyFill="1" applyBorder="1" applyAlignment="1">
      <alignment horizontal="center"/>
    </xf>
    <xf numFmtId="0" fontId="3" fillId="0" borderId="0" xfId="1" applyAlignment="1">
      <alignment horizontal="center"/>
    </xf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8" fillId="0" borderId="1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Continuous"/>
    </xf>
    <xf numFmtId="166" fontId="0" fillId="0" borderId="13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3" fillId="0" borderId="0" xfId="1" applyNumberFormat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5" fontId="3" fillId="0" borderId="1" xfId="1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5" xfId="0" applyFill="1" applyBorder="1"/>
    <xf numFmtId="11" fontId="0" fillId="0" borderId="1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/>
    <xf numFmtId="165" fontId="0" fillId="2" borderId="3" xfId="0" applyNumberFormat="1" applyFill="1" applyBorder="1" applyAlignment="1"/>
    <xf numFmtId="165" fontId="0" fillId="2" borderId="10" xfId="0" applyNumberFormat="1" applyFill="1" applyBorder="1" applyAlignment="1"/>
    <xf numFmtId="11" fontId="0" fillId="2" borderId="10" xfId="0" applyNumberFormat="1" applyFill="1" applyBorder="1" applyAlignment="1"/>
    <xf numFmtId="11" fontId="0" fillId="2" borderId="3" xfId="0" applyNumberFormat="1" applyFill="1" applyBorder="1" applyAlignment="1"/>
    <xf numFmtId="165" fontId="0" fillId="2" borderId="0" xfId="0" applyNumberFormat="1" applyFill="1" applyBorder="1" applyAlignment="1"/>
    <xf numFmtId="165" fontId="1" fillId="2" borderId="0" xfId="0" applyNumberFormat="1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1" fontId="0" fillId="2" borderId="0" xfId="0" applyNumberFormat="1" applyFill="1" applyBorder="1" applyAlignment="1"/>
    <xf numFmtId="0" fontId="1" fillId="2" borderId="16" xfId="0" applyFont="1" applyFill="1" applyBorder="1" applyAlignment="1">
      <alignment horizontal="center"/>
    </xf>
    <xf numFmtId="0" fontId="0" fillId="2" borderId="3" xfId="0" applyFill="1" applyBorder="1"/>
    <xf numFmtId="165" fontId="3" fillId="2" borderId="3" xfId="1" applyNumberFormat="1" applyFont="1" applyFill="1" applyBorder="1" applyAlignment="1"/>
    <xf numFmtId="0" fontId="0" fillId="0" borderId="12" xfId="0" applyBorder="1"/>
    <xf numFmtId="164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Border="1"/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5" fontId="0" fillId="0" borderId="0" xfId="0" applyNumberFormat="1"/>
    <xf numFmtId="169" fontId="0" fillId="0" borderId="0" xfId="0" applyNumberFormat="1"/>
    <xf numFmtId="0" fontId="1" fillId="0" borderId="6" xfId="0" applyFont="1" applyFill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1" fillId="0" borderId="1" xfId="0" applyFont="1" applyBorder="1"/>
    <xf numFmtId="167" fontId="0" fillId="0" borderId="1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6" xfId="1" applyFill="1" applyBorder="1" applyAlignment="1">
      <alignment horizontal="center"/>
    </xf>
    <xf numFmtId="0" fontId="3" fillId="0" borderId="7" xfId="1" applyFill="1" applyBorder="1" applyAlignment="1">
      <alignment horizontal="center"/>
    </xf>
    <xf numFmtId="0" fontId="3" fillId="0" borderId="8" xfId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7BC195BD-8CC8-462B-A835-505DB9FDAF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Sheet1!$D$21:$D$23</c:f>
              <c:numCache>
                <c:formatCode>0.000</c:formatCode>
                <c:ptCount val="3"/>
                <c:pt idx="0">
                  <c:v>-2.3010299956639813</c:v>
                </c:pt>
                <c:pt idx="1">
                  <c:v>-2</c:v>
                </c:pt>
                <c:pt idx="2">
                  <c:v>-1.6020599913279623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30.75</c:v>
                </c:pt>
                <c:pt idx="1">
                  <c:v>49</c:v>
                </c:pt>
                <c:pt idx="2">
                  <c:v>54.05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3-4E63-AF86-9BEFD1F53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74808"/>
        <c:axId val="730071856"/>
      </c:scatterChart>
      <c:valAx>
        <c:axId val="730074808"/>
        <c:scaling>
          <c:orientation val="minMax"/>
          <c:max val="-1.5"/>
          <c:min val="-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log[Ca</a:t>
                </a:r>
                <a:r>
                  <a:rPr lang="en-US" b="1" baseline="30000">
                    <a:solidFill>
                      <a:sysClr val="windowText" lastClr="000000"/>
                    </a:solidFill>
                  </a:rPr>
                  <a:t>2+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]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1856"/>
        <c:crosses val="autoZero"/>
        <c:crossBetween val="midCat"/>
      </c:valAx>
      <c:valAx>
        <c:axId val="730071856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Voltage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(mV)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4808"/>
        <c:crossesAt val="-2.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489240</xdr:colOff>
      <xdr:row>11</xdr:row>
      <xdr:rowOff>18182</xdr:rowOff>
    </xdr:from>
    <xdr:to>
      <xdr:col>9</xdr:col>
      <xdr:colOff>736022</xdr:colOff>
      <xdr:row>29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9ECF4-1AFA-4450-B72A-57D66377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F672-77B5-4248-9455-02D6C9B18676}">
  <dimension ref="A1:J53"/>
  <sheetViews>
    <sheetView zoomScale="88" zoomScaleNormal="88" workbookViewId="0">
      <selection activeCell="C31" sqref="C31:C34"/>
    </sheetView>
  </sheetViews>
  <sheetFormatPr defaultRowHeight="14.4" x14ac:dyDescent="0.55000000000000004"/>
  <cols>
    <col min="1" max="1" width="27.83984375" bestFit="1" customWidth="1"/>
    <col min="2" max="2" width="22.41796875" bestFit="1" customWidth="1"/>
    <col min="3" max="3" width="27.83984375" customWidth="1"/>
    <col min="4" max="4" width="22.578125" bestFit="1" customWidth="1"/>
    <col min="5" max="5" width="16.20703125" bestFit="1" customWidth="1"/>
    <col min="6" max="6" width="15.41796875" bestFit="1" customWidth="1"/>
    <col min="7" max="7" width="22.5234375" bestFit="1" customWidth="1"/>
    <col min="8" max="8" width="21.89453125" bestFit="1" customWidth="1"/>
    <col min="9" max="9" width="15.41796875" bestFit="1" customWidth="1"/>
    <col min="10" max="10" width="22.5234375" bestFit="1" customWidth="1"/>
  </cols>
  <sheetData>
    <row r="1" spans="1:10" ht="16.8" x14ac:dyDescent="0.75">
      <c r="A1" s="9" t="s">
        <v>13</v>
      </c>
      <c r="B1" s="9" t="s">
        <v>8</v>
      </c>
      <c r="C1" s="9" t="s">
        <v>9</v>
      </c>
      <c r="D1" s="9" t="s">
        <v>7</v>
      </c>
    </row>
    <row r="2" spans="1:10" x14ac:dyDescent="0.55000000000000004">
      <c r="A2" s="6">
        <v>1</v>
      </c>
      <c r="B2" s="7">
        <v>96.349599999999995</v>
      </c>
      <c r="C2" s="7">
        <v>97.429400000000001</v>
      </c>
      <c r="D2" s="8">
        <f>C2-B2</f>
        <v>1.0798000000000059</v>
      </c>
    </row>
    <row r="3" spans="1:10" x14ac:dyDescent="0.55000000000000004">
      <c r="A3" s="6">
        <v>2</v>
      </c>
      <c r="B3" s="8">
        <v>96.564300000000003</v>
      </c>
      <c r="C3" s="8">
        <v>98.903099999999995</v>
      </c>
      <c r="D3" s="8">
        <f>C3-B3</f>
        <v>2.338799999999992</v>
      </c>
    </row>
    <row r="4" spans="1:10" x14ac:dyDescent="0.55000000000000004">
      <c r="A4" s="6" t="s">
        <v>14</v>
      </c>
      <c r="B4" s="8">
        <v>103.3094</v>
      </c>
      <c r="C4" s="8">
        <v>104.7979</v>
      </c>
      <c r="D4" s="8">
        <f>C4-B4</f>
        <v>1.4885000000000019</v>
      </c>
    </row>
    <row r="7" spans="1:10" x14ac:dyDescent="0.55000000000000004">
      <c r="A7" s="5"/>
      <c r="B7" s="84" t="s">
        <v>0</v>
      </c>
      <c r="C7" s="84"/>
      <c r="D7" s="84"/>
      <c r="E7" s="84" t="s">
        <v>1</v>
      </c>
      <c r="F7" s="84"/>
      <c r="G7" s="84"/>
      <c r="H7" s="84" t="s">
        <v>2</v>
      </c>
      <c r="I7" s="84"/>
      <c r="J7" s="84"/>
    </row>
    <row r="8" spans="1:10" x14ac:dyDescent="0.55000000000000004">
      <c r="A8" s="17" t="s">
        <v>6</v>
      </c>
      <c r="B8" s="6">
        <v>1</v>
      </c>
      <c r="C8" s="6">
        <v>2</v>
      </c>
      <c r="D8" s="6">
        <v>3</v>
      </c>
      <c r="E8" s="6">
        <v>1</v>
      </c>
      <c r="F8" s="6">
        <v>2</v>
      </c>
      <c r="G8" s="6">
        <v>3</v>
      </c>
      <c r="H8" s="6">
        <v>1</v>
      </c>
      <c r="I8" s="6">
        <v>2</v>
      </c>
      <c r="J8" s="6">
        <v>3</v>
      </c>
    </row>
    <row r="9" spans="1:10" x14ac:dyDescent="0.55000000000000004">
      <c r="A9" s="17" t="s">
        <v>3</v>
      </c>
      <c r="B9" s="13">
        <v>3.1</v>
      </c>
      <c r="C9" s="13">
        <v>1.5</v>
      </c>
      <c r="D9" s="13">
        <v>12</v>
      </c>
      <c r="E9" s="13">
        <v>1.4</v>
      </c>
      <c r="F9" s="13">
        <v>0.3</v>
      </c>
      <c r="G9" s="13">
        <v>1.5</v>
      </c>
      <c r="H9" s="8">
        <v>1.5</v>
      </c>
      <c r="I9" s="8">
        <v>2.4</v>
      </c>
      <c r="J9" s="8">
        <v>1.5</v>
      </c>
    </row>
    <row r="10" spans="1:10" x14ac:dyDescent="0.55000000000000004">
      <c r="A10" s="17" t="s">
        <v>4</v>
      </c>
      <c r="B10" s="13">
        <v>33.4</v>
      </c>
      <c r="C10" s="13">
        <v>32.6</v>
      </c>
      <c r="D10" s="13">
        <v>40.5</v>
      </c>
      <c r="E10" s="13">
        <v>30.1</v>
      </c>
      <c r="F10" s="13">
        <v>30.5</v>
      </c>
      <c r="G10" s="13">
        <v>31.5</v>
      </c>
      <c r="H10" s="8">
        <v>41.1</v>
      </c>
      <c r="I10" s="8">
        <v>39.700000000000003</v>
      </c>
      <c r="J10" s="8">
        <v>41.2</v>
      </c>
    </row>
    <row r="11" spans="1:10" x14ac:dyDescent="0.55000000000000004">
      <c r="A11" s="17" t="s">
        <v>5</v>
      </c>
      <c r="B11" s="13">
        <f>B10-B9</f>
        <v>30.299999999999997</v>
      </c>
      <c r="C11" s="13">
        <f>C10-C9</f>
        <v>31.1</v>
      </c>
      <c r="D11" s="13">
        <f>D10-D9</f>
        <v>28.5</v>
      </c>
      <c r="E11" s="13">
        <f>E10-E9</f>
        <v>28.700000000000003</v>
      </c>
      <c r="F11" s="13">
        <f t="shared" ref="F11:G11" si="0">F10-F9</f>
        <v>30.2</v>
      </c>
      <c r="G11" s="13">
        <f t="shared" si="0"/>
        <v>30</v>
      </c>
      <c r="H11" s="13">
        <f>H10-H9</f>
        <v>39.6</v>
      </c>
      <c r="I11" s="13">
        <f>I10-I9</f>
        <v>37.300000000000004</v>
      </c>
      <c r="J11" s="13">
        <f>J10-J9</f>
        <v>39.700000000000003</v>
      </c>
    </row>
    <row r="12" spans="1:10" x14ac:dyDescent="0.55000000000000004">
      <c r="A12" s="15"/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5" customHeight="1" x14ac:dyDescent="0.55000000000000004">
      <c r="A13" s="9" t="s">
        <v>10</v>
      </c>
      <c r="B13" s="9" t="s">
        <v>11</v>
      </c>
      <c r="C13" s="9" t="s">
        <v>12</v>
      </c>
      <c r="D13" s="47" t="s">
        <v>69</v>
      </c>
      <c r="F13" s="16"/>
    </row>
    <row r="14" spans="1:10" ht="15" customHeight="1" x14ac:dyDescent="0.55000000000000004">
      <c r="A14" s="8">
        <v>59.914400000000001</v>
      </c>
      <c r="B14" s="8">
        <v>61.715000000000003</v>
      </c>
      <c r="C14" s="8">
        <f>B14-A14</f>
        <v>1.8006000000000029</v>
      </c>
      <c r="D14" s="2">
        <f>C14/58.44/0.25</f>
        <v>0.12324435318275175</v>
      </c>
      <c r="E14" s="15"/>
      <c r="F14" s="15"/>
      <c r="G14" s="16"/>
    </row>
    <row r="15" spans="1:10" x14ac:dyDescent="0.55000000000000004">
      <c r="B15" s="1"/>
    </row>
    <row r="16" spans="1:10" x14ac:dyDescent="0.55000000000000004">
      <c r="A16" s="9" t="s">
        <v>10</v>
      </c>
      <c r="B16" s="9" t="s">
        <v>15</v>
      </c>
      <c r="C16" s="9" t="s">
        <v>16</v>
      </c>
      <c r="D16" s="9" t="s">
        <v>17</v>
      </c>
    </row>
    <row r="17" spans="1:5" x14ac:dyDescent="0.55000000000000004">
      <c r="A17" s="8">
        <v>58.922899999999998</v>
      </c>
      <c r="B17" s="8">
        <v>61.366199999999999</v>
      </c>
      <c r="C17" s="8">
        <f>B17-A17</f>
        <v>2.4433000000000007</v>
      </c>
      <c r="D17" s="67">
        <f>C17/372.24/0.5</f>
        <v>1.3127552116913823E-2</v>
      </c>
    </row>
    <row r="19" spans="1:5" ht="15.6" x14ac:dyDescent="0.6">
      <c r="A19" s="91" t="s">
        <v>18</v>
      </c>
      <c r="B19" s="92"/>
      <c r="C19" s="92"/>
      <c r="D19" s="26"/>
    </row>
    <row r="20" spans="1:5" ht="18" x14ac:dyDescent="0.6">
      <c r="A20" s="27" t="s">
        <v>24</v>
      </c>
      <c r="B20" s="27" t="s">
        <v>19</v>
      </c>
      <c r="C20" s="27" t="s">
        <v>19</v>
      </c>
      <c r="D20" s="34" t="s">
        <v>28</v>
      </c>
      <c r="E20" s="29" t="s">
        <v>27</v>
      </c>
    </row>
    <row r="21" spans="1:5" ht="15.6" x14ac:dyDescent="0.6">
      <c r="A21" s="20">
        <v>5.0000000000000001E-3</v>
      </c>
      <c r="B21" s="19">
        <v>30.9</v>
      </c>
      <c r="C21" s="19">
        <v>30.6</v>
      </c>
      <c r="D21" s="3">
        <f>LOG10(A21)</f>
        <v>-2.3010299956639813</v>
      </c>
      <c r="E21" s="28">
        <f>AVERAGE(B21,C21)</f>
        <v>30.75</v>
      </c>
    </row>
    <row r="22" spans="1:5" ht="15.6" x14ac:dyDescent="0.6">
      <c r="A22" s="20">
        <v>0.01</v>
      </c>
      <c r="B22" s="19">
        <v>49.3</v>
      </c>
      <c r="C22" s="19">
        <v>48.7</v>
      </c>
      <c r="D22" s="3">
        <f>LOG10(A22)</f>
        <v>-2</v>
      </c>
      <c r="E22" s="28">
        <f t="shared" ref="E22:E23" si="1">AVERAGE(B22,C22)</f>
        <v>49</v>
      </c>
    </row>
    <row r="23" spans="1:5" ht="15.6" x14ac:dyDescent="0.6">
      <c r="A23" s="20">
        <v>2.5000000000000001E-2</v>
      </c>
      <c r="B23" s="19">
        <v>54.2</v>
      </c>
      <c r="C23" s="19">
        <v>53.9</v>
      </c>
      <c r="D23" s="3">
        <f>LOG10(A23)</f>
        <v>-1.6020599913279623</v>
      </c>
      <c r="E23" s="28">
        <f t="shared" si="1"/>
        <v>54.05</v>
      </c>
    </row>
    <row r="24" spans="1:5" ht="15.6" x14ac:dyDescent="0.6">
      <c r="A24" s="18"/>
      <c r="B24" s="18"/>
      <c r="C24" s="18"/>
      <c r="D24" s="21"/>
    </row>
    <row r="25" spans="1:5" ht="15.6" x14ac:dyDescent="0.6">
      <c r="A25" s="22" t="s">
        <v>20</v>
      </c>
      <c r="B25" s="22" t="s">
        <v>21</v>
      </c>
      <c r="C25" s="18"/>
      <c r="D25" s="23"/>
    </row>
    <row r="26" spans="1:5" ht="15.9" thickBot="1" x14ac:dyDescent="0.65">
      <c r="A26" s="39">
        <v>32.255304088581923</v>
      </c>
      <c r="B26" s="40">
        <v>108.06865419756275</v>
      </c>
      <c r="C26" s="26"/>
      <c r="D26" s="24"/>
    </row>
    <row r="27" spans="1:5" ht="18" x14ac:dyDescent="0.6">
      <c r="A27" s="85" t="s">
        <v>53</v>
      </c>
      <c r="B27" s="86"/>
      <c r="C27" s="87"/>
      <c r="D27" s="18"/>
    </row>
    <row r="28" spans="1:5" ht="18" x14ac:dyDescent="0.6">
      <c r="A28" s="18" t="s">
        <v>22</v>
      </c>
      <c r="B28" s="25"/>
      <c r="C28" s="18"/>
      <c r="D28" s="18"/>
    </row>
    <row r="29" spans="1:5" ht="15.6" x14ac:dyDescent="0.6">
      <c r="A29" s="88" t="s">
        <v>25</v>
      </c>
      <c r="B29" s="89"/>
      <c r="C29" s="90"/>
      <c r="D29" s="26" t="s">
        <v>71</v>
      </c>
    </row>
    <row r="30" spans="1:5" ht="18" x14ac:dyDescent="0.6">
      <c r="A30" s="29" t="s">
        <v>23</v>
      </c>
      <c r="B30" s="30" t="s">
        <v>19</v>
      </c>
      <c r="C30" s="30" t="s">
        <v>24</v>
      </c>
      <c r="D30" s="42" t="s">
        <v>24</v>
      </c>
    </row>
    <row r="31" spans="1:5" ht="15.6" x14ac:dyDescent="0.6">
      <c r="A31" s="22">
        <v>0</v>
      </c>
      <c r="B31" s="19">
        <v>47.2</v>
      </c>
      <c r="C31" s="20">
        <v>1.2999999999999999E-2</v>
      </c>
      <c r="D31" s="41">
        <f>10^((B31-$B$26)/$A$26)</f>
        <v>1.2969111840807075E-2</v>
      </c>
    </row>
    <row r="32" spans="1:5" ht="15.6" x14ac:dyDescent="0.6">
      <c r="A32" s="22">
        <v>0</v>
      </c>
      <c r="B32" s="19">
        <v>47.8</v>
      </c>
      <c r="C32" s="19">
        <v>1.35E-2</v>
      </c>
      <c r="D32" s="41">
        <f t="shared" ref="D32:D34" si="2">10^((B32-$B$26)/$A$26)</f>
        <v>1.353666954958822E-2</v>
      </c>
    </row>
    <row r="33" spans="1:6" ht="15.6" x14ac:dyDescent="0.6">
      <c r="A33" s="22">
        <v>0</v>
      </c>
      <c r="B33" s="19">
        <v>47.5</v>
      </c>
      <c r="C33" s="19">
        <v>1.3100000000000001E-2</v>
      </c>
      <c r="D33" s="41">
        <f t="shared" si="2"/>
        <v>1.3249852125237367E-2</v>
      </c>
    </row>
    <row r="34" spans="1:6" ht="15.6" x14ac:dyDescent="0.6">
      <c r="A34" s="22">
        <v>0</v>
      </c>
      <c r="B34" s="19">
        <v>48.1</v>
      </c>
      <c r="C34" s="19">
        <v>1.37E-2</v>
      </c>
      <c r="D34" s="41">
        <f t="shared" si="2"/>
        <v>1.3829695664733034E-2</v>
      </c>
    </row>
    <row r="36" spans="1:6" x14ac:dyDescent="0.55000000000000004">
      <c r="A36" t="s">
        <v>29</v>
      </c>
    </row>
    <row r="37" spans="1:6" ht="14.7" thickBot="1" x14ac:dyDescent="0.6"/>
    <row r="38" spans="1:6" x14ac:dyDescent="0.55000000000000004">
      <c r="A38" s="38" t="s">
        <v>30</v>
      </c>
      <c r="B38" s="38"/>
    </row>
    <row r="39" spans="1:6" x14ac:dyDescent="0.55000000000000004">
      <c r="A39" s="35" t="s">
        <v>31</v>
      </c>
      <c r="B39" s="35">
        <v>0.92261444139710302</v>
      </c>
    </row>
    <row r="40" spans="1:6" x14ac:dyDescent="0.55000000000000004">
      <c r="A40" s="35" t="s">
        <v>32</v>
      </c>
      <c r="B40" s="35">
        <v>0.85121740747448849</v>
      </c>
    </row>
    <row r="41" spans="1:6" x14ac:dyDescent="0.55000000000000004">
      <c r="A41" s="35" t="s">
        <v>33</v>
      </c>
      <c r="B41" s="35">
        <v>0.70243481494897697</v>
      </c>
    </row>
    <row r="42" spans="1:6" x14ac:dyDescent="0.55000000000000004">
      <c r="A42" s="35" t="s">
        <v>34</v>
      </c>
      <c r="B42" s="35">
        <v>6.6863246492395429</v>
      </c>
    </row>
    <row r="43" spans="1:6" ht="14.7" thickBot="1" x14ac:dyDescent="0.6">
      <c r="A43" s="36" t="s">
        <v>35</v>
      </c>
      <c r="B43" s="36">
        <v>3</v>
      </c>
    </row>
    <row r="45" spans="1:6" ht="14.7" thickBot="1" x14ac:dyDescent="0.6">
      <c r="A45" t="s">
        <v>36</v>
      </c>
    </row>
    <row r="46" spans="1:6" x14ac:dyDescent="0.55000000000000004">
      <c r="A46" s="37"/>
      <c r="B46" s="37" t="s">
        <v>40</v>
      </c>
      <c r="C46" s="37" t="s">
        <v>41</v>
      </c>
      <c r="D46" s="37" t="s">
        <v>42</v>
      </c>
      <c r="E46" s="37" t="s">
        <v>43</v>
      </c>
      <c r="F46" s="37" t="s">
        <v>44</v>
      </c>
    </row>
    <row r="47" spans="1:6" x14ac:dyDescent="0.55000000000000004">
      <c r="A47" s="35" t="s">
        <v>37</v>
      </c>
      <c r="B47" s="35">
        <v>1</v>
      </c>
      <c r="C47" s="35">
        <v>255.77806268497164</v>
      </c>
      <c r="D47" s="35">
        <v>255.77806268497164</v>
      </c>
      <c r="E47" s="35">
        <v>5.7212163938367455</v>
      </c>
      <c r="F47" s="35">
        <v>0.25209623648813528</v>
      </c>
    </row>
    <row r="48" spans="1:6" x14ac:dyDescent="0.55000000000000004">
      <c r="A48" s="35" t="s">
        <v>38</v>
      </c>
      <c r="B48" s="35">
        <v>1</v>
      </c>
      <c r="C48" s="35">
        <v>44.706937315028298</v>
      </c>
      <c r="D48" s="35">
        <v>44.706937315028298</v>
      </c>
      <c r="E48" s="35"/>
      <c r="F48" s="35"/>
    </row>
    <row r="49" spans="1:9" ht="14.7" thickBot="1" x14ac:dyDescent="0.6">
      <c r="A49" s="36" t="s">
        <v>39</v>
      </c>
      <c r="B49" s="36">
        <v>2</v>
      </c>
      <c r="C49" s="36">
        <v>300.48499999999996</v>
      </c>
      <c r="D49" s="36"/>
      <c r="E49" s="36"/>
      <c r="F49" s="36"/>
    </row>
    <row r="50" spans="1:9" ht="14.7" thickBot="1" x14ac:dyDescent="0.6"/>
    <row r="51" spans="1:9" x14ac:dyDescent="0.55000000000000004">
      <c r="A51" s="37"/>
      <c r="B51" s="37" t="s">
        <v>45</v>
      </c>
      <c r="C51" s="37" t="s">
        <v>34</v>
      </c>
      <c r="D51" s="37" t="s">
        <v>46</v>
      </c>
      <c r="E51" s="37" t="s">
        <v>47</v>
      </c>
      <c r="F51" s="37" t="s">
        <v>48</v>
      </c>
      <c r="G51" s="37" t="s">
        <v>49</v>
      </c>
      <c r="H51" s="37" t="s">
        <v>50</v>
      </c>
      <c r="I51" s="37" t="s">
        <v>51</v>
      </c>
    </row>
    <row r="52" spans="1:9" x14ac:dyDescent="0.55000000000000004">
      <c r="A52" s="35" t="s">
        <v>21</v>
      </c>
      <c r="B52" s="35">
        <v>108.06865419756275</v>
      </c>
      <c r="C52" s="35">
        <v>26.814093329059261</v>
      </c>
      <c r="D52" s="35">
        <v>4.030293057884057</v>
      </c>
      <c r="E52" s="35">
        <v>0.15483186945224001</v>
      </c>
      <c r="F52" s="35">
        <v>-232.63670545636063</v>
      </c>
      <c r="G52" s="35">
        <v>448.77401385148613</v>
      </c>
      <c r="H52" s="35">
        <v>-232.63670545636063</v>
      </c>
      <c r="I52" s="35">
        <v>448.77401385148613</v>
      </c>
    </row>
    <row r="53" spans="1:9" ht="14.7" thickBot="1" x14ac:dyDescent="0.6">
      <c r="A53" s="36" t="s">
        <v>52</v>
      </c>
      <c r="B53" s="36">
        <v>32.255304088581923</v>
      </c>
      <c r="C53" s="36">
        <v>13.485186383748561</v>
      </c>
      <c r="D53" s="36">
        <v>2.3919064350088513</v>
      </c>
      <c r="E53" s="36">
        <v>0.25209623648813517</v>
      </c>
      <c r="F53" s="36">
        <v>-139.09023500880272</v>
      </c>
      <c r="G53" s="36">
        <v>203.60084318596654</v>
      </c>
      <c r="H53" s="36">
        <v>-139.09023500880272</v>
      </c>
      <c r="I53" s="36">
        <v>203.60084318596654</v>
      </c>
    </row>
  </sheetData>
  <mergeCells count="6">
    <mergeCell ref="H7:J7"/>
    <mergeCell ref="A27:C27"/>
    <mergeCell ref="A29:C29"/>
    <mergeCell ref="A19:C19"/>
    <mergeCell ref="B7:D7"/>
    <mergeCell ref="E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2DEE-C25E-44BE-894C-3A6D6DA87B89}">
  <dimension ref="A1:L51"/>
  <sheetViews>
    <sheetView tabSelected="1" zoomScale="80" zoomScaleNormal="80" workbookViewId="0">
      <selection activeCell="H7" sqref="H7"/>
    </sheetView>
  </sheetViews>
  <sheetFormatPr defaultRowHeight="14.4" x14ac:dyDescent="0.55000000000000004"/>
  <cols>
    <col min="1" max="1" width="43.41796875" bestFit="1" customWidth="1"/>
    <col min="2" max="2" width="22.734375" bestFit="1" customWidth="1"/>
    <col min="3" max="3" width="16.9453125" customWidth="1"/>
    <col min="4" max="4" width="10.3125" customWidth="1"/>
    <col min="5" max="5" width="22.734375" bestFit="1" customWidth="1"/>
    <col min="6" max="6" width="13.7890625" bestFit="1" customWidth="1"/>
    <col min="8" max="8" width="28.15625" bestFit="1" customWidth="1"/>
    <col min="9" max="9" width="22.578125" bestFit="1" customWidth="1"/>
    <col min="10" max="10" width="15.26171875" customWidth="1"/>
    <col min="11" max="11" width="13.26171875" customWidth="1"/>
    <col min="12" max="12" width="14.1015625" customWidth="1"/>
  </cols>
  <sheetData>
    <row r="1" spans="1:12" x14ac:dyDescent="0.55000000000000004">
      <c r="A1" s="5"/>
      <c r="B1" s="84" t="s">
        <v>0</v>
      </c>
      <c r="C1" s="84"/>
      <c r="D1" s="84"/>
      <c r="E1" s="84" t="s">
        <v>1</v>
      </c>
      <c r="F1" s="84"/>
      <c r="G1" s="84"/>
      <c r="I1" s="9" t="s">
        <v>17</v>
      </c>
    </row>
    <row r="2" spans="1:12" x14ac:dyDescent="0.55000000000000004">
      <c r="A2" s="5"/>
      <c r="B2" s="107" t="s">
        <v>61</v>
      </c>
      <c r="C2" s="108"/>
      <c r="D2" s="108"/>
      <c r="E2" s="108"/>
      <c r="F2" s="108"/>
      <c r="G2" s="109"/>
      <c r="I2" s="67">
        <v>1.3127552116913823E-2</v>
      </c>
    </row>
    <row r="3" spans="1:12" x14ac:dyDescent="0.55000000000000004">
      <c r="A3" s="17" t="s">
        <v>6</v>
      </c>
      <c r="B3" s="6">
        <v>1</v>
      </c>
      <c r="C3" s="6">
        <v>2</v>
      </c>
      <c r="D3" s="6">
        <v>3</v>
      </c>
      <c r="E3" s="6">
        <v>1</v>
      </c>
      <c r="F3" s="6">
        <v>2</v>
      </c>
      <c r="G3" s="6">
        <v>3</v>
      </c>
      <c r="I3" s="11" t="s">
        <v>26</v>
      </c>
    </row>
    <row r="4" spans="1:12" x14ac:dyDescent="0.55000000000000004">
      <c r="A4" s="17" t="s">
        <v>3</v>
      </c>
      <c r="B4" s="13">
        <v>3.1</v>
      </c>
      <c r="C4" s="13">
        <v>1.5</v>
      </c>
      <c r="D4" s="13">
        <v>12</v>
      </c>
      <c r="E4" s="13">
        <v>1.4</v>
      </c>
      <c r="F4" s="13">
        <v>0.3</v>
      </c>
      <c r="G4" s="13">
        <v>1.5</v>
      </c>
      <c r="I4" s="4">
        <v>25</v>
      </c>
    </row>
    <row r="5" spans="1:12" x14ac:dyDescent="0.55000000000000004">
      <c r="A5" s="17" t="s">
        <v>4</v>
      </c>
      <c r="B5" s="13">
        <v>33.4</v>
      </c>
      <c r="C5" s="13">
        <v>32.6</v>
      </c>
      <c r="D5" s="13">
        <v>40.5</v>
      </c>
      <c r="E5" s="13">
        <v>30.1</v>
      </c>
      <c r="F5" s="13">
        <v>30.5</v>
      </c>
      <c r="G5" s="13">
        <v>31.5</v>
      </c>
      <c r="I5" s="47" t="s">
        <v>69</v>
      </c>
    </row>
    <row r="6" spans="1:12" x14ac:dyDescent="0.55000000000000004">
      <c r="A6" s="17" t="s">
        <v>78</v>
      </c>
      <c r="B6" s="13">
        <f>B5-B4</f>
        <v>30.299999999999997</v>
      </c>
      <c r="C6" s="13">
        <f>C5-C4</f>
        <v>31.1</v>
      </c>
      <c r="D6" s="13">
        <f>D5-D4</f>
        <v>28.5</v>
      </c>
      <c r="E6" s="13">
        <f>E5-E4</f>
        <v>28.700000000000003</v>
      </c>
      <c r="F6" s="13">
        <f>F5-F4</f>
        <v>30.2</v>
      </c>
      <c r="G6" s="13">
        <f t="shared" ref="G6" si="0">G5-G4</f>
        <v>30</v>
      </c>
      <c r="I6" s="2">
        <v>0.123244353182752</v>
      </c>
    </row>
    <row r="7" spans="1:12" ht="16.8" x14ac:dyDescent="0.75">
      <c r="A7" s="17" t="s">
        <v>77</v>
      </c>
      <c r="B7" s="31">
        <f>B6*$I$2/$I$4</f>
        <v>1.5910593165699552E-2</v>
      </c>
      <c r="C7" s="32">
        <f t="shared" ref="C7:G7" si="1">C6*$I$2/$I$4</f>
        <v>1.6330674833440795E-2</v>
      </c>
      <c r="D7" s="32">
        <f t="shared" si="1"/>
        <v>1.4965409413281758E-2</v>
      </c>
      <c r="E7" s="32">
        <f t="shared" si="1"/>
        <v>1.5070429830217072E-2</v>
      </c>
      <c r="F7" s="32">
        <f t="shared" si="1"/>
        <v>1.5858082957231897E-2</v>
      </c>
      <c r="G7" s="32">
        <f t="shared" si="1"/>
        <v>1.5753062540296587E-2</v>
      </c>
    </row>
    <row r="8" spans="1:12" ht="16.8" x14ac:dyDescent="0.75">
      <c r="A8" s="17" t="s">
        <v>79</v>
      </c>
      <c r="B8" s="95">
        <f>AVERAGE(B7:D7)</f>
        <v>1.5735559137474032E-2</v>
      </c>
      <c r="C8" s="95"/>
      <c r="D8" s="95"/>
      <c r="E8" s="95">
        <f>AVERAGE(E7:G7)</f>
        <v>1.5560525109248519E-2</v>
      </c>
      <c r="F8" s="103"/>
      <c r="G8" s="103"/>
      <c r="I8" s="79"/>
    </row>
    <row r="9" spans="1:12" x14ac:dyDescent="0.55000000000000004">
      <c r="A9" s="5"/>
      <c r="B9" s="84" t="s">
        <v>25</v>
      </c>
      <c r="C9" s="84"/>
      <c r="D9" s="104"/>
      <c r="E9" s="84"/>
      <c r="F9" s="84"/>
      <c r="G9" s="104"/>
    </row>
    <row r="10" spans="1:12" x14ac:dyDescent="0.55000000000000004">
      <c r="A10" s="5"/>
      <c r="B10" s="6">
        <v>1</v>
      </c>
      <c r="C10" s="6">
        <v>2</v>
      </c>
      <c r="D10" s="49"/>
      <c r="E10" s="6">
        <v>1</v>
      </c>
      <c r="F10" s="6">
        <v>2</v>
      </c>
      <c r="G10" s="63"/>
    </row>
    <row r="11" spans="1:12" ht="16.8" x14ac:dyDescent="0.6">
      <c r="A11" s="17" t="s">
        <v>80</v>
      </c>
      <c r="B11" s="45">
        <v>1.2969111840807075E-2</v>
      </c>
      <c r="C11" s="45">
        <v>1.353666954958822E-2</v>
      </c>
      <c r="D11" s="48"/>
      <c r="E11" s="45">
        <v>1.3249852125237367E-2</v>
      </c>
      <c r="F11" s="45">
        <v>1.3829695664733034E-2</v>
      </c>
      <c r="G11" s="64"/>
      <c r="H11" s="5"/>
      <c r="I11" s="84" t="s">
        <v>86</v>
      </c>
      <c r="J11" s="84"/>
      <c r="K11" s="84"/>
      <c r="L11" s="84"/>
    </row>
    <row r="12" spans="1:12" ht="17.7" x14ac:dyDescent="0.75">
      <c r="A12" s="17" t="s">
        <v>81</v>
      </c>
      <c r="B12" s="95">
        <f>AVERAGE(B11,C11)</f>
        <v>1.3252890695197648E-2</v>
      </c>
      <c r="C12" s="95"/>
      <c r="D12" s="55"/>
      <c r="E12" s="95">
        <f>AVERAGE(E11,F11)</f>
        <v>1.35397738949852E-2</v>
      </c>
      <c r="F12" s="95"/>
      <c r="G12" s="55"/>
      <c r="H12" s="5"/>
      <c r="I12" s="84" t="s">
        <v>0</v>
      </c>
      <c r="J12" s="84"/>
      <c r="K12" s="84" t="s">
        <v>1</v>
      </c>
      <c r="L12" s="84"/>
    </row>
    <row r="13" spans="1:12" ht="17.7" x14ac:dyDescent="0.75">
      <c r="A13" s="17" t="s">
        <v>82</v>
      </c>
      <c r="B13" s="95">
        <f>AVERAGE(B12,C12)</f>
        <v>1.3252890695197648E-2</v>
      </c>
      <c r="C13" s="95"/>
      <c r="D13" s="55"/>
      <c r="E13" s="95">
        <f>AVERAGE(E12,F12)</f>
        <v>1.35397738949852E-2</v>
      </c>
      <c r="F13" s="95"/>
      <c r="G13" s="55"/>
      <c r="H13" s="17" t="s">
        <v>79</v>
      </c>
      <c r="I13" s="95">
        <f>STDEV(B7:D7)</f>
        <v>6.992603950948074E-4</v>
      </c>
      <c r="J13" s="95"/>
      <c r="K13" s="95">
        <f>STDEV(E7:G7)</f>
        <v>4.2767085344923875E-4</v>
      </c>
      <c r="L13" s="95"/>
    </row>
    <row r="14" spans="1:12" ht="17.7" x14ac:dyDescent="0.75">
      <c r="A14" s="17" t="s">
        <v>83</v>
      </c>
      <c r="B14" s="110">
        <f>B8-B12</f>
        <v>2.4826684422763843E-3</v>
      </c>
      <c r="C14" s="111"/>
      <c r="D14" s="56"/>
      <c r="E14" s="117">
        <f>E8-E12</f>
        <v>2.0207512142633183E-3</v>
      </c>
      <c r="F14" s="117"/>
      <c r="G14" s="65"/>
      <c r="H14" s="17" t="s">
        <v>81</v>
      </c>
      <c r="I14" s="95">
        <f>STDEV(B11:C11)</f>
        <v>4.0132390459384713E-4</v>
      </c>
      <c r="J14" s="95"/>
      <c r="K14" s="95">
        <f>STDEV(E11:F11)</f>
        <v>4.1001129880459576E-4</v>
      </c>
      <c r="L14" s="95"/>
    </row>
    <row r="15" spans="1:12" ht="17.7" x14ac:dyDescent="0.75">
      <c r="A15" s="17" t="s">
        <v>55</v>
      </c>
      <c r="B15" s="112">
        <f>B12*B13</f>
        <v>1.7563911177885638E-4</v>
      </c>
      <c r="C15" s="113"/>
      <c r="D15" s="57"/>
      <c r="E15" s="116">
        <f>E12*E13</f>
        <v>1.833254771273227E-4</v>
      </c>
      <c r="F15" s="112"/>
      <c r="G15" s="58"/>
      <c r="H15" s="17" t="s">
        <v>82</v>
      </c>
      <c r="I15" s="95">
        <f>I14</f>
        <v>4.0132390459384713E-4</v>
      </c>
      <c r="J15" s="95"/>
      <c r="K15" s="95">
        <f>K14</f>
        <v>4.1001129880459576E-4</v>
      </c>
      <c r="L15" s="95"/>
    </row>
    <row r="16" spans="1:12" ht="16.8" x14ac:dyDescent="0.75">
      <c r="A16" s="17" t="s">
        <v>56</v>
      </c>
      <c r="B16" s="114">
        <f>-LOG10(B15)</f>
        <v>3.7553787678242929</v>
      </c>
      <c r="C16" s="115"/>
      <c r="D16" s="56"/>
      <c r="E16" s="100">
        <f>-LOG10(E15)</f>
        <v>3.7367771760255537</v>
      </c>
      <c r="F16" s="114"/>
      <c r="G16" s="55"/>
      <c r="H16" s="17" t="s">
        <v>83</v>
      </c>
      <c r="I16" s="95">
        <f>SQRT(I13^2+I14^2)</f>
        <v>8.0624188463921753E-4</v>
      </c>
      <c r="J16" s="95"/>
      <c r="K16" s="95">
        <f>SQRT(K13^2+K14^2)</f>
        <v>5.9246233976298585E-4</v>
      </c>
      <c r="L16" s="95"/>
    </row>
    <row r="17" spans="1:12" ht="16.8" x14ac:dyDescent="0.75">
      <c r="A17" s="17" t="s">
        <v>68</v>
      </c>
      <c r="B17" s="110">
        <f>(0.5)*(B12*(2)^2+B13*(-2)^2)</f>
        <v>5.301156278079059E-2</v>
      </c>
      <c r="C17" s="111"/>
      <c r="D17" s="56"/>
      <c r="E17" s="95">
        <f>0.5*(E12*(2)^2+E13*(-2)^2)</f>
        <v>5.4159095579940801E-2</v>
      </c>
      <c r="F17" s="95"/>
      <c r="G17" s="55"/>
      <c r="H17" s="17" t="s">
        <v>55</v>
      </c>
      <c r="I17" s="99">
        <f>B15*SQRT((I14/B12)^2+(I15/B13)^2)</f>
        <v>7.5217802776933287E-6</v>
      </c>
      <c r="J17" s="99"/>
      <c r="K17" s="99">
        <f>E15*SQRT((K14/E12)^2+(K15/E13)^2)</f>
        <v>7.8509504192392518E-6</v>
      </c>
      <c r="L17" s="99"/>
    </row>
    <row r="18" spans="1:12" ht="16.8" x14ac:dyDescent="0.75">
      <c r="A18" s="17"/>
      <c r="B18" s="53" t="s">
        <v>62</v>
      </c>
      <c r="C18" s="61" t="s">
        <v>63</v>
      </c>
      <c r="D18" s="60"/>
      <c r="E18" s="10" t="s">
        <v>62</v>
      </c>
      <c r="F18" s="54" t="s">
        <v>63</v>
      </c>
      <c r="G18" s="56"/>
      <c r="H18" s="17" t="s">
        <v>56</v>
      </c>
      <c r="I18" s="97">
        <f>(1/LN(10))*(I17/B15)</f>
        <v>1.8598748511117022E-2</v>
      </c>
      <c r="J18" s="98"/>
      <c r="K18" s="97">
        <f>(1/LN(10))*(K17/E15)</f>
        <v>1.8598748511117116E-2</v>
      </c>
      <c r="L18" s="101"/>
    </row>
    <row r="19" spans="1:12" ht="16.8" x14ac:dyDescent="0.75">
      <c r="A19" s="17" t="s">
        <v>58</v>
      </c>
      <c r="B19" s="69">
        <f>10^(-0.509*(2)^2*SQRT($B$17))</f>
        <v>0.33980242469604655</v>
      </c>
      <c r="C19" s="71">
        <f>10^(-0.509*(2)^2*((SQRT($B$17)/(1+SQRT($B$17)))-0.3*$B$17))</f>
        <v>0.44806174654281195</v>
      </c>
      <c r="D19" s="59"/>
      <c r="E19" s="71">
        <f>10^(-0.509*(2)^2*SQRT($E$17))</f>
        <v>0.33587672133498797</v>
      </c>
      <c r="F19" s="69">
        <f>10^(-0.509*(2)^2*((SQRT($E$17)/(1+SQRT($E$17)))-0.3*$E$17))</f>
        <v>0.44535989654204011</v>
      </c>
      <c r="G19" s="56"/>
      <c r="H19" s="17" t="s">
        <v>68</v>
      </c>
      <c r="I19" s="95">
        <f>SQRT(I14^2+I1562)</f>
        <v>4.0132390459384713E-4</v>
      </c>
      <c r="J19" s="95"/>
      <c r="K19" s="95">
        <f>SQRT(K14^2+K15^2)</f>
        <v>5.7984353949566692E-4</v>
      </c>
      <c r="L19" s="95"/>
    </row>
    <row r="20" spans="1:12" ht="16.8" x14ac:dyDescent="0.75">
      <c r="A20" s="17" t="s">
        <v>57</v>
      </c>
      <c r="B20" s="69">
        <f>10^(-0.509*(-2)^2*SQRT($B$17))</f>
        <v>0.33980242469604655</v>
      </c>
      <c r="C20" s="71">
        <f>10^(-0.509*(-2)^2*((SQRT($B$17)/(1+SQRT($B$17)))-0.3*$B$17))</f>
        <v>0.44806174654281195</v>
      </c>
      <c r="D20" s="59"/>
      <c r="E20" s="71">
        <f>10^(-0.509*(-2)^2*SQRT($E$17))</f>
        <v>0.33587672133498797</v>
      </c>
      <c r="F20" s="71">
        <f>10^(-0.509*(-2)^2*((SQRT($E$17)/(1+SQRT($E$17)))-0.3*$E$17))</f>
        <v>0.44535989654204011</v>
      </c>
      <c r="G20" s="55"/>
      <c r="H20" s="82"/>
      <c r="I20" s="12" t="s">
        <v>87</v>
      </c>
      <c r="J20" s="12" t="s">
        <v>88</v>
      </c>
      <c r="K20" s="12" t="s">
        <v>87</v>
      </c>
      <c r="L20" s="12" t="s">
        <v>88</v>
      </c>
    </row>
    <row r="21" spans="1:12" ht="17.7" x14ac:dyDescent="0.75">
      <c r="A21" s="17" t="s">
        <v>64</v>
      </c>
      <c r="B21" s="52">
        <f>B12*B13*B19*B20</f>
        <v>2.0280290851275135E-5</v>
      </c>
      <c r="C21" s="73">
        <f>B12*C19*B13*C20</f>
        <v>3.5261190176821184E-5</v>
      </c>
      <c r="D21" s="62"/>
      <c r="E21" s="51">
        <f>E12*E13*E19*E20</f>
        <v>2.0681528571183114E-5</v>
      </c>
      <c r="F21" s="73">
        <f>E12*E13*F19*F20</f>
        <v>3.6361771956170529E-5</v>
      </c>
      <c r="G21" s="58"/>
      <c r="H21" s="17" t="s">
        <v>64</v>
      </c>
      <c r="I21" s="74">
        <f>B21*SQRT((I14/B12)^2+(I15/B13)^2+(I19/B19)^2+(I19/B20)^2)</f>
        <v>8.6916784185886356E-7</v>
      </c>
      <c r="J21" s="74">
        <f>C21*SQRT((I14/B12)^2+(I15/B13)^2+(I19/C19)^2+(I19/C20)^2)</f>
        <v>1.5107279742814934E-6</v>
      </c>
      <c r="K21" s="74">
        <f>E21*SQRT((K14/E12)^2+(K15/E13)^2+(K19/E19)^2+(K19/E20)^2)</f>
        <v>8.8712873118445146E-7</v>
      </c>
      <c r="L21" s="74">
        <f>F21*SQRT((K14/E12)^2+(K15/E13)^2+(K19/F19)^2+(K19/F20)^2)</f>
        <v>1.5586388099876553E-6</v>
      </c>
    </row>
    <row r="22" spans="1:12" ht="17.7" x14ac:dyDescent="0.75">
      <c r="A22" s="17" t="s">
        <v>65</v>
      </c>
      <c r="B22" s="68">
        <f>-LOG10(B21)</f>
        <v>4.6929258208279494</v>
      </c>
      <c r="C22" s="70">
        <f>-LOG10(C21)</f>
        <v>4.4527030329753652</v>
      </c>
      <c r="D22" s="59"/>
      <c r="E22" s="70">
        <f>-LOG10(E21)</f>
        <v>4.6844173656991375</v>
      </c>
      <c r="F22" s="70">
        <f>-LOG(F21)</f>
        <v>4.4393549612026515</v>
      </c>
      <c r="G22" s="55"/>
      <c r="H22" s="17" t="s">
        <v>65</v>
      </c>
      <c r="I22" s="74">
        <f>(1/LN(10))*(I21/B21)</f>
        <v>1.8612888756638749E-2</v>
      </c>
      <c r="J22" s="74">
        <f>1/(LN(10))*(J21/C21)</f>
        <v>1.8606882512962247E-2</v>
      </c>
      <c r="K22" s="74">
        <f>1/(LN(10))*(K21/E21)</f>
        <v>1.8628947631466115E-2</v>
      </c>
      <c r="L22" s="74">
        <f>1/(LN(10))*(L21/F21)</f>
        <v>1.8615930908807636E-2</v>
      </c>
    </row>
    <row r="23" spans="1:12" ht="17.7" x14ac:dyDescent="0.75">
      <c r="A23" s="17" t="s">
        <v>66</v>
      </c>
      <c r="B23" s="81">
        <f>(B12*B13*B19*B20)/B14</f>
        <v>8.168747185862614E-3</v>
      </c>
      <c r="C23" s="73">
        <f>(B12*B13*C19*C20)/B14</f>
        <v>1.4202939698419752E-2</v>
      </c>
      <c r="D23" s="46"/>
      <c r="E23" s="73">
        <f>(E12*E13*E19*E20)/E14</f>
        <v>1.0234574362842948E-2</v>
      </c>
      <c r="F23" s="73">
        <f>(E12*E13*F19*F20)/E14</f>
        <v>1.7994185379928876E-2</v>
      </c>
      <c r="G23" s="64"/>
      <c r="H23" s="17" t="s">
        <v>66</v>
      </c>
      <c r="I23" s="74">
        <f>B23*SQRT((I14/B12)^2+(I15/B13)^2+(I19/B19)^2+(I19/B20)^2+(I16/B14)^2)</f>
        <v>2.6757868613792504E-3</v>
      </c>
      <c r="J23" s="74">
        <f>C23*SQRT((I14/B12)^2+(I15/B13)^2+(I19/C19)^2+(I19/C20)^2+(I16/B14)^2)</f>
        <v>4.6523449277051567E-3</v>
      </c>
      <c r="K23" s="74">
        <f>E23*SQRT((K14/E12)^2+(K15/E13)^2+(K19/E19)^2+(K19/E20)^2+(K16/E14)^2)</f>
        <v>3.0326105742817947E-3</v>
      </c>
      <c r="L23" s="74">
        <f>F23*SQRT((K14/E12)^2+(K15/E13)^2+(K19/F19)^2+(K19/F20)^2+(K16/E14)^2)</f>
        <v>5.331785782471672E-3</v>
      </c>
    </row>
    <row r="24" spans="1:12" ht="17.7" x14ac:dyDescent="0.75">
      <c r="A24" s="17" t="s">
        <v>67</v>
      </c>
      <c r="B24" s="83">
        <f>-LOG10(B23)</f>
        <v>2.0878445446900153</v>
      </c>
      <c r="C24" s="13">
        <f>-LOG10(C23)</f>
        <v>1.8476217568374318</v>
      </c>
      <c r="D24" s="43"/>
      <c r="E24" s="13">
        <f>-LOG10(E23)</f>
        <v>1.9899302141360502</v>
      </c>
      <c r="F24" s="13">
        <f>-LOG10(F23)</f>
        <v>1.7448678096395651</v>
      </c>
      <c r="G24" s="64"/>
      <c r="H24" s="17" t="s">
        <v>67</v>
      </c>
      <c r="I24" s="74">
        <f>(1/(LN(10))*(I23/B23))</f>
        <v>0.14225920354805482</v>
      </c>
      <c r="J24" s="74">
        <f>(1/(LN(10))*(J23/C23))</f>
        <v>0.14225841782865106</v>
      </c>
      <c r="K24" s="74">
        <f>(1/(LN(10))*(K23/E23))</f>
        <v>0.12868596108438332</v>
      </c>
      <c r="L24" s="74">
        <f>(1/(LN(10))*(L23/F23))</f>
        <v>0.12868407739093835</v>
      </c>
    </row>
    <row r="25" spans="1:12" ht="16.8" x14ac:dyDescent="0.75">
      <c r="A25" s="17" t="s">
        <v>59</v>
      </c>
      <c r="B25" s="100">
        <f>(B12*B13)/B14</f>
        <v>7.0746100763181677E-2</v>
      </c>
      <c r="C25" s="100"/>
      <c r="D25" s="44"/>
      <c r="E25" s="100">
        <f>(E12*E13)/E14</f>
        <v>9.0721448456066139E-2</v>
      </c>
      <c r="F25" s="100"/>
      <c r="G25" s="64"/>
      <c r="H25" s="17" t="s">
        <v>59</v>
      </c>
      <c r="I25" s="100">
        <f>B25*SQRT((I14/B12)^2+(I15/B13)^2+(I16/B14)^2)</f>
        <v>2.3173568928532236E-2</v>
      </c>
      <c r="J25" s="100"/>
      <c r="K25" s="100">
        <f>E25*SQRT((K14/E12)^2+(K15/E13)^2+(K16/E14)^2)</f>
        <v>2.6880793974546686E-2</v>
      </c>
      <c r="L25" s="100"/>
    </row>
    <row r="26" spans="1:12" ht="16.8" x14ac:dyDescent="0.75">
      <c r="A26" s="17" t="s">
        <v>60</v>
      </c>
      <c r="B26" s="106">
        <f>-LOG10(B25)</f>
        <v>1.1502974916863591</v>
      </c>
      <c r="C26" s="106"/>
      <c r="D26" s="44"/>
      <c r="E26" s="105">
        <f>-LOG10(E25)</f>
        <v>1.0422900244624669</v>
      </c>
      <c r="F26" s="106"/>
      <c r="G26" s="50"/>
      <c r="H26" s="17" t="s">
        <v>60</v>
      </c>
      <c r="I26" s="93">
        <f>1/(LN(10))*(I25/B25)</f>
        <v>0.14225735415942356</v>
      </c>
      <c r="J26" s="94"/>
      <c r="K26" s="93">
        <f>(1/LN(10))*(K25/E25)</f>
        <v>0.12868159284270339</v>
      </c>
      <c r="L26" s="94"/>
    </row>
    <row r="27" spans="1:12" x14ac:dyDescent="0.55000000000000004">
      <c r="D27" s="66"/>
      <c r="E27" s="66"/>
    </row>
    <row r="28" spans="1:12" x14ac:dyDescent="0.55000000000000004">
      <c r="A28" s="5"/>
      <c r="B28" s="84" t="s">
        <v>2</v>
      </c>
      <c r="C28" s="84"/>
      <c r="D28" s="84"/>
    </row>
    <row r="29" spans="1:12" x14ac:dyDescent="0.55000000000000004">
      <c r="A29" s="17" t="s">
        <v>6</v>
      </c>
      <c r="B29" s="6">
        <v>1</v>
      </c>
      <c r="C29" s="6">
        <v>2</v>
      </c>
      <c r="D29" s="6">
        <v>3</v>
      </c>
    </row>
    <row r="30" spans="1:12" x14ac:dyDescent="0.55000000000000004">
      <c r="A30" s="17" t="s">
        <v>3</v>
      </c>
      <c r="B30" s="33">
        <v>1.5</v>
      </c>
      <c r="C30" s="33">
        <v>2.4</v>
      </c>
      <c r="D30" s="33">
        <v>1.5</v>
      </c>
    </row>
    <row r="31" spans="1:12" x14ac:dyDescent="0.55000000000000004">
      <c r="A31" s="17" t="s">
        <v>4</v>
      </c>
      <c r="B31" s="33">
        <v>41.1</v>
      </c>
      <c r="C31" s="33">
        <v>39.700000000000003</v>
      </c>
      <c r="D31" s="33">
        <v>41.2</v>
      </c>
    </row>
    <row r="32" spans="1:12" x14ac:dyDescent="0.55000000000000004">
      <c r="A32" s="17" t="s">
        <v>78</v>
      </c>
      <c r="B32" s="13">
        <f>B31-B30</f>
        <v>39.6</v>
      </c>
      <c r="C32" s="13">
        <f>C31-C30</f>
        <v>37.300000000000004</v>
      </c>
      <c r="D32" s="13">
        <f>D31-D30</f>
        <v>39.700000000000003</v>
      </c>
      <c r="I32" s="84" t="s">
        <v>86</v>
      </c>
      <c r="J32" s="84"/>
    </row>
    <row r="33" spans="1:10" ht="16.8" x14ac:dyDescent="0.75">
      <c r="A33" s="17" t="s">
        <v>77</v>
      </c>
      <c r="B33" s="32">
        <f>$I$2*B32/$I$4</f>
        <v>2.0794042553191495E-2</v>
      </c>
      <c r="C33" s="32">
        <f t="shared" ref="C33:D33" si="2">$I$2*C32/$I$4</f>
        <v>1.9586307758435426E-2</v>
      </c>
      <c r="D33" s="32">
        <f t="shared" si="2"/>
        <v>2.0846552761659153E-2</v>
      </c>
      <c r="H33" s="80" t="s">
        <v>79</v>
      </c>
      <c r="I33" s="95">
        <f>STDEV(B33:D33)</f>
        <v>7.1292801467003801E-4</v>
      </c>
      <c r="J33" s="95"/>
    </row>
    <row r="34" spans="1:10" ht="16.8" x14ac:dyDescent="0.75">
      <c r="A34" s="17" t="s">
        <v>79</v>
      </c>
      <c r="B34" s="95">
        <f>AVERAGE(B33:D33)</f>
        <v>2.0408967691095358E-2</v>
      </c>
      <c r="C34" s="95"/>
      <c r="D34" s="95"/>
      <c r="H34" s="80" t="s">
        <v>84</v>
      </c>
      <c r="I34" s="95">
        <f>SQRT(0.0001^2+0.0001^2)</f>
        <v>1.4142135623730951E-4</v>
      </c>
      <c r="J34" s="95"/>
    </row>
    <row r="35" spans="1:10" x14ac:dyDescent="0.55000000000000004">
      <c r="A35" s="5"/>
      <c r="B35" s="61" t="s">
        <v>62</v>
      </c>
      <c r="C35" s="61" t="s">
        <v>63</v>
      </c>
      <c r="D35" s="75"/>
      <c r="I35" s="12" t="s">
        <v>87</v>
      </c>
      <c r="J35" s="12" t="s">
        <v>88</v>
      </c>
    </row>
    <row r="36" spans="1:10" ht="17.7" x14ac:dyDescent="0.75">
      <c r="A36" s="5"/>
      <c r="B36" s="102" t="s">
        <v>72</v>
      </c>
      <c r="C36" s="102"/>
      <c r="D36" s="76"/>
      <c r="H36" s="80" t="s">
        <v>70</v>
      </c>
      <c r="I36" s="74">
        <f>SQRT(I21^2+K21^2)</f>
        <v>1.2419541549568282E-6</v>
      </c>
      <c r="J36" s="74">
        <f>SQRT((J21)^2+(L21)^2)</f>
        <v>2.1706344584651738E-6</v>
      </c>
    </row>
    <row r="37" spans="1:10" ht="17.7" x14ac:dyDescent="0.75">
      <c r="A37" s="17" t="s">
        <v>84</v>
      </c>
      <c r="B37" s="95">
        <f>0.5*(I6*(1)^2+I6*(-1)^2)</f>
        <v>0.123244353182752</v>
      </c>
      <c r="C37" s="95"/>
      <c r="D37" s="77"/>
      <c r="H37" s="80" t="s">
        <v>54</v>
      </c>
      <c r="I37" s="74">
        <f>B43*SQRT((I36/B40)^2+(I34/B38)^2+(I34/B39)^2)</f>
        <v>1.4231679899645879E-3</v>
      </c>
      <c r="J37" s="74">
        <f>C43*SQRT((J36/C40)^2+(I34/C38)^2+(I34/C39)^2)</f>
        <v>1.0312264867272454E-3</v>
      </c>
    </row>
    <row r="38" spans="1:10" ht="17.7" x14ac:dyDescent="0.75">
      <c r="A38" s="17" t="s">
        <v>58</v>
      </c>
      <c r="B38" s="71">
        <f>10^(-0.509*(2)^2*SQRT($B$37))</f>
        <v>0.19285827346145346</v>
      </c>
      <c r="C38" s="71">
        <f>10^(-0.509*(2)^2*((SQRT($B$37)/(1+SQRT($B$37)))-0.3*$B$37))</f>
        <v>0.3517552590485345</v>
      </c>
      <c r="D38" s="77"/>
      <c r="H38" s="80" t="s">
        <v>75</v>
      </c>
      <c r="I38" s="74">
        <f>I37</f>
        <v>1.4231679899645879E-3</v>
      </c>
      <c r="J38" s="74">
        <f>J37</f>
        <v>1.0312264867272454E-3</v>
      </c>
    </row>
    <row r="39" spans="1:10" ht="16.8" x14ac:dyDescent="0.75">
      <c r="A39" s="17" t="s">
        <v>73</v>
      </c>
      <c r="B39" s="71">
        <f>10^(-0.509*(-2)^2*SQRT($B$37))</f>
        <v>0.19285827346145346</v>
      </c>
      <c r="C39" s="71">
        <f>10^(-0.509*(-2)^2*((SQRT($B$37)/(1+SQRT($B$37)))-0.3*$B$37))</f>
        <v>0.3517552590485345</v>
      </c>
      <c r="D39" s="77"/>
      <c r="H39" s="80" t="s">
        <v>85</v>
      </c>
      <c r="I39" s="74">
        <f>SQRT(0.0001^2+0.0001^2+I37^2+I38^2)</f>
        <v>2.0176258957794158E-3</v>
      </c>
      <c r="J39" s="74">
        <f>SQRT(0.0001^2+0.0001^2+J37^2+J38^2)</f>
        <v>1.4652153882128167E-3</v>
      </c>
    </row>
    <row r="40" spans="1:10" ht="17.7" x14ac:dyDescent="0.75">
      <c r="A40" s="17" t="s">
        <v>70</v>
      </c>
      <c r="B40" s="73">
        <f>AVERAGE(B21,E21)</f>
        <v>2.0480909711229124E-5</v>
      </c>
      <c r="C40" s="73">
        <f>AVERAGE(C21,F21)</f>
        <v>3.5811481066495856E-5</v>
      </c>
      <c r="D40" s="77"/>
      <c r="H40" s="80" t="s">
        <v>90</v>
      </c>
      <c r="I40" s="71">
        <f>B48*SQRT((I36/B40)^2+(I39/B46)^2+(I39/B47)^2)</f>
        <v>2.6429163693030043E-3</v>
      </c>
      <c r="J40" s="71">
        <f>C48*SQRT((J36/C40)^2+(J39/C46)^2+(J39/C47)^2)</f>
        <v>1.1609501788875651E-3</v>
      </c>
    </row>
    <row r="41" spans="1:10" ht="16.5" x14ac:dyDescent="0.55000000000000004">
      <c r="A41" s="17" t="s">
        <v>54</v>
      </c>
      <c r="B41" s="71">
        <f>SQRT(B40/(B39*B38))</f>
        <v>2.3465853069678039E-2</v>
      </c>
      <c r="C41" s="71">
        <f>SQRT(C40/(C39*C38))</f>
        <v>1.7012594166349228E-2</v>
      </c>
      <c r="D41" s="77"/>
      <c r="H41" s="80" t="s">
        <v>89</v>
      </c>
      <c r="I41" s="71">
        <f>SQRT((I40)^2+(I16)^2)</f>
        <v>2.7631563313856079E-3</v>
      </c>
      <c r="J41" s="71">
        <f>SQRT((J40)^2+(K16)^2)</f>
        <v>1.3033867200092615E-3</v>
      </c>
    </row>
    <row r="42" spans="1:10" x14ac:dyDescent="0.55000000000000004">
      <c r="A42" s="5"/>
      <c r="B42" s="102" t="s">
        <v>74</v>
      </c>
      <c r="C42" s="102"/>
      <c r="D42" s="77"/>
      <c r="H42" s="96"/>
      <c r="I42" s="96"/>
      <c r="J42" s="96"/>
    </row>
    <row r="43" spans="1:10" ht="16.5" x14ac:dyDescent="0.55000000000000004">
      <c r="A43" s="17" t="s">
        <v>54</v>
      </c>
      <c r="B43" s="71">
        <f>B41</f>
        <v>2.3465853069678039E-2</v>
      </c>
      <c r="C43" s="71">
        <f>C41</f>
        <v>1.7012594166349228E-2</v>
      </c>
      <c r="D43" s="77"/>
      <c r="E43" s="15"/>
      <c r="F43" s="72"/>
    </row>
    <row r="44" spans="1:10" ht="17.7" x14ac:dyDescent="0.75">
      <c r="A44" s="17" t="s">
        <v>75</v>
      </c>
      <c r="B44" s="71">
        <f>B43</f>
        <v>2.3465853069678039E-2</v>
      </c>
      <c r="C44" s="71">
        <f>C43</f>
        <v>1.7012594166349228E-2</v>
      </c>
      <c r="D44" s="77"/>
      <c r="E44" s="15"/>
      <c r="F44" s="72"/>
    </row>
    <row r="45" spans="1:10" ht="16.8" x14ac:dyDescent="0.75">
      <c r="A45" s="17" t="s">
        <v>85</v>
      </c>
      <c r="B45" s="71">
        <f>0.5*(B43*(2)^2+B44*(-2)^2+I6*(1)^2+I6*(-1)^2)</f>
        <v>0.21710776546146415</v>
      </c>
      <c r="C45" s="71">
        <f>0.5*(C43*(2)^2+C44*(-2)^2+I6*(1)^2+I6*(-1)^2)</f>
        <v>0.19129472984814891</v>
      </c>
      <c r="D45" s="77"/>
    </row>
    <row r="46" spans="1:10" ht="16.8" x14ac:dyDescent="0.75">
      <c r="A46" s="17" t="s">
        <v>58</v>
      </c>
      <c r="B46" s="71">
        <f>10^(-0.509*(2)^2*SQRT($B$45))</f>
        <v>0.1125458217697453</v>
      </c>
      <c r="C46" s="71">
        <f>10^(-0.509*(2)^2*((SQRT($C$45)/(1+SQRT($C$45)))-0.3*$C$45))</f>
        <v>0.31427964414102966</v>
      </c>
      <c r="D46" s="77"/>
    </row>
    <row r="47" spans="1:10" ht="16.8" x14ac:dyDescent="0.75">
      <c r="A47" s="17" t="s">
        <v>73</v>
      </c>
      <c r="B47" s="71">
        <f>10^(-0.509*(-2)^2*SQRT($B$45))</f>
        <v>0.1125458217697453</v>
      </c>
      <c r="C47" s="71">
        <f>10^(-0.509*(-2)^2*((SQRT($C$45)/(1+SQRT($C$45)))-0.3*$C$45))</f>
        <v>0.31427964414102966</v>
      </c>
      <c r="D47" s="77"/>
    </row>
    <row r="48" spans="1:10" x14ac:dyDescent="0.55000000000000004">
      <c r="A48" s="17" t="s">
        <v>91</v>
      </c>
      <c r="B48" s="71">
        <f>SQRT(B40/(B46*B47))</f>
        <v>4.0211034378308898E-2</v>
      </c>
      <c r="C48" s="71">
        <f>SQRT(C40/(C46*C47))</f>
        <v>1.9041225162474671E-2</v>
      </c>
      <c r="D48" s="77"/>
    </row>
    <row r="49" spans="1:4" ht="16.8" x14ac:dyDescent="0.75">
      <c r="A49" s="17" t="s">
        <v>76</v>
      </c>
      <c r="B49" s="71">
        <f>SQRT(B40/(B46*B47))+B14</f>
        <v>4.269370282058528E-2</v>
      </c>
      <c r="C49" s="71">
        <f>SQRT(C40/(C46*C47))+E14</f>
        <v>2.1061976376737991E-2</v>
      </c>
      <c r="D49" s="77"/>
    </row>
    <row r="51" spans="1:4" x14ac:dyDescent="0.55000000000000004">
      <c r="C51" s="78"/>
    </row>
  </sheetData>
  <mergeCells count="52">
    <mergeCell ref="B37:C37"/>
    <mergeCell ref="B34:D34"/>
    <mergeCell ref="B25:C25"/>
    <mergeCell ref="B26:C26"/>
    <mergeCell ref="B28:D28"/>
    <mergeCell ref="E16:F16"/>
    <mergeCell ref="E17:F17"/>
    <mergeCell ref="B12:C12"/>
    <mergeCell ref="E12:F12"/>
    <mergeCell ref="E14:F14"/>
    <mergeCell ref="B13:C13"/>
    <mergeCell ref="E13:F13"/>
    <mergeCell ref="I11:L11"/>
    <mergeCell ref="B36:C36"/>
    <mergeCell ref="B42:C42"/>
    <mergeCell ref="B1:D1"/>
    <mergeCell ref="B8:D8"/>
    <mergeCell ref="E1:G1"/>
    <mergeCell ref="E8:G8"/>
    <mergeCell ref="B9:G9"/>
    <mergeCell ref="E25:F25"/>
    <mergeCell ref="E26:F26"/>
    <mergeCell ref="B2:G2"/>
    <mergeCell ref="B14:C14"/>
    <mergeCell ref="B15:C15"/>
    <mergeCell ref="B16:C16"/>
    <mergeCell ref="B17:C17"/>
    <mergeCell ref="E15:F15"/>
    <mergeCell ref="I12:J12"/>
    <mergeCell ref="I13:J13"/>
    <mergeCell ref="I14:J14"/>
    <mergeCell ref="I15:J15"/>
    <mergeCell ref="I16:J16"/>
    <mergeCell ref="K12:L12"/>
    <mergeCell ref="K13:L13"/>
    <mergeCell ref="K14:L14"/>
    <mergeCell ref="K15:L15"/>
    <mergeCell ref="K16:L16"/>
    <mergeCell ref="I18:J18"/>
    <mergeCell ref="I26:J26"/>
    <mergeCell ref="K17:L17"/>
    <mergeCell ref="K19:L19"/>
    <mergeCell ref="I25:J25"/>
    <mergeCell ref="K25:L25"/>
    <mergeCell ref="K18:L18"/>
    <mergeCell ref="I17:J17"/>
    <mergeCell ref="I19:J19"/>
    <mergeCell ref="K26:L26"/>
    <mergeCell ref="I32:J32"/>
    <mergeCell ref="I33:J33"/>
    <mergeCell ref="I34:J34"/>
    <mergeCell ref="H42:J42"/>
  </mergeCells>
  <phoneticPr fontId="7" type="noConversion"/>
  <pageMargins left="0.7" right="0.7" top="0.75" bottom="0.75" header="0.3" footer="0.3"/>
  <pageSetup orientation="portrait" r:id="rId1"/>
  <ignoredErrors>
    <ignoredError sqref="B23:C23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Reema Yahmadi</dc:creator>
  <cp:lastModifiedBy>Reema Yahmadi</cp:lastModifiedBy>
  <dcterms:created xsi:type="dcterms:W3CDTF">2020-03-20T20:30:57Z</dcterms:created>
  <dcterms:modified xsi:type="dcterms:W3CDTF">2020-04-12T07:18:34Z</dcterms:modified>
</cp:coreProperties>
</file>