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afayeed\Downloads\"/>
    </mc:Choice>
  </mc:AlternateContent>
  <xr:revisionPtr revIDLastSave="0" documentId="13_ncr:1_{30EBEAA3-7E78-45D4-9AE8-7E260938F25A}" xr6:coauthVersionLast="36" xr6:coauthVersionMax="36" xr10:uidLastSave="{00000000-0000-0000-0000-000000000000}"/>
  <bookViews>
    <workbookView xWindow="0" yWindow="0" windowWidth="38400" windowHeight="17625" activeTab="4" xr2:uid="{00000000-000D-0000-FFFF-FFFF00000000}"/>
  </bookViews>
  <sheets>
    <sheet name="Comparison in Price" sheetId="1" r:id="rId1"/>
    <sheet name="Sizing No HI" sheetId="2" r:id="rId2"/>
    <sheet name="Sizing HI" sheetId="3" r:id="rId3"/>
    <sheet name="VGA - No HI" sheetId="4" r:id="rId4"/>
    <sheet name="VGA - HI" sheetId="5" r:id="rId5"/>
    <sheet name="COM - No HI" sheetId="6" r:id="rId6"/>
    <sheet name="COM - HI" sheetId="7" r:id="rId7"/>
    <sheet name="Utilities compare" sheetId="8" r:id="rId8"/>
    <sheet name="Flash Tank Info for COM" sheetId="9" r:id="rId9"/>
  </sheets>
  <externalReferences>
    <externalReference r:id="rId10"/>
  </externalReferences>
  <definedNames>
    <definedName name="ppd" localSheetId="5">'COM - No HI'!$B$6</definedName>
    <definedName name="ppd">'COM - HI'!$B$6</definedName>
    <definedName name="PROD" localSheetId="5">'COM - No HI'!$B$6</definedName>
    <definedName name="PROD">'COM - HI'!$B$6</definedName>
  </definedNames>
  <calcPr calcId="191029"/>
  <extLst>
    <ext uri="GoogleSheetsCustomDataVersion1">
      <go:sheetsCustomData xmlns:go="http://customooxmlschemas.google.com/" r:id="rId13" roundtripDataSignature="AMtx7mhpm/A1rRzLkgoN26w6nBphkxB0Ng=="/>
    </ext>
  </extLst>
</workbook>
</file>

<file path=xl/calcChain.xml><?xml version="1.0" encoding="utf-8"?>
<calcChain xmlns="http://schemas.openxmlformats.org/spreadsheetml/2006/main">
  <c r="D21" i="9" l="1"/>
  <c r="C21" i="9"/>
  <c r="B21" i="9"/>
  <c r="M20" i="9"/>
  <c r="H20" i="9"/>
  <c r="I20" i="9" s="1"/>
  <c r="E20" i="9"/>
  <c r="M19" i="9"/>
  <c r="E19" i="9"/>
  <c r="H19" i="9" s="1"/>
  <c r="I19" i="9" s="1"/>
  <c r="E18" i="9"/>
  <c r="M18" i="9" s="1"/>
  <c r="M17" i="9"/>
  <c r="G17" i="9"/>
  <c r="H17" i="9" s="1"/>
  <c r="I17" i="9" s="1"/>
  <c r="E17" i="9"/>
  <c r="M16" i="9"/>
  <c r="E16" i="9"/>
  <c r="H16" i="9" s="1"/>
  <c r="I16" i="9" s="1"/>
  <c r="E15" i="9"/>
  <c r="M15" i="9" s="1"/>
  <c r="I14" i="9"/>
  <c r="H14" i="9"/>
  <c r="E14" i="9"/>
  <c r="E21" i="9" s="1"/>
  <c r="D10" i="9"/>
  <c r="C10" i="9"/>
  <c r="B10" i="9"/>
  <c r="M9" i="9"/>
  <c r="H9" i="9"/>
  <c r="I9" i="9" s="1"/>
  <c r="E9" i="9"/>
  <c r="M8" i="9"/>
  <c r="E8" i="9"/>
  <c r="H8" i="9" s="1"/>
  <c r="I8" i="9" s="1"/>
  <c r="E7" i="9"/>
  <c r="M7" i="9" s="1"/>
  <c r="M6" i="9"/>
  <c r="G6" i="9"/>
  <c r="H6" i="9" s="1"/>
  <c r="I6" i="9" s="1"/>
  <c r="E6" i="9"/>
  <c r="M5" i="9"/>
  <c r="E5" i="9"/>
  <c r="H5" i="9" s="1"/>
  <c r="I5" i="9" s="1"/>
  <c r="E4" i="9"/>
  <c r="M4" i="9" s="1"/>
  <c r="I3" i="9"/>
  <c r="H3" i="9"/>
  <c r="E3" i="9"/>
  <c r="E10" i="9" s="1"/>
  <c r="E57" i="7"/>
  <c r="D56" i="7"/>
  <c r="B56" i="7"/>
  <c r="P45" i="7"/>
  <c r="C26" i="7" s="1"/>
  <c r="F26" i="7" s="1"/>
  <c r="E26" i="7" s="1"/>
  <c r="O45" i="7"/>
  <c r="O44" i="7"/>
  <c r="P44" i="7" s="1"/>
  <c r="C25" i="7" s="1"/>
  <c r="P43" i="7"/>
  <c r="C24" i="7" s="1"/>
  <c r="F24" i="7" s="1"/>
  <c r="O43" i="7"/>
  <c r="E42" i="7"/>
  <c r="F42" i="7" s="1"/>
  <c r="F41" i="7"/>
  <c r="E41" i="7"/>
  <c r="F40" i="7"/>
  <c r="E40" i="7"/>
  <c r="E39" i="7"/>
  <c r="F39" i="7" s="1"/>
  <c r="F34" i="7"/>
  <c r="E34" i="7" s="1"/>
  <c r="F33" i="7"/>
  <c r="E33" i="7" s="1"/>
  <c r="F32" i="7"/>
  <c r="F35" i="7" s="1"/>
  <c r="E32" i="7"/>
  <c r="E35" i="7" s="1"/>
  <c r="F29" i="7"/>
  <c r="E29" i="7" s="1"/>
  <c r="C13" i="8" s="1"/>
  <c r="B29" i="7"/>
  <c r="E28" i="7"/>
  <c r="F28" i="7" s="1"/>
  <c r="B27" i="7"/>
  <c r="F27" i="7" s="1"/>
  <c r="E27" i="7" s="1"/>
  <c r="C11" i="8" s="1"/>
  <c r="B26" i="7"/>
  <c r="B25" i="7"/>
  <c r="F25" i="7" s="1"/>
  <c r="E25" i="7" s="1"/>
  <c r="B24" i="7"/>
  <c r="F20" i="7"/>
  <c r="E20" i="7"/>
  <c r="C18" i="7"/>
  <c r="B17" i="7"/>
  <c r="F17" i="7" s="1"/>
  <c r="E17" i="7" s="1"/>
  <c r="C6" i="8" s="1"/>
  <c r="B16" i="7"/>
  <c r="F16" i="7" s="1"/>
  <c r="E16" i="7" s="1"/>
  <c r="C5" i="8" s="1"/>
  <c r="C15" i="7"/>
  <c r="B15" i="7"/>
  <c r="F15" i="7" s="1"/>
  <c r="E15" i="7" s="1"/>
  <c r="C4" i="8" s="1"/>
  <c r="F14" i="7"/>
  <c r="C14" i="7"/>
  <c r="B14" i="7"/>
  <c r="B5" i="7"/>
  <c r="E57" i="6"/>
  <c r="D56" i="6"/>
  <c r="B56" i="6"/>
  <c r="P45" i="6"/>
  <c r="C26" i="6" s="1"/>
  <c r="O45" i="6"/>
  <c r="O44" i="6"/>
  <c r="P44" i="6" s="1"/>
  <c r="C25" i="6" s="1"/>
  <c r="P43" i="6"/>
  <c r="C24" i="6" s="1"/>
  <c r="O43" i="6"/>
  <c r="E42" i="6"/>
  <c r="F42" i="6" s="1"/>
  <c r="F41" i="6"/>
  <c r="E41" i="6"/>
  <c r="F40" i="6"/>
  <c r="E40" i="6"/>
  <c r="E39" i="6"/>
  <c r="F39" i="6" s="1"/>
  <c r="F34" i="6"/>
  <c r="F35" i="6" s="1"/>
  <c r="F33" i="6"/>
  <c r="E33" i="6"/>
  <c r="F32" i="6"/>
  <c r="E32" i="6"/>
  <c r="F29" i="6"/>
  <c r="E29" i="6" s="1"/>
  <c r="B13" i="8" s="1"/>
  <c r="B29" i="6"/>
  <c r="F28" i="6"/>
  <c r="E28" i="6"/>
  <c r="B12" i="8" s="1"/>
  <c r="B27" i="6"/>
  <c r="F27" i="6" s="1"/>
  <c r="E27" i="6" s="1"/>
  <c r="B11" i="8" s="1"/>
  <c r="B26" i="6"/>
  <c r="F26" i="6" s="1"/>
  <c r="E26" i="6" s="1"/>
  <c r="B25" i="6"/>
  <c r="B24" i="6"/>
  <c r="F24" i="6" s="1"/>
  <c r="F20" i="6"/>
  <c r="E20" i="6"/>
  <c r="B17" i="6"/>
  <c r="F17" i="6" s="1"/>
  <c r="E17" i="6" s="1"/>
  <c r="B6" i="8" s="1"/>
  <c r="F16" i="6"/>
  <c r="E16" i="6" s="1"/>
  <c r="B5" i="8" s="1"/>
  <c r="B16" i="6"/>
  <c r="F15" i="6"/>
  <c r="E15" i="6" s="1"/>
  <c r="B4" i="8" s="1"/>
  <c r="C15" i="6"/>
  <c r="B15" i="6"/>
  <c r="F14" i="6"/>
  <c r="C14" i="6"/>
  <c r="B14" i="6"/>
  <c r="B5" i="6"/>
  <c r="L49" i="5"/>
  <c r="L48" i="4"/>
  <c r="B237" i="3"/>
  <c r="B236" i="3"/>
  <c r="B233" i="3"/>
  <c r="B241" i="3" s="1"/>
  <c r="B242" i="3" s="1"/>
  <c r="B229" i="3"/>
  <c r="B221" i="3"/>
  <c r="B220" i="3"/>
  <c r="B215" i="3"/>
  <c r="B212" i="3"/>
  <c r="B213" i="3" s="1"/>
  <c r="B214" i="3" s="1"/>
  <c r="B208" i="3"/>
  <c r="B194" i="3"/>
  <c r="B191" i="3"/>
  <c r="B187" i="3"/>
  <c r="B177" i="3"/>
  <c r="B178" i="3" s="1"/>
  <c r="B180" i="3" s="1"/>
  <c r="C15" i="1" s="1"/>
  <c r="K25" i="1" s="1"/>
  <c r="B168" i="3"/>
  <c r="B169" i="3" s="1"/>
  <c r="B170" i="3" s="1"/>
  <c r="B172" i="3" s="1"/>
  <c r="C14" i="1" s="1"/>
  <c r="K24" i="1" s="1"/>
  <c r="B166" i="3"/>
  <c r="B165" i="3"/>
  <c r="B158" i="3"/>
  <c r="B159" i="3" s="1"/>
  <c r="B160" i="3" s="1"/>
  <c r="B162" i="3" s="1"/>
  <c r="C13" i="1" s="1"/>
  <c r="B155" i="3"/>
  <c r="B156" i="3" s="1"/>
  <c r="B148" i="3"/>
  <c r="B149" i="3" s="1"/>
  <c r="B150" i="3" s="1"/>
  <c r="B152" i="3" s="1"/>
  <c r="C12" i="1" s="1"/>
  <c r="G147" i="3"/>
  <c r="G146" i="3"/>
  <c r="B146" i="3"/>
  <c r="G145" i="3"/>
  <c r="B145" i="3"/>
  <c r="G139" i="3"/>
  <c r="G138" i="3"/>
  <c r="B138" i="3"/>
  <c r="B139" i="3" s="1"/>
  <c r="B140" i="3" s="1"/>
  <c r="B142" i="3" s="1"/>
  <c r="C11" i="1" s="1"/>
  <c r="B136" i="3"/>
  <c r="B135" i="3"/>
  <c r="E120" i="3"/>
  <c r="B120" i="3"/>
  <c r="B121" i="3" s="1"/>
  <c r="B122" i="3" s="1"/>
  <c r="B123" i="3" s="1"/>
  <c r="B105" i="3"/>
  <c r="B106" i="3" s="1"/>
  <c r="B103" i="3"/>
  <c r="B102" i="3"/>
  <c r="B100" i="3"/>
  <c r="B93" i="3"/>
  <c r="B96" i="3" s="1"/>
  <c r="B92" i="3"/>
  <c r="B87" i="3"/>
  <c r="B89" i="3" s="1"/>
  <c r="B90" i="3" s="1"/>
  <c r="B79" i="3"/>
  <c r="B80" i="3" s="1"/>
  <c r="B83" i="3" s="1"/>
  <c r="C7" i="1" s="1"/>
  <c r="K17" i="1" s="1"/>
  <c r="B77" i="3"/>
  <c r="B76" i="3"/>
  <c r="B74" i="3"/>
  <c r="B67" i="3"/>
  <c r="B66" i="3"/>
  <c r="B61" i="3"/>
  <c r="B63" i="3" s="1"/>
  <c r="B64" i="3" s="1"/>
  <c r="B53" i="3"/>
  <c r="B54" i="3" s="1"/>
  <c r="B51" i="3"/>
  <c r="B50" i="3"/>
  <c r="B48" i="3"/>
  <c r="B41" i="3"/>
  <c r="B40" i="3"/>
  <c r="B35" i="3"/>
  <c r="B37" i="3" s="1"/>
  <c r="B38" i="3" s="1"/>
  <c r="B27" i="3"/>
  <c r="B28" i="3" s="1"/>
  <c r="B23" i="3"/>
  <c r="G21" i="3"/>
  <c r="B21" i="3"/>
  <c r="B24" i="3" s="1"/>
  <c r="L3" i="1" s="1"/>
  <c r="G20" i="3"/>
  <c r="B20" i="3"/>
  <c r="B13" i="3"/>
  <c r="B16" i="3" s="1"/>
  <c r="B12" i="3"/>
  <c r="B9" i="3"/>
  <c r="B10" i="3" s="1"/>
  <c r="B8" i="3"/>
  <c r="N26" i="5" s="1"/>
  <c r="B6" i="3"/>
  <c r="B228" i="2"/>
  <c r="B229" i="2" s="1"/>
  <c r="B225" i="2"/>
  <c r="B226" i="2" s="1"/>
  <c r="B221" i="2"/>
  <c r="B227" i="2" s="1"/>
  <c r="B212" i="2"/>
  <c r="B213" i="2" s="1"/>
  <c r="B207" i="2"/>
  <c r="B205" i="2"/>
  <c r="B206" i="2" s="1"/>
  <c r="B204" i="2"/>
  <c r="B208" i="2" s="1"/>
  <c r="B200" i="2"/>
  <c r="B186" i="2"/>
  <c r="B183" i="2"/>
  <c r="B187" i="2" s="1"/>
  <c r="B179" i="2"/>
  <c r="B168" i="2"/>
  <c r="B169" i="2" s="1"/>
  <c r="B170" i="2" s="1"/>
  <c r="B172" i="2" s="1"/>
  <c r="B14" i="1" s="1"/>
  <c r="B166" i="2"/>
  <c r="B165" i="2"/>
  <c r="B160" i="2"/>
  <c r="B162" i="2" s="1"/>
  <c r="B159" i="2"/>
  <c r="B158" i="2"/>
  <c r="B155" i="2"/>
  <c r="B156" i="2" s="1"/>
  <c r="B149" i="2"/>
  <c r="B150" i="2" s="1"/>
  <c r="B152" i="2" s="1"/>
  <c r="B148" i="2"/>
  <c r="B146" i="2"/>
  <c r="B145" i="2"/>
  <c r="B140" i="2"/>
  <c r="B142" i="2" s="1"/>
  <c r="B11" i="1" s="1"/>
  <c r="G11" i="1" s="1"/>
  <c r="B139" i="2"/>
  <c r="B138" i="2"/>
  <c r="B136" i="2"/>
  <c r="B135" i="2"/>
  <c r="E120" i="2"/>
  <c r="B120" i="2"/>
  <c r="B121" i="2" s="1"/>
  <c r="B122" i="2" s="1"/>
  <c r="B123" i="2" s="1"/>
  <c r="B106" i="2"/>
  <c r="B105" i="2"/>
  <c r="B102" i="2"/>
  <c r="K9" i="1" s="1"/>
  <c r="B100" i="2"/>
  <c r="B92" i="2"/>
  <c r="B93" i="2" s="1"/>
  <c r="B96" i="2" s="1"/>
  <c r="B8" i="1" s="1"/>
  <c r="G8" i="1" s="1"/>
  <c r="B87" i="2"/>
  <c r="B89" i="2" s="1"/>
  <c r="B90" i="2" s="1"/>
  <c r="B80" i="2"/>
  <c r="B79" i="2"/>
  <c r="B76" i="2"/>
  <c r="K7" i="1" s="1"/>
  <c r="B74" i="2"/>
  <c r="B67" i="2"/>
  <c r="B70" i="2" s="1"/>
  <c r="B6" i="1" s="1"/>
  <c r="G6" i="1" s="1"/>
  <c r="B66" i="2"/>
  <c r="B61" i="2"/>
  <c r="B63" i="2" s="1"/>
  <c r="B64" i="2" s="1"/>
  <c r="B54" i="2"/>
  <c r="B53" i="2"/>
  <c r="B51" i="2"/>
  <c r="B57" i="2" s="1"/>
  <c r="B5" i="1" s="1"/>
  <c r="G5" i="1" s="1"/>
  <c r="B50" i="2"/>
  <c r="K5" i="1" s="1"/>
  <c r="B48" i="2"/>
  <c r="B41" i="2"/>
  <c r="B40" i="2"/>
  <c r="B35" i="2"/>
  <c r="B37" i="2" s="1"/>
  <c r="B38" i="2" s="1"/>
  <c r="B28" i="2"/>
  <c r="B27" i="2"/>
  <c r="B24" i="2"/>
  <c r="K3" i="1" s="1"/>
  <c r="B23" i="2"/>
  <c r="B21" i="2"/>
  <c r="G20" i="2"/>
  <c r="G21" i="2" s="1"/>
  <c r="B20" i="2"/>
  <c r="B12" i="2"/>
  <c r="B13" i="2" s="1"/>
  <c r="B16" i="2" s="1"/>
  <c r="B8" i="2"/>
  <c r="N25" i="4" s="1"/>
  <c r="B6" i="2"/>
  <c r="B9" i="2" s="1"/>
  <c r="B10" i="2" s="1"/>
  <c r="K23" i="1"/>
  <c r="C23" i="1"/>
  <c r="B23" i="1"/>
  <c r="C22" i="1"/>
  <c r="K18" i="1"/>
  <c r="H15" i="1"/>
  <c r="H14" i="1"/>
  <c r="G14" i="1"/>
  <c r="H13" i="1"/>
  <c r="B13" i="1"/>
  <c r="G13" i="1" s="1"/>
  <c r="K12" i="1"/>
  <c r="B12" i="1"/>
  <c r="G12" i="1" s="1"/>
  <c r="L9" i="1"/>
  <c r="L8" i="1"/>
  <c r="K8" i="1"/>
  <c r="C8" i="1"/>
  <c r="H8" i="1" s="1"/>
  <c r="L7" i="1"/>
  <c r="H7" i="1"/>
  <c r="L6" i="1"/>
  <c r="K6" i="1"/>
  <c r="L5" i="1"/>
  <c r="L4" i="1"/>
  <c r="L2" i="1"/>
  <c r="C2" i="1"/>
  <c r="B125" i="3" l="1"/>
  <c r="B124" i="3"/>
  <c r="B128" i="3" s="1"/>
  <c r="B129" i="3" s="1"/>
  <c r="B130" i="3" s="1"/>
  <c r="B132" i="3" s="1"/>
  <c r="C10" i="1" s="1"/>
  <c r="B124" i="2"/>
  <c r="B125" i="2" s="1"/>
  <c r="B128" i="2"/>
  <c r="B129" i="2" s="1"/>
  <c r="K21" i="1"/>
  <c r="H11" i="1"/>
  <c r="H12" i="1"/>
  <c r="K22" i="1"/>
  <c r="B2" i="1"/>
  <c r="G2" i="1" s="1"/>
  <c r="F20" i="9"/>
  <c r="F17" i="9"/>
  <c r="F9" i="9"/>
  <c r="F6" i="9"/>
  <c r="F19" i="9"/>
  <c r="F16" i="9"/>
  <c r="F8" i="9"/>
  <c r="F5" i="9"/>
  <c r="F15" i="9"/>
  <c r="B22" i="1"/>
  <c r="B25" i="2"/>
  <c r="B31" i="2" s="1"/>
  <c r="B3" i="1" s="1"/>
  <c r="G3" i="1" s="1"/>
  <c r="B109" i="3"/>
  <c r="C9" i="1" s="1"/>
  <c r="F18" i="6"/>
  <c r="E14" i="6"/>
  <c r="K2" i="1"/>
  <c r="B195" i="3"/>
  <c r="B192" i="3"/>
  <c r="B199" i="3"/>
  <c r="B200" i="3" s="1"/>
  <c r="B77" i="2"/>
  <c r="B83" i="2" s="1"/>
  <c r="B7" i="1" s="1"/>
  <c r="G7" i="1" s="1"/>
  <c r="B103" i="2"/>
  <c r="B109" i="2" s="1"/>
  <c r="B9" i="1" s="1"/>
  <c r="G9" i="1" s="1"/>
  <c r="B25" i="3"/>
  <c r="B57" i="3"/>
  <c r="C5" i="1" s="1"/>
  <c r="E24" i="6"/>
  <c r="F7" i="9"/>
  <c r="B214" i="2"/>
  <c r="B216" i="2" s="1"/>
  <c r="B17" i="1" s="1"/>
  <c r="G17" i="1" s="1"/>
  <c r="B31" i="3"/>
  <c r="C3" i="1" s="1"/>
  <c r="G150" i="3"/>
  <c r="G148" i="3"/>
  <c r="G151" i="3"/>
  <c r="F25" i="6"/>
  <c r="E25" i="6" s="1"/>
  <c r="F30" i="7"/>
  <c r="E24" i="7"/>
  <c r="F4" i="9"/>
  <c r="H2" i="1"/>
  <c r="I2" i="1" s="1"/>
  <c r="K4" i="1"/>
  <c r="B70" i="3"/>
  <c r="C6" i="1" s="1"/>
  <c r="F18" i="7"/>
  <c r="B44" i="2"/>
  <c r="B4" i="1" s="1"/>
  <c r="G4" i="1" s="1"/>
  <c r="B44" i="3"/>
  <c r="C4" i="1" s="1"/>
  <c r="B193" i="3"/>
  <c r="F18" i="9"/>
  <c r="B234" i="3"/>
  <c r="B235" i="3" s="1"/>
  <c r="B243" i="3" s="1"/>
  <c r="B245" i="3" s="1"/>
  <c r="C18" i="1" s="1"/>
  <c r="B59" i="6"/>
  <c r="B59" i="7"/>
  <c r="B184" i="2"/>
  <c r="B185" i="2" s="1"/>
  <c r="B233" i="2"/>
  <c r="B234" i="2" s="1"/>
  <c r="B235" i="2" s="1"/>
  <c r="B237" i="2" s="1"/>
  <c r="B18" i="1" s="1"/>
  <c r="G18" i="1" s="1"/>
  <c r="B216" i="3"/>
  <c r="B222" i="3" s="1"/>
  <c r="B224" i="3" s="1"/>
  <c r="C17" i="1" s="1"/>
  <c r="E34" i="6"/>
  <c r="E35" i="6" s="1"/>
  <c r="E14" i="7"/>
  <c r="C12" i="8"/>
  <c r="F3" i="9"/>
  <c r="F14" i="9"/>
  <c r="M3" i="9"/>
  <c r="N3" i="9" s="1"/>
  <c r="O3" i="9" s="1"/>
  <c r="H4" i="9"/>
  <c r="I4" i="9" s="1"/>
  <c r="I10" i="9" s="1"/>
  <c r="H7" i="9"/>
  <c r="I7" i="9" s="1"/>
  <c r="M14" i="9"/>
  <c r="N14" i="9" s="1"/>
  <c r="O14" i="9" s="1"/>
  <c r="H15" i="9"/>
  <c r="I15" i="9" s="1"/>
  <c r="I21" i="9" s="1"/>
  <c r="H18" i="9"/>
  <c r="I18" i="9" s="1"/>
  <c r="B191" i="2"/>
  <c r="B192" i="2" s="1"/>
  <c r="B58" i="6"/>
  <c r="B58" i="7"/>
  <c r="Q3" i="9" l="1"/>
  <c r="S3" i="9" s="1"/>
  <c r="T3" i="9" s="1"/>
  <c r="G21" i="7"/>
  <c r="F21" i="7" s="1"/>
  <c r="K28" i="1"/>
  <c r="H18" i="1"/>
  <c r="H10" i="1"/>
  <c r="K20" i="1"/>
  <c r="H17" i="1"/>
  <c r="K27" i="1"/>
  <c r="Q14" i="9"/>
  <c r="S14" i="9" s="1"/>
  <c r="T14" i="9" s="1"/>
  <c r="G21" i="6"/>
  <c r="F21" i="6" s="1"/>
  <c r="H6" i="1"/>
  <c r="K16" i="1"/>
  <c r="K13" i="1"/>
  <c r="H3" i="1"/>
  <c r="B193" i="2"/>
  <c r="B195" i="2" s="1"/>
  <c r="B16" i="1" s="1"/>
  <c r="G16" i="1" s="1"/>
  <c r="C10" i="8"/>
  <c r="C14" i="8" s="1"/>
  <c r="E30" i="7"/>
  <c r="H10" i="9"/>
  <c r="B130" i="2"/>
  <c r="B132" i="2" s="1"/>
  <c r="B10" i="1" s="1"/>
  <c r="G10" i="1" s="1"/>
  <c r="E18" i="7"/>
  <c r="C3" i="8"/>
  <c r="C7" i="8" s="1"/>
  <c r="K15" i="1"/>
  <c r="H5" i="1"/>
  <c r="F21" i="9"/>
  <c r="H4" i="1"/>
  <c r="K14" i="1"/>
  <c r="G152" i="3"/>
  <c r="F10" i="9"/>
  <c r="H21" i="9"/>
  <c r="B201" i="3"/>
  <c r="B203" i="3" s="1"/>
  <c r="C16" i="1" s="1"/>
  <c r="C19" i="1" s="1"/>
  <c r="E18" i="6"/>
  <c r="B3" i="8"/>
  <c r="B7" i="8" s="1"/>
  <c r="B10" i="8"/>
  <c r="B14" i="8" s="1"/>
  <c r="E30" i="6"/>
  <c r="D246" i="3"/>
  <c r="N11" i="5" s="1"/>
  <c r="F30" i="6"/>
  <c r="H9" i="1"/>
  <c r="K19" i="1"/>
  <c r="K29" i="1" l="1"/>
  <c r="H19" i="1"/>
  <c r="N12" i="5"/>
  <c r="N13" i="5" s="1"/>
  <c r="C9" i="7"/>
  <c r="D238" i="2"/>
  <c r="F22" i="6"/>
  <c r="F36" i="6" s="1"/>
  <c r="E21" i="6"/>
  <c r="F22" i="7"/>
  <c r="F36" i="7" s="1"/>
  <c r="E21" i="7"/>
  <c r="K26" i="1"/>
  <c r="H16" i="1"/>
  <c r="C9" i="6"/>
  <c r="N16" i="5" l="1"/>
  <c r="N14" i="5"/>
  <c r="N17" i="5" s="1"/>
  <c r="N10" i="4"/>
  <c r="B19" i="1"/>
  <c r="G19" i="1" s="1"/>
  <c r="C17" i="8"/>
  <c r="E22" i="7"/>
  <c r="E36" i="7" s="1"/>
  <c r="B17" i="8"/>
  <c r="E22" i="6"/>
  <c r="E36" i="6" s="1"/>
  <c r="N20" i="5" l="1"/>
  <c r="N19" i="5"/>
  <c r="N18" i="5"/>
  <c r="N24" i="5"/>
  <c r="N11" i="4"/>
  <c r="N12" i="4"/>
  <c r="E59" i="6"/>
  <c r="H34" i="6"/>
  <c r="E59" i="7"/>
  <c r="H34" i="7"/>
  <c r="N28" i="5" l="1"/>
  <c r="N29" i="5" s="1"/>
  <c r="N15" i="4"/>
  <c r="N13" i="4"/>
  <c r="N16" i="4" s="1"/>
  <c r="N17" i="4" l="1"/>
  <c r="N19" i="4"/>
  <c r="N18" i="4"/>
  <c r="N23" i="4" s="1"/>
  <c r="N31" i="5"/>
  <c r="N33" i="5"/>
  <c r="N35" i="5" s="1"/>
  <c r="N36" i="5" l="1"/>
  <c r="N38" i="5" s="1"/>
  <c r="N37" i="5"/>
  <c r="N27" i="4"/>
  <c r="N28" i="4" s="1"/>
  <c r="N32" i="4" l="1"/>
  <c r="N30" i="4"/>
  <c r="N34" i="4" s="1"/>
  <c r="N42" i="5"/>
  <c r="N41" i="5"/>
  <c r="N40" i="5"/>
  <c r="N43" i="5" s="1"/>
  <c r="N36" i="4" l="1"/>
  <c r="N35" i="4"/>
  <c r="N37" i="4"/>
  <c r="N44" i="5"/>
  <c r="N45" i="5" l="1"/>
  <c r="N47" i="5" s="1"/>
  <c r="N46" i="5"/>
  <c r="N41" i="4"/>
  <c r="N40" i="4"/>
  <c r="N39" i="4"/>
  <c r="N49" i="5" l="1"/>
  <c r="N50" i="5" s="1"/>
  <c r="N42" i="4"/>
  <c r="N43" i="4" s="1"/>
  <c r="N45" i="4" l="1"/>
  <c r="N44" i="4"/>
  <c r="N46" i="4" s="1"/>
  <c r="N52" i="5"/>
  <c r="N51" i="5"/>
  <c r="N55" i="5" s="1"/>
  <c r="C7" i="7" s="1"/>
  <c r="E44" i="7" l="1"/>
  <c r="F44" i="7" s="1"/>
  <c r="E45" i="7"/>
  <c r="F45" i="7" s="1"/>
  <c r="E43" i="7"/>
  <c r="N48" i="4"/>
  <c r="N49" i="4" s="1"/>
  <c r="N50" i="4" l="1"/>
  <c r="N54" i="4" s="1"/>
  <c r="C7" i="6" s="1"/>
  <c r="N51" i="4"/>
  <c r="F43" i="7"/>
  <c r="F46" i="7" s="1"/>
  <c r="E46" i="7"/>
  <c r="E44" i="6" l="1"/>
  <c r="F44" i="6" s="1"/>
  <c r="E45" i="6"/>
  <c r="F45" i="6" s="1"/>
  <c r="E43" i="6"/>
  <c r="E48" i="7"/>
  <c r="E49" i="7"/>
  <c r="F48" i="7"/>
  <c r="F49" i="7"/>
  <c r="F50" i="7" l="1"/>
  <c r="E50" i="7" s="1"/>
  <c r="E51" i="7" s="1"/>
  <c r="C10" i="7"/>
  <c r="C11" i="7" s="1"/>
  <c r="E53" i="7" s="1"/>
  <c r="F53" i="7" s="1"/>
  <c r="F43" i="6"/>
  <c r="F46" i="6" s="1"/>
  <c r="E46" i="6"/>
  <c r="E56" i="7" l="1"/>
  <c r="E58" i="7"/>
  <c r="B57" i="7"/>
  <c r="E49" i="6"/>
  <c r="E48" i="6"/>
  <c r="F48" i="6"/>
  <c r="F49" i="6"/>
  <c r="F51" i="7"/>
  <c r="F56" i="7" s="1"/>
  <c r="F50" i="6" l="1"/>
  <c r="E50" i="6" s="1"/>
  <c r="E51" i="6" s="1"/>
  <c r="C10" i="6"/>
  <c r="C11" i="6" s="1"/>
  <c r="E53" i="6" s="1"/>
  <c r="F53" i="6" s="1"/>
  <c r="E56" i="6" l="1"/>
  <c r="E58" i="6"/>
  <c r="B57" i="6"/>
  <c r="F51" i="6"/>
  <c r="F56" i="6" s="1"/>
</calcChain>
</file>

<file path=xl/sharedStrings.xml><?xml version="1.0" encoding="utf-8"?>
<sst xmlns="http://schemas.openxmlformats.org/spreadsheetml/2006/main" count="1616" uniqueCount="392">
  <si>
    <t>Pre-HI</t>
  </si>
  <si>
    <t>Post-HI</t>
  </si>
  <si>
    <t>Equipments</t>
  </si>
  <si>
    <t>Reactor 1</t>
  </si>
  <si>
    <t>Reactor 2</t>
  </si>
  <si>
    <t>Reboiler 1</t>
  </si>
  <si>
    <t>Condenser 1</t>
  </si>
  <si>
    <t>Reboiler 2</t>
  </si>
  <si>
    <t>Condenser 2</t>
  </si>
  <si>
    <t>Reboiler 3</t>
  </si>
  <si>
    <t>Condenser 3</t>
  </si>
  <si>
    <t>Flash tank</t>
  </si>
  <si>
    <t>Heater 1</t>
  </si>
  <si>
    <t>Heater 2</t>
  </si>
  <si>
    <t>Heater 3</t>
  </si>
  <si>
    <t>Heater 4</t>
  </si>
  <si>
    <t>Compressor</t>
  </si>
  <si>
    <t>-</t>
  </si>
  <si>
    <t>Column 1</t>
  </si>
  <si>
    <t>Column 2</t>
  </si>
  <si>
    <t>Column 3</t>
  </si>
  <si>
    <t>Total CBM ($MM/yr)</t>
  </si>
  <si>
    <t>Catalysts</t>
  </si>
  <si>
    <t>Ours</t>
  </si>
  <si>
    <t>Luyben's</t>
  </si>
  <si>
    <t>Reactor 1 (as fixed-head HEX) - dehydration</t>
  </si>
  <si>
    <t>2 reactors, 3 columns, 3 heaters, 1 flash tank, 3 reboilers, 3 condensers, 2 mixers (1 is free, 1 is HEX - bfore rctr 1), splitter, compressor</t>
  </si>
  <si>
    <t>Things</t>
  </si>
  <si>
    <t>Quantity</t>
  </si>
  <si>
    <t>Unit</t>
  </si>
  <si>
    <t>Number of tubes</t>
  </si>
  <si>
    <t>pc</t>
  </si>
  <si>
    <t>Length of tube</t>
  </si>
  <si>
    <t>m</t>
  </si>
  <si>
    <t>Inner diameter</t>
  </si>
  <si>
    <t>inch</t>
  </si>
  <si>
    <t>Catalyst mass</t>
  </si>
  <si>
    <t>kg ($70/kg)</t>
  </si>
  <si>
    <t>Catalyst cost</t>
  </si>
  <si>
    <t>$</t>
  </si>
  <si>
    <t>Area of reactor</t>
  </si>
  <si>
    <t>1inch=0.0254m, 1m=3.28084ft (ft^2)</t>
  </si>
  <si>
    <t>C_B</t>
  </si>
  <si>
    <t>F_BM</t>
  </si>
  <si>
    <t>Constant - Shell &amp; Tube HEX</t>
  </si>
  <si>
    <t>Pressure</t>
  </si>
  <si>
    <t>psi</t>
  </si>
  <si>
    <t>F_P</t>
  </si>
  <si>
    <t>Constant</t>
  </si>
  <si>
    <t>F_M</t>
  </si>
  <si>
    <t>first mixer act as HEX, splitter has compressor after that</t>
  </si>
  <si>
    <t>F_L</t>
  </si>
  <si>
    <t>C_BM</t>
  </si>
  <si>
    <t>Reactor 2 (as fixed-head HEX) - carbonylation</t>
  </si>
  <si>
    <t>psi (1 bar = 14.5 psi)</t>
  </si>
  <si>
    <t>Reboiler First column</t>
  </si>
  <si>
    <t>Heat Transfer Duty</t>
  </si>
  <si>
    <t>Gcal/hr</t>
  </si>
  <si>
    <t>BTU/hr</t>
  </si>
  <si>
    <t xml:space="preserve">Design Flux </t>
  </si>
  <si>
    <t>BTU/hr/ft^2 (phase change)</t>
  </si>
  <si>
    <t>ft^2</t>
  </si>
  <si>
    <t>Constant - Gas compressors</t>
  </si>
  <si>
    <t>Condenser First column</t>
  </si>
  <si>
    <t>Reboiler Second column</t>
  </si>
  <si>
    <t>Condenser Second column</t>
  </si>
  <si>
    <t>Reboiler Third column</t>
  </si>
  <si>
    <t>Condenser Third column</t>
  </si>
  <si>
    <t>Flash Tank</t>
  </si>
  <si>
    <t xml:space="preserve">Flow rate </t>
  </si>
  <si>
    <t>kmol/hr</t>
  </si>
  <si>
    <t>Internal Diameter</t>
  </si>
  <si>
    <t>xMeOH</t>
  </si>
  <si>
    <t>constant</t>
  </si>
  <si>
    <t>MW_meoh</t>
  </si>
  <si>
    <t>g/mol</t>
  </si>
  <si>
    <t>xDME</t>
  </si>
  <si>
    <t>MW_dme</t>
  </si>
  <si>
    <t>xH2O</t>
  </si>
  <si>
    <t>MW_h2o</t>
  </si>
  <si>
    <t>xCO</t>
  </si>
  <si>
    <t>MW_co</t>
  </si>
  <si>
    <t>xMeOAc</t>
  </si>
  <si>
    <t>MW_meoac</t>
  </si>
  <si>
    <t>xH2</t>
  </si>
  <si>
    <t>MW_h2</t>
  </si>
  <si>
    <t>xCh4</t>
  </si>
  <si>
    <t>MW_ch4</t>
  </si>
  <si>
    <t>m^3/hr</t>
  </si>
  <si>
    <t>rho_meoh</t>
  </si>
  <si>
    <t>g/m^3</t>
  </si>
  <si>
    <t>Volume</t>
  </si>
  <si>
    <t>m^3</t>
  </si>
  <si>
    <t>rho_dme</t>
  </si>
  <si>
    <t xml:space="preserve">Diameter </t>
  </si>
  <si>
    <t>rho_h2o</t>
  </si>
  <si>
    <t>Diameter</t>
  </si>
  <si>
    <t>ft</t>
  </si>
  <si>
    <t>rho_co</t>
  </si>
  <si>
    <t>Length</t>
  </si>
  <si>
    <t>rho_meoac</t>
  </si>
  <si>
    <t>C_PL</t>
  </si>
  <si>
    <t>rho_h2</t>
  </si>
  <si>
    <t>Density of metal</t>
  </si>
  <si>
    <t>lb/ft^3</t>
  </si>
  <si>
    <t>rho_ch4</t>
  </si>
  <si>
    <t>t_s</t>
  </si>
  <si>
    <t>W</t>
  </si>
  <si>
    <t>lb</t>
  </si>
  <si>
    <t>C_V</t>
  </si>
  <si>
    <t>C_P</t>
  </si>
  <si>
    <t>Constant - Vertical P. Vessel</t>
  </si>
  <si>
    <t>Heater (before reactor 1 - a mixer)</t>
  </si>
  <si>
    <t>Heat duty</t>
  </si>
  <si>
    <t>constant - Cr-Mo alloy steel</t>
  </si>
  <si>
    <t>psig</t>
  </si>
  <si>
    <t>Table 16.20 constant</t>
  </si>
  <si>
    <t>heater, field-fabricated constant</t>
  </si>
  <si>
    <t>Heater (after column 2)</t>
  </si>
  <si>
    <t>Heater (before reactor 2 - mixer)</t>
  </si>
  <si>
    <t>Heater (before column 3)</t>
  </si>
  <si>
    <t>Splitter</t>
  </si>
  <si>
    <t>FREE</t>
  </si>
  <si>
    <t>Column 1 (Vertical Pressure Vessel)</t>
  </si>
  <si>
    <t>N_T</t>
  </si>
  <si>
    <t>Reflux/feed</t>
  </si>
  <si>
    <t>F_NT</t>
  </si>
  <si>
    <t>F_TT</t>
  </si>
  <si>
    <t>Constant - sieve tray</t>
  </si>
  <si>
    <t>F_TM</t>
  </si>
  <si>
    <t>Constant - carbon steel</t>
  </si>
  <si>
    <t>D_i</t>
  </si>
  <si>
    <t>C_BT</t>
  </si>
  <si>
    <t>C_T</t>
  </si>
  <si>
    <t>Length of column</t>
  </si>
  <si>
    <t>Column 2 (Vertical Pressure Vessel)</t>
  </si>
  <si>
    <t>Column 3 (Vertical Pressure Vessel)</t>
  </si>
  <si>
    <t>HOW TO SCALE UP?</t>
  </si>
  <si>
    <t>TOTAL C_BM ($)</t>
  </si>
  <si>
    <t>Heater (before reactor 2)</t>
  </si>
  <si>
    <t>F_D</t>
  </si>
  <si>
    <t>drive factor (gas turbine)</t>
  </si>
  <si>
    <t>stainless steel</t>
  </si>
  <si>
    <t>P_C</t>
  </si>
  <si>
    <t>consumed power (hp)</t>
  </si>
  <si>
    <t>centrifugal compressor</t>
  </si>
  <si>
    <t>purchase cost</t>
  </si>
  <si>
    <t>Mixer before reactor 2 and splitter</t>
  </si>
  <si>
    <t>INFORMAL VENTURE GUIDANCE APPRAISAL  -E5</t>
  </si>
  <si>
    <r>
      <rPr>
        <b/>
        <sz val="16"/>
        <color theme="1"/>
        <rFont val="&quot;arial mt&quot;, Arial"/>
      </rPr>
      <t>FOR USE with C</t>
    </r>
    <r>
      <rPr>
        <b/>
        <vertAlign val="subscript"/>
        <sz val="16"/>
        <color theme="1"/>
        <rFont val="Arial MT"/>
      </rPr>
      <t>BM</t>
    </r>
    <r>
      <rPr>
        <b/>
        <sz val="16"/>
        <color theme="1"/>
        <rFont val="Arial MT"/>
      </rPr>
      <t xml:space="preserve"> (Bare-Module Cost) ESTIMATED per SEIDER, SEADER et al. )</t>
    </r>
  </si>
  <si>
    <t>See Table 16.10 for Relationship Between Equipment Purchase Price and Bare-module Cost</t>
  </si>
  <si>
    <t>TITLE:</t>
  </si>
  <si>
    <t>Project Cost Estimation</t>
  </si>
  <si>
    <t>SBU:</t>
  </si>
  <si>
    <t>CHEMICALS</t>
  </si>
  <si>
    <t>CASE:</t>
  </si>
  <si>
    <t>Cumene Level 1</t>
  </si>
  <si>
    <t xml:space="preserve">ACCT:  </t>
  </si>
  <si>
    <t>SCOPE:</t>
  </si>
  <si>
    <t>PROCESS ENGINEER</t>
  </si>
  <si>
    <t>SITE:</t>
  </si>
  <si>
    <t>US GULF COAST</t>
  </si>
  <si>
    <t>ESTIMATOR:</t>
  </si>
  <si>
    <t>Team T</t>
  </si>
  <si>
    <t>DATE:</t>
  </si>
  <si>
    <t>FILE:</t>
  </si>
  <si>
    <t>VGA Calculator</t>
  </si>
  <si>
    <t>RANGE</t>
  </si>
  <si>
    <t>OF %</t>
  </si>
  <si>
    <t>$M</t>
  </si>
  <si>
    <t>ENGINEERED EQUIPMENT</t>
  </si>
  <si>
    <t>MISC EQUIPMENT</t>
  </si>
  <si>
    <t>0-15</t>
  </si>
  <si>
    <t>SUBTOTAL A</t>
  </si>
  <si>
    <t>FIELD MTL / LABOR / INSUL</t>
  </si>
  <si>
    <t>10-40</t>
  </si>
  <si>
    <t>FIELD ERECTED EQUIPMENT  (STORAGE TANKS)</t>
  </si>
  <si>
    <t>EQUIP FDNS,SUPPORTS,PLATFORMS</t>
  </si>
  <si>
    <t>INSTALLED EQUIPMENT - Subtotal B</t>
  </si>
  <si>
    <t>FACTORED PIPING</t>
  </si>
  <si>
    <t>10-200</t>
  </si>
  <si>
    <t>FACTORED INSTRUMENTS</t>
  </si>
  <si>
    <t>10-75</t>
  </si>
  <si>
    <t>FACTORED ELECTRICAL</t>
  </si>
  <si>
    <t>5-30</t>
  </si>
  <si>
    <t>IDENTIFIED PIPING  (OSOH/UG LINES,JACKETED PIPE)</t>
  </si>
  <si>
    <t>IDENTIFIED INSTRUMENTS  (ANALYZERS,DCS)</t>
  </si>
  <si>
    <t>IDENTIFIED ELECTRICAL  (TRACING,SUBSTATIONS)</t>
  </si>
  <si>
    <t>SUBTOTAL C</t>
  </si>
  <si>
    <t>SPECIAL PROCESS ITEMS  (PACKAGED UNITS)</t>
  </si>
  <si>
    <t>PACKING (INCLUDES CATALYST)</t>
  </si>
  <si>
    <t>PUT CAT COST HERE</t>
  </si>
  <si>
    <t>OTHER  (T/C-T/T LOADING,PIPE BRIDGES)</t>
  </si>
  <si>
    <t>BUILDINGS,STRUCTURES</t>
  </si>
  <si>
    <t>SUBTOTAL D</t>
  </si>
  <si>
    <t>IDENTIFIED  P G &amp; S</t>
  </si>
  <si>
    <t>FACTORED  P G &amp; S</t>
  </si>
  <si>
    <t>0-40</t>
  </si>
  <si>
    <t>IDENTIFIED  D &amp; R</t>
  </si>
  <si>
    <t>FACTORED  D &amp; R</t>
  </si>
  <si>
    <t>0-10</t>
  </si>
  <si>
    <t>OTHER</t>
  </si>
  <si>
    <t>SUBTOTAL E</t>
  </si>
  <si>
    <t>PROJECT  CONTINGENCY</t>
  </si>
  <si>
    <t>15-30</t>
  </si>
  <si>
    <t>PROCESS CONTINGENCY</t>
  </si>
  <si>
    <t>0-25</t>
  </si>
  <si>
    <t>SUBTOTAL F</t>
  </si>
  <si>
    <t>LABOR / MATERIAL SPLIT</t>
  </si>
  <si>
    <t>15-60</t>
  </si>
  <si>
    <t>WORKING CONDITIONS</t>
  </si>
  <si>
    <t>FREIGHT, QA, PROCUREMENT</t>
  </si>
  <si>
    <t>3-8</t>
  </si>
  <si>
    <t>SALES TAX</t>
  </si>
  <si>
    <t>0-6.5</t>
  </si>
  <si>
    <t>CONTRACTOR LABOR DISTRIBUTIVES</t>
  </si>
  <si>
    <t>40-60</t>
  </si>
  <si>
    <t>NET TOTAL</t>
  </si>
  <si>
    <t>ABNORMAL PREMIUM TIME</t>
  </si>
  <si>
    <t>MINOR CHANGES</t>
  </si>
  <si>
    <t>0-5</t>
  </si>
  <si>
    <t>SUBTOTAL</t>
  </si>
  <si>
    <t>SEIDER, SEADER, et al., 4th Ed.</t>
  </si>
  <si>
    <t xml:space="preserve"> CCI</t>
  </si>
  <si>
    <t>AUTH</t>
  </si>
  <si>
    <t>2Q22</t>
  </si>
  <si>
    <t>M/C</t>
  </si>
  <si>
    <t>4Q23</t>
  </si>
  <si>
    <t>MPC</t>
  </si>
  <si>
    <t>3Q23</t>
  </si>
  <si>
    <t>PROJECTED</t>
  </si>
  <si>
    <t>ESCALATION</t>
  </si>
  <si>
    <t>DIRECT TOTAL</t>
  </si>
  <si>
    <t>ENGG &amp; HOME OFFICE</t>
  </si>
  <si>
    <t>14-25</t>
  </si>
  <si>
    <t>FIELD INDIRECTS</t>
  </si>
  <si>
    <t>2-10</t>
  </si>
  <si>
    <t>SPARES &amp; PORTABLES</t>
  </si>
  <si>
    <t>( IDENTIFIED,W/FRT,ESC,CONT)</t>
  </si>
  <si>
    <t>PROJECT LEVEL ALLOWANCES</t>
  </si>
  <si>
    <t>(W/ESC)</t>
  </si>
  <si>
    <t>PROJECT TOTAL</t>
  </si>
  <si>
    <t xml:space="preserve">INFORMAL VENTURE GUIDANCE APPRAISAL </t>
  </si>
  <si>
    <t>Final Project Cost Estimation</t>
  </si>
  <si>
    <t>MeOAc Synthesis</t>
  </si>
  <si>
    <t>MeOH</t>
  </si>
  <si>
    <t>Operating Cost Sheet</t>
  </si>
  <si>
    <t>(fill in the yellow boxes)</t>
  </si>
  <si>
    <t>Capacity</t>
  </si>
  <si>
    <t>MM kg/yr</t>
  </si>
  <si>
    <t>Production</t>
  </si>
  <si>
    <t>Op rate:</t>
  </si>
  <si>
    <t>Perm. Investment</t>
  </si>
  <si>
    <t>MM</t>
  </si>
  <si>
    <t>Catalyst* &amp; Spares</t>
  </si>
  <si>
    <t>(*if not already included in Perm. Investment)</t>
  </si>
  <si>
    <t>30 Day Raws Inventory</t>
  </si>
  <si>
    <t>(Working Capital)</t>
  </si>
  <si>
    <t>30 Day Product Inventory</t>
  </si>
  <si>
    <t>Total Investment</t>
  </si>
  <si>
    <t>QPU</t>
  </si>
  <si>
    <t>Price</t>
  </si>
  <si>
    <t>$MM/yr</t>
  </si>
  <si>
    <t>$/kg</t>
  </si>
  <si>
    <t>Ingredients:</t>
  </si>
  <si>
    <t>units/kg</t>
  </si>
  <si>
    <t>$/unit</t>
  </si>
  <si>
    <t>Units for the QPU</t>
  </si>
  <si>
    <t>699.3 kmol/hr MeOH fresh flow rate</t>
  </si>
  <si>
    <t>kg of ing/kg of MeOAc</t>
  </si>
  <si>
    <t xml:space="preserve">CO </t>
  </si>
  <si>
    <t>447.75 kmol/hr CO fresh flow rate</t>
  </si>
  <si>
    <t>H2</t>
  </si>
  <si>
    <t>Catalyst - just mordenite</t>
  </si>
  <si>
    <t>use catalyst cost from sizing, divide 2 since lifetime</t>
  </si>
  <si>
    <t>kg of cat/kg of MeOAc</t>
  </si>
  <si>
    <t>Total Ingredients</t>
  </si>
  <si>
    <t>Credits:</t>
  </si>
  <si>
    <t>Byproduct</t>
  </si>
  <si>
    <t>Waste Fuel</t>
  </si>
  <si>
    <t>$/MM Btu</t>
  </si>
  <si>
    <t>Btu/kg</t>
  </si>
  <si>
    <t>changed the formula (F20) myself so the units make sense</t>
  </si>
  <si>
    <t>Total credits:</t>
  </si>
  <si>
    <t>Utilities:</t>
  </si>
  <si>
    <t>Ori. #</t>
  </si>
  <si>
    <t>Original Units</t>
  </si>
  <si>
    <t>Steam - 100 psi</t>
  </si>
  <si>
    <t>price per thousand lbs</t>
  </si>
  <si>
    <t>klb/hr</t>
  </si>
  <si>
    <t>lb of steam/kg of MeOAc</t>
  </si>
  <si>
    <t>steam - 165 psi</t>
  </si>
  <si>
    <t>steam - 400 psi</t>
  </si>
  <si>
    <t>Electricity</t>
  </si>
  <si>
    <t>price per kW-hr</t>
  </si>
  <si>
    <t>kW</t>
  </si>
  <si>
    <t>kW/kg of MeOAc</t>
  </si>
  <si>
    <t>refrigerant</t>
  </si>
  <si>
    <t>$/hr</t>
  </si>
  <si>
    <t>Cooling Water</t>
  </si>
  <si>
    <t>price per thousand gallons</t>
  </si>
  <si>
    <t>MMGal/hr</t>
  </si>
  <si>
    <t>gal of water/kg of MeOAc</t>
  </si>
  <si>
    <t>Total Utilities</t>
  </si>
  <si>
    <t>Waste Treatment</t>
  </si>
  <si>
    <t>IGNORE WASTE TREATMENT</t>
  </si>
  <si>
    <t xml:space="preserve">Notes: change steam price </t>
  </si>
  <si>
    <t>Gaseous Waste</t>
  </si>
  <si>
    <t>for other barg values</t>
  </si>
  <si>
    <t>Liquid Waste</t>
  </si>
  <si>
    <t>Solid Waste</t>
  </si>
  <si>
    <t>Total Waste Treatment</t>
  </si>
  <si>
    <t>Total Variable Cost</t>
  </si>
  <si>
    <t>Fixed Costs:</t>
  </si>
  <si>
    <t>Operators</t>
  </si>
  <si>
    <t>/hr</t>
  </si>
  <si>
    <t>(# operators = operators/shift, base on guidance in Seider &amp; Seader)</t>
  </si>
  <si>
    <t xml:space="preserve">  Other employ costs</t>
  </si>
  <si>
    <t>18 equipments, 2 equipments/1 worker + 1 project manager</t>
  </si>
  <si>
    <t>Unit Supervision</t>
  </si>
  <si>
    <t>Plant Overheads</t>
  </si>
  <si>
    <t>bar</t>
  </si>
  <si>
    <t>Maintenance</t>
  </si>
  <si>
    <t>Taxes &amp; Insur.</t>
  </si>
  <si>
    <t>(this is property tax, not tax on gross earnings)</t>
  </si>
  <si>
    <t>Depreciation</t>
  </si>
  <si>
    <t>(apparently using straight line method)</t>
  </si>
  <si>
    <t>Total Fixed Costs</t>
  </si>
  <si>
    <t>$11.45 for 41 bar</t>
  </si>
  <si>
    <t>Total Cash Cost</t>
  </si>
  <si>
    <t>(COM - Depreciation)</t>
  </si>
  <si>
    <t>Total Cost of Manufacture</t>
  </si>
  <si>
    <t>(COM)</t>
  </si>
  <si>
    <t>Business Overhead</t>
  </si>
  <si>
    <t>of costs</t>
  </si>
  <si>
    <t>Total Cost of Sales</t>
  </si>
  <si>
    <t>Tax Rate on Earnings</t>
  </si>
  <si>
    <t>NROI</t>
  </si>
  <si>
    <t>(based on Total Investment, i.e., including Working Capital)</t>
  </si>
  <si>
    <t>Cost &amp; Rtn:</t>
  </si>
  <si>
    <t>Return</t>
  </si>
  <si>
    <t>Capacity Used</t>
  </si>
  <si>
    <t>MM $</t>
  </si>
  <si>
    <t>Desired Return</t>
  </si>
  <si>
    <t>desired</t>
  </si>
  <si>
    <t>(required selling price to achieve 25% NROI)</t>
  </si>
  <si>
    <t>Return at Selling Price</t>
  </si>
  <si>
    <t>achieved</t>
  </si>
  <si>
    <t>(actual NROI based on actual selling price)</t>
  </si>
  <si>
    <t>Net Cash Flow</t>
  </si>
  <si>
    <t>of revenue</t>
  </si>
  <si>
    <t>(1-t)*(Revenue - Cost of Sales)+Depreciation</t>
  </si>
  <si>
    <t>Variable Margin</t>
  </si>
  <si>
    <t>(Revenue - Variable Cost)</t>
  </si>
  <si>
    <t>Ingredients</t>
  </si>
  <si>
    <t>Type</t>
  </si>
  <si>
    <t>CO</t>
  </si>
  <si>
    <t>Total</t>
  </si>
  <si>
    <t>Utilities</t>
  </si>
  <si>
    <t>Steam</t>
  </si>
  <si>
    <t>Refrigerant</t>
  </si>
  <si>
    <t>Fuel Credits</t>
  </si>
  <si>
    <t>After Heat Integration</t>
  </si>
  <si>
    <t>DIRECT EMISSIONS</t>
  </si>
  <si>
    <t>INDIRECT EMMISIONS</t>
  </si>
  <si>
    <t>Type of chemicals</t>
  </si>
  <si>
    <t>Flow Rates (bottom c2) (kmol/hr)</t>
  </si>
  <si>
    <t>Flow rates (after splitter) (kmol/hr)</t>
  </si>
  <si>
    <t>Flow rates (distillate last column) (kmol/hr)</t>
  </si>
  <si>
    <t>Combined flow rate (kmol/hr)</t>
  </si>
  <si>
    <t>New mole frac</t>
  </si>
  <si>
    <t>H comb (kJ/mol)</t>
  </si>
  <si>
    <t>kJ/hr</t>
  </si>
  <si>
    <t>BTU/yr</t>
  </si>
  <si>
    <t>Chemicals</t>
  </si>
  <si>
    <t>Molar mass (g/mol)</t>
  </si>
  <si>
    <t>Fuel Gas Flow Rates (kg/yr)</t>
  </si>
  <si>
    <t>Total Fuel Gas Flow Rate (kg/yr)</t>
  </si>
  <si>
    <t>Total Fuel Gas Carbon Cost ($/yr)</t>
  </si>
  <si>
    <t>Total BTU/yr</t>
  </si>
  <si>
    <t>Cost ($/MM BTU)</t>
  </si>
  <si>
    <t>$/YR</t>
  </si>
  <si>
    <t>80% eff ($/yr)</t>
  </si>
  <si>
    <t>Methyl acetate</t>
  </si>
  <si>
    <t>Methanol</t>
  </si>
  <si>
    <t>Dimethyl ether</t>
  </si>
  <si>
    <t>Carbon monoxide</t>
  </si>
  <si>
    <t>hydrogen</t>
  </si>
  <si>
    <t>Water</t>
  </si>
  <si>
    <t>methane</t>
  </si>
  <si>
    <t>UNITY</t>
  </si>
  <si>
    <t>BEFORE Heat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</si>
</sst>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0.000"/>
    <numFmt numFmtId="165" formatCode="#,##0.0000"/>
    <numFmt numFmtId="166" formatCode="mm/dd/yy_)"/>
    <numFmt numFmtId="167" formatCode="0_)"/>
    <numFmt numFmtId="168" formatCode="&quot;$&quot;#,##0.000_);[Red]\(&quot;$&quot;#,##0.000\)"/>
    <numFmt numFmtId="169" formatCode="#,##0.000"/>
    <numFmt numFmtId="170" formatCode="&quot;$&quot;#,##0.0_);[Red]\(&quot;$&quot;#,##0.0\)"/>
    <numFmt numFmtId="171" formatCode="_(&quot;$&quot;* #,##0.000_);_(&quot;$&quot;* \(#,##0.000\);_(&quot;$&quot;* &quot;-&quot;??_);_(@_)"/>
    <numFmt numFmtId="172" formatCode="#,##0.0"/>
  </numFmts>
  <fonts count="7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0"/>
      <name val="Arial"/>
    </font>
    <font>
      <b/>
      <sz val="10"/>
      <color theme="1"/>
      <name val="Arial"/>
      <scheme val="minor"/>
    </font>
    <font>
      <b/>
      <sz val="15"/>
      <color theme="1"/>
      <name val="Calibri"/>
    </font>
    <font>
      <sz val="10"/>
      <name val="Arial"/>
    </font>
    <font>
      <sz val="15"/>
      <color theme="1"/>
      <name val="Arial"/>
    </font>
    <font>
      <sz val="15"/>
      <color theme="1"/>
      <name val="Calibri"/>
    </font>
    <font>
      <sz val="15"/>
      <color theme="1"/>
      <name val="Inconsolata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Inconsolata"/>
    </font>
    <font>
      <b/>
      <sz val="14"/>
      <color theme="1"/>
      <name val="Arial"/>
    </font>
    <font>
      <sz val="11"/>
      <color theme="1"/>
      <name val="Calibri"/>
    </font>
    <font>
      <b/>
      <sz val="16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Arial"/>
    </font>
    <font>
      <b/>
      <sz val="20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color rgb="FF000000"/>
      <name val="Times New Roman"/>
    </font>
    <font>
      <sz val="10"/>
      <color theme="1"/>
      <name val="Courier"/>
    </font>
    <font>
      <sz val="10"/>
      <color rgb="FF000000"/>
      <name val="Arial"/>
    </font>
    <font>
      <b/>
      <sz val="14"/>
      <color theme="1"/>
      <name val="Courier"/>
    </font>
    <font>
      <b/>
      <u/>
      <sz val="10"/>
      <color theme="1"/>
      <name val="Courier"/>
    </font>
    <font>
      <b/>
      <u/>
      <sz val="10"/>
      <color theme="1"/>
      <name val="Courier"/>
    </font>
    <font>
      <b/>
      <u/>
      <sz val="10"/>
      <color theme="1"/>
      <name val="Courier"/>
    </font>
    <font>
      <b/>
      <sz val="10"/>
      <color theme="1"/>
      <name val="Courier"/>
    </font>
    <font>
      <u/>
      <sz val="10"/>
      <color theme="1"/>
      <name val="Courier"/>
    </font>
    <font>
      <u/>
      <sz val="10"/>
      <color theme="1"/>
      <name val="Courier"/>
    </font>
    <font>
      <u/>
      <sz val="10"/>
      <color theme="1"/>
      <name val="Courier"/>
    </font>
    <font>
      <sz val="10"/>
      <color theme="1"/>
      <name val="Courier"/>
    </font>
    <font>
      <b/>
      <sz val="10"/>
      <color theme="1"/>
      <name val="Courier"/>
    </font>
    <font>
      <b/>
      <i/>
      <sz val="10"/>
      <color theme="1"/>
      <name val="Courier"/>
    </font>
    <font>
      <b/>
      <i/>
      <sz val="10"/>
      <color theme="1"/>
      <name val="Courier"/>
    </font>
    <font>
      <u/>
      <sz val="10"/>
      <color theme="1"/>
      <name val="Courier"/>
    </font>
    <font>
      <u/>
      <sz val="10"/>
      <color theme="1"/>
      <name val="Courier"/>
    </font>
    <font>
      <b/>
      <u/>
      <sz val="10"/>
      <color theme="1"/>
      <name val="Courier"/>
    </font>
    <font>
      <b/>
      <u/>
      <sz val="10"/>
      <color theme="1"/>
      <name val="Courier"/>
    </font>
    <font>
      <u/>
      <sz val="10"/>
      <color theme="1"/>
      <name val="Courier"/>
    </font>
    <font>
      <u/>
      <sz val="10"/>
      <color theme="1"/>
      <name val="Courier"/>
    </font>
    <font>
      <u/>
      <sz val="10"/>
      <color rgb="FF000000"/>
      <name val="Courier"/>
    </font>
    <font>
      <u/>
      <sz val="10"/>
      <color rgb="FF000000"/>
      <name val="Courier"/>
    </font>
    <font>
      <u/>
      <sz val="10"/>
      <color rgb="FF000000"/>
      <name val="Courier"/>
    </font>
    <font>
      <u/>
      <sz val="10"/>
      <color rgb="FF000000"/>
      <name val="Courier"/>
    </font>
    <font>
      <u/>
      <sz val="10"/>
      <color rgb="FF000000"/>
      <name val="Courier"/>
    </font>
    <font>
      <u/>
      <sz val="10"/>
      <color rgb="FF000000"/>
      <name val="Courier"/>
    </font>
    <font>
      <u/>
      <sz val="10"/>
      <color rgb="FF000000"/>
      <name val="Courier"/>
    </font>
    <font>
      <i/>
      <sz val="10"/>
      <color theme="1"/>
      <name val="Courier"/>
    </font>
    <font>
      <u/>
      <sz val="10"/>
      <color theme="1"/>
      <name val="Courier"/>
    </font>
    <font>
      <u/>
      <sz val="10"/>
      <color theme="1"/>
      <name val="Courier"/>
    </font>
    <font>
      <i/>
      <u/>
      <sz val="10"/>
      <color theme="1"/>
      <name val="Courier"/>
    </font>
    <font>
      <i/>
      <u/>
      <sz val="10"/>
      <color theme="1"/>
      <name val="Courier"/>
    </font>
    <font>
      <i/>
      <u/>
      <sz val="10"/>
      <color theme="1"/>
      <name val="Courier"/>
    </font>
    <font>
      <b/>
      <sz val="15"/>
      <color theme="1"/>
      <name val="Courier"/>
    </font>
    <font>
      <sz val="10"/>
      <color rgb="FF000000"/>
      <name val="Courier"/>
    </font>
    <font>
      <u/>
      <sz val="10"/>
      <color theme="1"/>
      <name val="Courier"/>
    </font>
    <font>
      <u/>
      <sz val="10"/>
      <color theme="1"/>
      <name val="Courier"/>
    </font>
    <font>
      <sz val="10"/>
      <color theme="1"/>
      <name val="Arial"/>
    </font>
    <font>
      <b/>
      <u/>
      <sz val="10"/>
      <color theme="1"/>
      <name val="Courier"/>
    </font>
    <font>
      <b/>
      <u/>
      <sz val="10"/>
      <color theme="1"/>
      <name val="Courier"/>
    </font>
    <font>
      <b/>
      <u/>
      <sz val="10"/>
      <color theme="1"/>
      <name val="Courier"/>
    </font>
    <font>
      <b/>
      <sz val="12"/>
      <color theme="1"/>
      <name val="Courier"/>
    </font>
    <font>
      <b/>
      <i/>
      <sz val="10"/>
      <color rgb="FF0000FF"/>
      <name val="Courier"/>
    </font>
    <font>
      <b/>
      <sz val="20"/>
      <color theme="1"/>
      <name val="Calibri"/>
    </font>
    <font>
      <sz val="10"/>
      <color theme="1"/>
      <name val="Calibri"/>
    </font>
    <font>
      <b/>
      <sz val="18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theme="1"/>
      <name val="Calibri"/>
    </font>
    <font>
      <b/>
      <sz val="16"/>
      <color theme="1"/>
      <name val="&quot;arial mt&quot;, Arial"/>
    </font>
    <font>
      <b/>
      <vertAlign val="subscript"/>
      <sz val="16"/>
      <color theme="1"/>
      <name val="Arial MT"/>
    </font>
    <font>
      <b/>
      <sz val="16"/>
      <color theme="1"/>
      <name val="Arial MT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61D6FF"/>
        <bgColor rgb="FF61D6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rgb="FFFCF9C4"/>
        <bgColor rgb="FFFFF2CC"/>
      </patternFill>
    </fill>
    <fill>
      <patternFill patternType="solid">
        <fgColor rgb="FFFCF9C4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3" fontId="3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4" fillId="3" borderId="0" xfId="0" applyNumberFormat="1" applyFont="1" applyFill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0" xfId="0" applyFont="1" applyAlignment="1"/>
    <xf numFmtId="2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4" fontId="9" fillId="2" borderId="5" xfId="0" applyNumberFormat="1" applyFont="1" applyFill="1" applyBorder="1" applyAlignment="1">
      <alignment horizontal="center" vertical="center" wrapText="1"/>
    </xf>
    <xf numFmtId="4" fontId="9" fillId="2" borderId="6" xfId="0" applyNumberFormat="1" applyFont="1" applyFill="1" applyBorder="1" applyAlignment="1">
      <alignment horizontal="center" vertical="center" wrapText="1"/>
    </xf>
    <xf numFmtId="4" fontId="9" fillId="2" borderId="7" xfId="0" applyNumberFormat="1" applyFont="1" applyFill="1" applyBorder="1" applyAlignment="1">
      <alignment horizontal="center" vertical="center" wrapText="1"/>
    </xf>
    <xf numFmtId="4" fontId="9" fillId="2" borderId="8" xfId="0" applyNumberFormat="1" applyFont="1" applyFill="1" applyBorder="1" applyAlignment="1">
      <alignment horizontal="center" vertical="center" wrapText="1"/>
    </xf>
    <xf numFmtId="4" fontId="9" fillId="2" borderId="0" xfId="0" applyNumberFormat="1" applyFont="1" applyFill="1" applyAlignment="1">
      <alignment horizontal="center" vertical="center" wrapText="1"/>
    </xf>
    <xf numFmtId="4" fontId="9" fillId="2" borderId="9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wrapText="1"/>
    </xf>
    <xf numFmtId="4" fontId="9" fillId="0" borderId="1" xfId="0" applyNumberFormat="1" applyFont="1" applyBorder="1" applyAlignment="1">
      <alignment horizontal="center" wrapText="1"/>
    </xf>
    <xf numFmtId="4" fontId="9" fillId="0" borderId="1" xfId="0" applyNumberFormat="1" applyFont="1" applyBorder="1" applyAlignment="1">
      <alignment horizontal="center" wrapText="1"/>
    </xf>
    <xf numFmtId="4" fontId="8" fillId="0" borderId="1" xfId="0" applyNumberFormat="1" applyFont="1" applyBorder="1" applyAlignment="1">
      <alignment horizontal="center" wrapText="1"/>
    </xf>
    <xf numFmtId="165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4" fontId="6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 wrapText="1"/>
    </xf>
    <xf numFmtId="4" fontId="10" fillId="5" borderId="1" xfId="0" applyNumberFormat="1" applyFont="1" applyFill="1" applyBorder="1" applyAlignment="1">
      <alignment horizontal="center" wrapText="1"/>
    </xf>
    <xf numFmtId="4" fontId="9" fillId="5" borderId="1" xfId="0" applyNumberFormat="1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horizontal="center" wrapText="1"/>
    </xf>
    <xf numFmtId="165" fontId="9" fillId="0" borderId="1" xfId="0" applyNumberFormat="1" applyFont="1" applyBorder="1" applyAlignment="1">
      <alignment horizontal="center" wrapText="1"/>
    </xf>
    <xf numFmtId="4" fontId="8" fillId="0" borderId="0" xfId="0" applyNumberFormat="1" applyFont="1" applyAlignment="1">
      <alignment vertical="center" wrapText="1"/>
    </xf>
    <xf numFmtId="0" fontId="3" fillId="0" borderId="0" xfId="0" applyFont="1"/>
    <xf numFmtId="4" fontId="12" fillId="0" borderId="1" xfId="0" applyNumberFormat="1" applyFont="1" applyBorder="1" applyAlignment="1">
      <alignment horizontal="center"/>
    </xf>
    <xf numFmtId="4" fontId="13" fillId="5" borderId="1" xfId="0" applyNumberFormat="1" applyFont="1" applyFill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4" fontId="11" fillId="4" borderId="1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7" borderId="16" xfId="0" applyFont="1" applyFill="1" applyBorder="1"/>
    <xf numFmtId="0" fontId="15" fillId="7" borderId="16" xfId="0" applyFont="1" applyFill="1" applyBorder="1"/>
    <xf numFmtId="0" fontId="17" fillId="7" borderId="16" xfId="0" applyFont="1" applyFill="1" applyBorder="1" applyAlignment="1">
      <alignment horizontal="right"/>
    </xf>
    <xf numFmtId="14" fontId="11" fillId="7" borderId="16" xfId="0" applyNumberFormat="1" applyFont="1" applyFill="1" applyBorder="1" applyAlignment="1">
      <alignment horizontal="center"/>
    </xf>
    <xf numFmtId="166" fontId="15" fillId="7" borderId="16" xfId="0" applyNumberFormat="1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2" fillId="0" borderId="0" xfId="0" applyFont="1"/>
    <xf numFmtId="167" fontId="18" fillId="7" borderId="16" xfId="0" applyNumberFormat="1" applyFont="1" applyFill="1" applyBorder="1" applyAlignment="1">
      <alignment horizontal="right"/>
    </xf>
    <xf numFmtId="9" fontId="18" fillId="7" borderId="16" xfId="0" applyNumberFormat="1" applyFont="1" applyFill="1" applyBorder="1" applyAlignment="1">
      <alignment horizontal="right"/>
    </xf>
    <xf numFmtId="9" fontId="18" fillId="0" borderId="0" xfId="0" applyNumberFormat="1" applyFont="1" applyAlignment="1">
      <alignment horizontal="center"/>
    </xf>
    <xf numFmtId="167" fontId="18" fillId="8" borderId="16" xfId="0" applyNumberFormat="1" applyFont="1" applyFill="1" applyBorder="1" applyAlignment="1">
      <alignment horizontal="right"/>
    </xf>
    <xf numFmtId="9" fontId="18" fillId="8" borderId="16" xfId="0" applyNumberFormat="1" applyFont="1" applyFill="1" applyBorder="1" applyAlignment="1">
      <alignment horizontal="right"/>
    </xf>
    <xf numFmtId="167" fontId="15" fillId="7" borderId="16" xfId="0" applyNumberFormat="1" applyFont="1" applyFill="1" applyBorder="1"/>
    <xf numFmtId="0" fontId="11" fillId="0" borderId="0" xfId="0" applyFont="1"/>
    <xf numFmtId="167" fontId="15" fillId="0" borderId="0" xfId="0" applyNumberFormat="1" applyFont="1"/>
    <xf numFmtId="0" fontId="18" fillId="7" borderId="16" xfId="0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16" fontId="17" fillId="7" borderId="16" xfId="0" applyNumberFormat="1" applyFont="1" applyFill="1" applyBorder="1"/>
    <xf numFmtId="9" fontId="15" fillId="0" borderId="0" xfId="0" applyNumberFormat="1" applyFont="1"/>
    <xf numFmtId="4" fontId="20" fillId="8" borderId="16" xfId="0" applyNumberFormat="1" applyFont="1" applyFill="1" applyBorder="1" applyAlignment="1">
      <alignment horizontal="right"/>
    </xf>
    <xf numFmtId="0" fontId="21" fillId="9" borderId="17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22" fillId="9" borderId="19" xfId="0" applyFont="1" applyFill="1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22" fillId="9" borderId="21" xfId="0" applyFont="1" applyFill="1" applyBorder="1" applyAlignment="1">
      <alignment vertical="center"/>
    </xf>
    <xf numFmtId="0" fontId="22" fillId="9" borderId="22" xfId="0" applyFont="1" applyFill="1" applyBorder="1" applyAlignment="1">
      <alignment vertical="center"/>
    </xf>
    <xf numFmtId="0" fontId="21" fillId="9" borderId="23" xfId="0" applyFont="1" applyFill="1" applyBorder="1" applyAlignment="1">
      <alignment vertical="center"/>
    </xf>
    <xf numFmtId="0" fontId="22" fillId="9" borderId="24" xfId="0" applyFont="1" applyFill="1" applyBorder="1" applyAlignment="1">
      <alignment vertical="center"/>
    </xf>
    <xf numFmtId="0" fontId="22" fillId="9" borderId="25" xfId="0" applyFont="1" applyFill="1" applyBorder="1" applyAlignment="1">
      <alignment vertical="center"/>
    </xf>
    <xf numFmtId="0" fontId="24" fillId="0" borderId="26" xfId="0" applyFont="1" applyBorder="1" applyAlignment="1"/>
    <xf numFmtId="0" fontId="24" fillId="0" borderId="26" xfId="0" applyFont="1" applyBorder="1"/>
    <xf numFmtId="168" fontId="25" fillId="0" borderId="26" xfId="0" applyNumberFormat="1" applyFont="1" applyBorder="1"/>
    <xf numFmtId="0" fontId="27" fillId="0" borderId="26" xfId="0" applyFont="1" applyBorder="1" applyAlignment="1">
      <alignment horizontal="right"/>
    </xf>
    <xf numFmtId="0" fontId="28" fillId="0" borderId="26" xfId="0" applyFont="1" applyBorder="1"/>
    <xf numFmtId="168" fontId="29" fillId="0" borderId="26" xfId="0" applyNumberFormat="1" applyFont="1" applyBorder="1"/>
    <xf numFmtId="0" fontId="24" fillId="0" borderId="26" xfId="0" applyFont="1" applyBorder="1" applyAlignment="1">
      <alignment horizontal="left"/>
    </xf>
    <xf numFmtId="1" fontId="24" fillId="0" borderId="26" xfId="0" applyNumberFormat="1" applyFont="1" applyBorder="1"/>
    <xf numFmtId="1" fontId="24" fillId="7" borderId="26" xfId="0" applyNumberFormat="1" applyFont="1" applyFill="1" applyBorder="1" applyAlignment="1"/>
    <xf numFmtId="9" fontId="24" fillId="7" borderId="26" xfId="0" applyNumberFormat="1" applyFont="1" applyFill="1" applyBorder="1" applyAlignment="1">
      <alignment horizontal="left"/>
    </xf>
    <xf numFmtId="1" fontId="24" fillId="7" borderId="26" xfId="0" applyNumberFormat="1" applyFont="1" applyFill="1" applyBorder="1"/>
    <xf numFmtId="6" fontId="24" fillId="7" borderId="26" xfId="0" applyNumberFormat="1" applyFont="1" applyFill="1" applyBorder="1"/>
    <xf numFmtId="0" fontId="30" fillId="0" borderId="26" xfId="0" applyFont="1" applyBorder="1"/>
    <xf numFmtId="6" fontId="24" fillId="0" borderId="26" xfId="0" applyNumberFormat="1" applyFont="1" applyBorder="1"/>
    <xf numFmtId="0" fontId="31" fillId="0" borderId="26" xfId="0" applyFont="1" applyBorder="1" applyAlignment="1">
      <alignment horizontal="left"/>
    </xf>
    <xf numFmtId="5" fontId="32" fillId="0" borderId="26" xfId="0" applyNumberFormat="1" applyFont="1" applyBorder="1"/>
    <xf numFmtId="6" fontId="33" fillId="0" borderId="26" xfId="0" applyNumberFormat="1" applyFont="1" applyBorder="1" applyAlignment="1">
      <alignment horizontal="right"/>
    </xf>
    <xf numFmtId="0" fontId="30" fillId="0" borderId="26" xfId="0" applyFont="1" applyBorder="1" applyAlignment="1">
      <alignment horizontal="right"/>
    </xf>
    <xf numFmtId="168" fontId="30" fillId="0" borderId="26" xfId="0" applyNumberFormat="1" applyFont="1" applyBorder="1" applyAlignment="1">
      <alignment horizontal="right"/>
    </xf>
    <xf numFmtId="0" fontId="30" fillId="0" borderId="26" xfId="0" applyFont="1" applyBorder="1" applyAlignment="1">
      <alignment horizontal="left"/>
    </xf>
    <xf numFmtId="0" fontId="24" fillId="0" borderId="26" xfId="0" applyFont="1" applyBorder="1" applyAlignment="1">
      <alignment horizontal="right"/>
    </xf>
    <xf numFmtId="0" fontId="30" fillId="2" borderId="26" xfId="0" applyFont="1" applyFill="1" applyBorder="1" applyAlignment="1">
      <alignment horizontal="center"/>
    </xf>
    <xf numFmtId="0" fontId="34" fillId="0" borderId="26" xfId="0" applyFont="1" applyBorder="1" applyAlignment="1"/>
    <xf numFmtId="169" fontId="34" fillId="7" borderId="26" xfId="0" applyNumberFormat="1" applyFont="1" applyFill="1" applyBorder="1" applyAlignment="1">
      <alignment horizontal="right"/>
    </xf>
    <xf numFmtId="168" fontId="34" fillId="7" borderId="26" xfId="0" applyNumberFormat="1" applyFont="1" applyFill="1" applyBorder="1" applyAlignment="1">
      <alignment horizontal="right"/>
    </xf>
    <xf numFmtId="170" fontId="25" fillId="0" borderId="26" xfId="0" applyNumberFormat="1" applyFont="1" applyBorder="1"/>
    <xf numFmtId="0" fontId="35" fillId="6" borderId="26" xfId="0" applyFont="1" applyFill="1" applyBorder="1" applyAlignment="1"/>
    <xf numFmtId="0" fontId="24" fillId="6" borderId="26" xfId="0" applyFont="1" applyFill="1" applyBorder="1"/>
    <xf numFmtId="0" fontId="24" fillId="5" borderId="26" xfId="0" applyFont="1" applyFill="1" applyBorder="1" applyAlignment="1">
      <alignment horizontal="center"/>
    </xf>
    <xf numFmtId="0" fontId="36" fillId="6" borderId="26" xfId="0" applyFont="1" applyFill="1" applyBorder="1" applyAlignment="1"/>
    <xf numFmtId="0" fontId="37" fillId="6" borderId="26" xfId="0" applyFont="1" applyFill="1" applyBorder="1"/>
    <xf numFmtId="0" fontId="38" fillId="0" borderId="26" xfId="0" applyFont="1" applyBorder="1" applyAlignment="1"/>
    <xf numFmtId="11" fontId="34" fillId="7" borderId="26" xfId="0" applyNumberFormat="1" applyFont="1" applyFill="1" applyBorder="1" applyAlignment="1">
      <alignment horizontal="right"/>
    </xf>
    <xf numFmtId="8" fontId="24" fillId="7" borderId="26" xfId="0" applyNumberFormat="1" applyFont="1" applyFill="1" applyBorder="1" applyAlignment="1">
      <alignment horizontal="right"/>
    </xf>
    <xf numFmtId="0" fontId="39" fillId="0" borderId="26" xfId="0" applyFont="1" applyBorder="1"/>
    <xf numFmtId="0" fontId="40" fillId="6" borderId="26" xfId="0" applyFont="1" applyFill="1" applyBorder="1" applyAlignment="1"/>
    <xf numFmtId="0" fontId="41" fillId="6" borderId="26" xfId="0" applyFont="1" applyFill="1" applyBorder="1"/>
    <xf numFmtId="169" fontId="24" fillId="5" borderId="26" xfId="0" applyNumberFormat="1" applyFont="1" applyFill="1" applyBorder="1" applyAlignment="1">
      <alignment horizontal="center"/>
    </xf>
    <xf numFmtId="8" fontId="24" fillId="7" borderId="26" xfId="0" applyNumberFormat="1" applyFont="1" applyFill="1" applyBorder="1" applyAlignment="1">
      <alignment horizontal="right"/>
    </xf>
    <xf numFmtId="170" fontId="42" fillId="0" borderId="26" xfId="0" applyNumberFormat="1" applyFont="1" applyBorder="1"/>
    <xf numFmtId="168" fontId="43" fillId="0" borderId="26" xfId="0" applyNumberFormat="1" applyFont="1" applyBorder="1"/>
    <xf numFmtId="0" fontId="37" fillId="0" borderId="26" xfId="0" applyFont="1" applyBorder="1" applyAlignment="1">
      <alignment horizontal="left"/>
    </xf>
    <xf numFmtId="4" fontId="37" fillId="0" borderId="26" xfId="0" applyNumberFormat="1" applyFont="1" applyBorder="1"/>
    <xf numFmtId="11" fontId="37" fillId="0" borderId="26" xfId="0" applyNumberFormat="1" applyFont="1" applyBorder="1"/>
    <xf numFmtId="0" fontId="37" fillId="0" borderId="26" xfId="0" applyFont="1" applyBorder="1"/>
    <xf numFmtId="170" fontId="37" fillId="0" borderId="26" xfId="0" applyNumberFormat="1" applyFont="1" applyBorder="1"/>
    <xf numFmtId="168" fontId="37" fillId="0" borderId="26" xfId="0" applyNumberFormat="1" applyFont="1" applyBorder="1"/>
    <xf numFmtId="169" fontId="25" fillId="0" borderId="26" xfId="0" applyNumberFormat="1" applyFont="1" applyBorder="1"/>
    <xf numFmtId="169" fontId="25" fillId="7" borderId="26" xfId="0" applyNumberFormat="1" applyFont="1" applyFill="1" applyBorder="1"/>
    <xf numFmtId="168" fontId="25" fillId="7" borderId="26" xfId="0" applyNumberFormat="1" applyFont="1" applyFill="1" applyBorder="1"/>
    <xf numFmtId="0" fontId="44" fillId="0" borderId="26" xfId="0" applyFont="1" applyBorder="1"/>
    <xf numFmtId="169" fontId="45" fillId="7" borderId="26" xfId="0" applyNumberFormat="1" applyFont="1" applyFill="1" applyBorder="1"/>
    <xf numFmtId="168" fontId="46" fillId="7" borderId="26" xfId="0" applyNumberFormat="1" applyFont="1" applyFill="1" applyBorder="1"/>
    <xf numFmtId="168" fontId="47" fillId="0" borderId="26" xfId="0" applyNumberFormat="1" applyFont="1" applyBorder="1" applyAlignment="1">
      <alignment horizontal="left"/>
    </xf>
    <xf numFmtId="170" fontId="48" fillId="0" borderId="26" xfId="0" applyNumberFormat="1" applyFont="1" applyBorder="1"/>
    <xf numFmtId="168" fontId="49" fillId="0" borderId="26" xfId="0" applyNumberFormat="1" applyFont="1" applyBorder="1"/>
    <xf numFmtId="3" fontId="50" fillId="7" borderId="26" xfId="0" applyNumberFormat="1" applyFont="1" applyFill="1" applyBorder="1"/>
    <xf numFmtId="0" fontId="37" fillId="10" borderId="26" xfId="0" applyFont="1" applyFill="1" applyBorder="1"/>
    <xf numFmtId="0" fontId="51" fillId="0" borderId="26" xfId="0" applyFont="1" applyBorder="1"/>
    <xf numFmtId="169" fontId="51" fillId="0" borderId="26" xfId="0" applyNumberFormat="1" applyFont="1" applyBorder="1"/>
    <xf numFmtId="168" fontId="51" fillId="0" borderId="26" xfId="0" applyNumberFormat="1" applyFont="1" applyBorder="1"/>
    <xf numFmtId="170" fontId="51" fillId="0" borderId="26" xfId="0" applyNumberFormat="1" applyFont="1" applyBorder="1"/>
    <xf numFmtId="0" fontId="30" fillId="0" borderId="26" xfId="0" applyFont="1" applyBorder="1" applyAlignment="1">
      <alignment horizontal="center"/>
    </xf>
    <xf numFmtId="169" fontId="24" fillId="7" borderId="26" xfId="0" applyNumberFormat="1" applyFont="1" applyFill="1" applyBorder="1" applyAlignment="1">
      <alignment horizontal="right"/>
    </xf>
    <xf numFmtId="7" fontId="24" fillId="7" borderId="26" xfId="0" applyNumberFormat="1" applyFont="1" applyFill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169" fontId="24" fillId="0" borderId="26" xfId="0" applyNumberFormat="1" applyFont="1" applyBorder="1" applyAlignment="1">
      <alignment horizontal="center"/>
    </xf>
    <xf numFmtId="171" fontId="24" fillId="7" borderId="26" xfId="0" applyNumberFormat="1" applyFont="1" applyFill="1" applyBorder="1" applyAlignment="1">
      <alignment horizontal="center"/>
    </xf>
    <xf numFmtId="0" fontId="2" fillId="0" borderId="26" xfId="0" applyFont="1" applyBorder="1" applyAlignment="1"/>
    <xf numFmtId="170" fontId="34" fillId="0" borderId="26" xfId="0" applyNumberFormat="1" applyFont="1" applyBorder="1" applyAlignment="1">
      <alignment horizontal="right"/>
    </xf>
    <xf numFmtId="168" fontId="2" fillId="0" borderId="26" xfId="0" applyNumberFormat="1" applyFont="1" applyBorder="1" applyAlignment="1"/>
    <xf numFmtId="0" fontId="34" fillId="0" borderId="26" xfId="0" applyFont="1" applyBorder="1" applyAlignment="1"/>
    <xf numFmtId="172" fontId="2" fillId="2" borderId="26" xfId="0" applyNumberFormat="1" applyFont="1" applyFill="1" applyBorder="1" applyAlignment="1"/>
    <xf numFmtId="172" fontId="2" fillId="0" borderId="26" xfId="0" applyNumberFormat="1" applyFont="1" applyBorder="1" applyAlignment="1"/>
    <xf numFmtId="169" fontId="52" fillId="7" borderId="26" xfId="0" applyNumberFormat="1" applyFont="1" applyFill="1" applyBorder="1" applyAlignment="1">
      <alignment horizontal="right"/>
    </xf>
    <xf numFmtId="171" fontId="53" fillId="7" borderId="26" xfId="0" applyNumberFormat="1" applyFont="1" applyFill="1" applyBorder="1" applyAlignment="1">
      <alignment horizontal="center"/>
    </xf>
    <xf numFmtId="0" fontId="54" fillId="0" borderId="26" xfId="0" applyFont="1" applyBorder="1"/>
    <xf numFmtId="0" fontId="55" fillId="0" borderId="26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172" fontId="24" fillId="0" borderId="26" xfId="0" applyNumberFormat="1" applyFont="1" applyBorder="1" applyAlignment="1">
      <alignment horizontal="center"/>
    </xf>
    <xf numFmtId="0" fontId="51" fillId="0" borderId="26" xfId="0" applyFont="1" applyBorder="1" applyAlignment="1">
      <alignment horizontal="left"/>
    </xf>
    <xf numFmtId="0" fontId="58" fillId="5" borderId="26" xfId="0" applyFont="1" applyFill="1" applyBorder="1" applyAlignment="1">
      <alignment horizontal="left"/>
    </xf>
    <xf numFmtId="169" fontId="59" fillId="7" borderId="26" xfId="0" applyNumberFormat="1" applyFont="1" applyFill="1" applyBorder="1"/>
    <xf numFmtId="168" fontId="60" fillId="7" borderId="26" xfId="0" applyNumberFormat="1" applyFont="1" applyFill="1" applyBorder="1"/>
    <xf numFmtId="0" fontId="3" fillId="0" borderId="26" xfId="0" applyFont="1" applyBorder="1"/>
    <xf numFmtId="0" fontId="24" fillId="7" borderId="26" xfId="0" applyFont="1" applyFill="1" applyBorder="1" applyAlignment="1"/>
    <xf numFmtId="6" fontId="61" fillId="11" borderId="26" xfId="0" applyNumberFormat="1" applyFont="1" applyFill="1" applyBorder="1"/>
    <xf numFmtId="0" fontId="24" fillId="0" borderId="26" xfId="0" quotePrefix="1" applyFont="1" applyBorder="1"/>
    <xf numFmtId="9" fontId="24" fillId="11" borderId="26" xfId="0" applyNumberFormat="1" applyFont="1" applyFill="1" applyBorder="1"/>
    <xf numFmtId="170" fontId="30" fillId="0" borderId="26" xfId="0" applyNumberFormat="1" applyFont="1" applyBorder="1"/>
    <xf numFmtId="168" fontId="30" fillId="0" borderId="26" xfId="0" applyNumberFormat="1" applyFont="1" applyBorder="1"/>
    <xf numFmtId="9" fontId="25" fillId="11" borderId="26" xfId="0" applyNumberFormat="1" applyFont="1" applyFill="1" applyBorder="1"/>
    <xf numFmtId="9" fontId="25" fillId="0" borderId="26" xfId="0" applyNumberFormat="1" applyFont="1" applyBorder="1"/>
    <xf numFmtId="9" fontId="25" fillId="11" borderId="26" xfId="0" applyNumberFormat="1" applyFont="1" applyFill="1" applyBorder="1" applyAlignment="1"/>
    <xf numFmtId="9" fontId="24" fillId="7" borderId="26" xfId="0" applyNumberFormat="1" applyFont="1" applyFill="1" applyBorder="1"/>
    <xf numFmtId="9" fontId="24" fillId="0" borderId="26" xfId="0" applyNumberFormat="1" applyFont="1" applyBorder="1"/>
    <xf numFmtId="0" fontId="62" fillId="0" borderId="26" xfId="0" applyFont="1" applyBorder="1" applyAlignment="1">
      <alignment horizontal="left"/>
    </xf>
    <xf numFmtId="170" fontId="63" fillId="0" borderId="26" xfId="0" applyNumberFormat="1" applyFont="1" applyBorder="1" applyAlignment="1">
      <alignment horizontal="right"/>
    </xf>
    <xf numFmtId="168" fontId="64" fillId="0" borderId="26" xfId="0" applyNumberFormat="1" applyFont="1" applyBorder="1" applyAlignment="1">
      <alignment horizontal="right"/>
    </xf>
    <xf numFmtId="0" fontId="2" fillId="0" borderId="26" xfId="0" applyFont="1" applyBorder="1"/>
    <xf numFmtId="0" fontId="65" fillId="0" borderId="26" xfId="0" applyFont="1" applyBorder="1"/>
    <xf numFmtId="9" fontId="65" fillId="0" borderId="26" xfId="0" applyNumberFormat="1" applyFont="1" applyBorder="1"/>
    <xf numFmtId="0" fontId="65" fillId="0" borderId="26" xfId="0" applyFont="1" applyBorder="1" applyAlignment="1">
      <alignment horizontal="right"/>
    </xf>
    <xf numFmtId="170" fontId="65" fillId="0" borderId="26" xfId="0" applyNumberFormat="1" applyFont="1" applyBorder="1"/>
    <xf numFmtId="168" fontId="65" fillId="0" borderId="26" xfId="0" applyNumberFormat="1" applyFont="1" applyBorder="1"/>
    <xf numFmtId="0" fontId="66" fillId="0" borderId="26" xfId="0" applyFont="1" applyBorder="1" applyAlignment="1">
      <alignment horizontal="left" wrapText="1"/>
    </xf>
    <xf numFmtId="9" fontId="66" fillId="0" borderId="26" xfId="0" applyNumberFormat="1" applyFont="1" applyBorder="1"/>
    <xf numFmtId="0" fontId="66" fillId="0" borderId="26" xfId="0" applyFont="1" applyBorder="1"/>
    <xf numFmtId="170" fontId="66" fillId="0" borderId="26" xfId="0" applyNumberFormat="1" applyFont="1" applyBorder="1"/>
    <xf numFmtId="168" fontId="66" fillId="7" borderId="26" xfId="0" applyNumberFormat="1" applyFont="1" applyFill="1" applyBorder="1"/>
    <xf numFmtId="170" fontId="24" fillId="0" borderId="26" xfId="0" applyNumberFormat="1" applyFont="1" applyBorder="1"/>
    <xf numFmtId="2" fontId="24" fillId="0" borderId="26" xfId="0" applyNumberFormat="1" applyFont="1" applyBorder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68" fillId="0" borderId="0" xfId="0" applyFont="1" applyAlignment="1">
      <alignment horizontal="center"/>
    </xf>
    <xf numFmtId="0" fontId="70" fillId="0" borderId="0" xfId="0" applyFont="1" applyAlignment="1"/>
    <xf numFmtId="0" fontId="71" fillId="2" borderId="1" xfId="0" applyFont="1" applyFill="1" applyBorder="1" applyAlignment="1">
      <alignment horizontal="center"/>
    </xf>
    <xf numFmtId="0" fontId="7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2" fillId="2" borderId="1" xfId="0" applyFont="1" applyFill="1" applyBorder="1" applyAlignment="1">
      <alignment horizontal="center"/>
    </xf>
    <xf numFmtId="0" fontId="72" fillId="2" borderId="1" xfId="0" applyFont="1" applyFill="1" applyBorder="1" applyAlignment="1">
      <alignment horizontal="center"/>
    </xf>
    <xf numFmtId="0" fontId="70" fillId="0" borderId="1" xfId="0" applyFont="1" applyBorder="1" applyAlignment="1">
      <alignment horizontal="center"/>
    </xf>
    <xf numFmtId="2" fontId="68" fillId="0" borderId="1" xfId="0" applyNumberFormat="1" applyFont="1" applyBorder="1" applyAlignment="1">
      <alignment horizontal="center"/>
    </xf>
    <xf numFmtId="2" fontId="68" fillId="0" borderId="1" xfId="0" applyNumberFormat="1" applyFont="1" applyBorder="1" applyAlignment="1">
      <alignment horizontal="center"/>
    </xf>
    <xf numFmtId="2" fontId="70" fillId="0" borderId="1" xfId="0" applyNumberFormat="1" applyFont="1" applyBorder="1" applyAlignment="1">
      <alignment horizontal="center"/>
    </xf>
    <xf numFmtId="3" fontId="68" fillId="0" borderId="1" xfId="0" applyNumberFormat="1" applyFont="1" applyBorder="1" applyAlignment="1">
      <alignment horizontal="center"/>
    </xf>
    <xf numFmtId="0" fontId="70" fillId="0" borderId="1" xfId="0" applyFont="1" applyBorder="1" applyAlignment="1">
      <alignment horizontal="right"/>
    </xf>
    <xf numFmtId="0" fontId="70" fillId="0" borderId="1" xfId="0" applyFont="1" applyBorder="1" applyAlignment="1">
      <alignment horizontal="right"/>
    </xf>
    <xf numFmtId="3" fontId="70" fillId="0" borderId="1" xfId="0" applyNumberFormat="1" applyFont="1" applyBorder="1" applyAlignment="1">
      <alignment horizontal="right"/>
    </xf>
    <xf numFmtId="3" fontId="70" fillId="0" borderId="1" xfId="0" applyNumberFormat="1" applyFont="1" applyBorder="1" applyAlignment="1"/>
    <xf numFmtId="0" fontId="70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right"/>
    </xf>
    <xf numFmtId="0" fontId="70" fillId="0" borderId="1" xfId="0" applyFont="1" applyBorder="1" applyAlignment="1"/>
    <xf numFmtId="4" fontId="71" fillId="7" borderId="1" xfId="0" applyNumberFormat="1" applyFont="1" applyFill="1" applyBorder="1" applyAlignment="1">
      <alignment horizontal="center"/>
    </xf>
    <xf numFmtId="2" fontId="71" fillId="7" borderId="1" xfId="0" applyNumberFormat="1" applyFont="1" applyFill="1" applyBorder="1" applyAlignment="1">
      <alignment horizontal="center"/>
    </xf>
    <xf numFmtId="3" fontId="71" fillId="7" borderId="1" xfId="0" applyNumberFormat="1" applyFont="1" applyFill="1" applyBorder="1" applyAlignment="1">
      <alignment horizontal="center"/>
    </xf>
    <xf numFmtId="0" fontId="2" fillId="0" borderId="0" xfId="0" applyFont="1" applyAlignment="1"/>
    <xf numFmtId="11" fontId="68" fillId="0" borderId="0" xfId="0" applyNumberFormat="1" applyFont="1" applyAlignment="1">
      <alignment horizontal="center"/>
    </xf>
    <xf numFmtId="3" fontId="70" fillId="0" borderId="1" xfId="0" applyNumberFormat="1" applyFont="1" applyBorder="1" applyAlignment="1">
      <alignment horizontal="center"/>
    </xf>
    <xf numFmtId="2" fontId="71" fillId="0" borderId="1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4" fontId="6" fillId="2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8" fillId="0" borderId="0" xfId="0" applyFont="1" applyAlignment="1">
      <alignment vertical="center" wrapText="1"/>
    </xf>
    <xf numFmtId="4" fontId="9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/>
    <xf numFmtId="0" fontId="7" fillId="0" borderId="12" xfId="0" applyFont="1" applyBorder="1"/>
    <xf numFmtId="0" fontId="8" fillId="0" borderId="5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4" fontId="6" fillId="2" borderId="0" xfId="0" applyNumberFormat="1" applyFont="1" applyFill="1" applyAlignment="1">
      <alignment horizontal="center" wrapText="1"/>
    </xf>
    <xf numFmtId="4" fontId="9" fillId="0" borderId="10" xfId="0" applyNumberFormat="1" applyFont="1" applyBorder="1" applyAlignment="1">
      <alignment horizontal="center" wrapText="1"/>
    </xf>
    <xf numFmtId="4" fontId="9" fillId="2" borderId="5" xfId="0" applyNumberFormat="1" applyFont="1" applyFill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 vertical="center" wrapText="1"/>
    </xf>
    <xf numFmtId="4" fontId="8" fillId="0" borderId="5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4" fontId="6" fillId="2" borderId="2" xfId="0" applyNumberFormat="1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 wrapText="1"/>
    </xf>
    <xf numFmtId="4" fontId="6" fillId="6" borderId="5" xfId="0" applyNumberFormat="1" applyFont="1" applyFill="1" applyBorder="1" applyAlignment="1">
      <alignment horizontal="center" vertical="center" wrapText="1"/>
    </xf>
    <xf numFmtId="3" fontId="6" fillId="6" borderId="5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4" fontId="11" fillId="2" borderId="0" xfId="0" applyNumberFormat="1" applyFont="1" applyFill="1" applyAlignment="1">
      <alignment horizontal="center"/>
    </xf>
    <xf numFmtId="0" fontId="3" fillId="0" borderId="5" xfId="0" applyFont="1" applyBorder="1"/>
    <xf numFmtId="0" fontId="20" fillId="0" borderId="0" xfId="0" applyFont="1" applyAlignment="1">
      <alignment horizontal="center"/>
    </xf>
    <xf numFmtId="0" fontId="26" fillId="0" borderId="27" xfId="0" applyFont="1" applyBorder="1" applyAlignment="1">
      <alignment horizontal="center"/>
    </xf>
    <xf numFmtId="0" fontId="7" fillId="0" borderId="28" xfId="0" applyFont="1" applyBorder="1"/>
    <xf numFmtId="0" fontId="7" fillId="0" borderId="29" xfId="0" applyFont="1" applyBorder="1"/>
    <xf numFmtId="0" fontId="24" fillId="7" borderId="27" xfId="0" applyFont="1" applyFill="1" applyBorder="1" applyAlignment="1">
      <alignment horizontal="center"/>
    </xf>
    <xf numFmtId="0" fontId="24" fillId="0" borderId="30" xfId="0" applyFont="1" applyBorder="1" applyAlignment="1">
      <alignment wrapText="1"/>
    </xf>
    <xf numFmtId="0" fontId="7" fillId="0" borderId="31" xfId="0" applyFont="1" applyBorder="1"/>
    <xf numFmtId="169" fontId="2" fillId="2" borderId="27" xfId="0" applyNumberFormat="1" applyFont="1" applyFill="1" applyBorder="1" applyAlignment="1"/>
    <xf numFmtId="0" fontId="57" fillId="2" borderId="32" xfId="0" applyFont="1" applyFill="1" applyBorder="1" applyAlignment="1">
      <alignment horizontal="center" vertical="center"/>
    </xf>
    <xf numFmtId="0" fontId="7" fillId="0" borderId="33" xfId="0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7" fillId="0" borderId="39" xfId="0" applyFont="1" applyBorder="1"/>
    <xf numFmtId="0" fontId="5" fillId="2" borderId="2" xfId="0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5" xfId="0" applyFont="1" applyFill="1" applyBorder="1" applyAlignment="1"/>
    <xf numFmtId="0" fontId="0" fillId="12" borderId="0" xfId="0" applyFont="1" applyFill="1" applyAlignment="1"/>
    <xf numFmtId="0" fontId="21" fillId="12" borderId="0" xfId="0" applyFont="1" applyFill="1" applyAlignment="1">
      <alignment vertical="center"/>
    </xf>
    <xf numFmtId="0" fontId="22" fillId="12" borderId="0" xfId="0" applyFont="1" applyFill="1" applyAlignment="1">
      <alignment vertical="center"/>
    </xf>
    <xf numFmtId="0" fontId="23" fillId="12" borderId="0" xfId="0" applyFont="1" applyFill="1" applyAlignment="1">
      <alignment vertical="center"/>
    </xf>
    <xf numFmtId="0" fontId="22" fillId="12" borderId="0" xfId="0" applyFont="1" applyFill="1" applyAlignment="1">
      <alignment horizontal="center" vertical="center"/>
    </xf>
    <xf numFmtId="14" fontId="22" fillId="12" borderId="0" xfId="0" applyNumberFormat="1" applyFont="1" applyFill="1" applyAlignment="1">
      <alignment horizontal="center" vertical="center"/>
    </xf>
    <xf numFmtId="166" fontId="22" fillId="12" borderId="0" xfId="0" applyNumberFormat="1" applyFont="1" applyFill="1" applyAlignment="1">
      <alignment vertical="center"/>
    </xf>
    <xf numFmtId="0" fontId="21" fillId="12" borderId="2" xfId="0" applyFont="1" applyFill="1" applyBorder="1" applyAlignment="1">
      <alignment horizontal="center" vertical="center"/>
    </xf>
    <xf numFmtId="0" fontId="7" fillId="12" borderId="4" xfId="0" applyFont="1" applyFill="1" applyBorder="1"/>
    <xf numFmtId="0" fontId="21" fillId="12" borderId="0" xfId="0" applyFont="1" applyFill="1" applyAlignment="1">
      <alignment horizontal="center" vertical="center"/>
    </xf>
    <xf numFmtId="0" fontId="22" fillId="12" borderId="17" xfId="0" applyFont="1" applyFill="1" applyBorder="1" applyAlignment="1">
      <alignment vertical="center"/>
    </xf>
    <xf numFmtId="0" fontId="22" fillId="12" borderId="18" xfId="0" applyFont="1" applyFill="1" applyBorder="1" applyAlignment="1">
      <alignment vertical="center"/>
    </xf>
    <xf numFmtId="3" fontId="22" fillId="12" borderId="19" xfId="0" applyNumberFormat="1" applyFont="1" applyFill="1" applyBorder="1" applyAlignment="1">
      <alignment horizontal="center" vertical="center"/>
    </xf>
    <xf numFmtId="3" fontId="22" fillId="12" borderId="0" xfId="0" applyNumberFormat="1" applyFont="1" applyFill="1" applyAlignment="1">
      <alignment horizontal="center" vertical="center"/>
    </xf>
    <xf numFmtId="0" fontId="22" fillId="12" borderId="23" xfId="0" applyFont="1" applyFill="1" applyBorder="1" applyAlignment="1">
      <alignment vertical="center"/>
    </xf>
    <xf numFmtId="0" fontId="22" fillId="12" borderId="24" xfId="0" applyFont="1" applyFill="1" applyBorder="1" applyAlignment="1">
      <alignment vertical="center"/>
    </xf>
    <xf numFmtId="9" fontId="22" fillId="12" borderId="24" xfId="0" applyNumberFormat="1" applyFont="1" applyFill="1" applyBorder="1" applyAlignment="1">
      <alignment horizontal="right" vertical="center"/>
    </xf>
    <xf numFmtId="9" fontId="22" fillId="12" borderId="24" xfId="0" applyNumberFormat="1" applyFont="1" applyFill="1" applyBorder="1" applyAlignment="1">
      <alignment horizontal="center" vertical="center"/>
    </xf>
    <xf numFmtId="3" fontId="22" fillId="12" borderId="25" xfId="0" applyNumberFormat="1" applyFont="1" applyFill="1" applyBorder="1" applyAlignment="1">
      <alignment horizontal="center" vertical="center"/>
    </xf>
    <xf numFmtId="3" fontId="22" fillId="13" borderId="0" xfId="0" applyNumberFormat="1" applyFont="1" applyFill="1" applyAlignment="1">
      <alignment horizontal="center" vertical="center"/>
    </xf>
    <xf numFmtId="9" fontId="22" fillId="12" borderId="18" xfId="0" applyNumberFormat="1" applyFont="1" applyFill="1" applyBorder="1" applyAlignment="1">
      <alignment horizontal="right" vertical="center"/>
    </xf>
    <xf numFmtId="9" fontId="22" fillId="12" borderId="18" xfId="0" applyNumberFormat="1" applyFont="1" applyFill="1" applyBorder="1" applyAlignment="1">
      <alignment horizontal="center" vertical="center"/>
    </xf>
    <xf numFmtId="0" fontId="22" fillId="12" borderId="20" xfId="0" applyFont="1" applyFill="1" applyBorder="1" applyAlignment="1">
      <alignment vertical="center"/>
    </xf>
    <xf numFmtId="0" fontId="22" fillId="12" borderId="21" xfId="0" applyFont="1" applyFill="1" applyBorder="1" applyAlignment="1">
      <alignment vertical="center"/>
    </xf>
    <xf numFmtId="3" fontId="22" fillId="12" borderId="22" xfId="0" applyNumberFormat="1" applyFont="1" applyFill="1" applyBorder="1" applyAlignment="1">
      <alignment horizontal="center" vertical="center"/>
    </xf>
    <xf numFmtId="9" fontId="22" fillId="12" borderId="21" xfId="0" applyNumberFormat="1" applyFont="1" applyFill="1" applyBorder="1" applyAlignment="1">
      <alignment horizontal="right" vertical="center"/>
    </xf>
    <xf numFmtId="9" fontId="22" fillId="12" borderId="21" xfId="0" applyNumberFormat="1" applyFont="1" applyFill="1" applyBorder="1" applyAlignment="1">
      <alignment horizontal="center" vertical="center"/>
    </xf>
    <xf numFmtId="0" fontId="21" fillId="12" borderId="21" xfId="0" applyFont="1" applyFill="1" applyBorder="1" applyAlignment="1">
      <alignment vertical="center"/>
    </xf>
    <xf numFmtId="0" fontId="21" fillId="12" borderId="0" xfId="0" applyFont="1" applyFill="1" applyAlignment="1">
      <alignment horizontal="center" vertical="center"/>
    </xf>
    <xf numFmtId="0" fontId="0" fillId="12" borderId="0" xfId="0" applyFont="1" applyFill="1" applyAlignment="1"/>
    <xf numFmtId="0" fontId="22" fillId="12" borderId="0" xfId="0" applyFont="1" applyFill="1" applyAlignment="1">
      <alignment horizontal="right" vertical="center"/>
    </xf>
    <xf numFmtId="0" fontId="22" fillId="12" borderId="17" xfId="0" applyFont="1" applyFill="1" applyBorder="1" applyAlignment="1">
      <alignment horizontal="right" vertical="center"/>
    </xf>
    <xf numFmtId="16" fontId="21" fillId="12" borderId="18" xfId="0" applyNumberFormat="1" applyFont="1" applyFill="1" applyBorder="1" applyAlignment="1">
      <alignment vertical="center"/>
    </xf>
    <xf numFmtId="0" fontId="22" fillId="12" borderId="18" xfId="0" applyFont="1" applyFill="1" applyBorder="1" applyAlignment="1">
      <alignment horizontal="right" vertical="center"/>
    </xf>
    <xf numFmtId="0" fontId="21" fillId="12" borderId="18" xfId="0" applyFont="1" applyFill="1" applyBorder="1" applyAlignment="1">
      <alignment vertical="center"/>
    </xf>
    <xf numFmtId="9" fontId="22" fillId="12" borderId="24" xfId="0" applyNumberFormat="1" applyFont="1" applyFill="1" applyBorder="1" applyAlignment="1">
      <alignment vertical="center"/>
    </xf>
    <xf numFmtId="3" fontId="21" fillId="12" borderId="0" xfId="0" applyNumberFormat="1" applyFont="1" applyFill="1" applyAlignment="1">
      <alignment horizontal="center" vertical="center"/>
    </xf>
    <xf numFmtId="3" fontId="21" fillId="13" borderId="0" xfId="0" applyNumberFormat="1" applyFont="1" applyFill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1" fillId="14" borderId="2" xfId="0" applyFont="1" applyFill="1" applyBorder="1" applyAlignment="1">
      <alignment horizontal="center" vertical="center"/>
    </xf>
    <xf numFmtId="0" fontId="7" fillId="15" borderId="4" xfId="0" applyFont="1" applyFill="1" applyBorder="1"/>
    <xf numFmtId="3" fontId="21" fillId="1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zing%20ion%20exchang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ing ion exchan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"/>
  <sheetViews>
    <sheetView workbookViewId="0"/>
  </sheetViews>
  <sheetFormatPr defaultColWidth="12.5703125" defaultRowHeight="15" customHeight="1"/>
  <cols>
    <col min="1" max="1" width="18.42578125" customWidth="1"/>
    <col min="6" max="6" width="19.42578125" customWidth="1"/>
    <col min="10" max="10" width="18.85546875" customWidth="1"/>
  </cols>
  <sheetData>
    <row r="1" spans="1:12">
      <c r="B1" s="1" t="s">
        <v>0</v>
      </c>
      <c r="C1" s="1" t="s">
        <v>1</v>
      </c>
      <c r="D1" s="2"/>
      <c r="F1" s="1" t="s">
        <v>2</v>
      </c>
      <c r="G1" s="1" t="s">
        <v>0</v>
      </c>
      <c r="H1" s="1" t="s">
        <v>1</v>
      </c>
      <c r="J1" s="1" t="s">
        <v>2</v>
      </c>
      <c r="K1" s="1" t="s">
        <v>0</v>
      </c>
      <c r="L1" s="1" t="s">
        <v>1</v>
      </c>
    </row>
    <row r="2" spans="1:12">
      <c r="A2" s="3" t="s">
        <v>3</v>
      </c>
      <c r="B2" s="4">
        <f>'Sizing No HI'!B16</f>
        <v>243510.33477746553</v>
      </c>
      <c r="C2" s="5">
        <f>'Sizing HI'!B16</f>
        <v>243510.33477746553</v>
      </c>
      <c r="D2" s="6"/>
      <c r="F2" s="7" t="s">
        <v>3</v>
      </c>
      <c r="G2" s="8">
        <f t="shared" ref="G2:H2" si="0">B2/10^6</f>
        <v>0.24351033477746553</v>
      </c>
      <c r="H2" s="8">
        <f t="shared" si="0"/>
        <v>0.24351033477746553</v>
      </c>
      <c r="I2" s="2" t="e">
        <f>#REF!/H2</f>
        <v>#REF!</v>
      </c>
      <c r="J2" s="7" t="s">
        <v>3</v>
      </c>
      <c r="K2" s="5">
        <f>'Sizing No HI'!B9</f>
        <v>8961.9914275579904</v>
      </c>
      <c r="L2" s="5">
        <f>'Sizing HI'!B9</f>
        <v>8961.9914275579904</v>
      </c>
    </row>
    <row r="3" spans="1:12">
      <c r="A3" s="3" t="s">
        <v>4</v>
      </c>
      <c r="B3" s="4">
        <f>'Sizing No HI'!B31</f>
        <v>10293728.934539095</v>
      </c>
      <c r="C3" s="5">
        <f>'Sizing HI'!B31</f>
        <v>10293728.934539095</v>
      </c>
      <c r="D3" s="6"/>
      <c r="F3" s="7" t="s">
        <v>4</v>
      </c>
      <c r="G3" s="8">
        <f t="shared" ref="G3:H3" si="1">B3/10^6</f>
        <v>10.293728934539095</v>
      </c>
      <c r="H3" s="8">
        <f t="shared" si="1"/>
        <v>10.293728934539095</v>
      </c>
      <c r="J3" s="7" t="s">
        <v>4</v>
      </c>
      <c r="K3" s="5">
        <f>'Sizing No HI'!B24</f>
        <v>216704.45018528815</v>
      </c>
      <c r="L3" s="5">
        <f>'Sizing HI'!B24</f>
        <v>216704.45018528815</v>
      </c>
    </row>
    <row r="4" spans="1:12">
      <c r="A4" s="3" t="s">
        <v>5</v>
      </c>
      <c r="B4" s="4">
        <f>'Sizing No HI'!B44</f>
        <v>25276.589186654455</v>
      </c>
      <c r="C4" s="5">
        <f>'Sizing HI'!B44</f>
        <v>25276.832000894581</v>
      </c>
      <c r="D4" s="6"/>
      <c r="F4" s="7" t="s">
        <v>5</v>
      </c>
      <c r="G4" s="8">
        <f t="shared" ref="G4:H4" si="2">B4/10^6</f>
        <v>2.5276589186654454E-2</v>
      </c>
      <c r="H4" s="8">
        <f t="shared" si="2"/>
        <v>2.5276832000894582E-2</v>
      </c>
      <c r="J4" s="7" t="s">
        <v>5</v>
      </c>
      <c r="K4" s="9">
        <f>'Sizing No HI'!B37</f>
        <v>312.9203432050212</v>
      </c>
      <c r="L4" s="9">
        <f>'Sizing HI'!B37</f>
        <v>312.93462915962039</v>
      </c>
    </row>
    <row r="5" spans="1:12">
      <c r="A5" s="3" t="s">
        <v>6</v>
      </c>
      <c r="B5" s="4">
        <f>'Sizing No HI'!B57</f>
        <v>80458.022199937448</v>
      </c>
      <c r="C5" s="5">
        <f>'Sizing HI'!B57</f>
        <v>80458.312163743118</v>
      </c>
      <c r="D5" s="6"/>
      <c r="F5" s="7" t="s">
        <v>6</v>
      </c>
      <c r="G5" s="8">
        <f t="shared" ref="G5:H5" si="3">B5/10^6</f>
        <v>8.0458022199937446E-2</v>
      </c>
      <c r="H5" s="8">
        <f t="shared" si="3"/>
        <v>8.045831216374312E-2</v>
      </c>
      <c r="J5" s="7" t="s">
        <v>6</v>
      </c>
      <c r="K5" s="9">
        <f>'Sizing No HI'!B50</f>
        <v>3896.8393608346141</v>
      </c>
      <c r="L5" s="9">
        <f>'Sizing HI'!B50</f>
        <v>3896.8592024382242</v>
      </c>
    </row>
    <row r="6" spans="1:12">
      <c r="A6" s="3" t="s">
        <v>7</v>
      </c>
      <c r="B6" s="4">
        <f>'Sizing No HI'!B70</f>
        <v>36863.808446069481</v>
      </c>
      <c r="C6" s="5">
        <f>'Sizing HI'!B70</f>
        <v>36863.808446069481</v>
      </c>
      <c r="D6" s="6"/>
      <c r="F6" s="7" t="s">
        <v>7</v>
      </c>
      <c r="G6" s="8">
        <f t="shared" ref="G6:H6" si="4">B6/10^6</f>
        <v>3.6863808446069478E-2</v>
      </c>
      <c r="H6" s="8">
        <f t="shared" si="4"/>
        <v>3.6863808446069478E-2</v>
      </c>
      <c r="J6" s="7" t="s">
        <v>7</v>
      </c>
      <c r="K6" s="9">
        <f>'Sizing No HI'!B63</f>
        <v>1026.8744165904961</v>
      </c>
      <c r="L6" s="9">
        <f>'Sizing HI'!B63</f>
        <v>1026.8744165904961</v>
      </c>
    </row>
    <row r="7" spans="1:12">
      <c r="A7" s="3" t="s">
        <v>8</v>
      </c>
      <c r="B7" s="4">
        <f>'Sizing No HI'!B83</f>
        <v>38252.369921374506</v>
      </c>
      <c r="C7" s="5">
        <f>'Sizing HI'!B83</f>
        <v>38252.558284645806</v>
      </c>
      <c r="D7" s="6"/>
      <c r="F7" s="7" t="s">
        <v>8</v>
      </c>
      <c r="G7" s="8">
        <f t="shared" ref="G7:H7" si="5">B7/10^6</f>
        <v>3.8252369921374506E-2</v>
      </c>
      <c r="H7" s="8">
        <f t="shared" si="5"/>
        <v>3.8252558284645806E-2</v>
      </c>
      <c r="J7" s="7" t="s">
        <v>8</v>
      </c>
      <c r="K7" s="9">
        <f>'Sizing No HI'!B76</f>
        <v>1114.2409656060481</v>
      </c>
      <c r="L7" s="9">
        <f>'Sizing HI'!B76</f>
        <v>1114.2528705682139</v>
      </c>
    </row>
    <row r="8" spans="1:12">
      <c r="A8" s="3" t="s">
        <v>9</v>
      </c>
      <c r="B8" s="4">
        <f>'Sizing No HI'!B96</f>
        <v>76697.893250293666</v>
      </c>
      <c r="C8" s="5">
        <f>'Sizing HI'!B96</f>
        <v>78606.151543647706</v>
      </c>
      <c r="D8" s="6"/>
      <c r="F8" s="7" t="s">
        <v>9</v>
      </c>
      <c r="G8" s="8">
        <f t="shared" ref="G8:H8" si="6">B8/10^6</f>
        <v>7.6697893250293664E-2</v>
      </c>
      <c r="H8" s="8">
        <f t="shared" si="6"/>
        <v>7.8606151543647709E-2</v>
      </c>
      <c r="J8" s="7" t="s">
        <v>9</v>
      </c>
      <c r="K8" s="9">
        <f>'Sizing No HI'!B89</f>
        <v>3407.0612806839295</v>
      </c>
      <c r="L8" s="9">
        <f>'Sizing HI'!B89</f>
        <v>3531.5435334123486</v>
      </c>
    </row>
    <row r="9" spans="1:12">
      <c r="A9" s="3" t="s">
        <v>10</v>
      </c>
      <c r="B9" s="4">
        <f>'Sizing No HI'!B109</f>
        <v>96028.615174568768</v>
      </c>
      <c r="C9" s="5">
        <f>'Sizing HI'!B109</f>
        <v>96176.021622102344</v>
      </c>
      <c r="D9" s="6"/>
      <c r="F9" s="7" t="s">
        <v>10</v>
      </c>
      <c r="G9" s="8">
        <f t="shared" ref="G9:H9" si="7">B9/10^6</f>
        <v>9.6028615174568774E-2</v>
      </c>
      <c r="H9" s="8">
        <f t="shared" si="7"/>
        <v>9.6176021622102342E-2</v>
      </c>
      <c r="J9" s="7" t="s">
        <v>10</v>
      </c>
      <c r="K9" s="9">
        <f>'Sizing No HI'!B102</f>
        <v>4670.9119058301003</v>
      </c>
      <c r="L9" s="9">
        <f>'Sizing HI'!B102</f>
        <v>4680.5549251845605</v>
      </c>
    </row>
    <row r="10" spans="1:12">
      <c r="A10" s="3" t="s">
        <v>11</v>
      </c>
      <c r="B10" s="4">
        <f>'Sizing No HI'!B132</f>
        <v>97901.000408526277</v>
      </c>
      <c r="C10" s="5">
        <f>'Sizing HI'!B132</f>
        <v>98013.068023048487</v>
      </c>
      <c r="D10" s="6"/>
      <c r="F10" s="7" t="s">
        <v>11</v>
      </c>
      <c r="G10" s="8">
        <f t="shared" ref="G10:H10" si="8">B10/10^6</f>
        <v>9.790100040852627E-2</v>
      </c>
      <c r="H10" s="8">
        <f t="shared" si="8"/>
        <v>9.8013068023048489E-2</v>
      </c>
    </row>
    <row r="11" spans="1:12">
      <c r="A11" s="10" t="s">
        <v>12</v>
      </c>
      <c r="B11" s="4">
        <f>'Sizing No HI'!B142</f>
        <v>844339.90474686993</v>
      </c>
      <c r="C11" s="5">
        <f>'Sizing HI'!B142</f>
        <v>1456204.9157745142</v>
      </c>
      <c r="D11" s="11"/>
      <c r="F11" s="12" t="s">
        <v>12</v>
      </c>
      <c r="G11" s="8">
        <f t="shared" ref="G11:H11" si="9">B11/10^6</f>
        <v>0.84433990474686993</v>
      </c>
      <c r="H11" s="8">
        <f t="shared" si="9"/>
        <v>1.4562049157745143</v>
      </c>
    </row>
    <row r="12" spans="1:12">
      <c r="A12" s="10" t="s">
        <v>13</v>
      </c>
      <c r="B12" s="4">
        <f>'Sizing No HI'!B152</f>
        <v>353996.81256031949</v>
      </c>
      <c r="C12" s="5">
        <f>'Sizing HI'!B152</f>
        <v>2315857.5702527505</v>
      </c>
      <c r="D12" s="11"/>
      <c r="F12" s="12" t="s">
        <v>13</v>
      </c>
      <c r="G12" s="8">
        <f t="shared" ref="G12:H12" si="10">B12/10^6</f>
        <v>0.35399681256031951</v>
      </c>
      <c r="H12" s="8">
        <f t="shared" si="10"/>
        <v>2.3158575702527506</v>
      </c>
      <c r="J12" s="13" t="s">
        <v>3</v>
      </c>
      <c r="K12" s="14">
        <f t="shared" ref="K12:K29" si="11">C2/10^6</f>
        <v>0.24351033477746553</v>
      </c>
    </row>
    <row r="13" spans="1:12">
      <c r="A13" s="10" t="s">
        <v>14</v>
      </c>
      <c r="B13" s="4">
        <f>'Sizing No HI'!B162</f>
        <v>1639585.0160486335</v>
      </c>
      <c r="C13" s="15">
        <f>'Sizing HI'!B162</f>
        <v>822925.41699178447</v>
      </c>
      <c r="D13" s="6"/>
      <c r="F13" s="12" t="s">
        <v>14</v>
      </c>
      <c r="G13" s="8">
        <f t="shared" ref="G13:H13" si="12">B13/10^6</f>
        <v>1.6395850160486336</v>
      </c>
      <c r="H13" s="8">
        <f t="shared" si="12"/>
        <v>0.82292541699178445</v>
      </c>
      <c r="J13" s="13" t="s">
        <v>4</v>
      </c>
      <c r="K13" s="14">
        <f t="shared" si="11"/>
        <v>10.293728934539095</v>
      </c>
    </row>
    <row r="14" spans="1:12">
      <c r="A14" s="10" t="s">
        <v>15</v>
      </c>
      <c r="B14" s="4">
        <f>'Sizing No HI'!B172</f>
        <v>1244548.2377983185</v>
      </c>
      <c r="C14" s="5">
        <f>'Sizing HI'!B172</f>
        <v>1190962.2364554512</v>
      </c>
      <c r="D14" s="6"/>
      <c r="F14" s="12" t="s">
        <v>15</v>
      </c>
      <c r="G14" s="8">
        <f t="shared" ref="G14:H14" si="13">B14/10^6</f>
        <v>1.2445482377983186</v>
      </c>
      <c r="H14" s="8">
        <f t="shared" si="13"/>
        <v>1.1909622364554513</v>
      </c>
      <c r="J14" s="13" t="s">
        <v>5</v>
      </c>
      <c r="K14" s="14">
        <f t="shared" si="11"/>
        <v>2.5276832000894582E-2</v>
      </c>
    </row>
    <row r="15" spans="1:12">
      <c r="A15" s="10" t="s">
        <v>16</v>
      </c>
      <c r="B15" s="16" t="s">
        <v>17</v>
      </c>
      <c r="C15" s="5">
        <f>'Sizing HI'!B180</f>
        <v>1753366.7784515405</v>
      </c>
      <c r="D15" s="11"/>
      <c r="F15" s="12" t="s">
        <v>16</v>
      </c>
      <c r="G15" s="17" t="s">
        <v>17</v>
      </c>
      <c r="H15" s="8">
        <f>C15/10^6</f>
        <v>1.7533667784515405</v>
      </c>
      <c r="J15" s="13" t="s">
        <v>6</v>
      </c>
      <c r="K15" s="14">
        <f t="shared" si="11"/>
        <v>8.045831216374312E-2</v>
      </c>
    </row>
    <row r="16" spans="1:12">
      <c r="A16" s="3" t="s">
        <v>18</v>
      </c>
      <c r="B16" s="4">
        <f>'Sizing No HI'!B195</f>
        <v>862333.42048261291</v>
      </c>
      <c r="C16" s="5">
        <f>'Sizing HI'!B203</f>
        <v>862333.42048261291</v>
      </c>
      <c r="D16" s="6"/>
      <c r="F16" s="7" t="s">
        <v>18</v>
      </c>
      <c r="G16" s="8">
        <f t="shared" ref="G16:H16" si="14">B16/10^6</f>
        <v>0.86233342048261297</v>
      </c>
      <c r="H16" s="8">
        <f t="shared" si="14"/>
        <v>0.86233342048261297</v>
      </c>
      <c r="J16" s="13" t="s">
        <v>7</v>
      </c>
      <c r="K16" s="14">
        <f t="shared" si="11"/>
        <v>3.6863808446069478E-2</v>
      </c>
    </row>
    <row r="17" spans="1:11">
      <c r="A17" s="3" t="s">
        <v>19</v>
      </c>
      <c r="B17" s="4">
        <f>'Sizing No HI'!B216</f>
        <v>501283.70672166301</v>
      </c>
      <c r="C17" s="5">
        <f>'Sizing HI'!B224</f>
        <v>501283.70672166301</v>
      </c>
      <c r="D17" s="6"/>
      <c r="F17" s="7" t="s">
        <v>19</v>
      </c>
      <c r="G17" s="8">
        <f t="shared" ref="G17:H17" si="15">B17/10^6</f>
        <v>0.501283706721663</v>
      </c>
      <c r="H17" s="8">
        <f t="shared" si="15"/>
        <v>0.501283706721663</v>
      </c>
      <c r="J17" s="13" t="s">
        <v>8</v>
      </c>
      <c r="K17" s="14">
        <f t="shared" si="11"/>
        <v>3.8252558284645806E-2</v>
      </c>
    </row>
    <row r="18" spans="1:11">
      <c r="A18" s="3" t="s">
        <v>20</v>
      </c>
      <c r="B18" s="4">
        <f>'Sizing No HI'!B237</f>
        <v>862333.42048261291</v>
      </c>
      <c r="C18" s="5">
        <f>'Sizing HI'!B245</f>
        <v>862333.42048261291</v>
      </c>
      <c r="D18" s="6"/>
      <c r="F18" s="7" t="s">
        <v>20</v>
      </c>
      <c r="G18" s="8">
        <f t="shared" ref="G18:H18" si="16">B18/10^6</f>
        <v>0.86233342048261297</v>
      </c>
      <c r="H18" s="8">
        <f t="shared" si="16"/>
        <v>0.86233342048261297</v>
      </c>
      <c r="J18" s="13" t="s">
        <v>9</v>
      </c>
      <c r="K18" s="14">
        <f t="shared" si="11"/>
        <v>7.8606151543647709E-2</v>
      </c>
    </row>
    <row r="19" spans="1:11">
      <c r="A19" s="18" t="s">
        <v>21</v>
      </c>
      <c r="B19" s="4">
        <f>'Sizing No HI'!D238</f>
        <v>17297138.08674502</v>
      </c>
      <c r="C19" s="9">
        <f>SUM(C2:C18)</f>
        <v>20756153.487013642</v>
      </c>
      <c r="D19" s="6"/>
      <c r="F19" s="19" t="s">
        <v>21</v>
      </c>
      <c r="G19" s="8">
        <f t="shared" ref="G19:H19" si="17">B19/10^6</f>
        <v>17.297138086745019</v>
      </c>
      <c r="H19" s="8">
        <f t="shared" si="17"/>
        <v>20.756153487013641</v>
      </c>
      <c r="J19" s="13" t="s">
        <v>10</v>
      </c>
      <c r="K19" s="14">
        <f t="shared" si="11"/>
        <v>9.6176021622102342E-2</v>
      </c>
    </row>
    <row r="20" spans="1:11">
      <c r="H20" s="8"/>
      <c r="J20" s="13" t="s">
        <v>11</v>
      </c>
      <c r="K20" s="14">
        <f t="shared" si="11"/>
        <v>9.8013068023048489E-2</v>
      </c>
    </row>
    <row r="21" spans="1:11">
      <c r="B21" s="237" t="s">
        <v>22</v>
      </c>
      <c r="C21" s="238"/>
      <c r="D21" s="20"/>
      <c r="J21" s="1" t="s">
        <v>12</v>
      </c>
      <c r="K21" s="14">
        <f t="shared" si="11"/>
        <v>1.4562049157745143</v>
      </c>
    </row>
    <row r="22" spans="1:11">
      <c r="A22" s="2" t="s">
        <v>3</v>
      </c>
      <c r="B22" s="6">
        <f>'Sizing HI'!B8</f>
        <v>154420</v>
      </c>
      <c r="C22" s="6" t="e">
        <f>'[1]Sizing ion exchange'!B9</f>
        <v>#REF!</v>
      </c>
      <c r="D22" s="6"/>
      <c r="J22" s="1" t="s">
        <v>13</v>
      </c>
      <c r="K22" s="14">
        <f t="shared" si="11"/>
        <v>2.3158575702527506</v>
      </c>
    </row>
    <row r="23" spans="1:11">
      <c r="A23" s="2" t="s">
        <v>4</v>
      </c>
      <c r="B23" s="6">
        <f>'Sizing HI'!B23</f>
        <v>5460000</v>
      </c>
      <c r="C23" s="6" t="e">
        <f>'[1]Sizing ion exchange'!B24</f>
        <v>#REF!</v>
      </c>
      <c r="D23" s="6"/>
      <c r="J23" s="1" t="s">
        <v>14</v>
      </c>
      <c r="K23" s="14">
        <f t="shared" si="11"/>
        <v>0.82292541699178445</v>
      </c>
    </row>
    <row r="24" spans="1:11">
      <c r="J24" s="1" t="s">
        <v>15</v>
      </c>
      <c r="K24" s="14">
        <f t="shared" si="11"/>
        <v>1.1909622364554513</v>
      </c>
    </row>
    <row r="25" spans="1:11">
      <c r="J25" s="1" t="s">
        <v>16</v>
      </c>
      <c r="K25" s="14">
        <f t="shared" si="11"/>
        <v>1.7533667784515405</v>
      </c>
    </row>
    <row r="26" spans="1:11">
      <c r="J26" s="13" t="s">
        <v>18</v>
      </c>
      <c r="K26" s="14">
        <f t="shared" si="11"/>
        <v>0.86233342048261297</v>
      </c>
    </row>
    <row r="27" spans="1:11">
      <c r="J27" s="13" t="s">
        <v>19</v>
      </c>
      <c r="K27" s="14">
        <f t="shared" si="11"/>
        <v>0.501283706721663</v>
      </c>
    </row>
    <row r="28" spans="1:11">
      <c r="J28" s="13" t="s">
        <v>20</v>
      </c>
      <c r="K28" s="14">
        <f t="shared" si="11"/>
        <v>0.86233342048261297</v>
      </c>
    </row>
    <row r="29" spans="1:11">
      <c r="J29" s="21" t="s">
        <v>21</v>
      </c>
      <c r="K29" s="14">
        <f t="shared" si="11"/>
        <v>20.756153487013641</v>
      </c>
    </row>
  </sheetData>
  <mergeCells count="1"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0"/>
  <sheetViews>
    <sheetView workbookViewId="0"/>
  </sheetViews>
  <sheetFormatPr defaultColWidth="12.5703125" defaultRowHeight="15" customHeight="1"/>
  <cols>
    <col min="1" max="1" width="30.140625" customWidth="1"/>
    <col min="2" max="2" width="17.5703125" customWidth="1"/>
    <col min="3" max="3" width="43.42578125" customWidth="1"/>
    <col min="4" max="4" width="25.42578125" customWidth="1"/>
    <col min="5" max="5" width="15.140625" customWidth="1"/>
    <col min="6" max="6" width="26.140625" customWidth="1"/>
    <col min="7" max="7" width="43.42578125" customWidth="1"/>
  </cols>
  <sheetData>
    <row r="1" spans="1:7" ht="15.75" customHeight="1">
      <c r="A1" s="239" t="s">
        <v>23</v>
      </c>
      <c r="B1" s="240"/>
      <c r="C1" s="241"/>
      <c r="D1" s="239" t="s">
        <v>24</v>
      </c>
      <c r="E1" s="240"/>
      <c r="F1" s="241"/>
      <c r="G1" s="22"/>
    </row>
    <row r="2" spans="1:7" ht="15.75" customHeight="1">
      <c r="A2" s="239" t="s">
        <v>25</v>
      </c>
      <c r="B2" s="240"/>
      <c r="C2" s="240"/>
      <c r="D2" s="240"/>
      <c r="E2" s="240"/>
      <c r="F2" s="241"/>
      <c r="G2" s="242" t="s">
        <v>26</v>
      </c>
    </row>
    <row r="3" spans="1:7" ht="15.75" customHeight="1">
      <c r="A3" s="24" t="s">
        <v>27</v>
      </c>
      <c r="B3" s="24" t="s">
        <v>28</v>
      </c>
      <c r="C3" s="24" t="s">
        <v>29</v>
      </c>
      <c r="D3" s="24" t="s">
        <v>27</v>
      </c>
      <c r="E3" s="24" t="s">
        <v>28</v>
      </c>
      <c r="F3" s="24" t="s">
        <v>29</v>
      </c>
      <c r="G3" s="238"/>
    </row>
    <row r="4" spans="1:7" ht="15.75" customHeight="1">
      <c r="A4" s="25" t="s">
        <v>30</v>
      </c>
      <c r="B4" s="26">
        <v>1850</v>
      </c>
      <c r="C4" s="25" t="s">
        <v>31</v>
      </c>
      <c r="D4" s="27"/>
      <c r="E4" s="28"/>
      <c r="F4" s="29"/>
      <c r="G4" s="238"/>
    </row>
    <row r="5" spans="1:7" ht="15.75" customHeight="1">
      <c r="A5" s="25" t="s">
        <v>32</v>
      </c>
      <c r="B5" s="25">
        <v>5.64</v>
      </c>
      <c r="C5" s="25" t="s">
        <v>33</v>
      </c>
      <c r="D5" s="30"/>
      <c r="E5" s="31"/>
      <c r="F5" s="32"/>
      <c r="G5" s="238"/>
    </row>
    <row r="6" spans="1:7" ht="15.75" customHeight="1">
      <c r="A6" s="25" t="s">
        <v>34</v>
      </c>
      <c r="B6" s="26">
        <f>0.0254/0.0254</f>
        <v>1</v>
      </c>
      <c r="C6" s="25" t="s">
        <v>35</v>
      </c>
      <c r="D6" s="30"/>
      <c r="E6" s="31"/>
      <c r="F6" s="32"/>
      <c r="G6" s="238"/>
    </row>
    <row r="7" spans="1:7" ht="15.75" customHeight="1">
      <c r="A7" s="25" t="s">
        <v>36</v>
      </c>
      <c r="B7" s="33">
        <v>2206</v>
      </c>
      <c r="C7" s="25" t="s">
        <v>37</v>
      </c>
      <c r="D7" s="30"/>
      <c r="E7" s="31"/>
      <c r="F7" s="32"/>
      <c r="G7" s="238"/>
    </row>
    <row r="8" spans="1:7" ht="15.75" customHeight="1">
      <c r="A8" s="34" t="s">
        <v>38</v>
      </c>
      <c r="B8" s="35">
        <f>B7*70</f>
        <v>154420</v>
      </c>
      <c r="C8" s="34" t="s">
        <v>39</v>
      </c>
      <c r="D8" s="30"/>
      <c r="E8" s="31"/>
      <c r="F8" s="32"/>
      <c r="G8" s="238"/>
    </row>
    <row r="9" spans="1:7" ht="15.75" customHeight="1">
      <c r="A9" s="25" t="s">
        <v>40</v>
      </c>
      <c r="B9" s="26">
        <f>2*PI()*B6*0.0254/2*B5*B4*(3.28084)^2</f>
        <v>8961.9914275579904</v>
      </c>
      <c r="C9" s="25" t="s">
        <v>41</v>
      </c>
      <c r="D9" s="30"/>
      <c r="E9" s="31"/>
      <c r="F9" s="32"/>
      <c r="G9" s="238"/>
    </row>
    <row r="10" spans="1:7" ht="15.75" customHeight="1">
      <c r="A10" s="25" t="s">
        <v>42</v>
      </c>
      <c r="B10" s="26">
        <f>EXP(11.4185-0.9228*LN(B9)+0.09861*(LN(B9))^2)</f>
        <v>72226.7756565944</v>
      </c>
      <c r="C10" s="25" t="s">
        <v>39</v>
      </c>
      <c r="D10" s="30"/>
      <c r="E10" s="31"/>
      <c r="F10" s="32"/>
      <c r="G10" s="238"/>
    </row>
    <row r="11" spans="1:7" ht="15.75" customHeight="1">
      <c r="A11" s="25" t="s">
        <v>43</v>
      </c>
      <c r="B11" s="25">
        <v>3.17</v>
      </c>
      <c r="C11" s="25" t="s">
        <v>44</v>
      </c>
      <c r="D11" s="30"/>
      <c r="E11" s="31"/>
      <c r="F11" s="32"/>
      <c r="G11" s="238"/>
    </row>
    <row r="12" spans="1:7" ht="15.75" customHeight="1">
      <c r="A12" s="25" t="s">
        <v>45</v>
      </c>
      <c r="B12" s="25">
        <f>24*14.5038</f>
        <v>348.09120000000001</v>
      </c>
      <c r="C12" s="25" t="s">
        <v>46</v>
      </c>
      <c r="D12" s="30"/>
      <c r="E12" s="31"/>
      <c r="F12" s="32"/>
      <c r="G12" s="22"/>
    </row>
    <row r="13" spans="1:7" ht="15.75" customHeight="1">
      <c r="A13" s="25" t="s">
        <v>47</v>
      </c>
      <c r="B13" s="25">
        <f>0.9803+0.018*(B12/100)+0.0017*(B12/100)^2</f>
        <v>1.0635548881979648</v>
      </c>
      <c r="C13" s="243" t="s">
        <v>48</v>
      </c>
      <c r="D13" s="30"/>
      <c r="E13" s="31"/>
      <c r="F13" s="32"/>
      <c r="G13" s="22"/>
    </row>
    <row r="14" spans="1:7" ht="15.75" customHeight="1">
      <c r="A14" s="25" t="s">
        <v>49</v>
      </c>
      <c r="B14" s="25">
        <v>1</v>
      </c>
      <c r="C14" s="244"/>
      <c r="D14" s="30"/>
      <c r="E14" s="31"/>
      <c r="F14" s="32"/>
      <c r="G14" s="242" t="s">
        <v>50</v>
      </c>
    </row>
    <row r="15" spans="1:7" ht="15.75" customHeight="1">
      <c r="A15" s="25" t="s">
        <v>51</v>
      </c>
      <c r="B15" s="25">
        <v>1</v>
      </c>
      <c r="C15" s="245"/>
      <c r="D15" s="30"/>
      <c r="E15" s="31"/>
      <c r="F15" s="32"/>
      <c r="G15" s="238"/>
    </row>
    <row r="16" spans="1:7" ht="15.75" customHeight="1">
      <c r="A16" s="34" t="s">
        <v>52</v>
      </c>
      <c r="B16" s="35">
        <f>B11*B13*B14*B15*B10</f>
        <v>243510.33477746553</v>
      </c>
      <c r="C16" s="34" t="s">
        <v>39</v>
      </c>
      <c r="D16" s="30"/>
      <c r="E16" s="31"/>
      <c r="F16" s="32"/>
      <c r="G16" s="238"/>
    </row>
    <row r="17" spans="1:7" ht="15.75" customHeight="1">
      <c r="A17" s="239" t="s">
        <v>53</v>
      </c>
      <c r="B17" s="240"/>
      <c r="C17" s="240"/>
      <c r="D17" s="240"/>
      <c r="E17" s="240"/>
      <c r="F17" s="241"/>
      <c r="G17" s="238"/>
    </row>
    <row r="18" spans="1:7" ht="15.75" customHeight="1">
      <c r="A18" s="24" t="s">
        <v>27</v>
      </c>
      <c r="B18" s="24" t="s">
        <v>28</v>
      </c>
      <c r="C18" s="24" t="s">
        <v>29</v>
      </c>
      <c r="D18" s="24" t="s">
        <v>27</v>
      </c>
      <c r="E18" s="24" t="s">
        <v>28</v>
      </c>
      <c r="F18" s="24" t="s">
        <v>29</v>
      </c>
      <c r="G18" s="238"/>
    </row>
    <row r="19" spans="1:7" ht="15.75" customHeight="1">
      <c r="A19" s="25" t="s">
        <v>30</v>
      </c>
      <c r="B19" s="26">
        <v>15400</v>
      </c>
      <c r="C19" s="25" t="s">
        <v>31</v>
      </c>
      <c r="D19" s="27"/>
      <c r="E19" s="28"/>
      <c r="F19" s="29"/>
      <c r="G19" s="22"/>
    </row>
    <row r="20" spans="1:7" ht="15.75" customHeight="1">
      <c r="A20" s="25" t="s">
        <v>32</v>
      </c>
      <c r="B20" s="25">
        <f>53.75/3.28084</f>
        <v>16.382999475744018</v>
      </c>
      <c r="C20" s="25" t="s">
        <v>33</v>
      </c>
      <c r="D20" s="30"/>
      <c r="E20" s="31"/>
      <c r="F20" s="32"/>
      <c r="G20" s="22">
        <f>2+3+3+1+3+3+2+2</f>
        <v>19</v>
      </c>
    </row>
    <row r="21" spans="1:7" ht="15.75" customHeight="1">
      <c r="A21" s="25" t="s">
        <v>34</v>
      </c>
      <c r="B21" s="26">
        <f>0.0254/0.0254</f>
        <v>1</v>
      </c>
      <c r="C21" s="25" t="s">
        <v>35</v>
      </c>
      <c r="D21" s="30"/>
      <c r="E21" s="31"/>
      <c r="F21" s="32"/>
      <c r="G21" s="22">
        <f>G20/2+1</f>
        <v>10.5</v>
      </c>
    </row>
    <row r="22" spans="1:7" ht="15.75" customHeight="1">
      <c r="A22" s="25" t="s">
        <v>36</v>
      </c>
      <c r="B22" s="36">
        <v>60000</v>
      </c>
      <c r="C22" s="25" t="s">
        <v>37</v>
      </c>
      <c r="D22" s="30"/>
      <c r="E22" s="31"/>
      <c r="F22" s="32"/>
      <c r="G22" s="22"/>
    </row>
    <row r="23" spans="1:7" ht="15.75" customHeight="1">
      <c r="A23" s="34" t="s">
        <v>38</v>
      </c>
      <c r="B23" s="35">
        <f>B22*70</f>
        <v>4200000</v>
      </c>
      <c r="C23" s="34" t="s">
        <v>39</v>
      </c>
      <c r="D23" s="30"/>
      <c r="E23" s="31"/>
      <c r="F23" s="32"/>
      <c r="G23" s="22"/>
    </row>
    <row r="24" spans="1:7" ht="15.75" customHeight="1">
      <c r="A24" s="25" t="s">
        <v>40</v>
      </c>
      <c r="B24" s="26">
        <f>2*PI()*B21*0.0254/2*B20*B19*(3.28084)^2</f>
        <v>216704.45018528815</v>
      </c>
      <c r="C24" s="25" t="s">
        <v>41</v>
      </c>
      <c r="D24" s="30"/>
      <c r="E24" s="31"/>
      <c r="F24" s="32"/>
      <c r="G24" s="22"/>
    </row>
    <row r="25" spans="1:7" ht="15.75" customHeight="1">
      <c r="A25" s="25" t="s">
        <v>42</v>
      </c>
      <c r="B25" s="26">
        <f>EXP(11.4185-0.9228*LN(B24)+0.09861*(LN(B24))^2)</f>
        <v>3160304.0775384717</v>
      </c>
      <c r="C25" s="25" t="s">
        <v>39</v>
      </c>
      <c r="D25" s="30"/>
      <c r="E25" s="31"/>
      <c r="F25" s="32"/>
      <c r="G25" s="22"/>
    </row>
    <row r="26" spans="1:7" ht="15.75" customHeight="1">
      <c r="A26" s="25" t="s">
        <v>43</v>
      </c>
      <c r="B26" s="25">
        <v>3.17</v>
      </c>
      <c r="C26" s="25" t="s">
        <v>44</v>
      </c>
      <c r="D26" s="30"/>
      <c r="E26" s="31"/>
      <c r="F26" s="32"/>
      <c r="G26" s="22"/>
    </row>
    <row r="27" spans="1:7" ht="15.75" customHeight="1">
      <c r="A27" s="25" t="s">
        <v>45</v>
      </c>
      <c r="B27" s="25">
        <f>15*14.5038</f>
        <v>217.55699999999999</v>
      </c>
      <c r="C27" s="25" t="s">
        <v>54</v>
      </c>
      <c r="D27" s="30"/>
      <c r="E27" s="31"/>
      <c r="F27" s="32"/>
      <c r="G27" s="22"/>
    </row>
    <row r="28" spans="1:7" ht="15.75" customHeight="1">
      <c r="A28" s="25" t="s">
        <v>47</v>
      </c>
      <c r="B28" s="25">
        <f>0.9803+0.018*(B27/100)+0.0017*(B27/100)^2</f>
        <v>1.0275065382023301</v>
      </c>
      <c r="C28" s="243" t="s">
        <v>48</v>
      </c>
      <c r="D28" s="30"/>
      <c r="E28" s="31"/>
      <c r="F28" s="32"/>
      <c r="G28" s="22"/>
    </row>
    <row r="29" spans="1:7" ht="15.75" customHeight="1">
      <c r="A29" s="25" t="s">
        <v>49</v>
      </c>
      <c r="B29" s="25">
        <v>1</v>
      </c>
      <c r="C29" s="244"/>
      <c r="D29" s="30"/>
      <c r="E29" s="31"/>
      <c r="F29" s="32"/>
      <c r="G29" s="22"/>
    </row>
    <row r="30" spans="1:7" ht="15.75" customHeight="1">
      <c r="A30" s="25" t="s">
        <v>51</v>
      </c>
      <c r="B30" s="25">
        <v>1</v>
      </c>
      <c r="C30" s="245"/>
      <c r="D30" s="30"/>
      <c r="E30" s="31"/>
      <c r="F30" s="32"/>
      <c r="G30" s="22"/>
    </row>
    <row r="31" spans="1:7" ht="15.75" customHeight="1">
      <c r="A31" s="34" t="s">
        <v>52</v>
      </c>
      <c r="B31" s="35">
        <f>B26*B28*B29*B30*B25</f>
        <v>10293728.934539095</v>
      </c>
      <c r="C31" s="34" t="s">
        <v>39</v>
      </c>
      <c r="D31" s="30"/>
      <c r="E31" s="31"/>
      <c r="F31" s="32"/>
      <c r="G31" s="22"/>
    </row>
    <row r="32" spans="1:7" ht="15.75" customHeight="1">
      <c r="A32" s="239" t="s">
        <v>55</v>
      </c>
      <c r="B32" s="240"/>
      <c r="C32" s="240"/>
      <c r="D32" s="240"/>
      <c r="E32" s="240"/>
      <c r="F32" s="241"/>
      <c r="G32" s="22"/>
    </row>
    <row r="33" spans="1:7" ht="15.75" customHeight="1">
      <c r="A33" s="37" t="s">
        <v>27</v>
      </c>
      <c r="B33" s="37" t="s">
        <v>28</v>
      </c>
      <c r="C33" s="37" t="s">
        <v>29</v>
      </c>
      <c r="D33" s="37" t="s">
        <v>27</v>
      </c>
      <c r="E33" s="37" t="s">
        <v>28</v>
      </c>
      <c r="F33" s="37" t="s">
        <v>29</v>
      </c>
      <c r="G33" s="22"/>
    </row>
    <row r="34" spans="1:7" ht="15.75" customHeight="1">
      <c r="A34" s="25" t="s">
        <v>56</v>
      </c>
      <c r="B34" s="38">
        <v>0.78854599999999997</v>
      </c>
      <c r="C34" s="25" t="s">
        <v>57</v>
      </c>
      <c r="D34" s="246"/>
      <c r="E34" s="247"/>
      <c r="F34" s="248"/>
      <c r="G34" s="22"/>
    </row>
    <row r="35" spans="1:7" ht="15.75" customHeight="1">
      <c r="A35" s="25" t="s">
        <v>56</v>
      </c>
      <c r="B35" s="26">
        <f>B34*3968320.722</f>
        <v>3129203.4320502118</v>
      </c>
      <c r="C35" s="25" t="s">
        <v>58</v>
      </c>
      <c r="D35" s="249"/>
      <c r="E35" s="238"/>
      <c r="F35" s="250"/>
      <c r="G35" s="22"/>
    </row>
    <row r="36" spans="1:7" ht="15.75" customHeight="1">
      <c r="A36" s="25" t="s">
        <v>59</v>
      </c>
      <c r="B36" s="25">
        <v>10000</v>
      </c>
      <c r="C36" s="25" t="s">
        <v>60</v>
      </c>
      <c r="D36" s="249"/>
      <c r="E36" s="238"/>
      <c r="F36" s="250"/>
      <c r="G36" s="22"/>
    </row>
    <row r="37" spans="1:7" ht="15.75" customHeight="1">
      <c r="A37" s="25" t="s">
        <v>40</v>
      </c>
      <c r="B37" s="25">
        <f>B35/B36</f>
        <v>312.9203432050212</v>
      </c>
      <c r="C37" s="25" t="s">
        <v>61</v>
      </c>
      <c r="D37" s="249"/>
      <c r="E37" s="238"/>
      <c r="F37" s="250"/>
      <c r="G37" s="22"/>
    </row>
    <row r="38" spans="1:7" ht="15.75" customHeight="1">
      <c r="A38" s="25" t="s">
        <v>42</v>
      </c>
      <c r="B38" s="26">
        <f>EXP(11.4185-0.9228*LN(B37)+0.09861*(LN(B37))^2)</f>
        <v>11752.708933121885</v>
      </c>
      <c r="C38" s="25" t="s">
        <v>39</v>
      </c>
      <c r="D38" s="249"/>
      <c r="E38" s="238"/>
      <c r="F38" s="250"/>
      <c r="G38" s="22"/>
    </row>
    <row r="39" spans="1:7" ht="15.75" customHeight="1">
      <c r="A39" s="25" t="s">
        <v>43</v>
      </c>
      <c r="B39" s="25">
        <v>2.15</v>
      </c>
      <c r="C39" s="25" t="s">
        <v>62</v>
      </c>
      <c r="D39" s="249"/>
      <c r="E39" s="238"/>
      <c r="F39" s="250"/>
      <c r="G39" s="22"/>
    </row>
    <row r="40" spans="1:7" ht="15.75" customHeight="1">
      <c r="A40" s="25" t="s">
        <v>45</v>
      </c>
      <c r="B40" s="25">
        <f>7*14.5038</f>
        <v>101.5266</v>
      </c>
      <c r="C40" s="25" t="s">
        <v>46</v>
      </c>
      <c r="D40" s="249"/>
      <c r="E40" s="238"/>
      <c r="F40" s="250"/>
      <c r="G40" s="22"/>
    </row>
    <row r="41" spans="1:7" ht="15.75" customHeight="1">
      <c r="A41" s="25" t="s">
        <v>47</v>
      </c>
      <c r="B41" s="25">
        <f>0.9803+0.018*(B40/100)+0.0017*(B40/100)^2</f>
        <v>1.0003270885862852</v>
      </c>
      <c r="C41" s="243" t="s">
        <v>48</v>
      </c>
      <c r="D41" s="249"/>
      <c r="E41" s="238"/>
      <c r="F41" s="250"/>
      <c r="G41" s="22"/>
    </row>
    <row r="42" spans="1:7" ht="15.75" customHeight="1">
      <c r="A42" s="25" t="s">
        <v>49</v>
      </c>
      <c r="B42" s="25">
        <v>1</v>
      </c>
      <c r="C42" s="244"/>
      <c r="D42" s="249"/>
      <c r="E42" s="238"/>
      <c r="F42" s="250"/>
      <c r="G42" s="22"/>
    </row>
    <row r="43" spans="1:7" ht="15.75" customHeight="1">
      <c r="A43" s="25" t="s">
        <v>51</v>
      </c>
      <c r="B43" s="25">
        <v>1</v>
      </c>
      <c r="C43" s="245"/>
      <c r="D43" s="249"/>
      <c r="E43" s="238"/>
      <c r="F43" s="250"/>
      <c r="G43" s="22"/>
    </row>
    <row r="44" spans="1:7" ht="15.75" customHeight="1">
      <c r="A44" s="34" t="s">
        <v>52</v>
      </c>
      <c r="B44" s="35">
        <f>B43*B42*B41*B39*B38</f>
        <v>25276.589186654455</v>
      </c>
      <c r="C44" s="34" t="s">
        <v>39</v>
      </c>
      <c r="D44" s="251"/>
      <c r="E44" s="252"/>
      <c r="F44" s="253"/>
      <c r="G44" s="22"/>
    </row>
    <row r="45" spans="1:7" ht="15.75" customHeight="1">
      <c r="A45" s="239" t="s">
        <v>63</v>
      </c>
      <c r="B45" s="240"/>
      <c r="C45" s="240"/>
      <c r="D45" s="240"/>
      <c r="E45" s="240"/>
      <c r="F45" s="241"/>
      <c r="G45" s="22"/>
    </row>
    <row r="46" spans="1:7" ht="15.75" customHeight="1">
      <c r="A46" s="37" t="s">
        <v>27</v>
      </c>
      <c r="B46" s="37" t="s">
        <v>28</v>
      </c>
      <c r="C46" s="37" t="s">
        <v>29</v>
      </c>
      <c r="D46" s="37" t="s">
        <v>27</v>
      </c>
      <c r="E46" s="37" t="s">
        <v>28</v>
      </c>
      <c r="F46" s="37" t="s">
        <v>29</v>
      </c>
      <c r="G46" s="22"/>
    </row>
    <row r="47" spans="1:7" ht="15.75" customHeight="1">
      <c r="A47" s="25" t="s">
        <v>56</v>
      </c>
      <c r="B47" s="38">
        <v>-9.8198699999999999</v>
      </c>
      <c r="C47" s="25" t="s">
        <v>57</v>
      </c>
      <c r="D47" s="246"/>
      <c r="E47" s="247"/>
      <c r="F47" s="248"/>
      <c r="G47" s="22"/>
    </row>
    <row r="48" spans="1:7" ht="15.75" customHeight="1">
      <c r="A48" s="25" t="s">
        <v>56</v>
      </c>
      <c r="B48" s="26">
        <f>ABS(B47*3968320.722)</f>
        <v>38968393.608346142</v>
      </c>
      <c r="C48" s="25" t="s">
        <v>58</v>
      </c>
      <c r="D48" s="249"/>
      <c r="E48" s="238"/>
      <c r="F48" s="250"/>
      <c r="G48" s="22"/>
    </row>
    <row r="49" spans="1:7" ht="15.75" customHeight="1">
      <c r="A49" s="25" t="s">
        <v>59</v>
      </c>
      <c r="B49" s="25">
        <v>10000</v>
      </c>
      <c r="C49" s="25" t="s">
        <v>60</v>
      </c>
      <c r="D49" s="249"/>
      <c r="E49" s="238"/>
      <c r="F49" s="250"/>
      <c r="G49" s="22"/>
    </row>
    <row r="50" spans="1:7" ht="15.75" customHeight="1">
      <c r="A50" s="25" t="s">
        <v>40</v>
      </c>
      <c r="B50" s="25">
        <f>B48/B49</f>
        <v>3896.8393608346141</v>
      </c>
      <c r="C50" s="25" t="s">
        <v>61</v>
      </c>
      <c r="D50" s="249"/>
      <c r="E50" s="238"/>
      <c r="F50" s="250"/>
      <c r="G50" s="22"/>
    </row>
    <row r="51" spans="1:7" ht="15.75" customHeight="1">
      <c r="A51" s="25" t="s">
        <v>42</v>
      </c>
      <c r="B51" s="25">
        <f>EXP(11.4185-0.9228*LN(B50)+0.09861*(LN(B50))^2)</f>
        <v>37410.099490392553</v>
      </c>
      <c r="C51" s="25" t="s">
        <v>39</v>
      </c>
      <c r="D51" s="249"/>
      <c r="E51" s="238"/>
      <c r="F51" s="250"/>
      <c r="G51" s="22"/>
    </row>
    <row r="52" spans="1:7" ht="15.75" customHeight="1">
      <c r="A52" s="25" t="s">
        <v>43</v>
      </c>
      <c r="B52" s="25">
        <v>2.15</v>
      </c>
      <c r="C52" s="25" t="s">
        <v>62</v>
      </c>
      <c r="D52" s="249"/>
      <c r="E52" s="238"/>
      <c r="F52" s="250"/>
      <c r="G52" s="22"/>
    </row>
    <row r="53" spans="1:7" ht="15.75" customHeight="1">
      <c r="A53" s="25" t="s">
        <v>45</v>
      </c>
      <c r="B53" s="25">
        <f>7*14.5038</f>
        <v>101.5266</v>
      </c>
      <c r="C53" s="25" t="s">
        <v>46</v>
      </c>
      <c r="D53" s="249"/>
      <c r="E53" s="238"/>
      <c r="F53" s="250"/>
      <c r="G53" s="22"/>
    </row>
    <row r="54" spans="1:7" ht="15.75" customHeight="1">
      <c r="A54" s="25" t="s">
        <v>47</v>
      </c>
      <c r="B54" s="25">
        <f>0.9803+0.018*(B53/100)+0.0017*(B53/100)^2</f>
        <v>1.0003270885862852</v>
      </c>
      <c r="C54" s="243" t="s">
        <v>48</v>
      </c>
      <c r="D54" s="249"/>
      <c r="E54" s="238"/>
      <c r="F54" s="250"/>
      <c r="G54" s="22"/>
    </row>
    <row r="55" spans="1:7" ht="15.75" customHeight="1">
      <c r="A55" s="25" t="s">
        <v>49</v>
      </c>
      <c r="B55" s="25">
        <v>1</v>
      </c>
      <c r="C55" s="244"/>
      <c r="D55" s="249"/>
      <c r="E55" s="238"/>
      <c r="F55" s="250"/>
      <c r="G55" s="22"/>
    </row>
    <row r="56" spans="1:7" ht="15.75" customHeight="1">
      <c r="A56" s="25" t="s">
        <v>51</v>
      </c>
      <c r="B56" s="25">
        <v>1</v>
      </c>
      <c r="C56" s="245"/>
      <c r="D56" s="249"/>
      <c r="E56" s="238"/>
      <c r="F56" s="250"/>
      <c r="G56" s="22"/>
    </row>
    <row r="57" spans="1:7" ht="15.75" customHeight="1">
      <c r="A57" s="34" t="s">
        <v>52</v>
      </c>
      <c r="B57" s="35">
        <f>B56*B55*B54*B52*B51</f>
        <v>80458.022199937448</v>
      </c>
      <c r="C57" s="34" t="s">
        <v>39</v>
      </c>
      <c r="D57" s="251"/>
      <c r="E57" s="252"/>
      <c r="F57" s="253"/>
      <c r="G57" s="22"/>
    </row>
    <row r="58" spans="1:7" ht="15.75" customHeight="1">
      <c r="A58" s="239" t="s">
        <v>64</v>
      </c>
      <c r="B58" s="240"/>
      <c r="C58" s="240"/>
      <c r="D58" s="240"/>
      <c r="E58" s="240"/>
      <c r="F58" s="241"/>
      <c r="G58" s="22"/>
    </row>
    <row r="59" spans="1:7" ht="15.75" customHeight="1">
      <c r="A59" s="37" t="s">
        <v>27</v>
      </c>
      <c r="B59" s="37" t="s">
        <v>28</v>
      </c>
      <c r="C59" s="37" t="s">
        <v>29</v>
      </c>
      <c r="D59" s="37" t="s">
        <v>27</v>
      </c>
      <c r="E59" s="37" t="s">
        <v>28</v>
      </c>
      <c r="F59" s="37" t="s">
        <v>29</v>
      </c>
      <c r="G59" s="22"/>
    </row>
    <row r="60" spans="1:7" ht="15.75" customHeight="1">
      <c r="A60" s="25" t="s">
        <v>56</v>
      </c>
      <c r="B60" s="38">
        <v>2.5876800000000002</v>
      </c>
      <c r="C60" s="25" t="s">
        <v>57</v>
      </c>
      <c r="D60" s="246"/>
      <c r="E60" s="247"/>
      <c r="F60" s="248"/>
      <c r="G60" s="22"/>
    </row>
    <row r="61" spans="1:7" ht="15.75" customHeight="1">
      <c r="A61" s="25" t="s">
        <v>56</v>
      </c>
      <c r="B61" s="26">
        <f>B60*3968320.722</f>
        <v>10268744.165904962</v>
      </c>
      <c r="C61" s="25" t="s">
        <v>58</v>
      </c>
      <c r="D61" s="249"/>
      <c r="E61" s="238"/>
      <c r="F61" s="250"/>
      <c r="G61" s="22"/>
    </row>
    <row r="62" spans="1:7" ht="15.75" customHeight="1">
      <c r="A62" s="25" t="s">
        <v>59</v>
      </c>
      <c r="B62" s="25">
        <v>10000</v>
      </c>
      <c r="C62" s="25" t="s">
        <v>60</v>
      </c>
      <c r="D62" s="249"/>
      <c r="E62" s="238"/>
      <c r="F62" s="250"/>
      <c r="G62" s="22"/>
    </row>
    <row r="63" spans="1:7" ht="15.75" customHeight="1">
      <c r="A63" s="25" t="s">
        <v>40</v>
      </c>
      <c r="B63" s="25">
        <f>B61/B62</f>
        <v>1026.8744165904961</v>
      </c>
      <c r="C63" s="25" t="s">
        <v>61</v>
      </c>
      <c r="D63" s="249"/>
      <c r="E63" s="238"/>
      <c r="F63" s="250"/>
      <c r="G63" s="22"/>
    </row>
    <row r="64" spans="1:7" ht="15.75" customHeight="1">
      <c r="A64" s="25" t="s">
        <v>42</v>
      </c>
      <c r="B64" s="26">
        <f>EXP(11.4185-0.9228*LN(B63)+0.09861*(LN(B63))^2)</f>
        <v>17346.238769977896</v>
      </c>
      <c r="C64" s="25" t="s">
        <v>39</v>
      </c>
      <c r="D64" s="249"/>
      <c r="E64" s="238"/>
      <c r="F64" s="250"/>
      <c r="G64" s="22"/>
    </row>
    <row r="65" spans="1:7" ht="15.75" customHeight="1">
      <c r="A65" s="25" t="s">
        <v>43</v>
      </c>
      <c r="B65" s="25">
        <v>2.15</v>
      </c>
      <c r="C65" s="25" t="s">
        <v>62</v>
      </c>
      <c r="D65" s="249"/>
      <c r="E65" s="238"/>
      <c r="F65" s="250"/>
      <c r="G65" s="22"/>
    </row>
    <row r="66" spans="1:7" ht="15.75" customHeight="1">
      <c r="A66" s="25" t="s">
        <v>45</v>
      </c>
      <c r="B66" s="25">
        <f>3*14.5038</f>
        <v>43.511400000000002</v>
      </c>
      <c r="C66" s="25" t="s">
        <v>46</v>
      </c>
      <c r="D66" s="249"/>
      <c r="E66" s="238"/>
      <c r="F66" s="250"/>
      <c r="G66" s="22"/>
    </row>
    <row r="67" spans="1:7" ht="15.75" customHeight="1">
      <c r="A67" s="25" t="s">
        <v>47</v>
      </c>
      <c r="B67" s="25">
        <f>0.9803+0.018*(B66/100)+0.0017*(B66/100)^2</f>
        <v>0.98845390312809323</v>
      </c>
      <c r="C67" s="243" t="s">
        <v>48</v>
      </c>
      <c r="D67" s="249"/>
      <c r="E67" s="238"/>
      <c r="F67" s="250"/>
      <c r="G67" s="22"/>
    </row>
    <row r="68" spans="1:7" ht="15.75" customHeight="1">
      <c r="A68" s="25" t="s">
        <v>49</v>
      </c>
      <c r="B68" s="25">
        <v>1</v>
      </c>
      <c r="C68" s="244"/>
      <c r="D68" s="249"/>
      <c r="E68" s="238"/>
      <c r="F68" s="250"/>
      <c r="G68" s="22"/>
    </row>
    <row r="69" spans="1:7" ht="15.75" customHeight="1">
      <c r="A69" s="25" t="s">
        <v>51</v>
      </c>
      <c r="B69" s="25">
        <v>1</v>
      </c>
      <c r="C69" s="245"/>
      <c r="D69" s="249"/>
      <c r="E69" s="238"/>
      <c r="F69" s="250"/>
      <c r="G69" s="22"/>
    </row>
    <row r="70" spans="1:7" ht="15.75" customHeight="1">
      <c r="A70" s="34" t="s">
        <v>52</v>
      </c>
      <c r="B70" s="35">
        <f>B69*B68*B67*B65*B64</f>
        <v>36863.808446069481</v>
      </c>
      <c r="C70" s="34" t="s">
        <v>39</v>
      </c>
      <c r="D70" s="251"/>
      <c r="E70" s="252"/>
      <c r="F70" s="253"/>
      <c r="G70" s="22"/>
    </row>
    <row r="71" spans="1:7" ht="15.75" customHeight="1">
      <c r="A71" s="239" t="s">
        <v>65</v>
      </c>
      <c r="B71" s="240"/>
      <c r="C71" s="240"/>
      <c r="D71" s="240"/>
      <c r="E71" s="240"/>
      <c r="F71" s="241"/>
      <c r="G71" s="22"/>
    </row>
    <row r="72" spans="1:7" ht="15.75" customHeight="1">
      <c r="A72" s="37" t="s">
        <v>27</v>
      </c>
      <c r="B72" s="37" t="s">
        <v>28</v>
      </c>
      <c r="C72" s="37" t="s">
        <v>29</v>
      </c>
      <c r="D72" s="37" t="s">
        <v>27</v>
      </c>
      <c r="E72" s="37" t="s">
        <v>28</v>
      </c>
      <c r="F72" s="37" t="s">
        <v>29</v>
      </c>
      <c r="G72" s="22"/>
    </row>
    <row r="73" spans="1:7" ht="15.75" customHeight="1">
      <c r="A73" s="25" t="s">
        <v>56</v>
      </c>
      <c r="B73" s="38">
        <v>-2.8078400000000001</v>
      </c>
      <c r="C73" s="25" t="s">
        <v>57</v>
      </c>
      <c r="D73" s="246"/>
      <c r="E73" s="247"/>
      <c r="F73" s="248"/>
      <c r="G73" s="22"/>
    </row>
    <row r="74" spans="1:7" ht="15.75" customHeight="1">
      <c r="A74" s="25" t="s">
        <v>56</v>
      </c>
      <c r="B74" s="26">
        <f>ABS(B73*3968320.722)</f>
        <v>11142409.656060481</v>
      </c>
      <c r="C74" s="25" t="s">
        <v>58</v>
      </c>
      <c r="D74" s="249"/>
      <c r="E74" s="238"/>
      <c r="F74" s="250"/>
      <c r="G74" s="22"/>
    </row>
    <row r="75" spans="1:7" ht="15.75" customHeight="1">
      <c r="A75" s="25" t="s">
        <v>59</v>
      </c>
      <c r="B75" s="25">
        <v>10000</v>
      </c>
      <c r="C75" s="25" t="s">
        <v>60</v>
      </c>
      <c r="D75" s="249"/>
      <c r="E75" s="238"/>
      <c r="F75" s="250"/>
      <c r="G75" s="22"/>
    </row>
    <row r="76" spans="1:7" ht="15.75" customHeight="1">
      <c r="A76" s="25" t="s">
        <v>40</v>
      </c>
      <c r="B76" s="25">
        <f>B74/B75</f>
        <v>1114.2409656060481</v>
      </c>
      <c r="C76" s="25" t="s">
        <v>61</v>
      </c>
      <c r="D76" s="249"/>
      <c r="E76" s="238"/>
      <c r="F76" s="250"/>
      <c r="G76" s="22"/>
    </row>
    <row r="77" spans="1:7" ht="15.75" customHeight="1">
      <c r="A77" s="25" t="s">
        <v>42</v>
      </c>
      <c r="B77" s="25">
        <f>EXP(11.4185-0.9228*LN(B76)+0.09861*(LN(B76))^2)</f>
        <v>17999.625381745671</v>
      </c>
      <c r="C77" s="25" t="s">
        <v>39</v>
      </c>
      <c r="D77" s="249"/>
      <c r="E77" s="238"/>
      <c r="F77" s="250"/>
      <c r="G77" s="22"/>
    </row>
    <row r="78" spans="1:7" ht="15.75" customHeight="1">
      <c r="A78" s="25" t="s">
        <v>43</v>
      </c>
      <c r="B78" s="25">
        <v>2.15</v>
      </c>
      <c r="C78" s="25" t="s">
        <v>62</v>
      </c>
      <c r="D78" s="249"/>
      <c r="E78" s="238"/>
      <c r="F78" s="250"/>
      <c r="G78" s="22"/>
    </row>
    <row r="79" spans="1:7" ht="15.75" customHeight="1">
      <c r="A79" s="25" t="s">
        <v>45</v>
      </c>
      <c r="B79" s="25">
        <f>3*14.5038</f>
        <v>43.511400000000002</v>
      </c>
      <c r="C79" s="25" t="s">
        <v>46</v>
      </c>
      <c r="D79" s="249"/>
      <c r="E79" s="238"/>
      <c r="F79" s="250"/>
      <c r="G79" s="22"/>
    </row>
    <row r="80" spans="1:7" ht="15.75" customHeight="1">
      <c r="A80" s="25" t="s">
        <v>47</v>
      </c>
      <c r="B80" s="25">
        <f>0.9803+0.018*(B79/100)+0.0017*(B79/100)^2</f>
        <v>0.98845390312809323</v>
      </c>
      <c r="C80" s="243" t="s">
        <v>48</v>
      </c>
      <c r="D80" s="249"/>
      <c r="E80" s="238"/>
      <c r="F80" s="250"/>
      <c r="G80" s="22"/>
    </row>
    <row r="81" spans="1:7" ht="15.75" customHeight="1">
      <c r="A81" s="25" t="s">
        <v>49</v>
      </c>
      <c r="B81" s="25">
        <v>1</v>
      </c>
      <c r="C81" s="244"/>
      <c r="D81" s="249"/>
      <c r="E81" s="238"/>
      <c r="F81" s="250"/>
      <c r="G81" s="22"/>
    </row>
    <row r="82" spans="1:7" ht="15.75" customHeight="1">
      <c r="A82" s="25" t="s">
        <v>51</v>
      </c>
      <c r="B82" s="25">
        <v>1</v>
      </c>
      <c r="C82" s="245"/>
      <c r="D82" s="249"/>
      <c r="E82" s="238"/>
      <c r="F82" s="250"/>
      <c r="G82" s="22"/>
    </row>
    <row r="83" spans="1:7" ht="15.75" customHeight="1">
      <c r="A83" s="34" t="s">
        <v>52</v>
      </c>
      <c r="B83" s="35">
        <f>B82*B81*B80*B78*B77</f>
        <v>38252.369921374506</v>
      </c>
      <c r="C83" s="34" t="s">
        <v>39</v>
      </c>
      <c r="D83" s="251"/>
      <c r="E83" s="252"/>
      <c r="F83" s="253"/>
      <c r="G83" s="22"/>
    </row>
    <row r="84" spans="1:7" ht="15.75" customHeight="1">
      <c r="A84" s="239" t="s">
        <v>66</v>
      </c>
      <c r="B84" s="240"/>
      <c r="C84" s="240"/>
      <c r="D84" s="240"/>
      <c r="E84" s="240"/>
      <c r="F84" s="241"/>
      <c r="G84" s="22"/>
    </row>
    <row r="85" spans="1:7" ht="15.75" customHeight="1">
      <c r="A85" s="37" t="s">
        <v>27</v>
      </c>
      <c r="B85" s="37" t="s">
        <v>28</v>
      </c>
      <c r="C85" s="37" t="s">
        <v>29</v>
      </c>
      <c r="D85" s="37" t="s">
        <v>27</v>
      </c>
      <c r="E85" s="37" t="s">
        <v>28</v>
      </c>
      <c r="F85" s="37" t="s">
        <v>29</v>
      </c>
      <c r="G85" s="22"/>
    </row>
    <row r="86" spans="1:7" ht="15.75" customHeight="1">
      <c r="A86" s="25" t="s">
        <v>56</v>
      </c>
      <c r="B86" s="38">
        <v>8.5856499999999993</v>
      </c>
      <c r="C86" s="25" t="s">
        <v>57</v>
      </c>
      <c r="D86" s="246"/>
      <c r="E86" s="247"/>
      <c r="F86" s="248"/>
      <c r="G86" s="22"/>
    </row>
    <row r="87" spans="1:7" ht="15.75" customHeight="1">
      <c r="A87" s="25" t="s">
        <v>56</v>
      </c>
      <c r="B87" s="26">
        <f>B86*3968320.722</f>
        <v>34070612.806839295</v>
      </c>
      <c r="C87" s="25" t="s">
        <v>58</v>
      </c>
      <c r="D87" s="249"/>
      <c r="E87" s="238"/>
      <c r="F87" s="250"/>
      <c r="G87" s="22"/>
    </row>
    <row r="88" spans="1:7" ht="15.75" customHeight="1">
      <c r="A88" s="25" t="s">
        <v>59</v>
      </c>
      <c r="B88" s="25">
        <v>10000</v>
      </c>
      <c r="C88" s="25" t="s">
        <v>60</v>
      </c>
      <c r="D88" s="249"/>
      <c r="E88" s="238"/>
      <c r="F88" s="250"/>
      <c r="G88" s="22"/>
    </row>
    <row r="89" spans="1:7" ht="15.75" customHeight="1">
      <c r="A89" s="25" t="s">
        <v>40</v>
      </c>
      <c r="B89" s="25">
        <f>B87/B88</f>
        <v>3407.0612806839295</v>
      </c>
      <c r="C89" s="25" t="s">
        <v>61</v>
      </c>
      <c r="D89" s="249"/>
      <c r="E89" s="238"/>
      <c r="F89" s="250"/>
      <c r="G89" s="22"/>
    </row>
    <row r="90" spans="1:7" ht="15.75" customHeight="1">
      <c r="A90" s="25" t="s">
        <v>42</v>
      </c>
      <c r="B90" s="26">
        <f>EXP(11.4185-0.9228*LN(B89)+0.09861*(LN(B89))^2)</f>
        <v>34077.970355562604</v>
      </c>
      <c r="C90" s="25" t="s">
        <v>39</v>
      </c>
      <c r="D90" s="249"/>
      <c r="E90" s="238"/>
      <c r="F90" s="250"/>
      <c r="G90" s="22"/>
    </row>
    <row r="91" spans="1:7" ht="15.75" customHeight="1">
      <c r="A91" s="25" t="s">
        <v>43</v>
      </c>
      <c r="B91" s="25">
        <v>2.15</v>
      </c>
      <c r="C91" s="25" t="s">
        <v>62</v>
      </c>
      <c r="D91" s="249"/>
      <c r="E91" s="238"/>
      <c r="F91" s="250"/>
      <c r="G91" s="22"/>
    </row>
    <row r="92" spans="1:7" ht="15.75" customHeight="1">
      <c r="A92" s="25" t="s">
        <v>45</v>
      </c>
      <c r="B92" s="25">
        <f>20*14.5038</f>
        <v>290.07600000000002</v>
      </c>
      <c r="C92" s="25" t="s">
        <v>46</v>
      </c>
      <c r="D92" s="249"/>
      <c r="E92" s="238"/>
      <c r="F92" s="250"/>
      <c r="G92" s="22"/>
    </row>
    <row r="93" spans="1:7" ht="15.75" customHeight="1">
      <c r="A93" s="25" t="s">
        <v>47</v>
      </c>
      <c r="B93" s="25">
        <f>0.9803+0.018*(B92/100)+0.0017*(B92/100)^2</f>
        <v>1.0468181745819198</v>
      </c>
      <c r="C93" s="243" t="s">
        <v>48</v>
      </c>
      <c r="D93" s="249"/>
      <c r="E93" s="238"/>
      <c r="F93" s="250"/>
      <c r="G93" s="22"/>
    </row>
    <row r="94" spans="1:7" ht="15.75" customHeight="1">
      <c r="A94" s="25" t="s">
        <v>49</v>
      </c>
      <c r="B94" s="25">
        <v>1</v>
      </c>
      <c r="C94" s="244"/>
      <c r="D94" s="249"/>
      <c r="E94" s="238"/>
      <c r="F94" s="250"/>
      <c r="G94" s="22"/>
    </row>
    <row r="95" spans="1:7" ht="15.75" customHeight="1">
      <c r="A95" s="25" t="s">
        <v>51</v>
      </c>
      <c r="B95" s="25">
        <v>1</v>
      </c>
      <c r="C95" s="245"/>
      <c r="D95" s="249"/>
      <c r="E95" s="238"/>
      <c r="F95" s="250"/>
      <c r="G95" s="22"/>
    </row>
    <row r="96" spans="1:7" ht="15.75" customHeight="1">
      <c r="A96" s="34" t="s">
        <v>52</v>
      </c>
      <c r="B96" s="35">
        <f>B95*B94*B93*B91*B90</f>
        <v>76697.893250293666</v>
      </c>
      <c r="C96" s="34" t="s">
        <v>39</v>
      </c>
      <c r="D96" s="251"/>
      <c r="E96" s="252"/>
      <c r="F96" s="253"/>
      <c r="G96" s="22"/>
    </row>
    <row r="97" spans="1:7" ht="15.75" customHeight="1">
      <c r="A97" s="239" t="s">
        <v>67</v>
      </c>
      <c r="B97" s="240"/>
      <c r="C97" s="240"/>
      <c r="D97" s="240"/>
      <c r="E97" s="240"/>
      <c r="F97" s="241"/>
      <c r="G97" s="22"/>
    </row>
    <row r="98" spans="1:7" ht="15.75" customHeight="1">
      <c r="A98" s="37" t="s">
        <v>27</v>
      </c>
      <c r="B98" s="37" t="s">
        <v>28</v>
      </c>
      <c r="C98" s="37" t="s">
        <v>29</v>
      </c>
      <c r="D98" s="37" t="s">
        <v>27</v>
      </c>
      <c r="E98" s="37" t="s">
        <v>28</v>
      </c>
      <c r="F98" s="37" t="s">
        <v>29</v>
      </c>
      <c r="G98" s="22"/>
    </row>
    <row r="99" spans="1:7" ht="15.75" customHeight="1">
      <c r="A99" s="25" t="s">
        <v>56</v>
      </c>
      <c r="B99" s="38">
        <v>-11.7705</v>
      </c>
      <c r="C99" s="25" t="s">
        <v>57</v>
      </c>
      <c r="D99" s="246"/>
      <c r="E99" s="247"/>
      <c r="F99" s="248"/>
      <c r="G99" s="22"/>
    </row>
    <row r="100" spans="1:7" ht="15.75" customHeight="1">
      <c r="A100" s="25" t="s">
        <v>56</v>
      </c>
      <c r="B100" s="26">
        <f>ABS(B99*3968320.722)</f>
        <v>46709119.058301002</v>
      </c>
      <c r="C100" s="25" t="s">
        <v>58</v>
      </c>
      <c r="D100" s="249"/>
      <c r="E100" s="238"/>
      <c r="F100" s="250"/>
      <c r="G100" s="22"/>
    </row>
    <row r="101" spans="1:7" ht="15.75" customHeight="1">
      <c r="A101" s="25" t="s">
        <v>59</v>
      </c>
      <c r="B101" s="25">
        <v>10000</v>
      </c>
      <c r="C101" s="25" t="s">
        <v>60</v>
      </c>
      <c r="D101" s="249"/>
      <c r="E101" s="238"/>
      <c r="F101" s="250"/>
      <c r="G101" s="22"/>
    </row>
    <row r="102" spans="1:7" ht="15.75" customHeight="1">
      <c r="A102" s="25" t="s">
        <v>40</v>
      </c>
      <c r="B102" s="25">
        <f>B100/B101</f>
        <v>4670.9119058301003</v>
      </c>
      <c r="C102" s="25" t="s">
        <v>61</v>
      </c>
      <c r="D102" s="249"/>
      <c r="E102" s="238"/>
      <c r="F102" s="250"/>
      <c r="G102" s="22"/>
    </row>
    <row r="103" spans="1:7" ht="15.75" customHeight="1">
      <c r="A103" s="25" t="s">
        <v>42</v>
      </c>
      <c r="B103" s="25">
        <f>EXP(11.4185-0.9228*LN(B102)+0.09861*(LN(B102))^2)</f>
        <v>42666.886436181914</v>
      </c>
      <c r="C103" s="25" t="s">
        <v>39</v>
      </c>
      <c r="D103" s="249"/>
      <c r="E103" s="238"/>
      <c r="F103" s="250"/>
      <c r="G103" s="22"/>
    </row>
    <row r="104" spans="1:7" ht="15.75" customHeight="1">
      <c r="A104" s="25" t="s">
        <v>43</v>
      </c>
      <c r="B104" s="25">
        <v>2.15</v>
      </c>
      <c r="C104" s="25" t="s">
        <v>62</v>
      </c>
      <c r="D104" s="249"/>
      <c r="E104" s="238"/>
      <c r="F104" s="250"/>
      <c r="G104" s="22"/>
    </row>
    <row r="105" spans="1:7" ht="15.75" customHeight="1">
      <c r="A105" s="25" t="s">
        <v>45</v>
      </c>
      <c r="B105" s="25">
        <f>20*14.5038</f>
        <v>290.07600000000002</v>
      </c>
      <c r="C105" s="25" t="s">
        <v>46</v>
      </c>
      <c r="D105" s="249"/>
      <c r="E105" s="238"/>
      <c r="F105" s="250"/>
      <c r="G105" s="22"/>
    </row>
    <row r="106" spans="1:7" ht="15.75" customHeight="1">
      <c r="A106" s="25" t="s">
        <v>47</v>
      </c>
      <c r="B106" s="25">
        <f>0.9803+0.018*(B105/100)+0.0017*(B105/100)^2</f>
        <v>1.0468181745819198</v>
      </c>
      <c r="C106" s="243" t="s">
        <v>48</v>
      </c>
      <c r="D106" s="249"/>
      <c r="E106" s="238"/>
      <c r="F106" s="250"/>
      <c r="G106" s="22"/>
    </row>
    <row r="107" spans="1:7" ht="15.75" customHeight="1">
      <c r="A107" s="25" t="s">
        <v>49</v>
      </c>
      <c r="B107" s="25">
        <v>1</v>
      </c>
      <c r="C107" s="244"/>
      <c r="D107" s="249"/>
      <c r="E107" s="238"/>
      <c r="F107" s="250"/>
      <c r="G107" s="22"/>
    </row>
    <row r="108" spans="1:7" ht="15.75" customHeight="1">
      <c r="A108" s="25" t="s">
        <v>51</v>
      </c>
      <c r="B108" s="25">
        <v>1</v>
      </c>
      <c r="C108" s="245"/>
      <c r="D108" s="249"/>
      <c r="E108" s="238"/>
      <c r="F108" s="250"/>
      <c r="G108" s="22"/>
    </row>
    <row r="109" spans="1:7" ht="15.75" customHeight="1">
      <c r="A109" s="34" t="s">
        <v>52</v>
      </c>
      <c r="B109" s="35">
        <f>B108*B107*B106*B104*B103</f>
        <v>96028.615174568768</v>
      </c>
      <c r="C109" s="34" t="s">
        <v>39</v>
      </c>
      <c r="D109" s="251"/>
      <c r="E109" s="252"/>
      <c r="F109" s="253"/>
      <c r="G109" s="22"/>
    </row>
    <row r="110" spans="1:7" ht="15.75" customHeight="1">
      <c r="A110" s="254" t="s">
        <v>68</v>
      </c>
      <c r="B110" s="238"/>
      <c r="C110" s="238"/>
      <c r="D110" s="238"/>
      <c r="E110" s="238"/>
      <c r="F110" s="238"/>
      <c r="G110" s="22"/>
    </row>
    <row r="111" spans="1:7" ht="15.75" customHeight="1">
      <c r="A111" s="39" t="s">
        <v>27</v>
      </c>
      <c r="B111" s="39" t="s">
        <v>28</v>
      </c>
      <c r="C111" s="39" t="s">
        <v>29</v>
      </c>
      <c r="D111" s="39" t="s">
        <v>27</v>
      </c>
      <c r="E111" s="39" t="s">
        <v>28</v>
      </c>
      <c r="F111" s="39" t="s">
        <v>29</v>
      </c>
      <c r="G111" s="22"/>
    </row>
    <row r="112" spans="1:7" ht="15.75" customHeight="1">
      <c r="A112" s="40" t="s">
        <v>69</v>
      </c>
      <c r="B112" s="41">
        <v>660.81799999999998</v>
      </c>
      <c r="C112" s="40" t="s">
        <v>70</v>
      </c>
      <c r="D112" s="40" t="s">
        <v>71</v>
      </c>
      <c r="E112" s="40"/>
      <c r="F112" s="40" t="s">
        <v>33</v>
      </c>
      <c r="G112" s="22"/>
    </row>
    <row r="113" spans="1:7" ht="15.75" customHeight="1">
      <c r="A113" s="42" t="s">
        <v>72</v>
      </c>
      <c r="B113" s="43">
        <v>2.0503562690866301E-2</v>
      </c>
      <c r="C113" s="255" t="s">
        <v>73</v>
      </c>
      <c r="D113" s="40" t="s">
        <v>74</v>
      </c>
      <c r="E113" s="40">
        <v>32.04</v>
      </c>
      <c r="F113" s="255" t="s">
        <v>75</v>
      </c>
      <c r="G113" s="22"/>
    </row>
    <row r="114" spans="1:7" ht="15.75" customHeight="1">
      <c r="A114" s="42" t="s">
        <v>76</v>
      </c>
      <c r="B114" s="43">
        <v>6.8637043999722599E-4</v>
      </c>
      <c r="C114" s="244"/>
      <c r="D114" s="40" t="s">
        <v>77</v>
      </c>
      <c r="E114" s="40">
        <v>46.07</v>
      </c>
      <c r="F114" s="244"/>
      <c r="G114" s="22"/>
    </row>
    <row r="115" spans="1:7" ht="15.75" customHeight="1">
      <c r="A115" s="42" t="s">
        <v>78</v>
      </c>
      <c r="B115" s="43">
        <v>1.3794870151698501E-4</v>
      </c>
      <c r="C115" s="244"/>
      <c r="D115" s="40" t="s">
        <v>79</v>
      </c>
      <c r="E115" s="40">
        <v>18.02</v>
      </c>
      <c r="F115" s="244"/>
      <c r="G115" s="22"/>
    </row>
    <row r="116" spans="1:7" ht="15.75" customHeight="1">
      <c r="A116" s="42" t="s">
        <v>80</v>
      </c>
      <c r="B116" s="43">
        <v>0.44636243485870403</v>
      </c>
      <c r="C116" s="244"/>
      <c r="D116" s="40" t="s">
        <v>81</v>
      </c>
      <c r="E116" s="40">
        <v>28</v>
      </c>
      <c r="F116" s="244"/>
      <c r="G116" s="22"/>
    </row>
    <row r="117" spans="1:7" ht="15.75" customHeight="1">
      <c r="A117" s="42" t="s">
        <v>82</v>
      </c>
      <c r="B117" s="43">
        <v>0.52311240042442597</v>
      </c>
      <c r="C117" s="244"/>
      <c r="D117" s="40" t="s">
        <v>83</v>
      </c>
      <c r="E117" s="40">
        <v>74.08</v>
      </c>
      <c r="F117" s="244"/>
      <c r="G117" s="22"/>
    </row>
    <row r="118" spans="1:7" ht="15.75" customHeight="1">
      <c r="A118" s="42" t="s">
        <v>84</v>
      </c>
      <c r="B118" s="43">
        <v>9.1972828844894203E-3</v>
      </c>
      <c r="C118" s="244"/>
      <c r="D118" s="44" t="s">
        <v>85</v>
      </c>
      <c r="E118" s="40">
        <v>2</v>
      </c>
      <c r="F118" s="244"/>
      <c r="G118" s="22"/>
    </row>
    <row r="119" spans="1:7" ht="15.75" customHeight="1">
      <c r="A119" s="42" t="s">
        <v>86</v>
      </c>
      <c r="B119" s="43">
        <v>0</v>
      </c>
      <c r="C119" s="245"/>
      <c r="D119" s="44" t="s">
        <v>87</v>
      </c>
      <c r="E119" s="40">
        <v>16</v>
      </c>
      <c r="F119" s="245"/>
      <c r="G119" s="22"/>
    </row>
    <row r="120" spans="1:7" ht="15.75" customHeight="1">
      <c r="A120" s="40" t="s">
        <v>69</v>
      </c>
      <c r="B120" s="40">
        <f>B112*1000*(B113*E113+B114*E114+B115*E115+B116*E116+B117*E117+B118*E118+B119*E119)/(B113*E120+B114*E121+B115*E122+B116*E123+B117*E124+B118*E125+B119*E126)</f>
        <v>68.069032139232945</v>
      </c>
      <c r="C120" s="40" t="s">
        <v>88</v>
      </c>
      <c r="D120" s="44" t="s">
        <v>89</v>
      </c>
      <c r="E120" s="45">
        <f>792*1000</f>
        <v>792000</v>
      </c>
      <c r="F120" s="259" t="s">
        <v>90</v>
      </c>
      <c r="G120" s="22"/>
    </row>
    <row r="121" spans="1:7" ht="15.75" customHeight="1">
      <c r="A121" s="40" t="s">
        <v>91</v>
      </c>
      <c r="B121" s="40">
        <f>B120/60*5*2</f>
        <v>11.344838689872157</v>
      </c>
      <c r="C121" s="40" t="s">
        <v>92</v>
      </c>
      <c r="D121" s="40" t="s">
        <v>93</v>
      </c>
      <c r="E121" s="45">
        <v>2110</v>
      </c>
      <c r="F121" s="244"/>
      <c r="G121" s="22"/>
    </row>
    <row r="122" spans="1:7" ht="15.75" customHeight="1">
      <c r="A122" s="40" t="s">
        <v>94</v>
      </c>
      <c r="B122" s="40">
        <f>(4*B121/2.5/PI())^(1/3)</f>
        <v>1.7944146724176144</v>
      </c>
      <c r="C122" s="40" t="s">
        <v>33</v>
      </c>
      <c r="D122" s="44" t="s">
        <v>95</v>
      </c>
      <c r="E122" s="45">
        <v>997000</v>
      </c>
      <c r="F122" s="244"/>
      <c r="G122" s="22"/>
    </row>
    <row r="123" spans="1:7" ht="15.75" customHeight="1">
      <c r="A123" s="40" t="s">
        <v>96</v>
      </c>
      <c r="B123" s="40">
        <f>3.28*B122</f>
        <v>5.8856801255297748</v>
      </c>
      <c r="C123" s="40" t="s">
        <v>97</v>
      </c>
      <c r="D123" s="40" t="s">
        <v>98</v>
      </c>
      <c r="E123" s="45">
        <v>1140</v>
      </c>
      <c r="F123" s="244"/>
      <c r="G123" s="22"/>
    </row>
    <row r="124" spans="1:7" ht="15.75" customHeight="1">
      <c r="A124" s="40" t="s">
        <v>99</v>
      </c>
      <c r="B124" s="40">
        <f>B123*2.5</f>
        <v>14.714200313824437</v>
      </c>
      <c r="C124" s="40" t="s">
        <v>97</v>
      </c>
      <c r="D124" s="40" t="s">
        <v>100</v>
      </c>
      <c r="E124" s="45">
        <v>932000</v>
      </c>
      <c r="F124" s="244"/>
      <c r="G124" s="22"/>
    </row>
    <row r="125" spans="1:7" ht="15.75" customHeight="1">
      <c r="A125" s="40" t="s">
        <v>101</v>
      </c>
      <c r="B125" s="45">
        <f>341*B123^(0.63316)*B124^(0.80161)</f>
        <v>9041.2445562800476</v>
      </c>
      <c r="C125" s="40" t="s">
        <v>39</v>
      </c>
      <c r="D125" s="40" t="s">
        <v>102</v>
      </c>
      <c r="E125" s="46">
        <v>83.75</v>
      </c>
      <c r="F125" s="244"/>
      <c r="G125" s="22"/>
    </row>
    <row r="126" spans="1:7" ht="15.75" customHeight="1">
      <c r="A126" s="40" t="s">
        <v>103</v>
      </c>
      <c r="B126" s="40">
        <v>490</v>
      </c>
      <c r="C126" s="40" t="s">
        <v>104</v>
      </c>
      <c r="D126" s="44" t="s">
        <v>105</v>
      </c>
      <c r="E126" s="46">
        <v>657</v>
      </c>
      <c r="F126" s="245"/>
      <c r="G126" s="22"/>
    </row>
    <row r="127" spans="1:7" ht="15.75" customHeight="1">
      <c r="A127" s="40" t="s">
        <v>106</v>
      </c>
      <c r="B127" s="40">
        <v>1.4E-2</v>
      </c>
      <c r="C127" s="40" t="s">
        <v>97</v>
      </c>
      <c r="D127" s="246"/>
      <c r="E127" s="247"/>
      <c r="F127" s="248"/>
      <c r="G127" s="22"/>
    </row>
    <row r="128" spans="1:7" ht="15.75" customHeight="1">
      <c r="A128" s="40" t="s">
        <v>107</v>
      </c>
      <c r="B128" s="40">
        <f>B126*B127*PI()*(B123+B127)*(B124+0.8*B123)</f>
        <v>2469.5228500866015</v>
      </c>
      <c r="C128" s="40" t="s">
        <v>108</v>
      </c>
      <c r="D128" s="249"/>
      <c r="E128" s="238"/>
      <c r="F128" s="250"/>
      <c r="G128" s="22"/>
    </row>
    <row r="129" spans="1:7" ht="15.75" customHeight="1">
      <c r="A129" s="40" t="s">
        <v>109</v>
      </c>
      <c r="B129" s="45">
        <f>EXP(5.6336+0.4599*LN(B128)+0.00582*(LN(B128))^2)</f>
        <v>14492.649772692615</v>
      </c>
      <c r="C129" s="40" t="s">
        <v>39</v>
      </c>
      <c r="D129" s="249"/>
      <c r="E129" s="238"/>
      <c r="F129" s="250"/>
      <c r="G129" s="22"/>
    </row>
    <row r="130" spans="1:7" ht="15.75" customHeight="1">
      <c r="A130" s="40" t="s">
        <v>110</v>
      </c>
      <c r="B130" s="45">
        <f>B129+B125</f>
        <v>23533.894328972663</v>
      </c>
      <c r="C130" s="40" t="s">
        <v>39</v>
      </c>
      <c r="D130" s="249"/>
      <c r="E130" s="238"/>
      <c r="F130" s="250"/>
      <c r="G130" s="22"/>
    </row>
    <row r="131" spans="1:7" ht="15.75" customHeight="1">
      <c r="A131" s="40" t="s">
        <v>43</v>
      </c>
      <c r="B131" s="40">
        <v>4.16</v>
      </c>
      <c r="C131" s="40" t="s">
        <v>111</v>
      </c>
      <c r="D131" s="249"/>
      <c r="E131" s="238"/>
      <c r="F131" s="250"/>
      <c r="G131" s="22"/>
    </row>
    <row r="132" spans="1:7" ht="15.75" customHeight="1">
      <c r="A132" s="47" t="s">
        <v>52</v>
      </c>
      <c r="B132" s="48">
        <f>B131*B130</f>
        <v>97901.000408526277</v>
      </c>
      <c r="C132" s="47" t="s">
        <v>39</v>
      </c>
      <c r="D132" s="251"/>
      <c r="E132" s="252"/>
      <c r="F132" s="253"/>
      <c r="G132" s="22"/>
    </row>
    <row r="133" spans="1:7" ht="15.75" customHeight="1">
      <c r="A133" s="260" t="s">
        <v>112</v>
      </c>
      <c r="B133" s="240"/>
      <c r="C133" s="240"/>
      <c r="D133" s="240"/>
      <c r="E133" s="240"/>
      <c r="F133" s="241"/>
      <c r="G133" s="22"/>
    </row>
    <row r="134" spans="1:7" ht="15.75" customHeight="1">
      <c r="A134" s="40" t="s">
        <v>113</v>
      </c>
      <c r="B134" s="41">
        <v>-3.2385899999999999</v>
      </c>
      <c r="C134" s="40" t="s">
        <v>57</v>
      </c>
      <c r="D134" s="256"/>
      <c r="E134" s="247"/>
      <c r="F134" s="248"/>
      <c r="G134" s="22"/>
    </row>
    <row r="135" spans="1:7" ht="15.75" customHeight="1">
      <c r="A135" s="40" t="s">
        <v>113</v>
      </c>
      <c r="B135" s="49">
        <f>ABS(B134*3968320.722)</f>
        <v>12851763.80706198</v>
      </c>
      <c r="C135" s="40" t="s">
        <v>58</v>
      </c>
      <c r="D135" s="249"/>
      <c r="E135" s="238"/>
      <c r="F135" s="250"/>
      <c r="G135" s="22"/>
    </row>
    <row r="136" spans="1:7" ht="15.75" customHeight="1">
      <c r="A136" s="40" t="s">
        <v>42</v>
      </c>
      <c r="B136" s="40">
        <f>EXP(-0.15241+0.785*LN(B135))</f>
        <v>326847.31773311278</v>
      </c>
      <c r="C136" s="40"/>
      <c r="D136" s="249"/>
      <c r="E136" s="238"/>
      <c r="F136" s="250"/>
      <c r="G136" s="22"/>
    </row>
    <row r="137" spans="1:7" ht="15.75" customHeight="1">
      <c r="A137" s="40" t="s">
        <v>49</v>
      </c>
      <c r="B137" s="40">
        <v>1.4</v>
      </c>
      <c r="C137" s="40" t="s">
        <v>114</v>
      </c>
      <c r="D137" s="249"/>
      <c r="E137" s="238"/>
      <c r="F137" s="250"/>
      <c r="G137" s="22"/>
    </row>
    <row r="138" spans="1:7" ht="15.75" customHeight="1">
      <c r="A138" s="40" t="s">
        <v>45</v>
      </c>
      <c r="B138" s="40">
        <f>24*14.5038</f>
        <v>348.09120000000001</v>
      </c>
      <c r="C138" s="40" t="s">
        <v>115</v>
      </c>
      <c r="D138" s="249"/>
      <c r="E138" s="238"/>
      <c r="F138" s="250"/>
      <c r="G138" s="22"/>
    </row>
    <row r="139" spans="1:7" ht="15.75" customHeight="1">
      <c r="A139" s="40" t="s">
        <v>47</v>
      </c>
      <c r="B139" s="40">
        <f>0.986-0.0035*B138/500+0.0175*(B138/500)^2</f>
        <v>0.99204508544622083</v>
      </c>
      <c r="C139" s="40" t="s">
        <v>116</v>
      </c>
      <c r="D139" s="249"/>
      <c r="E139" s="238"/>
      <c r="F139" s="250"/>
      <c r="G139" s="22"/>
    </row>
    <row r="140" spans="1:7" ht="15.75" customHeight="1">
      <c r="A140" s="40" t="s">
        <v>110</v>
      </c>
      <c r="B140" s="40">
        <f>B139*B137*B136</f>
        <v>453946.18534777948</v>
      </c>
      <c r="C140" s="40" t="s">
        <v>39</v>
      </c>
      <c r="D140" s="249"/>
      <c r="E140" s="238"/>
      <c r="F140" s="250"/>
      <c r="G140" s="22"/>
    </row>
    <row r="141" spans="1:7" ht="15.75" customHeight="1">
      <c r="A141" s="40" t="s">
        <v>43</v>
      </c>
      <c r="B141" s="40">
        <v>1.86</v>
      </c>
      <c r="C141" s="40" t="s">
        <v>117</v>
      </c>
      <c r="D141" s="249"/>
      <c r="E141" s="238"/>
      <c r="F141" s="250"/>
      <c r="G141" s="22"/>
    </row>
    <row r="142" spans="1:7" ht="15.75" customHeight="1">
      <c r="A142" s="47" t="s">
        <v>52</v>
      </c>
      <c r="B142" s="48">
        <f>B141*B140</f>
        <v>844339.90474686993</v>
      </c>
      <c r="C142" s="47" t="s">
        <v>39</v>
      </c>
      <c r="D142" s="251"/>
      <c r="E142" s="252"/>
      <c r="F142" s="253"/>
      <c r="G142" s="22"/>
    </row>
    <row r="143" spans="1:7" ht="15.75" customHeight="1">
      <c r="A143" s="260" t="s">
        <v>118</v>
      </c>
      <c r="B143" s="240"/>
      <c r="C143" s="240"/>
      <c r="D143" s="240"/>
      <c r="E143" s="240"/>
      <c r="F143" s="241"/>
      <c r="G143" s="22"/>
    </row>
    <row r="144" spans="1:7" ht="15.75" customHeight="1">
      <c r="A144" s="40" t="s">
        <v>113</v>
      </c>
      <c r="B144" s="41">
        <v>1.0778700000000001</v>
      </c>
      <c r="C144" s="40" t="s">
        <v>57</v>
      </c>
      <c r="D144" s="256"/>
      <c r="E144" s="247"/>
      <c r="F144" s="248"/>
      <c r="G144" s="22"/>
    </row>
    <row r="145" spans="1:7" ht="15.75" customHeight="1">
      <c r="A145" s="40" t="s">
        <v>113</v>
      </c>
      <c r="B145" s="49">
        <f>ABS(B144*3968320.722)</f>
        <v>4277333.8566221409</v>
      </c>
      <c r="C145" s="40" t="s">
        <v>58</v>
      </c>
      <c r="D145" s="249"/>
      <c r="E145" s="238"/>
      <c r="F145" s="250"/>
      <c r="G145" s="22"/>
    </row>
    <row r="146" spans="1:7" ht="15.75" customHeight="1">
      <c r="A146" s="40" t="s">
        <v>42</v>
      </c>
      <c r="B146" s="40">
        <f>EXP(-0.15241+0.785*LN(B145))</f>
        <v>137809.79930711637</v>
      </c>
      <c r="C146" s="40"/>
      <c r="D146" s="249"/>
      <c r="E146" s="238"/>
      <c r="F146" s="250"/>
      <c r="G146" s="22"/>
    </row>
    <row r="147" spans="1:7" ht="15.75" customHeight="1">
      <c r="A147" s="40" t="s">
        <v>49</v>
      </c>
      <c r="B147" s="40">
        <v>1.4</v>
      </c>
      <c r="C147" s="40" t="s">
        <v>114</v>
      </c>
      <c r="D147" s="249"/>
      <c r="E147" s="238"/>
      <c r="F147" s="250"/>
      <c r="G147" s="22"/>
    </row>
    <row r="148" spans="1:7" ht="15.75" customHeight="1">
      <c r="A148" s="40" t="s">
        <v>45</v>
      </c>
      <c r="B148" s="40">
        <f>10*14.5038</f>
        <v>145.03800000000001</v>
      </c>
      <c r="C148" s="40" t="s">
        <v>115</v>
      </c>
      <c r="D148" s="249"/>
      <c r="E148" s="238"/>
      <c r="F148" s="250"/>
      <c r="G148" s="22"/>
    </row>
    <row r="149" spans="1:7" ht="15.75" customHeight="1">
      <c r="A149" s="40" t="s">
        <v>47</v>
      </c>
      <c r="B149" s="40">
        <f>0.986-0.0035*B148/500+0.0175*(B148/500)^2</f>
        <v>0.98645725550107999</v>
      </c>
      <c r="C149" s="40" t="s">
        <v>116</v>
      </c>
      <c r="D149" s="249"/>
      <c r="E149" s="238"/>
      <c r="F149" s="250"/>
      <c r="G149" s="22"/>
    </row>
    <row r="150" spans="1:7" ht="15.75" customHeight="1">
      <c r="A150" s="40" t="s">
        <v>110</v>
      </c>
      <c r="B150" s="40">
        <f>B149*B147*B146</f>
        <v>190320.86696791369</v>
      </c>
      <c r="C150" s="40" t="s">
        <v>39</v>
      </c>
      <c r="D150" s="249"/>
      <c r="E150" s="238"/>
      <c r="F150" s="250"/>
      <c r="G150" s="22"/>
    </row>
    <row r="151" spans="1:7" ht="15.75" customHeight="1">
      <c r="A151" s="40" t="s">
        <v>43</v>
      </c>
      <c r="B151" s="40">
        <v>1.86</v>
      </c>
      <c r="C151" s="40" t="s">
        <v>117</v>
      </c>
      <c r="D151" s="249"/>
      <c r="E151" s="238"/>
      <c r="F151" s="250"/>
      <c r="G151" s="22"/>
    </row>
    <row r="152" spans="1:7" ht="15.75" customHeight="1">
      <c r="A152" s="47" t="s">
        <v>52</v>
      </c>
      <c r="B152" s="48">
        <f>B151*B150</f>
        <v>353996.81256031949</v>
      </c>
      <c r="C152" s="47" t="s">
        <v>39</v>
      </c>
      <c r="D152" s="251"/>
      <c r="E152" s="252"/>
      <c r="F152" s="253"/>
      <c r="G152" s="22"/>
    </row>
    <row r="153" spans="1:7" ht="15.75" customHeight="1">
      <c r="A153" s="260" t="s">
        <v>119</v>
      </c>
      <c r="B153" s="240"/>
      <c r="C153" s="240"/>
      <c r="D153" s="240"/>
      <c r="E153" s="240"/>
      <c r="F153" s="241"/>
      <c r="G153" s="22"/>
    </row>
    <row r="154" spans="1:7" ht="15.75" customHeight="1">
      <c r="A154" s="40" t="s">
        <v>113</v>
      </c>
      <c r="B154" s="41">
        <v>-7.6027500000000003</v>
      </c>
      <c r="C154" s="40" t="s">
        <v>57</v>
      </c>
      <c r="D154" s="256"/>
      <c r="E154" s="247"/>
      <c r="F154" s="248"/>
      <c r="G154" s="22"/>
    </row>
    <row r="155" spans="1:7" ht="15.75" customHeight="1">
      <c r="A155" s="40" t="s">
        <v>113</v>
      </c>
      <c r="B155" s="49">
        <f>ABS(B154*3968320.722)</f>
        <v>30170150.369185504</v>
      </c>
      <c r="C155" s="40" t="s">
        <v>58</v>
      </c>
      <c r="D155" s="249"/>
      <c r="E155" s="238"/>
      <c r="F155" s="250"/>
      <c r="G155" s="22"/>
    </row>
    <row r="156" spans="1:7" ht="15.75" customHeight="1">
      <c r="A156" s="40" t="s">
        <v>42</v>
      </c>
      <c r="B156" s="40">
        <f>EXP(-0.15241+0.785*LN(B155))</f>
        <v>638671.43968074501</v>
      </c>
      <c r="C156" s="40"/>
      <c r="D156" s="249"/>
      <c r="E156" s="238"/>
      <c r="F156" s="250"/>
      <c r="G156" s="22"/>
    </row>
    <row r="157" spans="1:7" ht="15.75" customHeight="1">
      <c r="A157" s="40" t="s">
        <v>49</v>
      </c>
      <c r="B157" s="40">
        <v>1.4</v>
      </c>
      <c r="C157" s="40" t="s">
        <v>114</v>
      </c>
      <c r="D157" s="249"/>
      <c r="E157" s="238"/>
      <c r="F157" s="250"/>
      <c r="G157" s="22"/>
    </row>
    <row r="158" spans="1:7" ht="15.75" customHeight="1">
      <c r="A158" s="40" t="s">
        <v>45</v>
      </c>
      <c r="B158" s="40">
        <f>5*14.5038</f>
        <v>72.519000000000005</v>
      </c>
      <c r="C158" s="40" t="s">
        <v>115</v>
      </c>
      <c r="D158" s="249"/>
      <c r="E158" s="238"/>
      <c r="F158" s="250"/>
      <c r="G158" s="22"/>
    </row>
    <row r="159" spans="1:7" ht="15.75" customHeight="1">
      <c r="A159" s="40" t="s">
        <v>47</v>
      </c>
      <c r="B159" s="40">
        <f>0.986-0.0035*B158/500+0.0175*(B158/500)^2</f>
        <v>0.98586049737526993</v>
      </c>
      <c r="C159" s="40" t="s">
        <v>116</v>
      </c>
      <c r="D159" s="249"/>
      <c r="E159" s="238"/>
      <c r="F159" s="250"/>
      <c r="G159" s="22"/>
    </row>
    <row r="160" spans="1:7" ht="15.75" customHeight="1">
      <c r="A160" s="40" t="s">
        <v>110</v>
      </c>
      <c r="B160" s="40">
        <f>B159*B157*B156</f>
        <v>881497.32045625453</v>
      </c>
      <c r="C160" s="40" t="s">
        <v>39</v>
      </c>
      <c r="D160" s="249"/>
      <c r="E160" s="238"/>
      <c r="F160" s="250"/>
      <c r="G160" s="22"/>
    </row>
    <row r="161" spans="1:7" ht="15.75" customHeight="1">
      <c r="A161" s="40" t="s">
        <v>43</v>
      </c>
      <c r="B161" s="40">
        <v>1.86</v>
      </c>
      <c r="C161" s="40" t="s">
        <v>117</v>
      </c>
      <c r="D161" s="249"/>
      <c r="E161" s="238"/>
      <c r="F161" s="250"/>
      <c r="G161" s="22"/>
    </row>
    <row r="162" spans="1:7" ht="15.75" customHeight="1">
      <c r="A162" s="47" t="s">
        <v>52</v>
      </c>
      <c r="B162" s="48">
        <f>B161*B160</f>
        <v>1639585.0160486335</v>
      </c>
      <c r="C162" s="47" t="s">
        <v>39</v>
      </c>
      <c r="D162" s="251"/>
      <c r="E162" s="252"/>
      <c r="F162" s="253"/>
      <c r="G162" s="22"/>
    </row>
    <row r="163" spans="1:7" ht="15.75" customHeight="1">
      <c r="A163" s="260" t="s">
        <v>120</v>
      </c>
      <c r="B163" s="240"/>
      <c r="C163" s="240"/>
      <c r="D163" s="240"/>
      <c r="E163" s="240"/>
      <c r="F163" s="241"/>
      <c r="G163" s="22"/>
    </row>
    <row r="164" spans="1:7" ht="15.75" customHeight="1">
      <c r="A164" s="40" t="s">
        <v>113</v>
      </c>
      <c r="B164" s="41">
        <v>5.2805900000000001</v>
      </c>
      <c r="C164" s="40" t="s">
        <v>57</v>
      </c>
      <c r="D164" s="256"/>
      <c r="E164" s="247"/>
      <c r="F164" s="248"/>
      <c r="G164" s="22"/>
    </row>
    <row r="165" spans="1:7" ht="15.75" customHeight="1">
      <c r="A165" s="40" t="s">
        <v>113</v>
      </c>
      <c r="B165" s="49">
        <f>ABS(B164*3968320.722)</f>
        <v>20955074.721385982</v>
      </c>
      <c r="C165" s="40" t="s">
        <v>58</v>
      </c>
      <c r="D165" s="249"/>
      <c r="E165" s="238"/>
      <c r="F165" s="250"/>
      <c r="G165" s="22"/>
    </row>
    <row r="166" spans="1:7" ht="15.75" customHeight="1">
      <c r="A166" s="40" t="s">
        <v>42</v>
      </c>
      <c r="B166" s="40">
        <f>EXP(-0.15241+0.785*LN(B165))</f>
        <v>479756.87926265068</v>
      </c>
      <c r="C166" s="40"/>
      <c r="D166" s="249"/>
      <c r="E166" s="238"/>
      <c r="F166" s="250"/>
      <c r="G166" s="22"/>
    </row>
    <row r="167" spans="1:7" ht="15.75" customHeight="1">
      <c r="A167" s="40" t="s">
        <v>49</v>
      </c>
      <c r="B167" s="40">
        <v>1.4</v>
      </c>
      <c r="C167" s="40" t="s">
        <v>114</v>
      </c>
      <c r="D167" s="249"/>
      <c r="E167" s="238"/>
      <c r="F167" s="250"/>
      <c r="G167" s="22"/>
    </row>
    <row r="168" spans="1:7" ht="15.75" customHeight="1">
      <c r="A168" s="40" t="s">
        <v>45</v>
      </c>
      <c r="B168" s="40">
        <f>30*14.5038</f>
        <v>435.11399999999998</v>
      </c>
      <c r="C168" s="40" t="s">
        <v>115</v>
      </c>
      <c r="D168" s="249"/>
      <c r="E168" s="238"/>
      <c r="F168" s="250"/>
      <c r="G168" s="22"/>
    </row>
    <row r="169" spans="1:7" ht="15.75" customHeight="1">
      <c r="A169" s="40" t="s">
        <v>47</v>
      </c>
      <c r="B169" s="40">
        <f>0.986-0.0035*B168/500+0.0175*(B168/500)^2</f>
        <v>0.99620689550971997</v>
      </c>
      <c r="C169" s="40" t="s">
        <v>116</v>
      </c>
      <c r="D169" s="249"/>
      <c r="E169" s="238"/>
      <c r="F169" s="250"/>
      <c r="G169" s="22"/>
    </row>
    <row r="170" spans="1:7" ht="15.75" customHeight="1">
      <c r="A170" s="40" t="s">
        <v>110</v>
      </c>
      <c r="B170" s="40">
        <f>B169*B167*B166</f>
        <v>669111.95580554754</v>
      </c>
      <c r="C170" s="40" t="s">
        <v>39</v>
      </c>
      <c r="D170" s="249"/>
      <c r="E170" s="238"/>
      <c r="F170" s="250"/>
      <c r="G170" s="22"/>
    </row>
    <row r="171" spans="1:7" ht="15.75" customHeight="1">
      <c r="A171" s="40" t="s">
        <v>43</v>
      </c>
      <c r="B171" s="40">
        <v>1.86</v>
      </c>
      <c r="C171" s="40" t="s">
        <v>117</v>
      </c>
      <c r="D171" s="249"/>
      <c r="E171" s="238"/>
      <c r="F171" s="250"/>
      <c r="G171" s="22"/>
    </row>
    <row r="172" spans="1:7" ht="15.75" customHeight="1">
      <c r="A172" s="47" t="s">
        <v>52</v>
      </c>
      <c r="B172" s="48">
        <f>B171*B170</f>
        <v>1244548.2377983185</v>
      </c>
      <c r="C172" s="47" t="s">
        <v>39</v>
      </c>
      <c r="D172" s="251"/>
      <c r="E172" s="252"/>
      <c r="F172" s="253"/>
      <c r="G172" s="22"/>
    </row>
    <row r="173" spans="1:7" ht="15.75" customHeight="1">
      <c r="A173" s="260" t="s">
        <v>121</v>
      </c>
      <c r="B173" s="240"/>
      <c r="C173" s="240"/>
      <c r="D173" s="240"/>
      <c r="E173" s="240"/>
      <c r="F173" s="241"/>
      <c r="G173" s="22"/>
    </row>
    <row r="174" spans="1:7" ht="15.75" customHeight="1">
      <c r="A174" s="264" t="s">
        <v>122</v>
      </c>
      <c r="B174" s="240"/>
      <c r="C174" s="240"/>
      <c r="D174" s="240"/>
      <c r="E174" s="240"/>
      <c r="F174" s="241"/>
      <c r="G174" s="22"/>
    </row>
    <row r="175" spans="1:7" ht="15.75" customHeight="1">
      <c r="A175" s="239" t="s">
        <v>123</v>
      </c>
      <c r="B175" s="240"/>
      <c r="C175" s="240"/>
      <c r="D175" s="240"/>
      <c r="E175" s="240"/>
      <c r="F175" s="241"/>
      <c r="G175" s="22"/>
    </row>
    <row r="176" spans="1:7" ht="15.75" customHeight="1">
      <c r="A176" s="37" t="s">
        <v>27</v>
      </c>
      <c r="B176" s="37" t="s">
        <v>28</v>
      </c>
      <c r="C176" s="37" t="s">
        <v>29</v>
      </c>
      <c r="D176" s="37" t="s">
        <v>27</v>
      </c>
      <c r="E176" s="37" t="s">
        <v>28</v>
      </c>
      <c r="F176" s="37" t="s">
        <v>29</v>
      </c>
      <c r="G176" s="22"/>
    </row>
    <row r="177" spans="1:7" ht="15.75" customHeight="1">
      <c r="A177" s="25" t="s">
        <v>124</v>
      </c>
      <c r="B177" s="25">
        <v>15</v>
      </c>
      <c r="C177" s="25" t="s">
        <v>31</v>
      </c>
      <c r="D177" s="257"/>
      <c r="E177" s="247"/>
      <c r="F177" s="248"/>
      <c r="G177" s="22"/>
    </row>
    <row r="178" spans="1:7" ht="15.75" customHeight="1">
      <c r="A178" s="25" t="s">
        <v>125</v>
      </c>
      <c r="B178" s="25">
        <v>0.44</v>
      </c>
      <c r="C178" s="243" t="s">
        <v>48</v>
      </c>
      <c r="D178" s="249"/>
      <c r="E178" s="238"/>
      <c r="F178" s="250"/>
      <c r="G178" s="22"/>
    </row>
    <row r="179" spans="1:7" ht="15.75" customHeight="1">
      <c r="A179" s="25" t="s">
        <v>126</v>
      </c>
      <c r="B179" s="25">
        <f>2.25/1.0414^B177</f>
        <v>1.2243875870066863</v>
      </c>
      <c r="C179" s="245"/>
      <c r="D179" s="249"/>
      <c r="E179" s="238"/>
      <c r="F179" s="250"/>
      <c r="G179" s="22"/>
    </row>
    <row r="180" spans="1:7" ht="15.75" customHeight="1">
      <c r="A180" s="25" t="s">
        <v>127</v>
      </c>
      <c r="B180" s="25">
        <v>1</v>
      </c>
      <c r="C180" s="25" t="s">
        <v>128</v>
      </c>
      <c r="D180" s="249"/>
      <c r="E180" s="238"/>
      <c r="F180" s="250"/>
      <c r="G180" s="22"/>
    </row>
    <row r="181" spans="1:7" ht="15.75" customHeight="1">
      <c r="A181" s="50" t="s">
        <v>129</v>
      </c>
      <c r="B181" s="50">
        <v>1</v>
      </c>
      <c r="C181" s="50" t="s">
        <v>130</v>
      </c>
      <c r="D181" s="249"/>
      <c r="E181" s="238"/>
      <c r="F181" s="250"/>
      <c r="G181" s="22"/>
    </row>
    <row r="182" spans="1:7" ht="15.75" customHeight="1">
      <c r="A182" s="261"/>
      <c r="B182" s="240"/>
      <c r="C182" s="241"/>
      <c r="D182" s="249"/>
      <c r="E182" s="238"/>
      <c r="F182" s="250"/>
      <c r="G182" s="22"/>
    </row>
    <row r="183" spans="1:7" ht="15.75" customHeight="1">
      <c r="A183" s="25" t="s">
        <v>131</v>
      </c>
      <c r="B183" s="25">
        <f>2.286*3.28084</f>
        <v>7.5000002400000003</v>
      </c>
      <c r="C183" s="25" t="s">
        <v>97</v>
      </c>
      <c r="D183" s="249"/>
      <c r="E183" s="238"/>
      <c r="F183" s="250"/>
      <c r="G183" s="22"/>
    </row>
    <row r="184" spans="1:7" ht="15.75" customHeight="1">
      <c r="A184" s="25" t="s">
        <v>132</v>
      </c>
      <c r="B184" s="25">
        <f>468*EXP(0.1482*B183)</f>
        <v>1422.2114971627968</v>
      </c>
      <c r="C184" s="25" t="s">
        <v>39</v>
      </c>
      <c r="D184" s="249"/>
      <c r="E184" s="238"/>
      <c r="F184" s="250"/>
      <c r="G184" s="22"/>
    </row>
    <row r="185" spans="1:7" ht="15.75" customHeight="1">
      <c r="A185" s="25" t="s">
        <v>133</v>
      </c>
      <c r="B185" s="25">
        <f>B177*B179*B180*B181*B184</f>
        <v>26120.071548364853</v>
      </c>
      <c r="C185" s="25" t="s">
        <v>39</v>
      </c>
      <c r="D185" s="249"/>
      <c r="E185" s="238"/>
      <c r="F185" s="250"/>
      <c r="G185" s="22"/>
    </row>
    <row r="186" spans="1:7" ht="15.75" customHeight="1">
      <c r="A186" s="25" t="s">
        <v>134</v>
      </c>
      <c r="B186" s="25">
        <f>B177*2+15</f>
        <v>45</v>
      </c>
      <c r="C186" s="25" t="s">
        <v>97</v>
      </c>
      <c r="D186" s="249"/>
      <c r="E186" s="238"/>
      <c r="F186" s="250"/>
      <c r="G186" s="22"/>
    </row>
    <row r="187" spans="1:7" ht="15.75" customHeight="1">
      <c r="A187" s="25" t="s">
        <v>101</v>
      </c>
      <c r="B187" s="25">
        <f>341*(B183^0.63316)*(B186^0.80161)</f>
        <v>25824.97206945439</v>
      </c>
      <c r="C187" s="25" t="s">
        <v>39</v>
      </c>
      <c r="D187" s="249"/>
      <c r="E187" s="238"/>
      <c r="F187" s="250"/>
      <c r="G187" s="22"/>
    </row>
    <row r="188" spans="1:7" ht="15.75" customHeight="1">
      <c r="A188" s="25" t="s">
        <v>49</v>
      </c>
      <c r="B188" s="25">
        <v>1</v>
      </c>
      <c r="C188" s="50" t="s">
        <v>130</v>
      </c>
      <c r="D188" s="249"/>
      <c r="E188" s="238"/>
      <c r="F188" s="250"/>
      <c r="G188" s="22"/>
    </row>
    <row r="189" spans="1:7" ht="15.75" customHeight="1">
      <c r="A189" s="25" t="s">
        <v>103</v>
      </c>
      <c r="B189" s="25">
        <v>490</v>
      </c>
      <c r="C189" s="25" t="s">
        <v>104</v>
      </c>
      <c r="D189" s="249"/>
      <c r="E189" s="238"/>
      <c r="F189" s="250"/>
      <c r="G189" s="22"/>
    </row>
    <row r="190" spans="1:7" ht="15.75" customHeight="1">
      <c r="A190" s="25" t="s">
        <v>106</v>
      </c>
      <c r="B190" s="25">
        <v>0.1043</v>
      </c>
      <c r="C190" s="25" t="s">
        <v>97</v>
      </c>
      <c r="D190" s="249"/>
      <c r="E190" s="238"/>
      <c r="F190" s="250"/>
      <c r="G190" s="22"/>
    </row>
    <row r="191" spans="1:7" ht="15.75" customHeight="1">
      <c r="A191" s="25" t="s">
        <v>107</v>
      </c>
      <c r="B191" s="25">
        <f>B189*B190*PI()*(B183+B190)*(B186+0.8*B183)</f>
        <v>62267.251271683956</v>
      </c>
      <c r="C191" s="25" t="s">
        <v>108</v>
      </c>
      <c r="D191" s="249"/>
      <c r="E191" s="238"/>
      <c r="F191" s="250"/>
      <c r="G191" s="22"/>
    </row>
    <row r="192" spans="1:7" ht="15.75" customHeight="1">
      <c r="A192" s="25" t="s">
        <v>109</v>
      </c>
      <c r="B192" s="25">
        <f>EXP(7.139+0.18255*LN(B191)+0.02297*(LN(B191))^2)</f>
        <v>155346.64399819347</v>
      </c>
      <c r="C192" s="25" t="s">
        <v>39</v>
      </c>
      <c r="D192" s="249"/>
      <c r="E192" s="238"/>
      <c r="F192" s="250"/>
      <c r="G192" s="22"/>
    </row>
    <row r="193" spans="1:7" ht="15.75" customHeight="1">
      <c r="A193" s="25" t="s">
        <v>110</v>
      </c>
      <c r="B193" s="25">
        <f>B188*B192+B187+B185</f>
        <v>207291.6876160127</v>
      </c>
      <c r="C193" s="25" t="s">
        <v>39</v>
      </c>
      <c r="D193" s="249"/>
      <c r="E193" s="238"/>
      <c r="F193" s="250"/>
      <c r="G193" s="22"/>
    </row>
    <row r="194" spans="1:7" ht="15.75" customHeight="1">
      <c r="A194" s="25" t="s">
        <v>43</v>
      </c>
      <c r="B194" s="25">
        <v>4.16</v>
      </c>
      <c r="C194" s="25" t="s">
        <v>111</v>
      </c>
      <c r="D194" s="249"/>
      <c r="E194" s="238"/>
      <c r="F194" s="250"/>
      <c r="G194" s="22"/>
    </row>
    <row r="195" spans="1:7" ht="15.75" customHeight="1">
      <c r="A195" s="34" t="s">
        <v>52</v>
      </c>
      <c r="B195" s="35">
        <f>B193*B194</f>
        <v>862333.42048261291</v>
      </c>
      <c r="C195" s="34" t="s">
        <v>39</v>
      </c>
      <c r="D195" s="251"/>
      <c r="E195" s="252"/>
      <c r="F195" s="253"/>
      <c r="G195" s="22"/>
    </row>
    <row r="196" spans="1:7" ht="15.75" customHeight="1">
      <c r="A196" s="239" t="s">
        <v>135</v>
      </c>
      <c r="B196" s="240"/>
      <c r="C196" s="240"/>
      <c r="D196" s="240"/>
      <c r="E196" s="240"/>
      <c r="F196" s="241"/>
      <c r="G196" s="22"/>
    </row>
    <row r="197" spans="1:7" ht="15.75" customHeight="1">
      <c r="A197" s="37" t="s">
        <v>27</v>
      </c>
      <c r="B197" s="37" t="s">
        <v>28</v>
      </c>
      <c r="C197" s="37" t="s">
        <v>29</v>
      </c>
      <c r="D197" s="37" t="s">
        <v>27</v>
      </c>
      <c r="E197" s="37" t="s">
        <v>28</v>
      </c>
      <c r="F197" s="37" t="s">
        <v>29</v>
      </c>
      <c r="G197" s="22"/>
    </row>
    <row r="198" spans="1:7" ht="15.75" customHeight="1">
      <c r="A198" s="25" t="s">
        <v>124</v>
      </c>
      <c r="B198" s="25">
        <v>15</v>
      </c>
      <c r="C198" s="25" t="s">
        <v>31</v>
      </c>
      <c r="D198" s="257"/>
      <c r="E198" s="247"/>
      <c r="F198" s="248"/>
      <c r="G198" s="22"/>
    </row>
    <row r="199" spans="1:7" ht="15.75" customHeight="1">
      <c r="A199" s="25" t="s">
        <v>125</v>
      </c>
      <c r="B199" s="25">
        <v>0.44</v>
      </c>
      <c r="C199" s="243" t="s">
        <v>48</v>
      </c>
      <c r="D199" s="249"/>
      <c r="E199" s="238"/>
      <c r="F199" s="250"/>
      <c r="G199" s="22"/>
    </row>
    <row r="200" spans="1:7" ht="15.75" customHeight="1">
      <c r="A200" s="25" t="s">
        <v>126</v>
      </c>
      <c r="B200" s="25">
        <f>2.25/1.0414^B198</f>
        <v>1.2243875870066863</v>
      </c>
      <c r="C200" s="245"/>
      <c r="D200" s="249"/>
      <c r="E200" s="238"/>
      <c r="F200" s="250"/>
      <c r="G200" s="22"/>
    </row>
    <row r="201" spans="1:7" ht="15.75" customHeight="1">
      <c r="A201" s="25" t="s">
        <v>127</v>
      </c>
      <c r="B201" s="25">
        <v>1</v>
      </c>
      <c r="C201" s="25" t="s">
        <v>128</v>
      </c>
      <c r="D201" s="249"/>
      <c r="E201" s="238"/>
      <c r="F201" s="250"/>
      <c r="G201" s="22"/>
    </row>
    <row r="202" spans="1:7" ht="15.75" customHeight="1">
      <c r="A202" s="50" t="s">
        <v>129</v>
      </c>
      <c r="B202" s="50">
        <v>1</v>
      </c>
      <c r="C202" s="50" t="s">
        <v>130</v>
      </c>
      <c r="D202" s="249"/>
      <c r="E202" s="238"/>
      <c r="F202" s="250"/>
      <c r="G202" s="22"/>
    </row>
    <row r="203" spans="1:7" ht="15.75" customHeight="1">
      <c r="A203" s="261"/>
      <c r="B203" s="240"/>
      <c r="C203" s="241"/>
      <c r="D203" s="249"/>
      <c r="E203" s="238"/>
      <c r="F203" s="250"/>
      <c r="G203" s="22"/>
    </row>
    <row r="204" spans="1:7" ht="15.75" customHeight="1">
      <c r="A204" s="25" t="s">
        <v>131</v>
      </c>
      <c r="B204" s="25">
        <f>1.0668*3.28084</f>
        <v>3.5000001119999999</v>
      </c>
      <c r="C204" s="25" t="s">
        <v>97</v>
      </c>
      <c r="D204" s="249"/>
      <c r="E204" s="238"/>
      <c r="F204" s="250"/>
      <c r="G204" s="22"/>
    </row>
    <row r="205" spans="1:7" ht="15.75" customHeight="1">
      <c r="A205" s="25" t="s">
        <v>132</v>
      </c>
      <c r="B205" s="25">
        <f>468*EXP(0.1482*B204)</f>
        <v>786.1662723726098</v>
      </c>
      <c r="C205" s="25" t="s">
        <v>39</v>
      </c>
      <c r="D205" s="249"/>
      <c r="E205" s="238"/>
      <c r="F205" s="250"/>
      <c r="G205" s="22"/>
    </row>
    <row r="206" spans="1:7" ht="15.75" customHeight="1">
      <c r="A206" s="25" t="s">
        <v>133</v>
      </c>
      <c r="B206" s="25">
        <f>B198*B200*B201*B202*B205</f>
        <v>14438.583378245115</v>
      </c>
      <c r="C206" s="25" t="s">
        <v>39</v>
      </c>
      <c r="D206" s="249"/>
      <c r="E206" s="238"/>
      <c r="F206" s="250"/>
      <c r="G206" s="22"/>
    </row>
    <row r="207" spans="1:7" ht="15.75" customHeight="1">
      <c r="A207" s="25" t="s">
        <v>134</v>
      </c>
      <c r="B207" s="25">
        <f>B198*2+15</f>
        <v>45</v>
      </c>
      <c r="C207" s="25" t="s">
        <v>97</v>
      </c>
      <c r="D207" s="249"/>
      <c r="E207" s="238"/>
      <c r="F207" s="250"/>
      <c r="G207" s="22"/>
    </row>
    <row r="208" spans="1:7" ht="15.75" customHeight="1">
      <c r="A208" s="25" t="s">
        <v>101</v>
      </c>
      <c r="B208" s="25">
        <f>341*(B204^0.63316)*(B207^0.80161)</f>
        <v>15939.261433349397</v>
      </c>
      <c r="C208" s="25" t="s">
        <v>39</v>
      </c>
      <c r="D208" s="249"/>
      <c r="E208" s="238"/>
      <c r="F208" s="250"/>
      <c r="G208" s="22"/>
    </row>
    <row r="209" spans="1:7" ht="15.75" customHeight="1">
      <c r="A209" s="25" t="s">
        <v>49</v>
      </c>
      <c r="B209" s="25">
        <v>1</v>
      </c>
      <c r="C209" s="50" t="s">
        <v>130</v>
      </c>
      <c r="D209" s="249"/>
      <c r="E209" s="238"/>
      <c r="F209" s="250"/>
      <c r="G209" s="22"/>
    </row>
    <row r="210" spans="1:7" ht="15.75" customHeight="1">
      <c r="A210" s="25" t="s">
        <v>103</v>
      </c>
      <c r="B210" s="25">
        <v>490</v>
      </c>
      <c r="C210" s="25" t="s">
        <v>104</v>
      </c>
      <c r="D210" s="249"/>
      <c r="E210" s="238"/>
      <c r="F210" s="250"/>
      <c r="G210" s="22"/>
    </row>
    <row r="211" spans="1:7" ht="15.75" customHeight="1">
      <c r="A211" s="25" t="s">
        <v>106</v>
      </c>
      <c r="B211" s="25">
        <v>0.1043</v>
      </c>
      <c r="C211" s="25" t="s">
        <v>97</v>
      </c>
      <c r="D211" s="249"/>
      <c r="E211" s="238"/>
      <c r="F211" s="250"/>
      <c r="G211" s="22"/>
    </row>
    <row r="212" spans="1:7" ht="15.75" customHeight="1">
      <c r="A212" s="25" t="s">
        <v>107</v>
      </c>
      <c r="B212" s="25">
        <f>B210*B211*PI()*(B204+B211)*(B207+0.8*B204)</f>
        <v>27661.715092968348</v>
      </c>
      <c r="C212" s="25" t="s">
        <v>108</v>
      </c>
      <c r="D212" s="249"/>
      <c r="E212" s="238"/>
      <c r="F212" s="250"/>
      <c r="G212" s="22"/>
    </row>
    <row r="213" spans="1:7" ht="15.75" customHeight="1">
      <c r="A213" s="25" t="s">
        <v>109</v>
      </c>
      <c r="B213" s="25">
        <f>EXP(7.139+0.18255*LN(B212)+0.02297*(LN(B212))^2)</f>
        <v>90123.046227266794</v>
      </c>
      <c r="C213" s="25" t="s">
        <v>39</v>
      </c>
      <c r="D213" s="249"/>
      <c r="E213" s="238"/>
      <c r="F213" s="250"/>
      <c r="G213" s="22"/>
    </row>
    <row r="214" spans="1:7" ht="15.75" customHeight="1">
      <c r="A214" s="25" t="s">
        <v>110</v>
      </c>
      <c r="B214" s="25">
        <f>B209*B213+B208+B206</f>
        <v>120500.8910388613</v>
      </c>
      <c r="C214" s="25" t="s">
        <v>39</v>
      </c>
      <c r="D214" s="249"/>
      <c r="E214" s="238"/>
      <c r="F214" s="250"/>
      <c r="G214" s="22"/>
    </row>
    <row r="215" spans="1:7" ht="15.75" customHeight="1">
      <c r="A215" s="25" t="s">
        <v>43</v>
      </c>
      <c r="B215" s="25">
        <v>4.16</v>
      </c>
      <c r="C215" s="25" t="s">
        <v>111</v>
      </c>
      <c r="D215" s="249"/>
      <c r="E215" s="238"/>
      <c r="F215" s="250"/>
      <c r="G215" s="22"/>
    </row>
    <row r="216" spans="1:7" ht="15.75" customHeight="1">
      <c r="A216" s="34" t="s">
        <v>52</v>
      </c>
      <c r="B216" s="35">
        <f>B214*B215</f>
        <v>501283.70672166301</v>
      </c>
      <c r="C216" s="34" t="s">
        <v>39</v>
      </c>
      <c r="D216" s="251"/>
      <c r="E216" s="252"/>
      <c r="F216" s="253"/>
      <c r="G216" s="22"/>
    </row>
    <row r="217" spans="1:7" ht="15.75" customHeight="1">
      <c r="A217" s="254" t="s">
        <v>136</v>
      </c>
      <c r="B217" s="238"/>
      <c r="C217" s="238"/>
      <c r="D217" s="238"/>
      <c r="E217" s="238"/>
      <c r="F217" s="238"/>
      <c r="G217" s="22"/>
    </row>
    <row r="218" spans="1:7" ht="15.75" customHeight="1">
      <c r="A218" s="39" t="s">
        <v>27</v>
      </c>
      <c r="B218" s="39" t="s">
        <v>28</v>
      </c>
      <c r="C218" s="39" t="s">
        <v>29</v>
      </c>
      <c r="D218" s="39" t="s">
        <v>27</v>
      </c>
      <c r="E218" s="39" t="s">
        <v>28</v>
      </c>
      <c r="F218" s="39" t="s">
        <v>29</v>
      </c>
      <c r="G218" s="22"/>
    </row>
    <row r="219" spans="1:7" ht="15.75" customHeight="1">
      <c r="A219" s="40" t="s">
        <v>124</v>
      </c>
      <c r="B219" s="40">
        <v>15</v>
      </c>
      <c r="C219" s="40" t="s">
        <v>31</v>
      </c>
      <c r="D219" s="258" t="s">
        <v>137</v>
      </c>
      <c r="E219" s="247"/>
      <c r="F219" s="248"/>
      <c r="G219" s="22"/>
    </row>
    <row r="220" spans="1:7" ht="15.75" customHeight="1">
      <c r="A220" s="40" t="s">
        <v>125</v>
      </c>
      <c r="B220" s="40">
        <v>0.25</v>
      </c>
      <c r="C220" s="255" t="s">
        <v>48</v>
      </c>
      <c r="D220" s="249"/>
      <c r="E220" s="238"/>
      <c r="F220" s="250"/>
      <c r="G220" s="22"/>
    </row>
    <row r="221" spans="1:7" ht="15.75" customHeight="1">
      <c r="A221" s="40" t="s">
        <v>126</v>
      </c>
      <c r="B221" s="40">
        <f>2.25/1.0414^B219</f>
        <v>1.2243875870066863</v>
      </c>
      <c r="C221" s="245"/>
      <c r="D221" s="249"/>
      <c r="E221" s="238"/>
      <c r="F221" s="250"/>
      <c r="G221" s="22"/>
    </row>
    <row r="222" spans="1:7" ht="15.75" customHeight="1">
      <c r="A222" s="40" t="s">
        <v>127</v>
      </c>
      <c r="B222" s="40">
        <v>1</v>
      </c>
      <c r="C222" s="40" t="s">
        <v>128</v>
      </c>
      <c r="D222" s="249"/>
      <c r="E222" s="238"/>
      <c r="F222" s="250"/>
      <c r="G222" s="22"/>
    </row>
    <row r="223" spans="1:7" ht="15.75" customHeight="1">
      <c r="A223" s="51" t="s">
        <v>129</v>
      </c>
      <c r="B223" s="51">
        <v>1</v>
      </c>
      <c r="C223" s="51" t="s">
        <v>130</v>
      </c>
      <c r="D223" s="249"/>
      <c r="E223" s="238"/>
      <c r="F223" s="250"/>
      <c r="G223" s="22"/>
    </row>
    <row r="224" spans="1:7" ht="15.75" customHeight="1">
      <c r="A224" s="261"/>
      <c r="B224" s="240"/>
      <c r="C224" s="241"/>
      <c r="D224" s="249"/>
      <c r="E224" s="238"/>
      <c r="F224" s="250"/>
      <c r="G224" s="22"/>
    </row>
    <row r="225" spans="1:7" ht="15.75" customHeight="1">
      <c r="A225" s="40" t="s">
        <v>131</v>
      </c>
      <c r="B225" s="25">
        <f>2.286*3.28084</f>
        <v>7.5000002400000003</v>
      </c>
      <c r="C225" s="40" t="s">
        <v>97</v>
      </c>
      <c r="D225" s="249"/>
      <c r="E225" s="238"/>
      <c r="F225" s="250"/>
      <c r="G225" s="22"/>
    </row>
    <row r="226" spans="1:7" ht="15.75" customHeight="1">
      <c r="A226" s="40" t="s">
        <v>132</v>
      </c>
      <c r="B226" s="45">
        <f>468*EXP(0.1482*B225)</f>
        <v>1422.2114971627968</v>
      </c>
      <c r="C226" s="40" t="s">
        <v>39</v>
      </c>
      <c r="D226" s="249"/>
      <c r="E226" s="238"/>
      <c r="F226" s="250"/>
      <c r="G226" s="22"/>
    </row>
    <row r="227" spans="1:7" ht="15.75" customHeight="1">
      <c r="A227" s="40" t="s">
        <v>133</v>
      </c>
      <c r="B227" s="45">
        <f>B219*B221*B222*B223*B226</f>
        <v>26120.071548364853</v>
      </c>
      <c r="C227" s="40" t="s">
        <v>39</v>
      </c>
      <c r="D227" s="249"/>
      <c r="E227" s="238"/>
      <c r="F227" s="250"/>
      <c r="G227" s="22"/>
    </row>
    <row r="228" spans="1:7" ht="15.75" customHeight="1">
      <c r="A228" s="40" t="s">
        <v>134</v>
      </c>
      <c r="B228" s="40">
        <f>B219*2+15</f>
        <v>45</v>
      </c>
      <c r="C228" s="40" t="s">
        <v>97</v>
      </c>
      <c r="D228" s="249"/>
      <c r="E228" s="238"/>
      <c r="F228" s="250"/>
      <c r="G228" s="22"/>
    </row>
    <row r="229" spans="1:7" ht="15.75" customHeight="1">
      <c r="A229" s="40" t="s">
        <v>101</v>
      </c>
      <c r="B229" s="45">
        <f>341*(B225^0.63316)*(B228^0.80161)</f>
        <v>25824.97206945439</v>
      </c>
      <c r="C229" s="40" t="s">
        <v>39</v>
      </c>
      <c r="D229" s="249"/>
      <c r="E229" s="238"/>
      <c r="F229" s="250"/>
      <c r="G229" s="22"/>
    </row>
    <row r="230" spans="1:7" ht="15.75" customHeight="1">
      <c r="A230" s="40" t="s">
        <v>49</v>
      </c>
      <c r="B230" s="40">
        <v>1</v>
      </c>
      <c r="C230" s="51" t="s">
        <v>130</v>
      </c>
      <c r="D230" s="249"/>
      <c r="E230" s="238"/>
      <c r="F230" s="250"/>
      <c r="G230" s="22"/>
    </row>
    <row r="231" spans="1:7" ht="15.75" customHeight="1">
      <c r="A231" s="40" t="s">
        <v>103</v>
      </c>
      <c r="B231" s="40">
        <v>490</v>
      </c>
      <c r="C231" s="40" t="s">
        <v>104</v>
      </c>
      <c r="D231" s="249"/>
      <c r="E231" s="238"/>
      <c r="F231" s="250"/>
      <c r="G231" s="22"/>
    </row>
    <row r="232" spans="1:7" ht="15.75" customHeight="1">
      <c r="A232" s="40" t="s">
        <v>106</v>
      </c>
      <c r="B232" s="52">
        <v>0.1043</v>
      </c>
      <c r="C232" s="40" t="s">
        <v>97</v>
      </c>
      <c r="D232" s="249"/>
      <c r="E232" s="238"/>
      <c r="F232" s="250"/>
      <c r="G232" s="22"/>
    </row>
    <row r="233" spans="1:7" ht="15.75" customHeight="1">
      <c r="A233" s="40" t="s">
        <v>107</v>
      </c>
      <c r="B233" s="40">
        <f>B231*B232*PI()*(B225+B232)*(B228+0.8*B225)</f>
        <v>62267.251271683956</v>
      </c>
      <c r="C233" s="40" t="s">
        <v>108</v>
      </c>
      <c r="D233" s="249"/>
      <c r="E233" s="238"/>
      <c r="F233" s="250"/>
      <c r="G233" s="22"/>
    </row>
    <row r="234" spans="1:7" ht="15.75" customHeight="1">
      <c r="A234" s="40" t="s">
        <v>109</v>
      </c>
      <c r="B234" s="45">
        <f>EXP(7.139+0.18255*LN(B233)+0.02297*(LN(B233))^2)</f>
        <v>155346.64399819347</v>
      </c>
      <c r="C234" s="40" t="s">
        <v>39</v>
      </c>
      <c r="D234" s="249"/>
      <c r="E234" s="238"/>
      <c r="F234" s="250"/>
      <c r="G234" s="22"/>
    </row>
    <row r="235" spans="1:7" ht="15.75" customHeight="1">
      <c r="A235" s="40" t="s">
        <v>110</v>
      </c>
      <c r="B235" s="45">
        <f>B230*B234+B229+B227</f>
        <v>207291.6876160127</v>
      </c>
      <c r="C235" s="40" t="s">
        <v>39</v>
      </c>
      <c r="D235" s="249"/>
      <c r="E235" s="238"/>
      <c r="F235" s="250"/>
      <c r="G235" s="22"/>
    </row>
    <row r="236" spans="1:7" ht="15.75" customHeight="1">
      <c r="A236" s="40" t="s">
        <v>43</v>
      </c>
      <c r="B236" s="40">
        <v>4.16</v>
      </c>
      <c r="C236" s="40" t="s">
        <v>111</v>
      </c>
      <c r="D236" s="249"/>
      <c r="E236" s="238"/>
      <c r="F236" s="250"/>
      <c r="G236" s="22"/>
    </row>
    <row r="237" spans="1:7" ht="15.75" customHeight="1">
      <c r="A237" s="47" t="s">
        <v>52</v>
      </c>
      <c r="B237" s="48">
        <f>B235*B236</f>
        <v>862333.42048261291</v>
      </c>
      <c r="C237" s="47" t="s">
        <v>39</v>
      </c>
      <c r="D237" s="251"/>
      <c r="E237" s="252"/>
      <c r="F237" s="253"/>
      <c r="G237" s="22"/>
    </row>
    <row r="238" spans="1:7" ht="15.75" customHeight="1">
      <c r="A238" s="262" t="s">
        <v>138</v>
      </c>
      <c r="B238" s="247"/>
      <c r="C238" s="248"/>
      <c r="D238" s="263">
        <f>SUM(B16,B31,B44,B57,B70,B83,B96,B109,B132,B142,B152,B162,B172,B195,B216,B237)</f>
        <v>17297138.08674502</v>
      </c>
      <c r="E238" s="247"/>
      <c r="F238" s="248"/>
      <c r="G238" s="22"/>
    </row>
    <row r="239" spans="1:7" ht="15.75" customHeight="1">
      <c r="A239" s="251"/>
      <c r="B239" s="252"/>
      <c r="C239" s="253"/>
      <c r="D239" s="251"/>
      <c r="E239" s="252"/>
      <c r="F239" s="253"/>
      <c r="G239" s="22"/>
    </row>
    <row r="240" spans="1:7" ht="15.75" customHeight="1">
      <c r="A240" s="22"/>
      <c r="B240" s="22"/>
      <c r="C240" s="22"/>
      <c r="D240" s="22"/>
      <c r="E240" s="22"/>
      <c r="F240" s="22"/>
      <c r="G240" s="22"/>
    </row>
  </sheetData>
  <mergeCells count="55">
    <mergeCell ref="A238:C239"/>
    <mergeCell ref="D238:F239"/>
    <mergeCell ref="A163:F163"/>
    <mergeCell ref="A173:F173"/>
    <mergeCell ref="A174:F174"/>
    <mergeCell ref="A175:F175"/>
    <mergeCell ref="C178:C179"/>
    <mergeCell ref="A182:C182"/>
    <mergeCell ref="A196:F196"/>
    <mergeCell ref="D219:F237"/>
    <mergeCell ref="F113:F119"/>
    <mergeCell ref="F120:F126"/>
    <mergeCell ref="D127:F132"/>
    <mergeCell ref="A133:F133"/>
    <mergeCell ref="D134:F142"/>
    <mergeCell ref="A143:F143"/>
    <mergeCell ref="A153:F153"/>
    <mergeCell ref="C199:C200"/>
    <mergeCell ref="A203:C203"/>
    <mergeCell ref="A217:F217"/>
    <mergeCell ref="C220:C221"/>
    <mergeCell ref="A224:C224"/>
    <mergeCell ref="D144:F152"/>
    <mergeCell ref="D154:F162"/>
    <mergeCell ref="D164:F172"/>
    <mergeCell ref="D177:F195"/>
    <mergeCell ref="D198:F216"/>
    <mergeCell ref="A97:F97"/>
    <mergeCell ref="D99:F109"/>
    <mergeCell ref="C106:C108"/>
    <mergeCell ref="A110:F110"/>
    <mergeCell ref="C113:C119"/>
    <mergeCell ref="A71:F71"/>
    <mergeCell ref="D73:F83"/>
    <mergeCell ref="C80:C82"/>
    <mergeCell ref="A84:F84"/>
    <mergeCell ref="D86:F96"/>
    <mergeCell ref="C93:C95"/>
    <mergeCell ref="C54:C56"/>
    <mergeCell ref="A58:F58"/>
    <mergeCell ref="D47:F57"/>
    <mergeCell ref="D60:F70"/>
    <mergeCell ref="C67:C69"/>
    <mergeCell ref="C28:C30"/>
    <mergeCell ref="A32:F32"/>
    <mergeCell ref="D34:F44"/>
    <mergeCell ref="C41:C43"/>
    <mergeCell ref="A45:F45"/>
    <mergeCell ref="A1:C1"/>
    <mergeCell ref="D1:F1"/>
    <mergeCell ref="A2:F2"/>
    <mergeCell ref="G2:G11"/>
    <mergeCell ref="C13:C15"/>
    <mergeCell ref="G14:G18"/>
    <mergeCell ref="A17:F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48"/>
  <sheetViews>
    <sheetView workbookViewId="0"/>
  </sheetViews>
  <sheetFormatPr defaultColWidth="12.5703125" defaultRowHeight="15" customHeight="1"/>
  <cols>
    <col min="1" max="1" width="30.140625" customWidth="1"/>
    <col min="2" max="2" width="17.5703125" customWidth="1"/>
    <col min="3" max="3" width="43.42578125" customWidth="1"/>
    <col min="4" max="4" width="25.42578125" customWidth="1"/>
    <col min="5" max="5" width="15.140625" customWidth="1"/>
    <col min="6" max="6" width="26.140625" customWidth="1"/>
    <col min="7" max="7" width="21.28515625" customWidth="1"/>
    <col min="8" max="8" width="14.140625" customWidth="1"/>
  </cols>
  <sheetData>
    <row r="1" spans="1:8" ht="15.75" customHeight="1">
      <c r="A1" s="239" t="s">
        <v>23</v>
      </c>
      <c r="B1" s="240"/>
      <c r="C1" s="241"/>
      <c r="D1" s="239" t="s">
        <v>24</v>
      </c>
      <c r="E1" s="240"/>
      <c r="F1" s="241"/>
      <c r="G1" s="22"/>
      <c r="H1" s="22"/>
    </row>
    <row r="2" spans="1:8" ht="15.75" customHeight="1">
      <c r="A2" s="239" t="s">
        <v>25</v>
      </c>
      <c r="B2" s="240"/>
      <c r="C2" s="240"/>
      <c r="D2" s="240"/>
      <c r="E2" s="240"/>
      <c r="F2" s="241"/>
      <c r="G2" s="242" t="s">
        <v>26</v>
      </c>
      <c r="H2" s="23"/>
    </row>
    <row r="3" spans="1:8" ht="15.75" customHeight="1">
      <c r="A3" s="24" t="s">
        <v>27</v>
      </c>
      <c r="B3" s="24" t="s">
        <v>28</v>
      </c>
      <c r="C3" s="24" t="s">
        <v>29</v>
      </c>
      <c r="D3" s="24" t="s">
        <v>27</v>
      </c>
      <c r="E3" s="24" t="s">
        <v>28</v>
      </c>
      <c r="F3" s="24" t="s">
        <v>29</v>
      </c>
      <c r="G3" s="238"/>
      <c r="H3" s="23"/>
    </row>
    <row r="4" spans="1:8" ht="15.75" customHeight="1">
      <c r="A4" s="25" t="s">
        <v>30</v>
      </c>
      <c r="B4" s="26">
        <v>1850</v>
      </c>
      <c r="C4" s="25" t="s">
        <v>31</v>
      </c>
      <c r="D4" s="27"/>
      <c r="E4" s="28"/>
      <c r="F4" s="29"/>
      <c r="G4" s="238"/>
      <c r="H4" s="23"/>
    </row>
    <row r="5" spans="1:8" ht="15.75" customHeight="1">
      <c r="A5" s="25" t="s">
        <v>32</v>
      </c>
      <c r="B5" s="25">
        <v>5.64</v>
      </c>
      <c r="C5" s="25" t="s">
        <v>33</v>
      </c>
      <c r="D5" s="30"/>
      <c r="E5" s="31"/>
      <c r="F5" s="32"/>
      <c r="G5" s="238"/>
      <c r="H5" s="23"/>
    </row>
    <row r="6" spans="1:8" ht="15.75" customHeight="1">
      <c r="A6" s="25" t="s">
        <v>34</v>
      </c>
      <c r="B6" s="26">
        <f>0.0254/0.0254</f>
        <v>1</v>
      </c>
      <c r="C6" s="25" t="s">
        <v>35</v>
      </c>
      <c r="D6" s="30"/>
      <c r="E6" s="31"/>
      <c r="F6" s="32"/>
      <c r="G6" s="238"/>
      <c r="H6" s="23"/>
    </row>
    <row r="7" spans="1:8" ht="15.75" customHeight="1">
      <c r="A7" s="25" t="s">
        <v>36</v>
      </c>
      <c r="B7" s="33">
        <v>2206</v>
      </c>
      <c r="C7" s="25" t="s">
        <v>37</v>
      </c>
      <c r="D7" s="30"/>
      <c r="E7" s="31"/>
      <c r="F7" s="32"/>
      <c r="G7" s="238"/>
      <c r="H7" s="23"/>
    </row>
    <row r="8" spans="1:8" ht="15.75" customHeight="1">
      <c r="A8" s="34" t="s">
        <v>38</v>
      </c>
      <c r="B8" s="35">
        <f>B7*70</f>
        <v>154420</v>
      </c>
      <c r="C8" s="34" t="s">
        <v>39</v>
      </c>
      <c r="D8" s="30"/>
      <c r="E8" s="31"/>
      <c r="F8" s="32"/>
      <c r="G8" s="238"/>
      <c r="H8" s="23"/>
    </row>
    <row r="9" spans="1:8" ht="15.75" customHeight="1">
      <c r="A9" s="25" t="s">
        <v>40</v>
      </c>
      <c r="B9" s="26">
        <f>2*PI()*B6*0.0254/2*B5*B4*(3.28084)^2</f>
        <v>8961.9914275579904</v>
      </c>
      <c r="C9" s="25" t="s">
        <v>41</v>
      </c>
      <c r="D9" s="30"/>
      <c r="E9" s="31"/>
      <c r="F9" s="32"/>
      <c r="G9" s="238"/>
      <c r="H9" s="23"/>
    </row>
    <row r="10" spans="1:8" ht="15.75" customHeight="1">
      <c r="A10" s="25" t="s">
        <v>42</v>
      </c>
      <c r="B10" s="26">
        <f>EXP(11.4185-0.9228*LN(B9)+0.09861*(LN(B9))^2)</f>
        <v>72226.7756565944</v>
      </c>
      <c r="C10" s="25" t="s">
        <v>39</v>
      </c>
      <c r="D10" s="30"/>
      <c r="E10" s="31"/>
      <c r="F10" s="32"/>
      <c r="G10" s="238"/>
      <c r="H10" s="23"/>
    </row>
    <row r="11" spans="1:8" ht="15.75" customHeight="1">
      <c r="A11" s="25" t="s">
        <v>43</v>
      </c>
      <c r="B11" s="25">
        <v>3.17</v>
      </c>
      <c r="C11" s="25" t="s">
        <v>44</v>
      </c>
      <c r="D11" s="30"/>
      <c r="E11" s="31"/>
      <c r="F11" s="32"/>
      <c r="G11" s="238"/>
      <c r="H11" s="23"/>
    </row>
    <row r="12" spans="1:8" ht="15.75" customHeight="1">
      <c r="A12" s="25" t="s">
        <v>45</v>
      </c>
      <c r="B12" s="25">
        <f>24*14.5038</f>
        <v>348.09120000000001</v>
      </c>
      <c r="C12" s="25" t="s">
        <v>46</v>
      </c>
      <c r="D12" s="30"/>
      <c r="E12" s="31"/>
      <c r="F12" s="32"/>
      <c r="G12" s="22"/>
      <c r="H12" s="22"/>
    </row>
    <row r="13" spans="1:8" ht="15.75" customHeight="1">
      <c r="A13" s="25" t="s">
        <v>47</v>
      </c>
      <c r="B13" s="25">
        <f>0.9803+0.018*(B12/100)+0.0017*(B12/100)^2</f>
        <v>1.0635548881979648</v>
      </c>
      <c r="C13" s="243" t="s">
        <v>48</v>
      </c>
      <c r="D13" s="30"/>
      <c r="E13" s="31"/>
      <c r="F13" s="32"/>
      <c r="G13" s="22"/>
      <c r="H13" s="22"/>
    </row>
    <row r="14" spans="1:8" ht="15.75" customHeight="1">
      <c r="A14" s="25" t="s">
        <v>49</v>
      </c>
      <c r="B14" s="25">
        <v>1</v>
      </c>
      <c r="C14" s="244"/>
      <c r="D14" s="30"/>
      <c r="E14" s="31"/>
      <c r="F14" s="32"/>
      <c r="G14" s="242" t="s">
        <v>50</v>
      </c>
      <c r="H14" s="23"/>
    </row>
    <row r="15" spans="1:8" ht="15.75" customHeight="1">
      <c r="A15" s="25" t="s">
        <v>51</v>
      </c>
      <c r="B15" s="25">
        <v>1</v>
      </c>
      <c r="C15" s="245"/>
      <c r="D15" s="30"/>
      <c r="E15" s="31"/>
      <c r="F15" s="32"/>
      <c r="G15" s="238"/>
      <c r="H15" s="23"/>
    </row>
    <row r="16" spans="1:8" ht="15.75" customHeight="1">
      <c r="A16" s="34" t="s">
        <v>52</v>
      </c>
      <c r="B16" s="35">
        <f>B11*B13*B14*B15*B10</f>
        <v>243510.33477746553</v>
      </c>
      <c r="C16" s="34" t="s">
        <v>39</v>
      </c>
      <c r="D16" s="30"/>
      <c r="E16" s="31"/>
      <c r="F16" s="32"/>
      <c r="G16" s="238"/>
      <c r="H16" s="23"/>
    </row>
    <row r="17" spans="1:8" ht="15.75" customHeight="1">
      <c r="A17" s="239" t="s">
        <v>53</v>
      </c>
      <c r="B17" s="240"/>
      <c r="C17" s="240"/>
      <c r="D17" s="240"/>
      <c r="E17" s="240"/>
      <c r="F17" s="241"/>
      <c r="G17" s="238"/>
      <c r="H17" s="23"/>
    </row>
    <row r="18" spans="1:8" ht="15.75" customHeight="1">
      <c r="A18" s="24" t="s">
        <v>27</v>
      </c>
      <c r="B18" s="24" t="s">
        <v>28</v>
      </c>
      <c r="C18" s="24" t="s">
        <v>29</v>
      </c>
      <c r="D18" s="24" t="s">
        <v>27</v>
      </c>
      <c r="E18" s="24" t="s">
        <v>28</v>
      </c>
      <c r="F18" s="24" t="s">
        <v>29</v>
      </c>
      <c r="G18" s="238"/>
      <c r="H18" s="23"/>
    </row>
    <row r="19" spans="1:8" ht="15.75" customHeight="1">
      <c r="A19" s="25" t="s">
        <v>30</v>
      </c>
      <c r="B19" s="26">
        <v>15400</v>
      </c>
      <c r="C19" s="25" t="s">
        <v>31</v>
      </c>
      <c r="D19" s="27"/>
      <c r="E19" s="28"/>
      <c r="F19" s="29"/>
      <c r="G19" s="22"/>
      <c r="H19" s="22"/>
    </row>
    <row r="20" spans="1:8" ht="15.75" customHeight="1">
      <c r="A20" s="25" t="s">
        <v>32</v>
      </c>
      <c r="B20" s="25">
        <f>53.75/3.28084</f>
        <v>16.382999475744018</v>
      </c>
      <c r="C20" s="25" t="s">
        <v>33</v>
      </c>
      <c r="D20" s="30"/>
      <c r="E20" s="31"/>
      <c r="F20" s="32"/>
      <c r="G20" s="22">
        <f>2+3+3+1+3+3+2+2</f>
        <v>19</v>
      </c>
      <c r="H20" s="22"/>
    </row>
    <row r="21" spans="1:8" ht="15.75" customHeight="1">
      <c r="A21" s="25" t="s">
        <v>34</v>
      </c>
      <c r="B21" s="26">
        <f>0.0254/0.0254</f>
        <v>1</v>
      </c>
      <c r="C21" s="25" t="s">
        <v>35</v>
      </c>
      <c r="D21" s="30"/>
      <c r="E21" s="31"/>
      <c r="F21" s="32"/>
      <c r="G21" s="22">
        <f>G20/2+1</f>
        <v>10.5</v>
      </c>
      <c r="H21" s="22"/>
    </row>
    <row r="22" spans="1:8" ht="15.75" customHeight="1">
      <c r="A22" s="25" t="s">
        <v>36</v>
      </c>
      <c r="B22" s="36">
        <v>78000</v>
      </c>
      <c r="C22" s="25" t="s">
        <v>37</v>
      </c>
      <c r="D22" s="30"/>
      <c r="E22" s="31"/>
      <c r="F22" s="32"/>
      <c r="G22" s="22"/>
      <c r="H22" s="22"/>
    </row>
    <row r="23" spans="1:8" ht="15.75" customHeight="1">
      <c r="A23" s="34" t="s">
        <v>38</v>
      </c>
      <c r="B23" s="35">
        <f>B22*70</f>
        <v>5460000</v>
      </c>
      <c r="C23" s="34" t="s">
        <v>39</v>
      </c>
      <c r="D23" s="30"/>
      <c r="E23" s="31"/>
      <c r="F23" s="32"/>
      <c r="G23" s="22"/>
      <c r="H23" s="22"/>
    </row>
    <row r="24" spans="1:8" ht="15.75" customHeight="1">
      <c r="A24" s="25" t="s">
        <v>40</v>
      </c>
      <c r="B24" s="26">
        <f>2*PI()*B21*0.0254/2*B20*B19*(3.28084)^2</f>
        <v>216704.45018528815</v>
      </c>
      <c r="C24" s="25" t="s">
        <v>41</v>
      </c>
      <c r="D24" s="30"/>
      <c r="E24" s="31"/>
      <c r="F24" s="32"/>
      <c r="G24" s="22"/>
      <c r="H24" s="22"/>
    </row>
    <row r="25" spans="1:8" ht="15.75" customHeight="1">
      <c r="A25" s="25" t="s">
        <v>42</v>
      </c>
      <c r="B25" s="26">
        <f>EXP(11.4185-0.9228*LN(B24)+0.09861*(LN(B24))^2)</f>
        <v>3160304.0775384717</v>
      </c>
      <c r="C25" s="25" t="s">
        <v>39</v>
      </c>
      <c r="D25" s="30"/>
      <c r="E25" s="31"/>
      <c r="F25" s="32"/>
      <c r="G25" s="22"/>
      <c r="H25" s="22"/>
    </row>
    <row r="26" spans="1:8" ht="15.75" customHeight="1">
      <c r="A26" s="25" t="s">
        <v>43</v>
      </c>
      <c r="B26" s="25">
        <v>3.17</v>
      </c>
      <c r="C26" s="25" t="s">
        <v>44</v>
      </c>
      <c r="D26" s="30"/>
      <c r="E26" s="31"/>
      <c r="F26" s="32"/>
      <c r="G26" s="22"/>
      <c r="H26" s="22"/>
    </row>
    <row r="27" spans="1:8" ht="15.75" customHeight="1">
      <c r="A27" s="25" t="s">
        <v>45</v>
      </c>
      <c r="B27" s="25">
        <f>15*14.5038</f>
        <v>217.55699999999999</v>
      </c>
      <c r="C27" s="25" t="s">
        <v>54</v>
      </c>
      <c r="D27" s="30"/>
      <c r="E27" s="31"/>
      <c r="F27" s="32"/>
      <c r="G27" s="22"/>
      <c r="H27" s="22"/>
    </row>
    <row r="28" spans="1:8" ht="15.75" customHeight="1">
      <c r="A28" s="25" t="s">
        <v>47</v>
      </c>
      <c r="B28" s="25">
        <f>0.9803+0.018*(B27/100)+0.0017*(B27/100)^2</f>
        <v>1.0275065382023301</v>
      </c>
      <c r="C28" s="243" t="s">
        <v>48</v>
      </c>
      <c r="D28" s="30"/>
      <c r="E28" s="31"/>
      <c r="F28" s="32"/>
      <c r="G28" s="22"/>
      <c r="H28" s="22"/>
    </row>
    <row r="29" spans="1:8" ht="15.75" customHeight="1">
      <c r="A29" s="25" t="s">
        <v>49</v>
      </c>
      <c r="B29" s="25">
        <v>1</v>
      </c>
      <c r="C29" s="244"/>
      <c r="D29" s="30"/>
      <c r="E29" s="31"/>
      <c r="F29" s="32"/>
      <c r="G29" s="22"/>
      <c r="H29" s="22"/>
    </row>
    <row r="30" spans="1:8" ht="15.75" customHeight="1">
      <c r="A30" s="25" t="s">
        <v>51</v>
      </c>
      <c r="B30" s="25">
        <v>1</v>
      </c>
      <c r="C30" s="245"/>
      <c r="D30" s="30"/>
      <c r="E30" s="31"/>
      <c r="F30" s="32"/>
      <c r="G30" s="22"/>
      <c r="H30" s="22"/>
    </row>
    <row r="31" spans="1:8" ht="15.75" customHeight="1">
      <c r="A31" s="34" t="s">
        <v>52</v>
      </c>
      <c r="B31" s="35">
        <f>B26*B28*B29*B30*B25</f>
        <v>10293728.934539095</v>
      </c>
      <c r="C31" s="34" t="s">
        <v>39</v>
      </c>
      <c r="D31" s="30"/>
      <c r="E31" s="31"/>
      <c r="F31" s="32"/>
      <c r="G31" s="22"/>
      <c r="H31" s="22"/>
    </row>
    <row r="32" spans="1:8" ht="15.75" customHeight="1">
      <c r="A32" s="239" t="s">
        <v>55</v>
      </c>
      <c r="B32" s="240"/>
      <c r="C32" s="240"/>
      <c r="D32" s="240"/>
      <c r="E32" s="240"/>
      <c r="F32" s="241"/>
      <c r="G32" s="22"/>
      <c r="H32" s="22"/>
    </row>
    <row r="33" spans="1:8" ht="15.75" customHeight="1">
      <c r="A33" s="37" t="s">
        <v>27</v>
      </c>
      <c r="B33" s="37" t="s">
        <v>28</v>
      </c>
      <c r="C33" s="37" t="s">
        <v>29</v>
      </c>
      <c r="D33" s="37" t="s">
        <v>27</v>
      </c>
      <c r="E33" s="37" t="s">
        <v>28</v>
      </c>
      <c r="F33" s="37" t="s">
        <v>29</v>
      </c>
      <c r="G33" s="22"/>
      <c r="H33" s="22"/>
    </row>
    <row r="34" spans="1:8" ht="15.75" customHeight="1">
      <c r="A34" s="25" t="s">
        <v>56</v>
      </c>
      <c r="B34" s="38">
        <v>0.78858200000000001</v>
      </c>
      <c r="C34" s="25" t="s">
        <v>57</v>
      </c>
      <c r="D34" s="246"/>
      <c r="E34" s="247"/>
      <c r="F34" s="248"/>
      <c r="G34" s="22"/>
      <c r="H34" s="22"/>
    </row>
    <row r="35" spans="1:8" ht="15.75" customHeight="1">
      <c r="A35" s="25" t="s">
        <v>56</v>
      </c>
      <c r="B35" s="26">
        <f>B34*3968320.722</f>
        <v>3129346.291596204</v>
      </c>
      <c r="C35" s="25" t="s">
        <v>58</v>
      </c>
      <c r="D35" s="249"/>
      <c r="E35" s="238"/>
      <c r="F35" s="250"/>
      <c r="G35" s="22"/>
      <c r="H35" s="22"/>
    </row>
    <row r="36" spans="1:8" ht="15.75" customHeight="1">
      <c r="A36" s="25" t="s">
        <v>59</v>
      </c>
      <c r="B36" s="25">
        <v>10000</v>
      </c>
      <c r="C36" s="25" t="s">
        <v>60</v>
      </c>
      <c r="D36" s="249"/>
      <c r="E36" s="238"/>
      <c r="F36" s="250"/>
      <c r="G36" s="22"/>
      <c r="H36" s="22"/>
    </row>
    <row r="37" spans="1:8" ht="15.75" customHeight="1">
      <c r="A37" s="25" t="s">
        <v>40</v>
      </c>
      <c r="B37" s="25">
        <f>B35/B36</f>
        <v>312.93462915962039</v>
      </c>
      <c r="C37" s="25" t="s">
        <v>61</v>
      </c>
      <c r="D37" s="249"/>
      <c r="E37" s="238"/>
      <c r="F37" s="250"/>
      <c r="G37" s="22"/>
      <c r="H37" s="22"/>
    </row>
    <row r="38" spans="1:8" ht="15.75" customHeight="1">
      <c r="A38" s="25" t="s">
        <v>42</v>
      </c>
      <c r="B38" s="26">
        <f>EXP(11.4185-0.9228*LN(B37)+0.09861*(LN(B37))^2)</f>
        <v>11752.82183304948</v>
      </c>
      <c r="C38" s="25" t="s">
        <v>39</v>
      </c>
      <c r="D38" s="249"/>
      <c r="E38" s="238"/>
      <c r="F38" s="250"/>
      <c r="G38" s="22"/>
      <c r="H38" s="22"/>
    </row>
    <row r="39" spans="1:8" ht="15.75" customHeight="1">
      <c r="A39" s="25" t="s">
        <v>43</v>
      </c>
      <c r="B39" s="25">
        <v>2.15</v>
      </c>
      <c r="C39" s="25" t="s">
        <v>62</v>
      </c>
      <c r="D39" s="249"/>
      <c r="E39" s="238"/>
      <c r="F39" s="250"/>
      <c r="G39" s="22"/>
      <c r="H39" s="22"/>
    </row>
    <row r="40" spans="1:8" ht="15.75" customHeight="1">
      <c r="A40" s="25" t="s">
        <v>45</v>
      </c>
      <c r="B40" s="25">
        <f>7*14.5038</f>
        <v>101.5266</v>
      </c>
      <c r="C40" s="25" t="s">
        <v>46</v>
      </c>
      <c r="D40" s="249"/>
      <c r="E40" s="238"/>
      <c r="F40" s="250"/>
      <c r="G40" s="22"/>
      <c r="H40" s="22"/>
    </row>
    <row r="41" spans="1:8" ht="15.75" customHeight="1">
      <c r="A41" s="25" t="s">
        <v>47</v>
      </c>
      <c r="B41" s="25">
        <f>0.9803+0.018*(B40/100)+0.0017*(B40/100)^2</f>
        <v>1.0003270885862852</v>
      </c>
      <c r="C41" s="243" t="s">
        <v>48</v>
      </c>
      <c r="D41" s="249"/>
      <c r="E41" s="238"/>
      <c r="F41" s="250"/>
      <c r="G41" s="22"/>
      <c r="H41" s="22"/>
    </row>
    <row r="42" spans="1:8" ht="15.75" customHeight="1">
      <c r="A42" s="25" t="s">
        <v>49</v>
      </c>
      <c r="B42" s="25">
        <v>1</v>
      </c>
      <c r="C42" s="244"/>
      <c r="D42" s="249"/>
      <c r="E42" s="238"/>
      <c r="F42" s="250"/>
      <c r="G42" s="22"/>
      <c r="H42" s="22"/>
    </row>
    <row r="43" spans="1:8" ht="15.75" customHeight="1">
      <c r="A43" s="25" t="s">
        <v>51</v>
      </c>
      <c r="B43" s="25">
        <v>1</v>
      </c>
      <c r="C43" s="245"/>
      <c r="D43" s="249"/>
      <c r="E43" s="238"/>
      <c r="F43" s="250"/>
      <c r="G43" s="22"/>
      <c r="H43" s="22"/>
    </row>
    <row r="44" spans="1:8" ht="15.75" customHeight="1">
      <c r="A44" s="34" t="s">
        <v>52</v>
      </c>
      <c r="B44" s="35">
        <f>B43*B42*B41*B39*B38</f>
        <v>25276.832000894581</v>
      </c>
      <c r="C44" s="34" t="s">
        <v>39</v>
      </c>
      <c r="D44" s="251"/>
      <c r="E44" s="252"/>
      <c r="F44" s="253"/>
      <c r="G44" s="22"/>
      <c r="H44" s="22"/>
    </row>
    <row r="45" spans="1:8" ht="15.75" customHeight="1">
      <c r="A45" s="239" t="s">
        <v>63</v>
      </c>
      <c r="B45" s="240"/>
      <c r="C45" s="240"/>
      <c r="D45" s="240"/>
      <c r="E45" s="240"/>
      <c r="F45" s="241"/>
      <c r="G45" s="22"/>
      <c r="H45" s="22"/>
    </row>
    <row r="46" spans="1:8" ht="15.75" customHeight="1">
      <c r="A46" s="37" t="s">
        <v>27</v>
      </c>
      <c r="B46" s="37" t="s">
        <v>28</v>
      </c>
      <c r="C46" s="37" t="s">
        <v>29</v>
      </c>
      <c r="D46" s="37" t="s">
        <v>27</v>
      </c>
      <c r="E46" s="37" t="s">
        <v>28</v>
      </c>
      <c r="F46" s="37" t="s">
        <v>29</v>
      </c>
      <c r="G46" s="22"/>
      <c r="H46" s="22"/>
    </row>
    <row r="47" spans="1:8" ht="15.75" customHeight="1">
      <c r="A47" s="25" t="s">
        <v>56</v>
      </c>
      <c r="B47" s="38">
        <v>-9.8199199999999998</v>
      </c>
      <c r="C47" s="25" t="s">
        <v>57</v>
      </c>
      <c r="D47" s="246"/>
      <c r="E47" s="247"/>
      <c r="F47" s="248"/>
      <c r="G47" s="22"/>
      <c r="H47" s="22"/>
    </row>
    <row r="48" spans="1:8" ht="15.75" customHeight="1">
      <c r="A48" s="25" t="s">
        <v>56</v>
      </c>
      <c r="B48" s="26">
        <f>ABS(B47*3968320.722)</f>
        <v>38968592.024382241</v>
      </c>
      <c r="C48" s="25" t="s">
        <v>58</v>
      </c>
      <c r="D48" s="249"/>
      <c r="E48" s="238"/>
      <c r="F48" s="250"/>
      <c r="G48" s="22"/>
      <c r="H48" s="22"/>
    </row>
    <row r="49" spans="1:8" ht="15.75" customHeight="1">
      <c r="A49" s="25" t="s">
        <v>59</v>
      </c>
      <c r="B49" s="25">
        <v>10000</v>
      </c>
      <c r="C49" s="25" t="s">
        <v>60</v>
      </c>
      <c r="D49" s="249"/>
      <c r="E49" s="238"/>
      <c r="F49" s="250"/>
      <c r="G49" s="22"/>
      <c r="H49" s="22"/>
    </row>
    <row r="50" spans="1:8" ht="15.75" customHeight="1">
      <c r="A50" s="25" t="s">
        <v>40</v>
      </c>
      <c r="B50" s="25">
        <f>B48/B49</f>
        <v>3896.8592024382242</v>
      </c>
      <c r="C50" s="25" t="s">
        <v>61</v>
      </c>
      <c r="D50" s="249"/>
      <c r="E50" s="238"/>
      <c r="F50" s="250"/>
      <c r="G50" s="22"/>
      <c r="H50" s="22"/>
    </row>
    <row r="51" spans="1:8" ht="15.75" customHeight="1">
      <c r="A51" s="25" t="s">
        <v>42</v>
      </c>
      <c r="B51" s="25">
        <f>EXP(11.4185-0.9228*LN(B50)+0.09861*(LN(B50))^2)</f>
        <v>37410.234313179921</v>
      </c>
      <c r="C51" s="25" t="s">
        <v>39</v>
      </c>
      <c r="D51" s="249"/>
      <c r="E51" s="238"/>
      <c r="F51" s="250"/>
      <c r="G51" s="22"/>
      <c r="H51" s="22"/>
    </row>
    <row r="52" spans="1:8" ht="15.75" customHeight="1">
      <c r="A52" s="25" t="s">
        <v>43</v>
      </c>
      <c r="B52" s="25">
        <v>2.15</v>
      </c>
      <c r="C52" s="25" t="s">
        <v>62</v>
      </c>
      <c r="D52" s="249"/>
      <c r="E52" s="238"/>
      <c r="F52" s="250"/>
      <c r="G52" s="22"/>
      <c r="H52" s="22"/>
    </row>
    <row r="53" spans="1:8" ht="15.75" customHeight="1">
      <c r="A53" s="25" t="s">
        <v>45</v>
      </c>
      <c r="B53" s="25">
        <f>7*14.5038</f>
        <v>101.5266</v>
      </c>
      <c r="C53" s="25" t="s">
        <v>46</v>
      </c>
      <c r="D53" s="249"/>
      <c r="E53" s="238"/>
      <c r="F53" s="250"/>
      <c r="G53" s="22"/>
      <c r="H53" s="22"/>
    </row>
    <row r="54" spans="1:8" ht="15.75" customHeight="1">
      <c r="A54" s="25" t="s">
        <v>47</v>
      </c>
      <c r="B54" s="25">
        <f>0.9803+0.018*(B53/100)+0.0017*(B53/100)^2</f>
        <v>1.0003270885862852</v>
      </c>
      <c r="C54" s="243" t="s">
        <v>48</v>
      </c>
      <c r="D54" s="249"/>
      <c r="E54" s="238"/>
      <c r="F54" s="250"/>
      <c r="G54" s="22"/>
      <c r="H54" s="22"/>
    </row>
    <row r="55" spans="1:8" ht="15.75" customHeight="1">
      <c r="A55" s="25" t="s">
        <v>49</v>
      </c>
      <c r="B55" s="25">
        <v>1</v>
      </c>
      <c r="C55" s="244"/>
      <c r="D55" s="249"/>
      <c r="E55" s="238"/>
      <c r="F55" s="250"/>
      <c r="G55" s="22"/>
      <c r="H55" s="22"/>
    </row>
    <row r="56" spans="1:8" ht="15.75" customHeight="1">
      <c r="A56" s="25" t="s">
        <v>51</v>
      </c>
      <c r="B56" s="25">
        <v>1</v>
      </c>
      <c r="C56" s="245"/>
      <c r="D56" s="249"/>
      <c r="E56" s="238"/>
      <c r="F56" s="250"/>
      <c r="G56" s="22"/>
      <c r="H56" s="22"/>
    </row>
    <row r="57" spans="1:8" ht="15.75" customHeight="1">
      <c r="A57" s="34" t="s">
        <v>52</v>
      </c>
      <c r="B57" s="35">
        <f>B56*B55*B54*B52*B51</f>
        <v>80458.312163743118</v>
      </c>
      <c r="C57" s="34" t="s">
        <v>39</v>
      </c>
      <c r="D57" s="251"/>
      <c r="E57" s="252"/>
      <c r="F57" s="253"/>
      <c r="G57" s="22"/>
      <c r="H57" s="22"/>
    </row>
    <row r="58" spans="1:8" ht="15.75" customHeight="1">
      <c r="A58" s="239" t="s">
        <v>64</v>
      </c>
      <c r="B58" s="240"/>
      <c r="C58" s="240"/>
      <c r="D58" s="240"/>
      <c r="E58" s="240"/>
      <c r="F58" s="241"/>
      <c r="G58" s="22"/>
      <c r="H58" s="22"/>
    </row>
    <row r="59" spans="1:8" ht="15.75" customHeight="1">
      <c r="A59" s="37" t="s">
        <v>27</v>
      </c>
      <c r="B59" s="37" t="s">
        <v>28</v>
      </c>
      <c r="C59" s="37" t="s">
        <v>29</v>
      </c>
      <c r="D59" s="37" t="s">
        <v>27</v>
      </c>
      <c r="E59" s="37" t="s">
        <v>28</v>
      </c>
      <c r="F59" s="37" t="s">
        <v>29</v>
      </c>
      <c r="G59" s="22"/>
      <c r="H59" s="22"/>
    </row>
    <row r="60" spans="1:8" ht="15.75" customHeight="1">
      <c r="A60" s="25" t="s">
        <v>56</v>
      </c>
      <c r="B60" s="38">
        <v>2.5876800000000002</v>
      </c>
      <c r="C60" s="25" t="s">
        <v>57</v>
      </c>
      <c r="D60" s="246"/>
      <c r="E60" s="247"/>
      <c r="F60" s="248"/>
      <c r="G60" s="22"/>
      <c r="H60" s="22"/>
    </row>
    <row r="61" spans="1:8" ht="15.75" customHeight="1">
      <c r="A61" s="25" t="s">
        <v>56</v>
      </c>
      <c r="B61" s="26">
        <f>B60*3968320.722</f>
        <v>10268744.165904962</v>
      </c>
      <c r="C61" s="25" t="s">
        <v>58</v>
      </c>
      <c r="D61" s="249"/>
      <c r="E61" s="238"/>
      <c r="F61" s="250"/>
      <c r="G61" s="22"/>
      <c r="H61" s="22"/>
    </row>
    <row r="62" spans="1:8" ht="15.75" customHeight="1">
      <c r="A62" s="25" t="s">
        <v>59</v>
      </c>
      <c r="B62" s="25">
        <v>10000</v>
      </c>
      <c r="C62" s="25" t="s">
        <v>60</v>
      </c>
      <c r="D62" s="249"/>
      <c r="E62" s="238"/>
      <c r="F62" s="250"/>
      <c r="G62" s="22"/>
      <c r="H62" s="22"/>
    </row>
    <row r="63" spans="1:8" ht="15.75" customHeight="1">
      <c r="A63" s="25" t="s">
        <v>40</v>
      </c>
      <c r="B63" s="25">
        <f>B61/B62</f>
        <v>1026.8744165904961</v>
      </c>
      <c r="C63" s="25" t="s">
        <v>61</v>
      </c>
      <c r="D63" s="249"/>
      <c r="E63" s="238"/>
      <c r="F63" s="250"/>
      <c r="G63" s="22"/>
      <c r="H63" s="22"/>
    </row>
    <row r="64" spans="1:8" ht="15.75" customHeight="1">
      <c r="A64" s="25" t="s">
        <v>42</v>
      </c>
      <c r="B64" s="26">
        <f>EXP(11.4185-0.9228*LN(B63)+0.09861*(LN(B63))^2)</f>
        <v>17346.238769977896</v>
      </c>
      <c r="C64" s="25" t="s">
        <v>39</v>
      </c>
      <c r="D64" s="249"/>
      <c r="E64" s="238"/>
      <c r="F64" s="250"/>
      <c r="G64" s="22"/>
      <c r="H64" s="22"/>
    </row>
    <row r="65" spans="1:8" ht="15.75" customHeight="1">
      <c r="A65" s="25" t="s">
        <v>43</v>
      </c>
      <c r="B65" s="25">
        <v>2.15</v>
      </c>
      <c r="C65" s="25" t="s">
        <v>62</v>
      </c>
      <c r="D65" s="249"/>
      <c r="E65" s="238"/>
      <c r="F65" s="250"/>
      <c r="G65" s="22"/>
      <c r="H65" s="22"/>
    </row>
    <row r="66" spans="1:8" ht="15.75" customHeight="1">
      <c r="A66" s="25" t="s">
        <v>45</v>
      </c>
      <c r="B66" s="25">
        <f>3*14.5038</f>
        <v>43.511400000000002</v>
      </c>
      <c r="C66" s="25" t="s">
        <v>46</v>
      </c>
      <c r="D66" s="249"/>
      <c r="E66" s="238"/>
      <c r="F66" s="250"/>
      <c r="G66" s="22"/>
      <c r="H66" s="22"/>
    </row>
    <row r="67" spans="1:8" ht="15.75" customHeight="1">
      <c r="A67" s="25" t="s">
        <v>47</v>
      </c>
      <c r="B67" s="25">
        <f>0.9803+0.018*(B66/100)+0.0017*(B66/100)^2</f>
        <v>0.98845390312809323</v>
      </c>
      <c r="C67" s="243" t="s">
        <v>48</v>
      </c>
      <c r="D67" s="249"/>
      <c r="E67" s="238"/>
      <c r="F67" s="250"/>
      <c r="G67" s="22"/>
      <c r="H67" s="22"/>
    </row>
    <row r="68" spans="1:8" ht="15.75" customHeight="1">
      <c r="A68" s="25" t="s">
        <v>49</v>
      </c>
      <c r="B68" s="25">
        <v>1</v>
      </c>
      <c r="C68" s="244"/>
      <c r="D68" s="249"/>
      <c r="E68" s="238"/>
      <c r="F68" s="250"/>
      <c r="G68" s="22"/>
      <c r="H68" s="22"/>
    </row>
    <row r="69" spans="1:8" ht="15.75" customHeight="1">
      <c r="A69" s="25" t="s">
        <v>51</v>
      </c>
      <c r="B69" s="25">
        <v>1</v>
      </c>
      <c r="C69" s="245"/>
      <c r="D69" s="249"/>
      <c r="E69" s="238"/>
      <c r="F69" s="250"/>
      <c r="G69" s="22"/>
      <c r="H69" s="22"/>
    </row>
    <row r="70" spans="1:8" ht="15.75" customHeight="1">
      <c r="A70" s="34" t="s">
        <v>52</v>
      </c>
      <c r="B70" s="35">
        <f>B69*B68*B67*B65*B64</f>
        <v>36863.808446069481</v>
      </c>
      <c r="C70" s="34" t="s">
        <v>39</v>
      </c>
      <c r="D70" s="251"/>
      <c r="E70" s="252"/>
      <c r="F70" s="253"/>
      <c r="G70" s="22"/>
      <c r="H70" s="22"/>
    </row>
    <row r="71" spans="1:8" ht="15.75" customHeight="1">
      <c r="A71" s="239" t="s">
        <v>65</v>
      </c>
      <c r="B71" s="240"/>
      <c r="C71" s="240"/>
      <c r="D71" s="240"/>
      <c r="E71" s="240"/>
      <c r="F71" s="241"/>
      <c r="G71" s="22"/>
      <c r="H71" s="22"/>
    </row>
    <row r="72" spans="1:8" ht="15.75" customHeight="1">
      <c r="A72" s="37" t="s">
        <v>27</v>
      </c>
      <c r="B72" s="37" t="s">
        <v>28</v>
      </c>
      <c r="C72" s="37" t="s">
        <v>29</v>
      </c>
      <c r="D72" s="37" t="s">
        <v>27</v>
      </c>
      <c r="E72" s="37" t="s">
        <v>28</v>
      </c>
      <c r="F72" s="37" t="s">
        <v>29</v>
      </c>
      <c r="G72" s="22"/>
      <c r="H72" s="22"/>
    </row>
    <row r="73" spans="1:8" ht="15.75" customHeight="1">
      <c r="A73" s="25" t="s">
        <v>56</v>
      </c>
      <c r="B73" s="38">
        <v>-2.8078699999999999</v>
      </c>
      <c r="C73" s="25" t="s">
        <v>57</v>
      </c>
      <c r="D73" s="246"/>
      <c r="E73" s="247"/>
      <c r="F73" s="248"/>
      <c r="G73" s="22"/>
      <c r="H73" s="22"/>
    </row>
    <row r="74" spans="1:8" ht="15.75" customHeight="1">
      <c r="A74" s="25" t="s">
        <v>56</v>
      </c>
      <c r="B74" s="26">
        <f>ABS(B73*3968320.722)</f>
        <v>11142528.70568214</v>
      </c>
      <c r="C74" s="25" t="s">
        <v>58</v>
      </c>
      <c r="D74" s="249"/>
      <c r="E74" s="238"/>
      <c r="F74" s="250"/>
      <c r="G74" s="22"/>
      <c r="H74" s="22"/>
    </row>
    <row r="75" spans="1:8" ht="15.75" customHeight="1">
      <c r="A75" s="25" t="s">
        <v>59</v>
      </c>
      <c r="B75" s="25">
        <v>10000</v>
      </c>
      <c r="C75" s="25" t="s">
        <v>60</v>
      </c>
      <c r="D75" s="249"/>
      <c r="E75" s="238"/>
      <c r="F75" s="250"/>
      <c r="G75" s="22"/>
      <c r="H75" s="22"/>
    </row>
    <row r="76" spans="1:8" ht="15.75" customHeight="1">
      <c r="A76" s="25" t="s">
        <v>40</v>
      </c>
      <c r="B76" s="25">
        <f>B74/B75</f>
        <v>1114.2528705682139</v>
      </c>
      <c r="C76" s="25" t="s">
        <v>61</v>
      </c>
      <c r="D76" s="249"/>
      <c r="E76" s="238"/>
      <c r="F76" s="250"/>
      <c r="G76" s="22"/>
      <c r="H76" s="22"/>
    </row>
    <row r="77" spans="1:8" ht="15.75" customHeight="1">
      <c r="A77" s="25" t="s">
        <v>42</v>
      </c>
      <c r="B77" s="25">
        <f>EXP(11.4185-0.9228*LN(B76)+0.09861*(LN(B76))^2)</f>
        <v>17999.714015948626</v>
      </c>
      <c r="C77" s="25" t="s">
        <v>39</v>
      </c>
      <c r="D77" s="249"/>
      <c r="E77" s="238"/>
      <c r="F77" s="250"/>
      <c r="G77" s="22"/>
      <c r="H77" s="22"/>
    </row>
    <row r="78" spans="1:8" ht="15.75" customHeight="1">
      <c r="A78" s="25" t="s">
        <v>43</v>
      </c>
      <c r="B78" s="25">
        <v>2.15</v>
      </c>
      <c r="C78" s="25" t="s">
        <v>62</v>
      </c>
      <c r="D78" s="249"/>
      <c r="E78" s="238"/>
      <c r="F78" s="250"/>
      <c r="G78" s="22"/>
      <c r="H78" s="22"/>
    </row>
    <row r="79" spans="1:8" ht="15.75" customHeight="1">
      <c r="A79" s="25" t="s">
        <v>45</v>
      </c>
      <c r="B79" s="25">
        <f>3*14.5038</f>
        <v>43.511400000000002</v>
      </c>
      <c r="C79" s="25" t="s">
        <v>46</v>
      </c>
      <c r="D79" s="249"/>
      <c r="E79" s="238"/>
      <c r="F79" s="250"/>
      <c r="G79" s="22"/>
      <c r="H79" s="22"/>
    </row>
    <row r="80" spans="1:8" ht="15.75" customHeight="1">
      <c r="A80" s="25" t="s">
        <v>47</v>
      </c>
      <c r="B80" s="25">
        <f>0.9803+0.018*(B79/100)+0.0017*(B79/100)^2</f>
        <v>0.98845390312809323</v>
      </c>
      <c r="C80" s="243" t="s">
        <v>48</v>
      </c>
      <c r="D80" s="249"/>
      <c r="E80" s="238"/>
      <c r="F80" s="250"/>
      <c r="G80" s="22"/>
      <c r="H80" s="22"/>
    </row>
    <row r="81" spans="1:8" ht="15.75" customHeight="1">
      <c r="A81" s="25" t="s">
        <v>49</v>
      </c>
      <c r="B81" s="25">
        <v>1</v>
      </c>
      <c r="C81" s="244"/>
      <c r="D81" s="249"/>
      <c r="E81" s="238"/>
      <c r="F81" s="250"/>
      <c r="G81" s="22"/>
      <c r="H81" s="22"/>
    </row>
    <row r="82" spans="1:8" ht="15.75" customHeight="1">
      <c r="A82" s="25" t="s">
        <v>51</v>
      </c>
      <c r="B82" s="25">
        <v>1</v>
      </c>
      <c r="C82" s="245"/>
      <c r="D82" s="249"/>
      <c r="E82" s="238"/>
      <c r="F82" s="250"/>
      <c r="G82" s="22"/>
      <c r="H82" s="22"/>
    </row>
    <row r="83" spans="1:8" ht="15.75" customHeight="1">
      <c r="A83" s="34" t="s">
        <v>52</v>
      </c>
      <c r="B83" s="35">
        <f>B82*B81*B80*B78*B77</f>
        <v>38252.558284645806</v>
      </c>
      <c r="C83" s="34" t="s">
        <v>39</v>
      </c>
      <c r="D83" s="251"/>
      <c r="E83" s="252"/>
      <c r="F83" s="253"/>
      <c r="G83" s="22"/>
      <c r="H83" s="22"/>
    </row>
    <row r="84" spans="1:8" ht="15.75" customHeight="1">
      <c r="A84" s="239" t="s">
        <v>66</v>
      </c>
      <c r="B84" s="240"/>
      <c r="C84" s="240"/>
      <c r="D84" s="240"/>
      <c r="E84" s="240"/>
      <c r="F84" s="241"/>
      <c r="G84" s="22"/>
      <c r="H84" s="22"/>
    </row>
    <row r="85" spans="1:8" ht="15.75" customHeight="1">
      <c r="A85" s="37" t="s">
        <v>27</v>
      </c>
      <c r="B85" s="37" t="s">
        <v>28</v>
      </c>
      <c r="C85" s="37" t="s">
        <v>29</v>
      </c>
      <c r="D85" s="37" t="s">
        <v>27</v>
      </c>
      <c r="E85" s="37" t="s">
        <v>28</v>
      </c>
      <c r="F85" s="37" t="s">
        <v>29</v>
      </c>
      <c r="G85" s="22"/>
      <c r="H85" s="22"/>
    </row>
    <row r="86" spans="1:8" ht="15.75" customHeight="1">
      <c r="A86" s="25" t="s">
        <v>56</v>
      </c>
      <c r="B86" s="38">
        <v>8.8993400000000005</v>
      </c>
      <c r="C86" s="25" t="s">
        <v>57</v>
      </c>
      <c r="D86" s="246"/>
      <c r="E86" s="247"/>
      <c r="F86" s="248"/>
      <c r="G86" s="22"/>
      <c r="H86" s="22"/>
    </row>
    <row r="87" spans="1:8" ht="15.75" customHeight="1">
      <c r="A87" s="25" t="s">
        <v>56</v>
      </c>
      <c r="B87" s="26">
        <f>B86*3968320.722</f>
        <v>35315435.334123485</v>
      </c>
      <c r="C87" s="25" t="s">
        <v>58</v>
      </c>
      <c r="D87" s="249"/>
      <c r="E87" s="238"/>
      <c r="F87" s="250"/>
      <c r="G87" s="22"/>
      <c r="H87" s="22"/>
    </row>
    <row r="88" spans="1:8" ht="15.75" customHeight="1">
      <c r="A88" s="25" t="s">
        <v>59</v>
      </c>
      <c r="B88" s="25">
        <v>10000</v>
      </c>
      <c r="C88" s="25" t="s">
        <v>60</v>
      </c>
      <c r="D88" s="249"/>
      <c r="E88" s="238"/>
      <c r="F88" s="250"/>
      <c r="G88" s="22"/>
      <c r="H88" s="22"/>
    </row>
    <row r="89" spans="1:8" ht="15.75" customHeight="1">
      <c r="A89" s="25" t="s">
        <v>40</v>
      </c>
      <c r="B89" s="25">
        <f>B87/B88</f>
        <v>3531.5435334123486</v>
      </c>
      <c r="C89" s="25" t="s">
        <v>61</v>
      </c>
      <c r="D89" s="249"/>
      <c r="E89" s="238"/>
      <c r="F89" s="250"/>
      <c r="G89" s="22"/>
      <c r="H89" s="22"/>
    </row>
    <row r="90" spans="1:8" ht="15.75" customHeight="1">
      <c r="A90" s="25" t="s">
        <v>42</v>
      </c>
      <c r="B90" s="26">
        <f>EXP(11.4185-0.9228*LN(B89)+0.09861*(LN(B89))^2)</f>
        <v>34925.836793555362</v>
      </c>
      <c r="C90" s="25" t="s">
        <v>39</v>
      </c>
      <c r="D90" s="249"/>
      <c r="E90" s="238"/>
      <c r="F90" s="250"/>
      <c r="G90" s="22"/>
      <c r="H90" s="22"/>
    </row>
    <row r="91" spans="1:8" ht="15.75" customHeight="1">
      <c r="A91" s="25" t="s">
        <v>43</v>
      </c>
      <c r="B91" s="25">
        <v>2.15</v>
      </c>
      <c r="C91" s="25" t="s">
        <v>62</v>
      </c>
      <c r="D91" s="249"/>
      <c r="E91" s="238"/>
      <c r="F91" s="250"/>
      <c r="G91" s="22"/>
      <c r="H91" s="22"/>
    </row>
    <row r="92" spans="1:8" ht="15.75" customHeight="1">
      <c r="A92" s="25" t="s">
        <v>45</v>
      </c>
      <c r="B92" s="25">
        <f>20*14.5038</f>
        <v>290.07600000000002</v>
      </c>
      <c r="C92" s="25" t="s">
        <v>46</v>
      </c>
      <c r="D92" s="249"/>
      <c r="E92" s="238"/>
      <c r="F92" s="250"/>
      <c r="G92" s="22"/>
      <c r="H92" s="22"/>
    </row>
    <row r="93" spans="1:8" ht="15.75" customHeight="1">
      <c r="A93" s="25" t="s">
        <v>47</v>
      </c>
      <c r="B93" s="25">
        <f>0.9803+0.018*(B92/100)+0.0017*(B92/100)^2</f>
        <v>1.0468181745819198</v>
      </c>
      <c r="C93" s="243" t="s">
        <v>48</v>
      </c>
      <c r="D93" s="249"/>
      <c r="E93" s="238"/>
      <c r="F93" s="250"/>
      <c r="G93" s="22"/>
      <c r="H93" s="22"/>
    </row>
    <row r="94" spans="1:8" ht="15.75" customHeight="1">
      <c r="A94" s="25" t="s">
        <v>49</v>
      </c>
      <c r="B94" s="25">
        <v>1</v>
      </c>
      <c r="C94" s="244"/>
      <c r="D94" s="249"/>
      <c r="E94" s="238"/>
      <c r="F94" s="250"/>
      <c r="G94" s="22"/>
      <c r="H94" s="22"/>
    </row>
    <row r="95" spans="1:8" ht="15.75" customHeight="1">
      <c r="A95" s="25" t="s">
        <v>51</v>
      </c>
      <c r="B95" s="25">
        <v>1</v>
      </c>
      <c r="C95" s="245"/>
      <c r="D95" s="249"/>
      <c r="E95" s="238"/>
      <c r="F95" s="250"/>
      <c r="G95" s="22"/>
      <c r="H95" s="22"/>
    </row>
    <row r="96" spans="1:8" ht="15.75" customHeight="1">
      <c r="A96" s="34" t="s">
        <v>52</v>
      </c>
      <c r="B96" s="35">
        <f>B95*B94*B93*B91*B90</f>
        <v>78606.151543647706</v>
      </c>
      <c r="C96" s="34" t="s">
        <v>39</v>
      </c>
      <c r="D96" s="251"/>
      <c r="E96" s="252"/>
      <c r="F96" s="253"/>
      <c r="G96" s="22"/>
      <c r="H96" s="22"/>
    </row>
    <row r="97" spans="1:8" ht="15.75" customHeight="1">
      <c r="A97" s="239" t="s">
        <v>67</v>
      </c>
      <c r="B97" s="240"/>
      <c r="C97" s="240"/>
      <c r="D97" s="240"/>
      <c r="E97" s="240"/>
      <c r="F97" s="241"/>
      <c r="G97" s="22"/>
      <c r="H97" s="22"/>
    </row>
    <row r="98" spans="1:8" ht="15.75" customHeight="1">
      <c r="A98" s="37" t="s">
        <v>27</v>
      </c>
      <c r="B98" s="37" t="s">
        <v>28</v>
      </c>
      <c r="C98" s="37" t="s">
        <v>29</v>
      </c>
      <c r="D98" s="37" t="s">
        <v>27</v>
      </c>
      <c r="E98" s="37" t="s">
        <v>28</v>
      </c>
      <c r="F98" s="37" t="s">
        <v>29</v>
      </c>
      <c r="G98" s="22"/>
      <c r="H98" s="22"/>
    </row>
    <row r="99" spans="1:8" ht="15.75" customHeight="1">
      <c r="A99" s="25" t="s">
        <v>56</v>
      </c>
      <c r="B99" s="38">
        <v>-11.7948</v>
      </c>
      <c r="C99" s="25" t="s">
        <v>57</v>
      </c>
      <c r="D99" s="246"/>
      <c r="E99" s="247"/>
      <c r="F99" s="248"/>
      <c r="G99" s="22"/>
      <c r="H99" s="22"/>
    </row>
    <row r="100" spans="1:8" ht="15.75" customHeight="1">
      <c r="A100" s="25" t="s">
        <v>56</v>
      </c>
      <c r="B100" s="26">
        <f>ABS(B99*3968320.722)</f>
        <v>46805549.251845606</v>
      </c>
      <c r="C100" s="25" t="s">
        <v>58</v>
      </c>
      <c r="D100" s="249"/>
      <c r="E100" s="238"/>
      <c r="F100" s="250"/>
      <c r="G100" s="22"/>
      <c r="H100" s="22"/>
    </row>
    <row r="101" spans="1:8" ht="15.75" customHeight="1">
      <c r="A101" s="25" t="s">
        <v>59</v>
      </c>
      <c r="B101" s="25">
        <v>10000</v>
      </c>
      <c r="C101" s="25" t="s">
        <v>60</v>
      </c>
      <c r="D101" s="249"/>
      <c r="E101" s="238"/>
      <c r="F101" s="250"/>
      <c r="G101" s="22"/>
      <c r="H101" s="22"/>
    </row>
    <row r="102" spans="1:8" ht="15.75" customHeight="1">
      <c r="A102" s="25" t="s">
        <v>40</v>
      </c>
      <c r="B102" s="25">
        <f>B100/B101</f>
        <v>4680.5549251845605</v>
      </c>
      <c r="C102" s="25" t="s">
        <v>61</v>
      </c>
      <c r="D102" s="249"/>
      <c r="E102" s="238"/>
      <c r="F102" s="250"/>
      <c r="G102" s="22"/>
      <c r="H102" s="22"/>
    </row>
    <row r="103" spans="1:8" ht="15.75" customHeight="1">
      <c r="A103" s="25" t="s">
        <v>42</v>
      </c>
      <c r="B103" s="25">
        <f>EXP(11.4185-0.9228*LN(B102)+0.09861*(LN(B102))^2)</f>
        <v>42732.381227973332</v>
      </c>
      <c r="C103" s="25" t="s">
        <v>39</v>
      </c>
      <c r="D103" s="249"/>
      <c r="E103" s="238"/>
      <c r="F103" s="250"/>
      <c r="G103" s="22"/>
      <c r="H103" s="22"/>
    </row>
    <row r="104" spans="1:8" ht="15.75" customHeight="1">
      <c r="A104" s="25" t="s">
        <v>43</v>
      </c>
      <c r="B104" s="25">
        <v>2.15</v>
      </c>
      <c r="C104" s="25" t="s">
        <v>62</v>
      </c>
      <c r="D104" s="249"/>
      <c r="E104" s="238"/>
      <c r="F104" s="250"/>
      <c r="G104" s="22"/>
      <c r="H104" s="22"/>
    </row>
    <row r="105" spans="1:8" ht="15.75" customHeight="1">
      <c r="A105" s="25" t="s">
        <v>45</v>
      </c>
      <c r="B105" s="25">
        <f>20*14.5038</f>
        <v>290.07600000000002</v>
      </c>
      <c r="C105" s="25" t="s">
        <v>46</v>
      </c>
      <c r="D105" s="249"/>
      <c r="E105" s="238"/>
      <c r="F105" s="250"/>
      <c r="G105" s="22"/>
      <c r="H105" s="22"/>
    </row>
    <row r="106" spans="1:8" ht="15.75" customHeight="1">
      <c r="A106" s="25" t="s">
        <v>47</v>
      </c>
      <c r="B106" s="25">
        <f>0.9803+0.018*(B105/100)+0.0017*(B105/100)^2</f>
        <v>1.0468181745819198</v>
      </c>
      <c r="C106" s="243" t="s">
        <v>48</v>
      </c>
      <c r="D106" s="249"/>
      <c r="E106" s="238"/>
      <c r="F106" s="250"/>
      <c r="G106" s="22"/>
      <c r="H106" s="22"/>
    </row>
    <row r="107" spans="1:8" ht="15.75" customHeight="1">
      <c r="A107" s="25" t="s">
        <v>49</v>
      </c>
      <c r="B107" s="25">
        <v>1</v>
      </c>
      <c r="C107" s="244"/>
      <c r="D107" s="249"/>
      <c r="E107" s="238"/>
      <c r="F107" s="250"/>
      <c r="G107" s="22"/>
      <c r="H107" s="22"/>
    </row>
    <row r="108" spans="1:8" ht="15.75" customHeight="1">
      <c r="A108" s="25" t="s">
        <v>51</v>
      </c>
      <c r="B108" s="25">
        <v>1</v>
      </c>
      <c r="C108" s="245"/>
      <c r="D108" s="249"/>
      <c r="E108" s="238"/>
      <c r="F108" s="250"/>
      <c r="G108" s="22"/>
      <c r="H108" s="22"/>
    </row>
    <row r="109" spans="1:8" ht="15.75" customHeight="1">
      <c r="A109" s="34" t="s">
        <v>52</v>
      </c>
      <c r="B109" s="35">
        <f>B108*B107*B106*B104*B103</f>
        <v>96176.021622102344</v>
      </c>
      <c r="C109" s="34" t="s">
        <v>39</v>
      </c>
      <c r="D109" s="251"/>
      <c r="E109" s="252"/>
      <c r="F109" s="253"/>
      <c r="G109" s="22"/>
      <c r="H109" s="22"/>
    </row>
    <row r="110" spans="1:8" ht="15.75" customHeight="1">
      <c r="A110" s="254" t="s">
        <v>68</v>
      </c>
      <c r="B110" s="238"/>
      <c r="C110" s="238"/>
      <c r="D110" s="238"/>
      <c r="E110" s="238"/>
      <c r="F110" s="238"/>
      <c r="G110" s="22"/>
      <c r="H110" s="22"/>
    </row>
    <row r="111" spans="1:8" ht="15.75" customHeight="1">
      <c r="A111" s="39" t="s">
        <v>27</v>
      </c>
      <c r="B111" s="39" t="s">
        <v>28</v>
      </c>
      <c r="C111" s="39" t="s">
        <v>29</v>
      </c>
      <c r="D111" s="39" t="s">
        <v>27</v>
      </c>
      <c r="E111" s="39" t="s">
        <v>28</v>
      </c>
      <c r="F111" s="39" t="s">
        <v>29</v>
      </c>
      <c r="G111" s="22"/>
      <c r="H111" s="22"/>
    </row>
    <row r="112" spans="1:8" ht="15.75" customHeight="1">
      <c r="A112" s="40" t="s">
        <v>69</v>
      </c>
      <c r="B112" s="41">
        <v>662.41300000000001</v>
      </c>
      <c r="C112" s="40" t="s">
        <v>70</v>
      </c>
      <c r="D112" s="40" t="s">
        <v>71</v>
      </c>
      <c r="E112" s="40"/>
      <c r="F112" s="40" t="s">
        <v>33</v>
      </c>
      <c r="G112" s="22"/>
      <c r="H112" s="22"/>
    </row>
    <row r="113" spans="1:8" ht="15.75" customHeight="1">
      <c r="A113" s="42" t="s">
        <v>72</v>
      </c>
      <c r="B113" s="43">
        <v>2.0413477378280899E-2</v>
      </c>
      <c r="C113" s="255" t="s">
        <v>73</v>
      </c>
      <c r="D113" s="40" t="s">
        <v>74</v>
      </c>
      <c r="E113" s="40">
        <v>32.04</v>
      </c>
      <c r="F113" s="255" t="s">
        <v>75</v>
      </c>
      <c r="G113" s="22"/>
      <c r="H113" s="22"/>
    </row>
    <row r="114" spans="1:8" ht="15.75" customHeight="1">
      <c r="A114" s="42" t="s">
        <v>76</v>
      </c>
      <c r="B114" s="43">
        <v>0</v>
      </c>
      <c r="C114" s="244"/>
      <c r="D114" s="40" t="s">
        <v>77</v>
      </c>
      <c r="E114" s="40">
        <v>46.07</v>
      </c>
      <c r="F114" s="244"/>
      <c r="G114" s="22"/>
      <c r="H114" s="22"/>
    </row>
    <row r="115" spans="1:8" ht="15.75" customHeight="1">
      <c r="A115" s="42" t="s">
        <v>78</v>
      </c>
      <c r="B115" s="43">
        <v>1.37519588915095E-4</v>
      </c>
      <c r="C115" s="244"/>
      <c r="D115" s="40" t="s">
        <v>79</v>
      </c>
      <c r="E115" s="40">
        <v>18.02</v>
      </c>
      <c r="F115" s="244"/>
      <c r="G115" s="22"/>
      <c r="H115" s="22"/>
    </row>
    <row r="116" spans="1:8" ht="15.75" customHeight="1">
      <c r="A116" s="42" t="s">
        <v>80</v>
      </c>
      <c r="B116" s="43">
        <v>0.44765486534509402</v>
      </c>
      <c r="C116" s="244"/>
      <c r="D116" s="40" t="s">
        <v>81</v>
      </c>
      <c r="E116" s="40">
        <v>28</v>
      </c>
      <c r="F116" s="244"/>
      <c r="G116" s="22"/>
      <c r="H116" s="22"/>
    </row>
    <row r="117" spans="1:8" ht="15.75" customHeight="1">
      <c r="A117" s="42" t="s">
        <v>82</v>
      </c>
      <c r="B117" s="43">
        <v>0.52261877075117502</v>
      </c>
      <c r="C117" s="244"/>
      <c r="D117" s="40" t="s">
        <v>83</v>
      </c>
      <c r="E117" s="40">
        <v>74.08</v>
      </c>
      <c r="F117" s="244"/>
      <c r="G117" s="22"/>
      <c r="H117" s="22"/>
    </row>
    <row r="118" spans="1:8" ht="15.75" customHeight="1">
      <c r="A118" s="42" t="s">
        <v>84</v>
      </c>
      <c r="B118" s="43">
        <v>9.1753669365346596E-3</v>
      </c>
      <c r="C118" s="244"/>
      <c r="D118" s="44" t="s">
        <v>85</v>
      </c>
      <c r="E118" s="40">
        <v>2</v>
      </c>
      <c r="F118" s="244"/>
      <c r="G118" s="22"/>
      <c r="H118" s="22"/>
    </row>
    <row r="119" spans="1:8" ht="15.75" customHeight="1">
      <c r="A119" s="42" t="s">
        <v>86</v>
      </c>
      <c r="B119" s="43">
        <v>0</v>
      </c>
      <c r="C119" s="245"/>
      <c r="D119" s="44" t="s">
        <v>87</v>
      </c>
      <c r="E119" s="40">
        <v>16</v>
      </c>
      <c r="F119" s="245"/>
      <c r="G119" s="22"/>
      <c r="H119" s="22"/>
    </row>
    <row r="120" spans="1:8" ht="15.75" customHeight="1">
      <c r="A120" s="40" t="s">
        <v>69</v>
      </c>
      <c r="B120" s="40">
        <f>B112*1000*(B113*E113+B114*E114+B115*E115+B116*E116+B117*E117+B118*E118+B119*E119)/(B113*E120+B114*E121+B115*E122+B116*E123+B117*E124+B118*E125+B119*E126)</f>
        <v>68.259412300641529</v>
      </c>
      <c r="C120" s="40" t="s">
        <v>88</v>
      </c>
      <c r="D120" s="44" t="s">
        <v>89</v>
      </c>
      <c r="E120" s="45">
        <f>792*1000</f>
        <v>792000</v>
      </c>
      <c r="F120" s="259" t="s">
        <v>90</v>
      </c>
      <c r="G120" s="22"/>
      <c r="H120" s="22"/>
    </row>
    <row r="121" spans="1:8" ht="15.75" customHeight="1">
      <c r="A121" s="40" t="s">
        <v>91</v>
      </c>
      <c r="B121" s="40">
        <f>B120/60*5*2</f>
        <v>11.376568716773587</v>
      </c>
      <c r="C121" s="40" t="s">
        <v>92</v>
      </c>
      <c r="D121" s="40" t="s">
        <v>93</v>
      </c>
      <c r="E121" s="45">
        <v>2110</v>
      </c>
      <c r="F121" s="244"/>
      <c r="G121" s="22"/>
      <c r="H121" s="22"/>
    </row>
    <row r="122" spans="1:8" ht="15.75" customHeight="1">
      <c r="A122" s="40" t="s">
        <v>94</v>
      </c>
      <c r="B122" s="40">
        <f>(4*B121/2.5/PI())^(1/3)</f>
        <v>1.796086029413678</v>
      </c>
      <c r="C122" s="40" t="s">
        <v>33</v>
      </c>
      <c r="D122" s="44" t="s">
        <v>95</v>
      </c>
      <c r="E122" s="45">
        <v>997000</v>
      </c>
      <c r="F122" s="244"/>
      <c r="G122" s="22"/>
      <c r="H122" s="22"/>
    </row>
    <row r="123" spans="1:8" ht="15.75" customHeight="1">
      <c r="A123" s="40" t="s">
        <v>96</v>
      </c>
      <c r="B123" s="40">
        <f>3.28*B122</f>
        <v>5.8911621764768638</v>
      </c>
      <c r="C123" s="40" t="s">
        <v>97</v>
      </c>
      <c r="D123" s="40" t="s">
        <v>98</v>
      </c>
      <c r="E123" s="45">
        <v>1140</v>
      </c>
      <c r="F123" s="244"/>
      <c r="G123" s="22"/>
      <c r="H123" s="22"/>
    </row>
    <row r="124" spans="1:8" ht="15.75" customHeight="1">
      <c r="A124" s="40" t="s">
        <v>99</v>
      </c>
      <c r="B124" s="40">
        <f>B123*2.5</f>
        <v>14.72790544119216</v>
      </c>
      <c r="C124" s="40" t="s">
        <v>97</v>
      </c>
      <c r="D124" s="40" t="s">
        <v>100</v>
      </c>
      <c r="E124" s="45">
        <v>932000</v>
      </c>
      <c r="F124" s="244"/>
      <c r="G124" s="22"/>
      <c r="H124" s="22"/>
    </row>
    <row r="125" spans="1:8" ht="15.75" customHeight="1">
      <c r="A125" s="40" t="s">
        <v>101</v>
      </c>
      <c r="B125" s="45">
        <f>341*B123^(0.63316)*B124^(0.80161)</f>
        <v>9053.3295053982529</v>
      </c>
      <c r="C125" s="40" t="s">
        <v>39</v>
      </c>
      <c r="D125" s="40" t="s">
        <v>102</v>
      </c>
      <c r="E125" s="46">
        <v>83.75</v>
      </c>
      <c r="F125" s="244"/>
      <c r="G125" s="22"/>
      <c r="H125" s="22"/>
    </row>
    <row r="126" spans="1:8" ht="15.75" customHeight="1">
      <c r="A126" s="40" t="s">
        <v>103</v>
      </c>
      <c r="B126" s="40">
        <v>490</v>
      </c>
      <c r="C126" s="40" t="s">
        <v>104</v>
      </c>
      <c r="D126" s="44" t="s">
        <v>105</v>
      </c>
      <c r="E126" s="46">
        <v>657</v>
      </c>
      <c r="F126" s="245"/>
      <c r="G126" s="22"/>
      <c r="H126" s="22"/>
    </row>
    <row r="127" spans="1:8" ht="15.75" customHeight="1">
      <c r="A127" s="40" t="s">
        <v>106</v>
      </c>
      <c r="B127" s="40">
        <v>1.4E-2</v>
      </c>
      <c r="C127" s="40" t="s">
        <v>97</v>
      </c>
      <c r="D127" s="246"/>
      <c r="E127" s="247"/>
      <c r="F127" s="248"/>
      <c r="G127" s="22"/>
      <c r="H127" s="22"/>
    </row>
    <row r="128" spans="1:8" ht="15.75" customHeight="1">
      <c r="A128" s="40" t="s">
        <v>107</v>
      </c>
      <c r="B128" s="40">
        <f>B126*B127*PI()*(B123+B127)*(B124+0.8*B123)</f>
        <v>2474.1198640876164</v>
      </c>
      <c r="C128" s="40" t="s">
        <v>108</v>
      </c>
      <c r="D128" s="249"/>
      <c r="E128" s="238"/>
      <c r="F128" s="250"/>
      <c r="G128" s="22"/>
      <c r="H128" s="22"/>
    </row>
    <row r="129" spans="1:8" ht="15.75" customHeight="1">
      <c r="A129" s="40" t="s">
        <v>109</v>
      </c>
      <c r="B129" s="45">
        <f>EXP(5.6336+0.4599*LN(B128)+0.00582*(LN(B128))^2)</f>
        <v>14507.504153988401</v>
      </c>
      <c r="C129" s="40" t="s">
        <v>39</v>
      </c>
      <c r="D129" s="249"/>
      <c r="E129" s="238"/>
      <c r="F129" s="250"/>
      <c r="G129" s="22"/>
      <c r="H129" s="22"/>
    </row>
    <row r="130" spans="1:8" ht="15.75" customHeight="1">
      <c r="A130" s="40" t="s">
        <v>110</v>
      </c>
      <c r="B130" s="45">
        <f>B129+B125</f>
        <v>23560.833659386655</v>
      </c>
      <c r="C130" s="40" t="s">
        <v>39</v>
      </c>
      <c r="D130" s="249"/>
      <c r="E130" s="238"/>
      <c r="F130" s="250"/>
      <c r="G130" s="22"/>
      <c r="H130" s="22"/>
    </row>
    <row r="131" spans="1:8" ht="15.75" customHeight="1">
      <c r="A131" s="40" t="s">
        <v>43</v>
      </c>
      <c r="B131" s="40">
        <v>4.16</v>
      </c>
      <c r="C131" s="40" t="s">
        <v>111</v>
      </c>
      <c r="D131" s="249"/>
      <c r="E131" s="238"/>
      <c r="F131" s="250"/>
      <c r="G131" s="22"/>
      <c r="H131" s="22"/>
    </row>
    <row r="132" spans="1:8" ht="15.75" customHeight="1">
      <c r="A132" s="47" t="s">
        <v>52</v>
      </c>
      <c r="B132" s="48">
        <f>B131*B130</f>
        <v>98013.068023048487</v>
      </c>
      <c r="C132" s="47" t="s">
        <v>39</v>
      </c>
      <c r="D132" s="251"/>
      <c r="E132" s="252"/>
      <c r="F132" s="253"/>
      <c r="G132" s="22"/>
      <c r="H132" s="22"/>
    </row>
    <row r="133" spans="1:8" ht="15.75" customHeight="1">
      <c r="A133" s="260" t="s">
        <v>112</v>
      </c>
      <c r="B133" s="240"/>
      <c r="C133" s="240"/>
      <c r="D133" s="240"/>
      <c r="E133" s="240"/>
      <c r="F133" s="241"/>
      <c r="G133" s="22"/>
      <c r="H133" s="22"/>
    </row>
    <row r="134" spans="1:8" ht="15.75" customHeight="1">
      <c r="A134" s="40" t="s">
        <v>113</v>
      </c>
      <c r="B134" s="41">
        <v>6.4847200000000003</v>
      </c>
      <c r="C134" s="40" t="s">
        <v>57</v>
      </c>
      <c r="D134" s="256"/>
      <c r="E134" s="247"/>
      <c r="F134" s="248"/>
      <c r="G134" s="22"/>
      <c r="H134" s="22"/>
    </row>
    <row r="135" spans="1:8" ht="15.75" customHeight="1">
      <c r="A135" s="40" t="s">
        <v>113</v>
      </c>
      <c r="B135" s="49">
        <f>ABS(B134*3968320.722)</f>
        <v>25733448.752367843</v>
      </c>
      <c r="C135" s="40" t="s">
        <v>58</v>
      </c>
      <c r="D135" s="249"/>
      <c r="E135" s="238"/>
      <c r="F135" s="250"/>
      <c r="G135" s="22"/>
      <c r="H135" s="22"/>
    </row>
    <row r="136" spans="1:8" ht="15.75" customHeight="1">
      <c r="A136" s="40" t="s">
        <v>42</v>
      </c>
      <c r="B136" s="40">
        <f>EXP(-0.15241+0.785*LN(B135))</f>
        <v>563702.68432754406</v>
      </c>
      <c r="C136" s="40"/>
      <c r="D136" s="249"/>
      <c r="E136" s="238"/>
      <c r="F136" s="250"/>
      <c r="G136" s="22"/>
      <c r="H136" s="22"/>
    </row>
    <row r="137" spans="1:8" ht="15.75" customHeight="1">
      <c r="A137" s="40" t="s">
        <v>49</v>
      </c>
      <c r="B137" s="40">
        <v>1.4</v>
      </c>
      <c r="C137" s="40" t="s">
        <v>114</v>
      </c>
      <c r="D137" s="249"/>
      <c r="E137" s="238"/>
      <c r="F137" s="250"/>
      <c r="G137" s="22"/>
      <c r="H137" s="22"/>
    </row>
    <row r="138" spans="1:8" ht="15.75" customHeight="1">
      <c r="A138" s="40" t="s">
        <v>45</v>
      </c>
      <c r="B138" s="40">
        <f>24*14.5038</f>
        <v>348.09120000000001</v>
      </c>
      <c r="C138" s="40" t="s">
        <v>115</v>
      </c>
      <c r="D138" s="249"/>
      <c r="E138" s="238"/>
      <c r="F138" s="250"/>
      <c r="G138" s="22">
        <f>340/195</f>
        <v>1.7435897435897436</v>
      </c>
      <c r="H138" s="22"/>
    </row>
    <row r="139" spans="1:8" ht="15.75" customHeight="1">
      <c r="A139" s="40" t="s">
        <v>47</v>
      </c>
      <c r="B139" s="40">
        <f>0.986-0.0035*B138/500+0.0175*(B138/500)^2</f>
        <v>0.99204508544622083</v>
      </c>
      <c r="C139" s="40" t="s">
        <v>116</v>
      </c>
      <c r="D139" s="249"/>
      <c r="E139" s="238"/>
      <c r="F139" s="250"/>
      <c r="G139" s="22">
        <f>G138*1.08</f>
        <v>1.8830769230769233</v>
      </c>
      <c r="H139" s="22"/>
    </row>
    <row r="140" spans="1:8" ht="15.75" customHeight="1">
      <c r="A140" s="40" t="s">
        <v>110</v>
      </c>
      <c r="B140" s="40">
        <f>B139*B137*B136</f>
        <v>782905.8686959754</v>
      </c>
      <c r="C140" s="40" t="s">
        <v>39</v>
      </c>
      <c r="D140" s="249"/>
      <c r="E140" s="238"/>
      <c r="F140" s="250"/>
      <c r="G140" s="22"/>
      <c r="H140" s="22"/>
    </row>
    <row r="141" spans="1:8" ht="15.75" customHeight="1">
      <c r="A141" s="40" t="s">
        <v>43</v>
      </c>
      <c r="B141" s="40">
        <v>1.86</v>
      </c>
      <c r="C141" s="40" t="s">
        <v>117</v>
      </c>
      <c r="D141" s="249"/>
      <c r="E141" s="238"/>
      <c r="F141" s="250"/>
      <c r="G141" s="22"/>
      <c r="H141" s="22"/>
    </row>
    <row r="142" spans="1:8" ht="15.75" customHeight="1">
      <c r="A142" s="47" t="s">
        <v>52</v>
      </c>
      <c r="B142" s="48">
        <f>B141*B140</f>
        <v>1456204.9157745142</v>
      </c>
      <c r="C142" s="47" t="s">
        <v>39</v>
      </c>
      <c r="D142" s="251"/>
      <c r="E142" s="252"/>
      <c r="F142" s="253"/>
      <c r="G142" s="22"/>
      <c r="H142" s="22"/>
    </row>
    <row r="143" spans="1:8" ht="15.75" customHeight="1">
      <c r="A143" s="260" t="s">
        <v>118</v>
      </c>
      <c r="B143" s="240"/>
      <c r="C143" s="240"/>
      <c r="D143" s="240"/>
      <c r="E143" s="240"/>
      <c r="F143" s="241"/>
      <c r="G143" s="22"/>
      <c r="H143" s="22"/>
    </row>
    <row r="144" spans="1:8" ht="15.75" customHeight="1">
      <c r="A144" s="40" t="s">
        <v>113</v>
      </c>
      <c r="B144" s="41">
        <v>11.7948</v>
      </c>
      <c r="C144" s="40" t="s">
        <v>57</v>
      </c>
      <c r="D144" s="256"/>
      <c r="E144" s="247"/>
      <c r="F144" s="248"/>
    </row>
    <row r="145" spans="1:8" ht="15.75" customHeight="1">
      <c r="A145" s="40" t="s">
        <v>113</v>
      </c>
      <c r="B145" s="49">
        <f>ABS(B144*3968320.722)</f>
        <v>46805549.251845606</v>
      </c>
      <c r="C145" s="40" t="s">
        <v>58</v>
      </c>
      <c r="D145" s="249"/>
      <c r="E145" s="238"/>
      <c r="F145" s="250"/>
      <c r="G145" s="53">
        <f>B154</f>
        <v>3.1593900000000001</v>
      </c>
      <c r="H145" s="23">
        <v>190</v>
      </c>
    </row>
    <row r="146" spans="1:8" ht="15.75" customHeight="1">
      <c r="A146" s="40" t="s">
        <v>42</v>
      </c>
      <c r="B146" s="40">
        <f>EXP(-0.15241+0.785*LN(B145))</f>
        <v>901555.76450569392</v>
      </c>
      <c r="C146" s="40"/>
      <c r="D146" s="249"/>
      <c r="E146" s="238"/>
      <c r="F146" s="250"/>
      <c r="G146" s="53">
        <f>B164</f>
        <v>4.99268</v>
      </c>
      <c r="H146" s="23">
        <v>272.81698999999998</v>
      </c>
    </row>
    <row r="147" spans="1:8" ht="15.75" customHeight="1">
      <c r="A147" s="40" t="s">
        <v>49</v>
      </c>
      <c r="B147" s="40">
        <v>1.4</v>
      </c>
      <c r="C147" s="40" t="s">
        <v>114</v>
      </c>
      <c r="D147" s="249"/>
      <c r="E147" s="238"/>
      <c r="F147" s="250"/>
      <c r="G147" s="53">
        <f>B144</f>
        <v>11.7948</v>
      </c>
      <c r="H147" s="23">
        <v>3849.6233000000002</v>
      </c>
    </row>
    <row r="148" spans="1:8" ht="15.75" customHeight="1">
      <c r="A148" s="40" t="s">
        <v>45</v>
      </c>
      <c r="B148" s="40">
        <f>10*14.5038</f>
        <v>145.03800000000001</v>
      </c>
      <c r="C148" s="40" t="s">
        <v>115</v>
      </c>
      <c r="D148" s="249"/>
      <c r="E148" s="238"/>
      <c r="F148" s="250"/>
      <c r="G148" s="22">
        <f>FORECAST(H148,G145:G147,H145:H147)</f>
        <v>4.4931572855962933</v>
      </c>
      <c r="H148" s="23">
        <v>430.64499999999998</v>
      </c>
    </row>
    <row r="149" spans="1:8" ht="15.75" customHeight="1">
      <c r="A149" s="40" t="s">
        <v>47</v>
      </c>
      <c r="B149" s="40">
        <f>0.986-0.0035*B148/500+0.0175*(B148/500)^2</f>
        <v>0.98645725550107999</v>
      </c>
      <c r="C149" s="40" t="s">
        <v>116</v>
      </c>
      <c r="D149" s="249"/>
      <c r="E149" s="238"/>
      <c r="F149" s="250"/>
      <c r="G149" s="22"/>
      <c r="H149" s="22"/>
    </row>
    <row r="150" spans="1:8" ht="15.75" customHeight="1">
      <c r="A150" s="40" t="s">
        <v>110</v>
      </c>
      <c r="B150" s="40">
        <f>B149*B147*B146</f>
        <v>1245084.7151896507</v>
      </c>
      <c r="C150" s="40" t="s">
        <v>39</v>
      </c>
      <c r="D150" s="249"/>
      <c r="E150" s="238"/>
      <c r="F150" s="250"/>
      <c r="G150" s="54">
        <f>SLOPE(G145:G147,H145:H147)</f>
        <v>2.1411643159913551E-3</v>
      </c>
    </row>
    <row r="151" spans="1:8" ht="15.75" customHeight="1">
      <c r="A151" s="40" t="s">
        <v>43</v>
      </c>
      <c r="B151" s="40">
        <v>1.86</v>
      </c>
      <c r="C151" s="40" t="s">
        <v>117</v>
      </c>
      <c r="D151" s="249"/>
      <c r="E151" s="238"/>
      <c r="F151" s="250"/>
      <c r="G151" s="22">
        <f>INTERCEPT(G145:G147,H145:H147)</f>
        <v>3.5710755787361959</v>
      </c>
      <c r="H151" s="22"/>
    </row>
    <row r="152" spans="1:8" ht="15.75" customHeight="1">
      <c r="A152" s="47" t="s">
        <v>52</v>
      </c>
      <c r="B152" s="48">
        <f>B151*B150</f>
        <v>2315857.5702527505</v>
      </c>
      <c r="C152" s="47" t="s">
        <v>39</v>
      </c>
      <c r="D152" s="251"/>
      <c r="E152" s="252"/>
      <c r="F152" s="253"/>
      <c r="G152" s="22">
        <f>G150*H148+G151</f>
        <v>4.4931572855962933</v>
      </c>
      <c r="H152" s="22"/>
    </row>
    <row r="153" spans="1:8" ht="15.75" customHeight="1">
      <c r="A153" s="260" t="s">
        <v>139</v>
      </c>
      <c r="B153" s="240"/>
      <c r="C153" s="240"/>
      <c r="D153" s="240"/>
      <c r="E153" s="240"/>
      <c r="F153" s="241"/>
      <c r="G153" s="22"/>
      <c r="H153" s="22"/>
    </row>
    <row r="154" spans="1:8" ht="15.75" customHeight="1">
      <c r="A154" s="40" t="s">
        <v>113</v>
      </c>
      <c r="B154" s="41">
        <v>3.1593900000000001</v>
      </c>
      <c r="C154" s="40" t="s">
        <v>57</v>
      </c>
      <c r="D154" s="256"/>
      <c r="E154" s="247"/>
      <c r="F154" s="248"/>
      <c r="G154" s="22"/>
      <c r="H154" s="22"/>
    </row>
    <row r="155" spans="1:8" ht="15.75" customHeight="1">
      <c r="A155" s="40" t="s">
        <v>113</v>
      </c>
      <c r="B155" s="49">
        <f>ABS(B154*3968320.722)</f>
        <v>12537472.80587958</v>
      </c>
      <c r="C155" s="40" t="s">
        <v>58</v>
      </c>
      <c r="D155" s="249"/>
      <c r="E155" s="238"/>
      <c r="F155" s="250"/>
      <c r="G155" s="22"/>
      <c r="H155" s="22"/>
    </row>
    <row r="156" spans="1:8" ht="15.75" customHeight="1">
      <c r="A156" s="40" t="s">
        <v>42</v>
      </c>
      <c r="B156" s="40">
        <f>EXP(-0.15241+0.785*LN(B155))</f>
        <v>320556.08930036152</v>
      </c>
      <c r="C156" s="40"/>
      <c r="D156" s="249"/>
      <c r="E156" s="238"/>
      <c r="F156" s="250"/>
      <c r="G156" s="22"/>
      <c r="H156" s="22"/>
    </row>
    <row r="157" spans="1:8" ht="15.75" customHeight="1">
      <c r="A157" s="40" t="s">
        <v>49</v>
      </c>
      <c r="B157" s="40">
        <v>1.4</v>
      </c>
      <c r="C157" s="40" t="s">
        <v>114</v>
      </c>
      <c r="D157" s="249"/>
      <c r="E157" s="238"/>
      <c r="F157" s="250"/>
      <c r="G157" s="22"/>
      <c r="H157" s="22"/>
    </row>
    <row r="158" spans="1:8" ht="15.75" customHeight="1">
      <c r="A158" s="40" t="s">
        <v>45</v>
      </c>
      <c r="B158" s="40">
        <f>5*14.5038</f>
        <v>72.519000000000005</v>
      </c>
      <c r="C158" s="40" t="s">
        <v>115</v>
      </c>
      <c r="D158" s="249"/>
      <c r="E158" s="238"/>
      <c r="F158" s="250"/>
      <c r="G158" s="22"/>
      <c r="H158" s="22"/>
    </row>
    <row r="159" spans="1:8" ht="15.75" customHeight="1">
      <c r="A159" s="40" t="s">
        <v>47</v>
      </c>
      <c r="B159" s="40">
        <f>0.986-0.0035*B158/500+0.0175*(B158/500)^2</f>
        <v>0.98586049737526993</v>
      </c>
      <c r="C159" s="40" t="s">
        <v>116</v>
      </c>
      <c r="D159" s="249"/>
      <c r="E159" s="238"/>
      <c r="F159" s="250"/>
      <c r="G159" s="22"/>
      <c r="H159" s="22"/>
    </row>
    <row r="160" spans="1:8" ht="15.75" customHeight="1">
      <c r="A160" s="40" t="s">
        <v>110</v>
      </c>
      <c r="B160" s="40">
        <f>B159*B157*B156</f>
        <v>442433.01988805615</v>
      </c>
      <c r="C160" s="40" t="s">
        <v>39</v>
      </c>
      <c r="D160" s="249"/>
      <c r="E160" s="238"/>
      <c r="F160" s="250"/>
      <c r="G160" s="22"/>
      <c r="H160" s="22"/>
    </row>
    <row r="161" spans="1:8" ht="15.75" customHeight="1">
      <c r="A161" s="40" t="s">
        <v>43</v>
      </c>
      <c r="B161" s="40">
        <v>1.86</v>
      </c>
      <c r="C161" s="40" t="s">
        <v>117</v>
      </c>
      <c r="D161" s="249"/>
      <c r="E161" s="238"/>
      <c r="F161" s="250"/>
      <c r="G161" s="22"/>
      <c r="H161" s="22"/>
    </row>
    <row r="162" spans="1:8" ht="15.75" customHeight="1">
      <c r="A162" s="47" t="s">
        <v>52</v>
      </c>
      <c r="B162" s="48">
        <f>B161*B160</f>
        <v>822925.41699178447</v>
      </c>
      <c r="C162" s="47" t="s">
        <v>39</v>
      </c>
      <c r="D162" s="251"/>
      <c r="E162" s="252"/>
      <c r="F162" s="253"/>
      <c r="G162" s="22"/>
      <c r="H162" s="22"/>
    </row>
    <row r="163" spans="1:8" ht="15.75" customHeight="1">
      <c r="A163" s="260" t="s">
        <v>120</v>
      </c>
      <c r="B163" s="240"/>
      <c r="C163" s="240"/>
      <c r="D163" s="240"/>
      <c r="E163" s="240"/>
      <c r="F163" s="241"/>
      <c r="G163" s="22"/>
      <c r="H163" s="22"/>
    </row>
    <row r="164" spans="1:8" ht="15.75" customHeight="1">
      <c r="A164" s="40" t="s">
        <v>113</v>
      </c>
      <c r="B164" s="41">
        <v>4.99268</v>
      </c>
      <c r="C164" s="40" t="s">
        <v>57</v>
      </c>
      <c r="D164" s="256"/>
      <c r="E164" s="247"/>
      <c r="F164" s="248"/>
      <c r="G164" s="22"/>
      <c r="H164" s="22"/>
    </row>
    <row r="165" spans="1:8" ht="15.75" customHeight="1">
      <c r="A165" s="40" t="s">
        <v>113</v>
      </c>
      <c r="B165" s="49">
        <f>ABS(B164*3968320.722)</f>
        <v>19812555.502314959</v>
      </c>
      <c r="C165" s="40" t="s">
        <v>58</v>
      </c>
      <c r="D165" s="249"/>
      <c r="E165" s="238"/>
      <c r="F165" s="250"/>
      <c r="G165" s="22"/>
      <c r="H165" s="22"/>
    </row>
    <row r="166" spans="1:8" ht="15.75" customHeight="1">
      <c r="A166" s="40" t="s">
        <v>42</v>
      </c>
      <c r="B166" s="40">
        <f>EXP(-0.15241+0.785*LN(B165))</f>
        <v>459100.18473235454</v>
      </c>
      <c r="C166" s="40"/>
      <c r="D166" s="249"/>
      <c r="E166" s="238"/>
      <c r="F166" s="250"/>
      <c r="G166" s="22"/>
      <c r="H166" s="22"/>
    </row>
    <row r="167" spans="1:8" ht="15.75" customHeight="1">
      <c r="A167" s="40" t="s">
        <v>49</v>
      </c>
      <c r="B167" s="40">
        <v>1.4</v>
      </c>
      <c r="C167" s="40" t="s">
        <v>114</v>
      </c>
      <c r="D167" s="249"/>
      <c r="E167" s="238"/>
      <c r="F167" s="250"/>
      <c r="G167" s="22"/>
      <c r="H167" s="22"/>
    </row>
    <row r="168" spans="1:8" ht="15.75" customHeight="1">
      <c r="A168" s="40" t="s">
        <v>45</v>
      </c>
      <c r="B168" s="40">
        <f>30*14.5038</f>
        <v>435.11399999999998</v>
      </c>
      <c r="C168" s="40" t="s">
        <v>115</v>
      </c>
      <c r="D168" s="249"/>
      <c r="E168" s="238"/>
      <c r="F168" s="250"/>
      <c r="G168" s="22"/>
      <c r="H168" s="22"/>
    </row>
    <row r="169" spans="1:8" ht="15.75" customHeight="1">
      <c r="A169" s="40" t="s">
        <v>47</v>
      </c>
      <c r="B169" s="40">
        <f>0.986-0.0035*B168/500+0.0175*(B168/500)^2</f>
        <v>0.99620689550971997</v>
      </c>
      <c r="C169" s="40" t="s">
        <v>116</v>
      </c>
      <c r="D169" s="249"/>
      <c r="E169" s="238"/>
      <c r="F169" s="250"/>
      <c r="G169" s="22"/>
      <c r="H169" s="22"/>
    </row>
    <row r="170" spans="1:8" ht="15.75" customHeight="1">
      <c r="A170" s="40" t="s">
        <v>110</v>
      </c>
      <c r="B170" s="40">
        <f>B169*B167*B166</f>
        <v>640302.27766422101</v>
      </c>
      <c r="C170" s="40" t="s">
        <v>39</v>
      </c>
      <c r="D170" s="249"/>
      <c r="E170" s="238"/>
      <c r="F170" s="250"/>
      <c r="G170" s="22"/>
      <c r="H170" s="22"/>
    </row>
    <row r="171" spans="1:8" ht="15.75" customHeight="1">
      <c r="A171" s="40" t="s">
        <v>43</v>
      </c>
      <c r="B171" s="40">
        <v>1.86</v>
      </c>
      <c r="C171" s="40" t="s">
        <v>117</v>
      </c>
      <c r="D171" s="249"/>
      <c r="E171" s="238"/>
      <c r="F171" s="250"/>
      <c r="G171" s="22"/>
      <c r="H171" s="22"/>
    </row>
    <row r="172" spans="1:8" ht="15.75" customHeight="1">
      <c r="A172" s="47" t="s">
        <v>52</v>
      </c>
      <c r="B172" s="48">
        <f>B171*B170</f>
        <v>1190962.2364554512</v>
      </c>
      <c r="C172" s="47" t="s">
        <v>39</v>
      </c>
      <c r="D172" s="251"/>
      <c r="E172" s="252"/>
      <c r="F172" s="253"/>
      <c r="G172" s="22"/>
      <c r="H172" s="22"/>
    </row>
    <row r="173" spans="1:8" ht="15.75" customHeight="1">
      <c r="A173" s="265" t="s">
        <v>16</v>
      </c>
      <c r="B173" s="238"/>
      <c r="C173" s="238"/>
      <c r="D173" s="238"/>
      <c r="E173" s="238"/>
      <c r="F173" s="238"/>
      <c r="G173" s="22"/>
      <c r="H173" s="22"/>
    </row>
    <row r="174" spans="1:8" ht="15.75" customHeight="1">
      <c r="A174" s="55" t="s">
        <v>140</v>
      </c>
      <c r="B174" s="55">
        <v>1.25</v>
      </c>
      <c r="C174" s="55" t="s">
        <v>141</v>
      </c>
      <c r="D174" s="266"/>
      <c r="E174" s="247"/>
      <c r="F174" s="248"/>
      <c r="G174" s="22"/>
      <c r="H174" s="22"/>
    </row>
    <row r="175" spans="1:8" ht="15.75" customHeight="1">
      <c r="A175" s="55" t="s">
        <v>49</v>
      </c>
      <c r="B175" s="56">
        <v>2.5</v>
      </c>
      <c r="C175" s="55" t="s">
        <v>142</v>
      </c>
      <c r="D175" s="249"/>
      <c r="E175" s="238"/>
      <c r="F175" s="250"/>
      <c r="G175" s="22"/>
      <c r="H175" s="22"/>
    </row>
    <row r="176" spans="1:8" ht="15.75" customHeight="1">
      <c r="A176" s="55" t="s">
        <v>143</v>
      </c>
      <c r="B176" s="57">
        <v>340.30099999999999</v>
      </c>
      <c r="C176" s="55" t="s">
        <v>144</v>
      </c>
      <c r="D176" s="249"/>
      <c r="E176" s="238"/>
      <c r="F176" s="250"/>
      <c r="G176" s="22"/>
      <c r="H176" s="22"/>
    </row>
    <row r="177" spans="1:8" ht="15.75" customHeight="1">
      <c r="A177" s="55" t="s">
        <v>42</v>
      </c>
      <c r="B177" s="55">
        <f>EXP(8.2496+0.7243*LN(B176))</f>
        <v>260966.21818813626</v>
      </c>
      <c r="C177" s="55" t="s">
        <v>145</v>
      </c>
      <c r="D177" s="249"/>
      <c r="E177" s="238"/>
      <c r="F177" s="250"/>
      <c r="G177" s="22"/>
      <c r="H177" s="22"/>
    </row>
    <row r="178" spans="1:8" ht="15.75" customHeight="1">
      <c r="A178" s="55" t="s">
        <v>110</v>
      </c>
      <c r="B178" s="55">
        <f>B177*B174*B175</f>
        <v>815519.4318379258</v>
      </c>
      <c r="C178" s="57" t="s">
        <v>146</v>
      </c>
      <c r="D178" s="249"/>
      <c r="E178" s="238"/>
      <c r="F178" s="250"/>
      <c r="G178" s="22"/>
      <c r="H178" s="22"/>
    </row>
    <row r="179" spans="1:8" ht="15.75" customHeight="1">
      <c r="A179" s="55" t="s">
        <v>43</v>
      </c>
      <c r="B179" s="55">
        <v>2.15</v>
      </c>
      <c r="C179" s="55" t="s">
        <v>73</v>
      </c>
      <c r="D179" s="249"/>
      <c r="E179" s="238"/>
      <c r="F179" s="250"/>
      <c r="G179" s="22"/>
      <c r="H179" s="22"/>
    </row>
    <row r="180" spans="1:8" ht="15.75" customHeight="1">
      <c r="A180" s="58" t="s">
        <v>52</v>
      </c>
      <c r="B180" s="59">
        <f>B179*B178</f>
        <v>1753366.7784515405</v>
      </c>
      <c r="C180" s="58" t="s">
        <v>39</v>
      </c>
      <c r="D180" s="251"/>
      <c r="E180" s="252"/>
      <c r="F180" s="253"/>
      <c r="G180" s="22"/>
      <c r="H180" s="22"/>
    </row>
    <row r="181" spans="1:8" ht="15.75" customHeight="1">
      <c r="A181" s="260" t="s">
        <v>147</v>
      </c>
      <c r="B181" s="240"/>
      <c r="C181" s="240"/>
      <c r="D181" s="240"/>
      <c r="E181" s="240"/>
      <c r="F181" s="241"/>
      <c r="G181" s="22"/>
      <c r="H181" s="22"/>
    </row>
    <row r="182" spans="1:8" ht="15.75" customHeight="1">
      <c r="A182" s="264" t="s">
        <v>122</v>
      </c>
      <c r="B182" s="240"/>
      <c r="C182" s="240"/>
      <c r="D182" s="240"/>
      <c r="E182" s="240"/>
      <c r="F182" s="241"/>
      <c r="G182" s="22"/>
      <c r="H182" s="22"/>
    </row>
    <row r="183" spans="1:8" ht="15.75" customHeight="1">
      <c r="A183" s="239" t="s">
        <v>123</v>
      </c>
      <c r="B183" s="240"/>
      <c r="C183" s="240"/>
      <c r="D183" s="240"/>
      <c r="E183" s="240"/>
      <c r="F183" s="241"/>
      <c r="G183" s="22"/>
      <c r="H183" s="22"/>
    </row>
    <row r="184" spans="1:8" ht="15.75" customHeight="1">
      <c r="A184" s="37" t="s">
        <v>27</v>
      </c>
      <c r="B184" s="37" t="s">
        <v>28</v>
      </c>
      <c r="C184" s="37" t="s">
        <v>29</v>
      </c>
      <c r="D184" s="37" t="s">
        <v>27</v>
      </c>
      <c r="E184" s="37" t="s">
        <v>28</v>
      </c>
      <c r="F184" s="37" t="s">
        <v>29</v>
      </c>
      <c r="G184" s="22"/>
      <c r="H184" s="22"/>
    </row>
    <row r="185" spans="1:8" ht="15.75" customHeight="1">
      <c r="A185" s="25" t="s">
        <v>124</v>
      </c>
      <c r="B185" s="25">
        <v>15</v>
      </c>
      <c r="C185" s="25" t="s">
        <v>31</v>
      </c>
      <c r="D185" s="257"/>
      <c r="E185" s="247"/>
      <c r="F185" s="248"/>
      <c r="G185" s="22"/>
      <c r="H185" s="22"/>
    </row>
    <row r="186" spans="1:8" ht="15.75" customHeight="1">
      <c r="A186" s="25" t="s">
        <v>125</v>
      </c>
      <c r="B186" s="25">
        <v>0.44</v>
      </c>
      <c r="C186" s="243" t="s">
        <v>48</v>
      </c>
      <c r="D186" s="249"/>
      <c r="E186" s="238"/>
      <c r="F186" s="250"/>
      <c r="G186" s="22"/>
      <c r="H186" s="22"/>
    </row>
    <row r="187" spans="1:8" ht="15.75" customHeight="1">
      <c r="A187" s="25" t="s">
        <v>126</v>
      </c>
      <c r="B187" s="25">
        <f>2.25/1.0414^B185</f>
        <v>1.2243875870066863</v>
      </c>
      <c r="C187" s="245"/>
      <c r="D187" s="249"/>
      <c r="E187" s="238"/>
      <c r="F187" s="250"/>
      <c r="G187" s="22"/>
      <c r="H187" s="22"/>
    </row>
    <row r="188" spans="1:8" ht="15.75" customHeight="1">
      <c r="A188" s="25" t="s">
        <v>127</v>
      </c>
      <c r="B188" s="25">
        <v>1</v>
      </c>
      <c r="C188" s="25" t="s">
        <v>128</v>
      </c>
      <c r="D188" s="249"/>
      <c r="E188" s="238"/>
      <c r="F188" s="250"/>
      <c r="G188" s="22"/>
      <c r="H188" s="22"/>
    </row>
    <row r="189" spans="1:8" ht="15.75" customHeight="1">
      <c r="A189" s="50" t="s">
        <v>129</v>
      </c>
      <c r="B189" s="50">
        <v>1</v>
      </c>
      <c r="C189" s="50" t="s">
        <v>130</v>
      </c>
      <c r="D189" s="249"/>
      <c r="E189" s="238"/>
      <c r="F189" s="250"/>
      <c r="G189" s="22"/>
      <c r="H189" s="22"/>
    </row>
    <row r="190" spans="1:8" ht="15.75" customHeight="1">
      <c r="A190" s="261"/>
      <c r="B190" s="240"/>
      <c r="C190" s="241"/>
      <c r="D190" s="249"/>
      <c r="E190" s="238"/>
      <c r="F190" s="250"/>
      <c r="G190" s="22"/>
      <c r="H190" s="22"/>
    </row>
    <row r="191" spans="1:8" ht="15.75" customHeight="1">
      <c r="A191" s="25" t="s">
        <v>131</v>
      </c>
      <c r="B191" s="25">
        <f>2.286*3.28084</f>
        <v>7.5000002400000003</v>
      </c>
      <c r="C191" s="25" t="s">
        <v>97</v>
      </c>
      <c r="D191" s="249"/>
      <c r="E191" s="238"/>
      <c r="F191" s="250"/>
      <c r="G191" s="22"/>
      <c r="H191" s="22"/>
    </row>
    <row r="192" spans="1:8" ht="15.75" customHeight="1">
      <c r="A192" s="25" t="s">
        <v>132</v>
      </c>
      <c r="B192" s="25">
        <f>468*EXP(0.1482*B191)</f>
        <v>1422.2114971627968</v>
      </c>
      <c r="C192" s="25" t="s">
        <v>39</v>
      </c>
      <c r="D192" s="249"/>
      <c r="E192" s="238"/>
      <c r="F192" s="250"/>
      <c r="G192" s="22"/>
      <c r="H192" s="22"/>
    </row>
    <row r="193" spans="1:8" ht="15.75" customHeight="1">
      <c r="A193" s="25" t="s">
        <v>133</v>
      </c>
      <c r="B193" s="25">
        <f>B185*B187*B188*B189*B192</f>
        <v>26120.071548364853</v>
      </c>
      <c r="C193" s="25" t="s">
        <v>39</v>
      </c>
      <c r="D193" s="249"/>
      <c r="E193" s="238"/>
      <c r="F193" s="250"/>
      <c r="G193" s="22"/>
      <c r="H193" s="22"/>
    </row>
    <row r="194" spans="1:8" ht="15.75" customHeight="1">
      <c r="A194" s="25" t="s">
        <v>134</v>
      </c>
      <c r="B194" s="25">
        <f>B185*2+15</f>
        <v>45</v>
      </c>
      <c r="C194" s="25" t="s">
        <v>97</v>
      </c>
      <c r="D194" s="249"/>
      <c r="E194" s="238"/>
      <c r="F194" s="250"/>
      <c r="G194" s="22"/>
      <c r="H194" s="22"/>
    </row>
    <row r="195" spans="1:8" ht="15.75" customHeight="1">
      <c r="A195" s="25" t="s">
        <v>101</v>
      </c>
      <c r="B195" s="25">
        <f>341*(B191^0.63316)*(B194^0.80161)</f>
        <v>25824.97206945439</v>
      </c>
      <c r="C195" s="25" t="s">
        <v>39</v>
      </c>
      <c r="D195" s="249"/>
      <c r="E195" s="238"/>
      <c r="F195" s="250"/>
      <c r="G195" s="22"/>
      <c r="H195" s="22"/>
    </row>
    <row r="196" spans="1:8" ht="15.75" customHeight="1">
      <c r="A196" s="25" t="s">
        <v>49</v>
      </c>
      <c r="B196" s="25">
        <v>1</v>
      </c>
      <c r="C196" s="50" t="s">
        <v>130</v>
      </c>
      <c r="D196" s="249"/>
      <c r="E196" s="238"/>
      <c r="F196" s="250"/>
      <c r="G196" s="22"/>
      <c r="H196" s="22"/>
    </row>
    <row r="197" spans="1:8" ht="15.75" customHeight="1">
      <c r="A197" s="25" t="s">
        <v>103</v>
      </c>
      <c r="B197" s="25">
        <v>490</v>
      </c>
      <c r="C197" s="25" t="s">
        <v>104</v>
      </c>
      <c r="D197" s="249"/>
      <c r="E197" s="238"/>
      <c r="F197" s="250"/>
      <c r="G197" s="22"/>
      <c r="H197" s="22"/>
    </row>
    <row r="198" spans="1:8" ht="15.75" customHeight="1">
      <c r="A198" s="25" t="s">
        <v>106</v>
      </c>
      <c r="B198" s="25">
        <v>0.1043</v>
      </c>
      <c r="C198" s="25" t="s">
        <v>97</v>
      </c>
      <c r="D198" s="249"/>
      <c r="E198" s="238"/>
      <c r="F198" s="250"/>
      <c r="G198" s="22"/>
      <c r="H198" s="22"/>
    </row>
    <row r="199" spans="1:8" ht="15.75" customHeight="1">
      <c r="A199" s="25" t="s">
        <v>107</v>
      </c>
      <c r="B199" s="25">
        <f>B197*B198*PI()*(B191+B198)*(B194+0.8*B191)</f>
        <v>62267.251271683956</v>
      </c>
      <c r="C199" s="25" t="s">
        <v>108</v>
      </c>
      <c r="D199" s="249"/>
      <c r="E199" s="238"/>
      <c r="F199" s="250"/>
      <c r="G199" s="22"/>
      <c r="H199" s="22"/>
    </row>
    <row r="200" spans="1:8" ht="15.75" customHeight="1">
      <c r="A200" s="25" t="s">
        <v>109</v>
      </c>
      <c r="B200" s="25">
        <f>EXP(7.139+0.18255*LN(B199)+0.02297*(LN(B199))^2)</f>
        <v>155346.64399819347</v>
      </c>
      <c r="C200" s="25" t="s">
        <v>39</v>
      </c>
      <c r="D200" s="249"/>
      <c r="E200" s="238"/>
      <c r="F200" s="250"/>
      <c r="G200" s="22"/>
      <c r="H200" s="22"/>
    </row>
    <row r="201" spans="1:8" ht="15.75" customHeight="1">
      <c r="A201" s="25" t="s">
        <v>110</v>
      </c>
      <c r="B201" s="25">
        <f>B196*B200+B195+B193</f>
        <v>207291.6876160127</v>
      </c>
      <c r="C201" s="25" t="s">
        <v>39</v>
      </c>
      <c r="D201" s="249"/>
      <c r="E201" s="238"/>
      <c r="F201" s="250"/>
      <c r="G201" s="22"/>
      <c r="H201" s="22"/>
    </row>
    <row r="202" spans="1:8" ht="15.75" customHeight="1">
      <c r="A202" s="25" t="s">
        <v>43</v>
      </c>
      <c r="B202" s="25">
        <v>4.16</v>
      </c>
      <c r="C202" s="25" t="s">
        <v>111</v>
      </c>
      <c r="D202" s="249"/>
      <c r="E202" s="238"/>
      <c r="F202" s="250"/>
      <c r="G202" s="22"/>
      <c r="H202" s="22"/>
    </row>
    <row r="203" spans="1:8" ht="15.75" customHeight="1">
      <c r="A203" s="34" t="s">
        <v>52</v>
      </c>
      <c r="B203" s="35">
        <f>B201*B202</f>
        <v>862333.42048261291</v>
      </c>
      <c r="C203" s="34" t="s">
        <v>39</v>
      </c>
      <c r="D203" s="251"/>
      <c r="E203" s="252"/>
      <c r="F203" s="253"/>
      <c r="G203" s="22"/>
      <c r="H203" s="22"/>
    </row>
    <row r="204" spans="1:8" ht="15.75" customHeight="1">
      <c r="A204" s="239" t="s">
        <v>135</v>
      </c>
      <c r="B204" s="240"/>
      <c r="C204" s="240"/>
      <c r="D204" s="240"/>
      <c r="E204" s="240"/>
      <c r="F204" s="241"/>
      <c r="G204" s="22"/>
      <c r="H204" s="22"/>
    </row>
    <row r="205" spans="1:8" ht="15.75" customHeight="1">
      <c r="A205" s="37" t="s">
        <v>27</v>
      </c>
      <c r="B205" s="37" t="s">
        <v>28</v>
      </c>
      <c r="C205" s="37" t="s">
        <v>29</v>
      </c>
      <c r="D205" s="37" t="s">
        <v>27</v>
      </c>
      <c r="E205" s="37" t="s">
        <v>28</v>
      </c>
      <c r="F205" s="37" t="s">
        <v>29</v>
      </c>
      <c r="G205" s="22"/>
      <c r="H205" s="22"/>
    </row>
    <row r="206" spans="1:8" ht="15.75" customHeight="1">
      <c r="A206" s="25" t="s">
        <v>124</v>
      </c>
      <c r="B206" s="25">
        <v>15</v>
      </c>
      <c r="C206" s="25" t="s">
        <v>31</v>
      </c>
      <c r="D206" s="257"/>
      <c r="E206" s="247"/>
      <c r="F206" s="248"/>
      <c r="G206" s="22"/>
      <c r="H206" s="22"/>
    </row>
    <row r="207" spans="1:8" ht="15.75" customHeight="1">
      <c r="A207" s="25" t="s">
        <v>125</v>
      </c>
      <c r="B207" s="25">
        <v>0.44</v>
      </c>
      <c r="C207" s="243" t="s">
        <v>48</v>
      </c>
      <c r="D207" s="249"/>
      <c r="E207" s="238"/>
      <c r="F207" s="250"/>
      <c r="G207" s="22"/>
      <c r="H207" s="22"/>
    </row>
    <row r="208" spans="1:8" ht="15.75" customHeight="1">
      <c r="A208" s="25" t="s">
        <v>126</v>
      </c>
      <c r="B208" s="25">
        <f>2.25/1.0414^B206</f>
        <v>1.2243875870066863</v>
      </c>
      <c r="C208" s="245"/>
      <c r="D208" s="249"/>
      <c r="E208" s="238"/>
      <c r="F208" s="250"/>
      <c r="G208" s="22"/>
      <c r="H208" s="22"/>
    </row>
    <row r="209" spans="1:8" ht="15.75" customHeight="1">
      <c r="A209" s="25" t="s">
        <v>127</v>
      </c>
      <c r="B209" s="25">
        <v>1</v>
      </c>
      <c r="C209" s="25" t="s">
        <v>128</v>
      </c>
      <c r="D209" s="249"/>
      <c r="E209" s="238"/>
      <c r="F209" s="250"/>
      <c r="G209" s="22"/>
      <c r="H209" s="22"/>
    </row>
    <row r="210" spans="1:8" ht="15.75" customHeight="1">
      <c r="A210" s="50" t="s">
        <v>129</v>
      </c>
      <c r="B210" s="50">
        <v>1</v>
      </c>
      <c r="C210" s="50" t="s">
        <v>130</v>
      </c>
      <c r="D210" s="249"/>
      <c r="E210" s="238"/>
      <c r="F210" s="250"/>
      <c r="G210" s="22"/>
      <c r="H210" s="22"/>
    </row>
    <row r="211" spans="1:8" ht="15.75" customHeight="1">
      <c r="A211" s="261"/>
      <c r="B211" s="240"/>
      <c r="C211" s="241"/>
      <c r="D211" s="249"/>
      <c r="E211" s="238"/>
      <c r="F211" s="250"/>
      <c r="G211" s="22"/>
      <c r="H211" s="22"/>
    </row>
    <row r="212" spans="1:8" ht="15.75" customHeight="1">
      <c r="A212" s="25" t="s">
        <v>131</v>
      </c>
      <c r="B212" s="25">
        <f>1.0668*3.28084</f>
        <v>3.5000001119999999</v>
      </c>
      <c r="C212" s="25" t="s">
        <v>97</v>
      </c>
      <c r="D212" s="249"/>
      <c r="E212" s="238"/>
      <c r="F212" s="250"/>
      <c r="G212" s="22"/>
      <c r="H212" s="22"/>
    </row>
    <row r="213" spans="1:8" ht="15.75" customHeight="1">
      <c r="A213" s="25" t="s">
        <v>132</v>
      </c>
      <c r="B213" s="25">
        <f>468*EXP(0.1482*B212)</f>
        <v>786.1662723726098</v>
      </c>
      <c r="C213" s="25" t="s">
        <v>39</v>
      </c>
      <c r="D213" s="249"/>
      <c r="E213" s="238"/>
      <c r="F213" s="250"/>
      <c r="G213" s="22"/>
      <c r="H213" s="22"/>
    </row>
    <row r="214" spans="1:8" ht="15.75" customHeight="1">
      <c r="A214" s="25" t="s">
        <v>133</v>
      </c>
      <c r="B214" s="25">
        <f>B206*B208*B209*B210*B213</f>
        <v>14438.583378245115</v>
      </c>
      <c r="C214" s="25" t="s">
        <v>39</v>
      </c>
      <c r="D214" s="249"/>
      <c r="E214" s="238"/>
      <c r="F214" s="250"/>
      <c r="G214" s="22"/>
      <c r="H214" s="22"/>
    </row>
    <row r="215" spans="1:8" ht="15.75" customHeight="1">
      <c r="A215" s="25" t="s">
        <v>134</v>
      </c>
      <c r="B215" s="25">
        <f>B206*2+15</f>
        <v>45</v>
      </c>
      <c r="C215" s="25" t="s">
        <v>97</v>
      </c>
      <c r="D215" s="249"/>
      <c r="E215" s="238"/>
      <c r="F215" s="250"/>
      <c r="G215" s="22"/>
      <c r="H215" s="22"/>
    </row>
    <row r="216" spans="1:8" ht="15.75" customHeight="1">
      <c r="A216" s="25" t="s">
        <v>101</v>
      </c>
      <c r="B216" s="25">
        <f>341*(B212^0.63316)*(B215^0.80161)</f>
        <v>15939.261433349397</v>
      </c>
      <c r="C216" s="25" t="s">
        <v>39</v>
      </c>
      <c r="D216" s="249"/>
      <c r="E216" s="238"/>
      <c r="F216" s="250"/>
      <c r="G216" s="22"/>
      <c r="H216" s="22"/>
    </row>
    <row r="217" spans="1:8" ht="15.75" customHeight="1">
      <c r="A217" s="25" t="s">
        <v>49</v>
      </c>
      <c r="B217" s="25">
        <v>1</v>
      </c>
      <c r="C217" s="50" t="s">
        <v>130</v>
      </c>
      <c r="D217" s="249"/>
      <c r="E217" s="238"/>
      <c r="F217" s="250"/>
      <c r="G217" s="22"/>
      <c r="H217" s="22"/>
    </row>
    <row r="218" spans="1:8" ht="15.75" customHeight="1">
      <c r="A218" s="25" t="s">
        <v>103</v>
      </c>
      <c r="B218" s="25">
        <v>490</v>
      </c>
      <c r="C218" s="25" t="s">
        <v>104</v>
      </c>
      <c r="D218" s="249"/>
      <c r="E218" s="238"/>
      <c r="F218" s="250"/>
      <c r="G218" s="22"/>
      <c r="H218" s="22"/>
    </row>
    <row r="219" spans="1:8" ht="15.75" customHeight="1">
      <c r="A219" s="25" t="s">
        <v>106</v>
      </c>
      <c r="B219" s="25">
        <v>0.1043</v>
      </c>
      <c r="C219" s="25" t="s">
        <v>97</v>
      </c>
      <c r="D219" s="249"/>
      <c r="E219" s="238"/>
      <c r="F219" s="250"/>
      <c r="G219" s="22"/>
      <c r="H219" s="22"/>
    </row>
    <row r="220" spans="1:8" ht="15.75" customHeight="1">
      <c r="A220" s="25" t="s">
        <v>107</v>
      </c>
      <c r="B220" s="25">
        <f>B218*B219*PI()*(B212+B219)*(B215+0.8*B212)</f>
        <v>27661.715092968348</v>
      </c>
      <c r="C220" s="25" t="s">
        <v>108</v>
      </c>
      <c r="D220" s="249"/>
      <c r="E220" s="238"/>
      <c r="F220" s="250"/>
      <c r="G220" s="22"/>
      <c r="H220" s="22"/>
    </row>
    <row r="221" spans="1:8" ht="15.75" customHeight="1">
      <c r="A221" s="25" t="s">
        <v>109</v>
      </c>
      <c r="B221" s="25">
        <f>EXP(7.139+0.18255*LN(B220)+0.02297*(LN(B220))^2)</f>
        <v>90123.046227266794</v>
      </c>
      <c r="C221" s="25" t="s">
        <v>39</v>
      </c>
      <c r="D221" s="249"/>
      <c r="E221" s="238"/>
      <c r="F221" s="250"/>
      <c r="G221" s="22"/>
      <c r="H221" s="22"/>
    </row>
    <row r="222" spans="1:8" ht="15.75" customHeight="1">
      <c r="A222" s="25" t="s">
        <v>110</v>
      </c>
      <c r="B222" s="25">
        <f>B217*B221+B216+B214</f>
        <v>120500.8910388613</v>
      </c>
      <c r="C222" s="25" t="s">
        <v>39</v>
      </c>
      <c r="D222" s="249"/>
      <c r="E222" s="238"/>
      <c r="F222" s="250"/>
      <c r="G222" s="22"/>
      <c r="H222" s="22"/>
    </row>
    <row r="223" spans="1:8" ht="15.75" customHeight="1">
      <c r="A223" s="25" t="s">
        <v>43</v>
      </c>
      <c r="B223" s="25">
        <v>4.16</v>
      </c>
      <c r="C223" s="25" t="s">
        <v>111</v>
      </c>
      <c r="D223" s="249"/>
      <c r="E223" s="238"/>
      <c r="F223" s="250"/>
      <c r="G223" s="22"/>
      <c r="H223" s="22"/>
    </row>
    <row r="224" spans="1:8" ht="15.75" customHeight="1">
      <c r="A224" s="34" t="s">
        <v>52</v>
      </c>
      <c r="B224" s="35">
        <f>B222*B223</f>
        <v>501283.70672166301</v>
      </c>
      <c r="C224" s="34" t="s">
        <v>39</v>
      </c>
      <c r="D224" s="251"/>
      <c r="E224" s="252"/>
      <c r="F224" s="253"/>
      <c r="G224" s="22"/>
      <c r="H224" s="22"/>
    </row>
    <row r="225" spans="1:8" ht="15.75" customHeight="1">
      <c r="A225" s="254" t="s">
        <v>136</v>
      </c>
      <c r="B225" s="238"/>
      <c r="C225" s="238"/>
      <c r="D225" s="238"/>
      <c r="E225" s="238"/>
      <c r="F225" s="238"/>
      <c r="G225" s="22"/>
      <c r="H225" s="22"/>
    </row>
    <row r="226" spans="1:8" ht="15.75" customHeight="1">
      <c r="A226" s="39" t="s">
        <v>27</v>
      </c>
      <c r="B226" s="39" t="s">
        <v>28</v>
      </c>
      <c r="C226" s="39" t="s">
        <v>29</v>
      </c>
      <c r="D226" s="39" t="s">
        <v>27</v>
      </c>
      <c r="E226" s="39" t="s">
        <v>28</v>
      </c>
      <c r="F226" s="39" t="s">
        <v>29</v>
      </c>
      <c r="G226" s="22"/>
      <c r="H226" s="22"/>
    </row>
    <row r="227" spans="1:8" ht="15.75" customHeight="1">
      <c r="A227" s="40" t="s">
        <v>124</v>
      </c>
      <c r="B227" s="40">
        <v>15</v>
      </c>
      <c r="C227" s="40" t="s">
        <v>31</v>
      </c>
      <c r="D227" s="258" t="s">
        <v>137</v>
      </c>
      <c r="E227" s="247"/>
      <c r="F227" s="248"/>
      <c r="G227" s="22"/>
      <c r="H227" s="22"/>
    </row>
    <row r="228" spans="1:8" ht="15.75" customHeight="1">
      <c r="A228" s="40" t="s">
        <v>125</v>
      </c>
      <c r="B228" s="40">
        <v>0.25</v>
      </c>
      <c r="C228" s="255" t="s">
        <v>48</v>
      </c>
      <c r="D228" s="249"/>
      <c r="E228" s="238"/>
      <c r="F228" s="250"/>
      <c r="G228" s="22"/>
      <c r="H228" s="22"/>
    </row>
    <row r="229" spans="1:8" ht="15.75" customHeight="1">
      <c r="A229" s="40" t="s">
        <v>126</v>
      </c>
      <c r="B229" s="40">
        <f>2.25/1.0414^B227</f>
        <v>1.2243875870066863</v>
      </c>
      <c r="C229" s="245"/>
      <c r="D229" s="249"/>
      <c r="E229" s="238"/>
      <c r="F229" s="250"/>
      <c r="G229" s="22"/>
      <c r="H229" s="22"/>
    </row>
    <row r="230" spans="1:8" ht="15.75" customHeight="1">
      <c r="A230" s="40" t="s">
        <v>127</v>
      </c>
      <c r="B230" s="40">
        <v>1</v>
      </c>
      <c r="C230" s="40" t="s">
        <v>128</v>
      </c>
      <c r="D230" s="249"/>
      <c r="E230" s="238"/>
      <c r="F230" s="250"/>
      <c r="G230" s="22"/>
      <c r="H230" s="22"/>
    </row>
    <row r="231" spans="1:8" ht="15.75" customHeight="1">
      <c r="A231" s="51" t="s">
        <v>129</v>
      </c>
      <c r="B231" s="51">
        <v>1</v>
      </c>
      <c r="C231" s="51" t="s">
        <v>130</v>
      </c>
      <c r="D231" s="249"/>
      <c r="E231" s="238"/>
      <c r="F231" s="250"/>
      <c r="G231" s="22"/>
      <c r="H231" s="22"/>
    </row>
    <row r="232" spans="1:8" ht="15.75" customHeight="1">
      <c r="A232" s="261"/>
      <c r="B232" s="240"/>
      <c r="C232" s="241"/>
      <c r="D232" s="249"/>
      <c r="E232" s="238"/>
      <c r="F232" s="250"/>
      <c r="G232" s="22"/>
      <c r="H232" s="22"/>
    </row>
    <row r="233" spans="1:8" ht="15.75" customHeight="1">
      <c r="A233" s="40" t="s">
        <v>131</v>
      </c>
      <c r="B233" s="25">
        <f>2.286*3.28084</f>
        <v>7.5000002400000003</v>
      </c>
      <c r="C233" s="40" t="s">
        <v>97</v>
      </c>
      <c r="D233" s="249"/>
      <c r="E233" s="238"/>
      <c r="F233" s="250"/>
      <c r="G233" s="22"/>
      <c r="H233" s="22"/>
    </row>
    <row r="234" spans="1:8" ht="15.75" customHeight="1">
      <c r="A234" s="40" t="s">
        <v>132</v>
      </c>
      <c r="B234" s="45">
        <f>468*EXP(0.1482*B233)</f>
        <v>1422.2114971627968</v>
      </c>
      <c r="C234" s="40" t="s">
        <v>39</v>
      </c>
      <c r="D234" s="249"/>
      <c r="E234" s="238"/>
      <c r="F234" s="250"/>
      <c r="G234" s="22"/>
      <c r="H234" s="22"/>
    </row>
    <row r="235" spans="1:8" ht="15.75" customHeight="1">
      <c r="A235" s="40" t="s">
        <v>133</v>
      </c>
      <c r="B235" s="45">
        <f>B227*B229*B230*B231*B234</f>
        <v>26120.071548364853</v>
      </c>
      <c r="C235" s="40" t="s">
        <v>39</v>
      </c>
      <c r="D235" s="249"/>
      <c r="E235" s="238"/>
      <c r="F235" s="250"/>
      <c r="G235" s="22"/>
      <c r="H235" s="22"/>
    </row>
    <row r="236" spans="1:8" ht="15.75" customHeight="1">
      <c r="A236" s="40" t="s">
        <v>134</v>
      </c>
      <c r="B236" s="40">
        <f>B227*2+15</f>
        <v>45</v>
      </c>
      <c r="C236" s="40" t="s">
        <v>97</v>
      </c>
      <c r="D236" s="249"/>
      <c r="E236" s="238"/>
      <c r="F236" s="250"/>
      <c r="G236" s="22"/>
      <c r="H236" s="22"/>
    </row>
    <row r="237" spans="1:8" ht="15.75" customHeight="1">
      <c r="A237" s="40" t="s">
        <v>101</v>
      </c>
      <c r="B237" s="45">
        <f>341*(B233^0.63316)*(B236^0.80161)</f>
        <v>25824.97206945439</v>
      </c>
      <c r="C237" s="40" t="s">
        <v>39</v>
      </c>
      <c r="D237" s="249"/>
      <c r="E237" s="238"/>
      <c r="F237" s="250"/>
      <c r="G237" s="22"/>
      <c r="H237" s="22"/>
    </row>
    <row r="238" spans="1:8" ht="15.75" customHeight="1">
      <c r="A238" s="40" t="s">
        <v>49</v>
      </c>
      <c r="B238" s="40">
        <v>1</v>
      </c>
      <c r="C238" s="51" t="s">
        <v>130</v>
      </c>
      <c r="D238" s="249"/>
      <c r="E238" s="238"/>
      <c r="F238" s="250"/>
      <c r="G238" s="22"/>
      <c r="H238" s="22"/>
    </row>
    <row r="239" spans="1:8" ht="15.75" customHeight="1">
      <c r="A239" s="40" t="s">
        <v>103</v>
      </c>
      <c r="B239" s="40">
        <v>490</v>
      </c>
      <c r="C239" s="40" t="s">
        <v>104</v>
      </c>
      <c r="D239" s="249"/>
      <c r="E239" s="238"/>
      <c r="F239" s="250"/>
      <c r="G239" s="22"/>
      <c r="H239" s="22"/>
    </row>
    <row r="240" spans="1:8" ht="15.75" customHeight="1">
      <c r="A240" s="40" t="s">
        <v>106</v>
      </c>
      <c r="B240" s="52">
        <v>0.1043</v>
      </c>
      <c r="C240" s="40" t="s">
        <v>97</v>
      </c>
      <c r="D240" s="249"/>
      <c r="E240" s="238"/>
      <c r="F240" s="250"/>
      <c r="G240" s="22"/>
      <c r="H240" s="22"/>
    </row>
    <row r="241" spans="1:8" ht="15.75" customHeight="1">
      <c r="A241" s="40" t="s">
        <v>107</v>
      </c>
      <c r="B241" s="40">
        <f>B239*B240*PI()*(B233+B240)*(B236+0.8*B233)</f>
        <v>62267.251271683956</v>
      </c>
      <c r="C241" s="40" t="s">
        <v>108</v>
      </c>
      <c r="D241" s="249"/>
      <c r="E241" s="238"/>
      <c r="F241" s="250"/>
      <c r="G241" s="22"/>
      <c r="H241" s="22"/>
    </row>
    <row r="242" spans="1:8" ht="15.75" customHeight="1">
      <c r="A242" s="40" t="s">
        <v>109</v>
      </c>
      <c r="B242" s="45">
        <f>EXP(7.139+0.18255*LN(B241)+0.02297*(LN(B241))^2)</f>
        <v>155346.64399819347</v>
      </c>
      <c r="C242" s="40" t="s">
        <v>39</v>
      </c>
      <c r="D242" s="249"/>
      <c r="E242" s="238"/>
      <c r="F242" s="250"/>
      <c r="G242" s="22"/>
      <c r="H242" s="22"/>
    </row>
    <row r="243" spans="1:8" ht="15.75" customHeight="1">
      <c r="A243" s="40" t="s">
        <v>110</v>
      </c>
      <c r="B243" s="45">
        <f>B238*B242+B237+B235</f>
        <v>207291.6876160127</v>
      </c>
      <c r="C243" s="40" t="s">
        <v>39</v>
      </c>
      <c r="D243" s="249"/>
      <c r="E243" s="238"/>
      <c r="F243" s="250"/>
      <c r="G243" s="22"/>
      <c r="H243" s="22"/>
    </row>
    <row r="244" spans="1:8" ht="15.75" customHeight="1">
      <c r="A244" s="40" t="s">
        <v>43</v>
      </c>
      <c r="B244" s="40">
        <v>4.16</v>
      </c>
      <c r="C244" s="40" t="s">
        <v>111</v>
      </c>
      <c r="D244" s="249"/>
      <c r="E244" s="238"/>
      <c r="F244" s="250"/>
      <c r="G244" s="22"/>
      <c r="H244" s="22"/>
    </row>
    <row r="245" spans="1:8" ht="15.75" customHeight="1">
      <c r="A245" s="47" t="s">
        <v>52</v>
      </c>
      <c r="B245" s="48">
        <f>B243*B244</f>
        <v>862333.42048261291</v>
      </c>
      <c r="C245" s="47" t="s">
        <v>39</v>
      </c>
      <c r="D245" s="251"/>
      <c r="E245" s="252"/>
      <c r="F245" s="253"/>
      <c r="G245" s="22"/>
      <c r="H245" s="22"/>
    </row>
    <row r="246" spans="1:8" ht="15.75" customHeight="1">
      <c r="A246" s="262" t="s">
        <v>138</v>
      </c>
      <c r="B246" s="247"/>
      <c r="C246" s="248"/>
      <c r="D246" s="263">
        <f>SUM(B16,B31,B44,B57,B70,B83,B96,B109,B132,B142,B152,B162,B172,B180,B203,B224,B245)</f>
        <v>20756153.487013642</v>
      </c>
      <c r="E246" s="247"/>
      <c r="F246" s="248"/>
      <c r="G246" s="22"/>
      <c r="H246" s="22"/>
    </row>
    <row r="247" spans="1:8" ht="15.75" customHeight="1">
      <c r="A247" s="251"/>
      <c r="B247" s="252"/>
      <c r="C247" s="253"/>
      <c r="D247" s="251"/>
      <c r="E247" s="252"/>
      <c r="F247" s="253"/>
      <c r="G247" s="22"/>
      <c r="H247" s="22"/>
    </row>
    <row r="248" spans="1:8" ht="15.75" customHeight="1">
      <c r="A248" s="22"/>
      <c r="B248" s="22"/>
      <c r="C248" s="22"/>
      <c r="D248" s="22"/>
      <c r="E248" s="22"/>
      <c r="F248" s="22"/>
      <c r="G248" s="22"/>
      <c r="H248" s="22"/>
    </row>
  </sheetData>
  <mergeCells count="57">
    <mergeCell ref="F120:F126"/>
    <mergeCell ref="D127:F132"/>
    <mergeCell ref="A133:F133"/>
    <mergeCell ref="D134:F142"/>
    <mergeCell ref="A143:F143"/>
    <mergeCell ref="A97:F97"/>
    <mergeCell ref="D99:F109"/>
    <mergeCell ref="C106:C108"/>
    <mergeCell ref="A110:F110"/>
    <mergeCell ref="C113:C119"/>
    <mergeCell ref="F113:F119"/>
    <mergeCell ref="A71:F71"/>
    <mergeCell ref="D73:F83"/>
    <mergeCell ref="C80:C82"/>
    <mergeCell ref="A84:F84"/>
    <mergeCell ref="D86:F96"/>
    <mergeCell ref="C93:C95"/>
    <mergeCell ref="C54:C56"/>
    <mergeCell ref="A58:F58"/>
    <mergeCell ref="D47:F57"/>
    <mergeCell ref="D60:F70"/>
    <mergeCell ref="C67:C69"/>
    <mergeCell ref="C28:C30"/>
    <mergeCell ref="A32:F32"/>
    <mergeCell ref="D34:F44"/>
    <mergeCell ref="C41:C43"/>
    <mergeCell ref="A45:F45"/>
    <mergeCell ref="A1:C1"/>
    <mergeCell ref="D1:F1"/>
    <mergeCell ref="A2:F2"/>
    <mergeCell ref="G2:G11"/>
    <mergeCell ref="C13:C15"/>
    <mergeCell ref="G14:G18"/>
    <mergeCell ref="A17:F17"/>
    <mergeCell ref="D144:F152"/>
    <mergeCell ref="D154:F162"/>
    <mergeCell ref="D164:F172"/>
    <mergeCell ref="D174:F180"/>
    <mergeCell ref="D185:F203"/>
    <mergeCell ref="A153:F153"/>
    <mergeCell ref="C186:C187"/>
    <mergeCell ref="A232:C232"/>
    <mergeCell ref="A246:C247"/>
    <mergeCell ref="A163:F163"/>
    <mergeCell ref="A173:F173"/>
    <mergeCell ref="A181:F181"/>
    <mergeCell ref="A182:F182"/>
    <mergeCell ref="A183:F183"/>
    <mergeCell ref="A190:C190"/>
    <mergeCell ref="A204:F204"/>
    <mergeCell ref="D227:F245"/>
    <mergeCell ref="D246:F247"/>
    <mergeCell ref="D206:F224"/>
    <mergeCell ref="C228:C229"/>
    <mergeCell ref="C207:C208"/>
    <mergeCell ref="A211:C211"/>
    <mergeCell ref="A225:F22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55"/>
  <sheetViews>
    <sheetView workbookViewId="0"/>
  </sheetViews>
  <sheetFormatPr defaultColWidth="12.5703125" defaultRowHeight="15" customHeight="1"/>
  <cols>
    <col min="14" max="14" width="21.42578125" customWidth="1"/>
  </cols>
  <sheetData>
    <row r="1" spans="1:14" ht="15.75" customHeight="1">
      <c r="A1" s="60" t="s">
        <v>148</v>
      </c>
      <c r="B1" s="61"/>
      <c r="C1" s="61"/>
      <c r="D1" s="61"/>
      <c r="E1" s="61"/>
      <c r="F1" s="61"/>
      <c r="G1" s="62" t="s">
        <v>149</v>
      </c>
      <c r="H1" s="61"/>
      <c r="I1" s="61"/>
      <c r="J1" s="61"/>
      <c r="K1" s="61"/>
      <c r="L1" s="61"/>
      <c r="M1" s="61"/>
      <c r="N1" s="61"/>
    </row>
    <row r="2" spans="1:14" ht="15.75" customHeight="1">
      <c r="A2" s="61"/>
      <c r="B2" s="61"/>
      <c r="C2" s="61"/>
      <c r="D2" s="61"/>
      <c r="E2" s="61"/>
      <c r="F2" s="61"/>
      <c r="G2" s="60" t="s">
        <v>150</v>
      </c>
      <c r="H2" s="61"/>
      <c r="I2" s="61"/>
      <c r="J2" s="61"/>
      <c r="K2" s="61"/>
      <c r="L2" s="61"/>
      <c r="M2" s="61"/>
      <c r="N2" s="61"/>
    </row>
    <row r="3" spans="1:14" ht="15.75" customHeight="1">
      <c r="A3" s="63" t="s">
        <v>151</v>
      </c>
      <c r="B3" s="64" t="s">
        <v>152</v>
      </c>
      <c r="C3" s="65"/>
      <c r="D3" s="65"/>
      <c r="E3" s="65"/>
      <c r="F3" s="65"/>
      <c r="G3" s="63"/>
      <c r="H3" s="63"/>
      <c r="I3" s="63"/>
      <c r="J3" s="63"/>
      <c r="K3" s="63" t="s">
        <v>153</v>
      </c>
      <c r="L3" s="64" t="s">
        <v>154</v>
      </c>
      <c r="M3" s="65"/>
      <c r="N3" s="61"/>
    </row>
    <row r="4" spans="1:14" ht="15.75" customHeight="1">
      <c r="A4" s="63" t="s">
        <v>155</v>
      </c>
      <c r="B4" s="64" t="s">
        <v>156</v>
      </c>
      <c r="C4" s="65"/>
      <c r="D4" s="65"/>
      <c r="E4" s="65"/>
      <c r="F4" s="65"/>
      <c r="G4" s="63"/>
      <c r="H4" s="63"/>
      <c r="I4" s="63"/>
      <c r="J4" s="63"/>
      <c r="K4" s="63" t="s">
        <v>157</v>
      </c>
      <c r="L4" s="66">
        <v>123456</v>
      </c>
      <c r="M4" s="65"/>
      <c r="N4" s="61"/>
    </row>
    <row r="5" spans="1:14" ht="15.75" customHeight="1">
      <c r="A5" s="63" t="s">
        <v>158</v>
      </c>
      <c r="B5" s="64" t="s">
        <v>159</v>
      </c>
      <c r="C5" s="65"/>
      <c r="D5" s="65"/>
      <c r="E5" s="65"/>
      <c r="F5" s="65"/>
      <c r="G5" s="63"/>
      <c r="H5" s="63"/>
      <c r="I5" s="63"/>
      <c r="J5" s="63"/>
      <c r="K5" s="63" t="s">
        <v>160</v>
      </c>
      <c r="L5" s="64" t="s">
        <v>161</v>
      </c>
      <c r="M5" s="65"/>
      <c r="N5" s="61"/>
    </row>
    <row r="6" spans="1:14" ht="15.75" customHeight="1">
      <c r="A6" s="63" t="s">
        <v>162</v>
      </c>
      <c r="B6" s="65" t="s">
        <v>163</v>
      </c>
      <c r="C6" s="65"/>
      <c r="D6" s="65"/>
      <c r="E6" s="65"/>
      <c r="F6" s="65"/>
      <c r="G6" s="63"/>
      <c r="H6" s="63"/>
      <c r="I6" s="63"/>
      <c r="J6" s="63"/>
      <c r="K6" s="63" t="s">
        <v>164</v>
      </c>
      <c r="L6" s="67">
        <v>44616</v>
      </c>
      <c r="M6" s="68"/>
      <c r="N6" s="61"/>
    </row>
    <row r="7" spans="1:14" ht="15.75" customHeight="1">
      <c r="A7" s="63" t="s">
        <v>165</v>
      </c>
      <c r="B7" s="64" t="s">
        <v>166</v>
      </c>
      <c r="C7" s="65"/>
      <c r="D7" s="65"/>
      <c r="E7" s="65"/>
      <c r="F7" s="65"/>
      <c r="G7" s="63"/>
      <c r="H7" s="63"/>
      <c r="I7" s="63"/>
      <c r="J7" s="63"/>
      <c r="K7" s="63"/>
      <c r="L7" s="63"/>
      <c r="M7" s="63"/>
      <c r="N7" s="61"/>
    </row>
    <row r="8" spans="1:14" ht="15.75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3" t="s">
        <v>167</v>
      </c>
      <c r="N8" s="61"/>
    </row>
    <row r="9" spans="1:14" ht="15.7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9" t="s">
        <v>168</v>
      </c>
      <c r="N9" s="70" t="s">
        <v>169</v>
      </c>
    </row>
    <row r="10" spans="1:14" ht="15.75" customHeight="1">
      <c r="A10" s="71" t="s">
        <v>170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72">
        <f>'Sizing No HI'!D238/1000</f>
        <v>17297.138086745021</v>
      </c>
    </row>
    <row r="11" spans="1:14" ht="15.75" customHeight="1">
      <c r="A11" s="71" t="s">
        <v>171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3">
        <v>0.1</v>
      </c>
      <c r="M11" s="74" t="s">
        <v>172</v>
      </c>
      <c r="N11" s="75">
        <f>L11*N10</f>
        <v>1729.7138086745022</v>
      </c>
    </row>
    <row r="12" spans="1:14" ht="15.75" customHeight="1">
      <c r="A12" s="61"/>
      <c r="B12" s="63" t="s">
        <v>173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75">
        <f>SUM(N10:N11)</f>
        <v>19026.851895419524</v>
      </c>
    </row>
    <row r="13" spans="1:14" ht="15.75" customHeight="1">
      <c r="A13" s="71" t="s">
        <v>174</v>
      </c>
      <c r="B13" s="61"/>
      <c r="C13" s="61"/>
      <c r="D13" s="61"/>
      <c r="E13" s="61"/>
      <c r="F13" s="73">
        <v>0.05</v>
      </c>
      <c r="G13" s="73">
        <v>0.1</v>
      </c>
      <c r="H13" s="73">
        <v>0.1</v>
      </c>
      <c r="I13" s="61"/>
      <c r="J13" s="61"/>
      <c r="K13" s="61"/>
      <c r="L13" s="76">
        <v>0</v>
      </c>
      <c r="M13" s="74" t="s">
        <v>175</v>
      </c>
      <c r="N13" s="75">
        <f>ROUND(+L13*N12,-1)</f>
        <v>0</v>
      </c>
    </row>
    <row r="14" spans="1:14" ht="15.75" customHeight="1">
      <c r="A14" s="71" t="s">
        <v>176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77"/>
    </row>
    <row r="15" spans="1:14" ht="15.75" customHeight="1">
      <c r="A15" s="71" t="s">
        <v>177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3">
        <v>0</v>
      </c>
      <c r="M15" s="74" t="s">
        <v>172</v>
      </c>
      <c r="N15" s="75">
        <f>ROUND(+L15*(N12+N14),-1)</f>
        <v>0</v>
      </c>
    </row>
    <row r="16" spans="1:14" ht="15.75" customHeight="1">
      <c r="A16" s="61"/>
      <c r="B16" s="63" t="s">
        <v>178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75">
        <f>SUM(N12:N15)</f>
        <v>19026.851895419524</v>
      </c>
    </row>
    <row r="17" spans="1:14" ht="15.75" customHeight="1">
      <c r="A17" s="71" t="s">
        <v>179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3">
        <v>0</v>
      </c>
      <c r="M17" s="74" t="s">
        <v>180</v>
      </c>
      <c r="N17" s="75">
        <f>ROUND(+L17*N16,-1)</f>
        <v>0</v>
      </c>
    </row>
    <row r="18" spans="1:14" ht="15.75" customHeight="1">
      <c r="A18" s="71" t="s">
        <v>181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3">
        <v>0</v>
      </c>
      <c r="M18" s="74" t="s">
        <v>182</v>
      </c>
      <c r="N18" s="75">
        <f>ROUND(+L18*N16,-1)</f>
        <v>0</v>
      </c>
    </row>
    <row r="19" spans="1:14" ht="15.75" customHeight="1">
      <c r="A19" s="71" t="s">
        <v>183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3">
        <v>0</v>
      </c>
      <c r="M19" s="74" t="s">
        <v>184</v>
      </c>
      <c r="N19" s="75">
        <f>ROUND(+L19*N16,-1)</f>
        <v>0</v>
      </c>
    </row>
    <row r="20" spans="1:14" ht="15.75" customHeight="1">
      <c r="A20" s="71" t="s">
        <v>185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72">
        <v>0</v>
      </c>
    </row>
    <row r="21" spans="1:14" ht="15.75" customHeight="1">
      <c r="A21" s="71" t="s">
        <v>186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72">
        <v>0</v>
      </c>
    </row>
    <row r="22" spans="1:14" ht="15.75" customHeight="1">
      <c r="A22" s="71" t="s">
        <v>187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72">
        <v>0</v>
      </c>
    </row>
    <row r="23" spans="1:14" ht="15.75" customHeight="1">
      <c r="A23" s="61"/>
      <c r="B23" s="63" t="s">
        <v>188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75">
        <f>SUM(N16:N22)</f>
        <v>19026.851895419524</v>
      </c>
    </row>
    <row r="24" spans="1:14" ht="15.75" customHeight="1">
      <c r="A24" s="71" t="s">
        <v>189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77"/>
    </row>
    <row r="25" spans="1:14" ht="15.75" customHeight="1">
      <c r="A25" s="71" t="s">
        <v>190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78" t="s">
        <v>191</v>
      </c>
      <c r="N25" s="72">
        <f>('Sizing No HI'!B8+'Sizing No HI'!B23)/2/1000</f>
        <v>2177.21</v>
      </c>
    </row>
    <row r="26" spans="1:14" ht="15.75" customHeight="1">
      <c r="A26" s="71" t="s">
        <v>192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72">
        <v>0</v>
      </c>
    </row>
    <row r="27" spans="1:14" ht="15.75" customHeight="1">
      <c r="A27" s="71" t="s">
        <v>193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3">
        <v>0.1</v>
      </c>
      <c r="M27" s="74" t="s">
        <v>172</v>
      </c>
      <c r="N27" s="75">
        <f>ROUND(+L27*N23,-1)</f>
        <v>1900</v>
      </c>
    </row>
    <row r="28" spans="1:14" ht="15.75" customHeight="1">
      <c r="A28" s="61"/>
      <c r="B28" s="63" t="s">
        <v>194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75">
        <f>SUM(N23:N27)</f>
        <v>23104.061895419523</v>
      </c>
    </row>
    <row r="29" spans="1:14" ht="15.75" customHeight="1">
      <c r="A29" s="71" t="s">
        <v>195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72">
        <v>0</v>
      </c>
    </row>
    <row r="30" spans="1:14" ht="15.75" customHeight="1">
      <c r="A30" s="71" t="s">
        <v>196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3">
        <v>0.1</v>
      </c>
      <c r="M30" s="74" t="s">
        <v>197</v>
      </c>
      <c r="N30" s="75">
        <f>ROUND(+L30*N28,-1)</f>
        <v>2310</v>
      </c>
    </row>
    <row r="31" spans="1:14" ht="15.75" customHeight="1">
      <c r="A31" s="71" t="s">
        <v>198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77"/>
    </row>
    <row r="32" spans="1:14" ht="15.75" customHeight="1">
      <c r="A32" s="71" t="s">
        <v>199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73">
        <v>0.05</v>
      </c>
      <c r="M32" s="74" t="s">
        <v>200</v>
      </c>
      <c r="N32" s="75">
        <f>ROUND(+L32*N28,-1)</f>
        <v>1160</v>
      </c>
    </row>
    <row r="33" spans="1:14" ht="15.75" customHeight="1">
      <c r="A33" s="61" t="s">
        <v>201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77"/>
    </row>
    <row r="34" spans="1:14" ht="15.75" customHeight="1">
      <c r="A34" s="61"/>
      <c r="B34" s="63" t="s">
        <v>202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75">
        <f>SUM(N28:N33)</f>
        <v>26574.061895419523</v>
      </c>
    </row>
    <row r="35" spans="1:14" ht="15.75" customHeight="1">
      <c r="A35" s="71" t="s">
        <v>203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73">
        <v>0.2</v>
      </c>
      <c r="M35" s="74" t="s">
        <v>204</v>
      </c>
      <c r="N35" s="75">
        <f>ROUND(+L35*N34,0)</f>
        <v>5315</v>
      </c>
    </row>
    <row r="36" spans="1:14" ht="15.75" customHeight="1">
      <c r="A36" s="71" t="s">
        <v>205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73">
        <v>0.1</v>
      </c>
      <c r="M36" s="74" t="s">
        <v>206</v>
      </c>
      <c r="N36" s="75">
        <f>ROUND(+L36*N34,0)</f>
        <v>2657</v>
      </c>
    </row>
    <row r="37" spans="1:14" ht="15.75" customHeight="1">
      <c r="A37" s="61"/>
      <c r="B37" s="63" t="s">
        <v>207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75">
        <f>SUM(N34:N36)</f>
        <v>34546.061895419523</v>
      </c>
    </row>
    <row r="38" spans="1:14" ht="15.75" customHeight="1">
      <c r="A38" s="71" t="s">
        <v>208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73">
        <v>0.3</v>
      </c>
      <c r="M38" s="74" t="s">
        <v>209</v>
      </c>
      <c r="N38" s="79"/>
    </row>
    <row r="39" spans="1:14" ht="15.75" customHeight="1">
      <c r="A39" s="71" t="s">
        <v>210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73">
        <v>0</v>
      </c>
      <c r="M39" s="74" t="s">
        <v>172</v>
      </c>
      <c r="N39" s="75">
        <f>ROUND(ROUND(+L39*L38*N37,0),-1)</f>
        <v>0</v>
      </c>
    </row>
    <row r="40" spans="1:14" ht="15.75" customHeight="1">
      <c r="A40" s="71" t="s">
        <v>211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73">
        <v>0</v>
      </c>
      <c r="M40" s="74" t="s">
        <v>212</v>
      </c>
      <c r="N40" s="75">
        <f>ROUND(ROUND(+L40*(1-L38)*N37,0),-1)</f>
        <v>0</v>
      </c>
    </row>
    <row r="41" spans="1:14" ht="15.75" customHeight="1">
      <c r="A41" s="61" t="s">
        <v>213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73">
        <v>0</v>
      </c>
      <c r="M41" s="74" t="s">
        <v>214</v>
      </c>
      <c r="N41" s="75">
        <f>ROUND(ROUND(+L41*(1-L38)*N37,0),-1)</f>
        <v>0</v>
      </c>
    </row>
    <row r="42" spans="1:14" ht="15.75" customHeight="1">
      <c r="A42" s="71" t="s">
        <v>215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73">
        <v>0</v>
      </c>
      <c r="M42" s="74" t="s">
        <v>216</v>
      </c>
      <c r="N42" s="75">
        <f>ROUND(+L42*L38*N37+L42*N39,-1)</f>
        <v>0</v>
      </c>
    </row>
    <row r="43" spans="1:14" ht="15.75" customHeight="1">
      <c r="A43" s="61"/>
      <c r="B43" s="61" t="s">
        <v>217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75">
        <f>SUM(N37:N42)</f>
        <v>34546.061895419523</v>
      </c>
    </row>
    <row r="44" spans="1:14" ht="15.75" customHeight="1">
      <c r="A44" s="71" t="s">
        <v>218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73">
        <v>0.03</v>
      </c>
      <c r="M44" s="74" t="s">
        <v>200</v>
      </c>
      <c r="N44" s="75">
        <f>L44*N43*L38</f>
        <v>310.9145570587757</v>
      </c>
    </row>
    <row r="45" spans="1:14" ht="15.75" customHeight="1">
      <c r="A45" s="71" t="s">
        <v>219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73">
        <v>0.03</v>
      </c>
      <c r="M45" s="74" t="s">
        <v>220</v>
      </c>
      <c r="N45" s="75">
        <f>ROUND(+L45*N43,-1)</f>
        <v>1040</v>
      </c>
    </row>
    <row r="46" spans="1:14" ht="15.75" customHeight="1">
      <c r="A46" s="61"/>
      <c r="B46" s="61" t="s">
        <v>221</v>
      </c>
      <c r="C46" s="61"/>
      <c r="D46" s="61"/>
      <c r="E46" s="61"/>
      <c r="F46" s="61"/>
      <c r="G46" s="61"/>
      <c r="H46" s="63" t="s">
        <v>222</v>
      </c>
      <c r="I46" s="61"/>
      <c r="J46" s="63"/>
      <c r="K46" s="63" t="s">
        <v>223</v>
      </c>
      <c r="L46" s="80">
        <v>567</v>
      </c>
      <c r="M46" s="61"/>
      <c r="N46" s="75">
        <f>SUM(N43:N45)</f>
        <v>35896.976452478302</v>
      </c>
    </row>
    <row r="47" spans="1:14" ht="15.75" customHeight="1">
      <c r="A47" s="81" t="s">
        <v>224</v>
      </c>
      <c r="B47" s="82" t="s">
        <v>225</v>
      </c>
      <c r="C47" s="81" t="s">
        <v>226</v>
      </c>
      <c r="D47" s="65" t="s">
        <v>227</v>
      </c>
      <c r="E47" s="81" t="s">
        <v>228</v>
      </c>
      <c r="F47" s="65" t="s">
        <v>229</v>
      </c>
      <c r="G47" s="61"/>
      <c r="H47" s="61"/>
      <c r="I47" s="61"/>
      <c r="J47" s="63" t="s">
        <v>230</v>
      </c>
      <c r="K47" s="63" t="s">
        <v>223</v>
      </c>
      <c r="L47" s="80">
        <v>747</v>
      </c>
      <c r="M47" s="61"/>
      <c r="N47" s="79"/>
    </row>
    <row r="48" spans="1:14" ht="15.75" customHeight="1">
      <c r="A48" s="71" t="s">
        <v>231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76">
        <f>L47/L46-1</f>
        <v>0.31746031746031744</v>
      </c>
      <c r="M48" s="83"/>
      <c r="N48" s="75">
        <f>ROUND(ROUND(+L48*N46,0),-1)</f>
        <v>11400</v>
      </c>
    </row>
    <row r="49" spans="1:14" ht="15.75" customHeight="1">
      <c r="A49" s="61"/>
      <c r="B49" s="71" t="s">
        <v>232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75">
        <f>SUM(N46:N48)</f>
        <v>47296.976452478302</v>
      </c>
    </row>
    <row r="50" spans="1:14" ht="15.75" customHeight="1">
      <c r="A50" s="71" t="s">
        <v>233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73">
        <v>0.1</v>
      </c>
      <c r="M50" s="74" t="s">
        <v>234</v>
      </c>
      <c r="N50" s="75">
        <f>ROUND(ROUND(+L50*N49/(1-L50-L51),0),-1)</f>
        <v>5260</v>
      </c>
    </row>
    <row r="51" spans="1:14" ht="15.75" customHeight="1">
      <c r="A51" s="71" t="s">
        <v>235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73">
        <v>0</v>
      </c>
      <c r="M51" s="74" t="s">
        <v>236</v>
      </c>
      <c r="N51" s="75">
        <f>ROUND(ROUND(+L51*N49/(1-L51-L50),0),-1)</f>
        <v>0</v>
      </c>
    </row>
    <row r="52" spans="1:14" ht="15.75" customHeight="1">
      <c r="A52" s="71" t="s">
        <v>237</v>
      </c>
      <c r="B52" s="61"/>
      <c r="C52" s="61"/>
      <c r="D52" s="61"/>
      <c r="E52" s="71" t="s">
        <v>238</v>
      </c>
      <c r="F52" s="61"/>
      <c r="G52" s="61"/>
      <c r="H52" s="61"/>
      <c r="I52" s="61"/>
      <c r="J52" s="61"/>
      <c r="K52" s="61"/>
      <c r="L52" s="61"/>
      <c r="M52" s="61"/>
      <c r="N52" s="72">
        <v>0</v>
      </c>
    </row>
    <row r="53" spans="1:14" ht="15.75" customHeight="1">
      <c r="A53" s="71" t="s">
        <v>239</v>
      </c>
      <c r="B53" s="61"/>
      <c r="C53" s="61"/>
      <c r="D53" s="61"/>
      <c r="E53" s="61"/>
      <c r="F53" s="61" t="s">
        <v>240</v>
      </c>
      <c r="G53" s="61"/>
      <c r="H53" s="61"/>
      <c r="I53" s="61"/>
      <c r="J53" s="61"/>
      <c r="K53" s="61"/>
      <c r="L53" s="61"/>
      <c r="M53" s="61"/>
      <c r="N53" s="72">
        <v>0</v>
      </c>
    </row>
    <row r="54" spans="1:14" ht="45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267" t="s">
        <v>241</v>
      </c>
      <c r="M54" s="238"/>
      <c r="N54" s="84">
        <f>SUM(N49:N53)</f>
        <v>52556.976452478302</v>
      </c>
    </row>
    <row r="55" spans="1:14" ht="15.75" customHeight="1"/>
  </sheetData>
  <mergeCells count="1">
    <mergeCell ref="L54:M5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P57"/>
  <sheetViews>
    <sheetView tabSelected="1" zoomScale="70" zoomScaleNormal="70" workbookViewId="0">
      <selection activeCell="U65" sqref="U65"/>
    </sheetView>
  </sheetViews>
  <sheetFormatPr defaultColWidth="12.5703125" defaultRowHeight="15" customHeight="1"/>
  <cols>
    <col min="1" max="1" width="12.5703125" style="287"/>
    <col min="2" max="2" width="14.42578125" style="287" customWidth="1"/>
    <col min="3" max="5" width="12.5703125" style="287"/>
    <col min="6" max="6" width="6.85546875" style="287" customWidth="1"/>
    <col min="7" max="7" width="5.42578125" style="287" customWidth="1"/>
    <col min="8" max="8" width="4.140625" style="287" customWidth="1"/>
    <col min="9" max="9" width="12.85546875" style="287" customWidth="1"/>
    <col min="10" max="10" width="12.5703125" style="287"/>
    <col min="11" max="11" width="7.85546875" style="287" customWidth="1"/>
    <col min="12" max="12" width="17.42578125" style="287" customWidth="1"/>
    <col min="13" max="13" width="9.5703125" style="287" customWidth="1"/>
    <col min="14" max="16" width="12.42578125" style="287" customWidth="1"/>
    <col min="17" max="16384" width="12.5703125" style="287"/>
  </cols>
  <sheetData>
    <row r="2" spans="2:16" ht="15.75" customHeight="1">
      <c r="B2" s="288" t="s">
        <v>242</v>
      </c>
      <c r="C2" s="289"/>
      <c r="D2" s="289"/>
      <c r="E2" s="289"/>
      <c r="F2" s="289"/>
      <c r="G2" s="289"/>
      <c r="H2" s="290"/>
      <c r="I2" s="289"/>
      <c r="J2" s="289"/>
      <c r="K2" s="289"/>
      <c r="L2" s="289"/>
      <c r="M2" s="289"/>
      <c r="N2" s="289"/>
      <c r="O2" s="289"/>
      <c r="P2" s="289"/>
    </row>
    <row r="3" spans="2:16" ht="15.75" customHeight="1">
      <c r="B3" s="289"/>
      <c r="C3" s="289"/>
      <c r="D3" s="289"/>
      <c r="E3" s="289"/>
      <c r="F3" s="289"/>
      <c r="G3" s="289"/>
      <c r="H3" s="288"/>
      <c r="I3" s="289"/>
      <c r="J3" s="289"/>
      <c r="K3" s="289"/>
      <c r="L3" s="289"/>
      <c r="M3" s="289"/>
      <c r="N3" s="289"/>
      <c r="O3" s="289"/>
      <c r="P3" s="289"/>
    </row>
    <row r="4" spans="2:16" ht="15.75" customHeight="1">
      <c r="B4" s="85" t="s">
        <v>151</v>
      </c>
      <c r="C4" s="86" t="s">
        <v>243</v>
      </c>
      <c r="D4" s="86"/>
      <c r="E4" s="87"/>
      <c r="F4" s="289"/>
      <c r="G4" s="289"/>
      <c r="H4" s="288"/>
      <c r="I4" s="288"/>
      <c r="J4" s="288"/>
      <c r="K4" s="288" t="s">
        <v>153</v>
      </c>
      <c r="L4" s="291" t="s">
        <v>154</v>
      </c>
      <c r="M4" s="289"/>
      <c r="N4" s="289"/>
      <c r="O4" s="289"/>
      <c r="P4" s="289"/>
    </row>
    <row r="5" spans="2:16" ht="15.75" customHeight="1">
      <c r="B5" s="88" t="s">
        <v>155</v>
      </c>
      <c r="C5" s="89" t="s">
        <v>244</v>
      </c>
      <c r="D5" s="89"/>
      <c r="E5" s="90"/>
      <c r="F5" s="289"/>
      <c r="G5" s="289"/>
      <c r="H5" s="288"/>
      <c r="I5" s="288"/>
      <c r="J5" s="288"/>
      <c r="K5" s="288" t="s">
        <v>157</v>
      </c>
      <c r="L5" s="291">
        <v>123456</v>
      </c>
      <c r="M5" s="289"/>
      <c r="N5" s="289"/>
      <c r="O5" s="289"/>
      <c r="P5" s="289"/>
    </row>
    <row r="6" spans="2:16" ht="15.75" customHeight="1">
      <c r="B6" s="88" t="s">
        <v>158</v>
      </c>
      <c r="C6" s="89" t="s">
        <v>159</v>
      </c>
      <c r="D6" s="89"/>
      <c r="E6" s="90"/>
      <c r="F6" s="289"/>
      <c r="G6" s="289"/>
      <c r="H6" s="288"/>
      <c r="I6" s="288"/>
      <c r="J6" s="288"/>
      <c r="K6" s="288" t="s">
        <v>160</v>
      </c>
      <c r="L6" s="291" t="s">
        <v>161</v>
      </c>
      <c r="M6" s="289"/>
      <c r="N6" s="289"/>
      <c r="O6" s="289"/>
      <c r="P6" s="289"/>
    </row>
    <row r="7" spans="2:16" ht="15.75" customHeight="1">
      <c r="B7" s="88" t="s">
        <v>162</v>
      </c>
      <c r="C7" s="89" t="s">
        <v>163</v>
      </c>
      <c r="D7" s="89"/>
      <c r="E7" s="90"/>
      <c r="F7" s="289"/>
      <c r="G7" s="289"/>
      <c r="H7" s="288"/>
      <c r="I7" s="288"/>
      <c r="J7" s="288"/>
      <c r="K7" s="288" t="s">
        <v>164</v>
      </c>
      <c r="L7" s="292">
        <v>44692</v>
      </c>
      <c r="M7" s="293"/>
      <c r="N7" s="289"/>
      <c r="O7" s="289"/>
      <c r="P7" s="289"/>
    </row>
    <row r="8" spans="2:16" ht="15.75" customHeight="1">
      <c r="B8" s="91" t="s">
        <v>165</v>
      </c>
      <c r="C8" s="92" t="s">
        <v>166</v>
      </c>
      <c r="D8" s="92"/>
      <c r="E8" s="93"/>
      <c r="F8" s="289"/>
      <c r="G8" s="289"/>
      <c r="H8" s="288"/>
      <c r="I8" s="288"/>
      <c r="J8" s="288"/>
      <c r="K8" s="288"/>
      <c r="L8" s="288"/>
      <c r="M8" s="288"/>
      <c r="N8" s="289"/>
      <c r="O8" s="289"/>
      <c r="P8" s="289"/>
    </row>
    <row r="9" spans="2:16" ht="15.75" customHeight="1"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4" t="s">
        <v>167</v>
      </c>
      <c r="N9" s="295"/>
      <c r="O9" s="296"/>
      <c r="P9" s="296"/>
    </row>
    <row r="10" spans="2:16" ht="15.75" customHeight="1"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6" t="s">
        <v>168</v>
      </c>
      <c r="N10" s="296" t="s">
        <v>169</v>
      </c>
      <c r="O10" s="296"/>
      <c r="P10" s="296"/>
    </row>
    <row r="11" spans="2:16" ht="15.75" customHeight="1">
      <c r="B11" s="297" t="s">
        <v>170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9">
        <f>'Sizing HI'!D246/1000</f>
        <v>20756.153487013642</v>
      </c>
      <c r="O11" s="300"/>
      <c r="P11" s="300"/>
    </row>
    <row r="12" spans="2:16" ht="15.75" customHeight="1">
      <c r="B12" s="301" t="s">
        <v>171</v>
      </c>
      <c r="C12" s="302"/>
      <c r="D12" s="302"/>
      <c r="E12" s="302"/>
      <c r="F12" s="302"/>
      <c r="G12" s="302"/>
      <c r="H12" s="302"/>
      <c r="I12" s="302"/>
      <c r="J12" s="302"/>
      <c r="K12" s="302"/>
      <c r="L12" s="303">
        <v>0.1</v>
      </c>
      <c r="M12" s="304" t="s">
        <v>172</v>
      </c>
      <c r="N12" s="305">
        <f>L12*N11</f>
        <v>2075.6153487013644</v>
      </c>
      <c r="O12" s="300"/>
      <c r="P12" s="300"/>
    </row>
    <row r="13" spans="2:16" ht="15.75" customHeight="1">
      <c r="B13" s="289"/>
      <c r="C13" s="288" t="s">
        <v>173</v>
      </c>
      <c r="D13" s="289"/>
      <c r="E13" s="289"/>
      <c r="F13" s="289"/>
      <c r="G13" s="289"/>
      <c r="H13" s="289"/>
      <c r="I13" s="289"/>
      <c r="J13" s="289"/>
      <c r="K13" s="289"/>
      <c r="L13" s="289"/>
      <c r="M13" s="289"/>
      <c r="N13" s="306">
        <f>SUM(N11:N12)</f>
        <v>22831.768835715007</v>
      </c>
      <c r="O13" s="300"/>
      <c r="P13" s="306"/>
    </row>
    <row r="14" spans="2:16" ht="15.75" customHeight="1">
      <c r="B14" s="297" t="s">
        <v>174</v>
      </c>
      <c r="C14" s="298"/>
      <c r="D14" s="298"/>
      <c r="E14" s="298"/>
      <c r="F14" s="307">
        <v>0.05</v>
      </c>
      <c r="G14" s="298"/>
      <c r="H14" s="307">
        <v>0.1</v>
      </c>
      <c r="I14" s="307">
        <v>0.1</v>
      </c>
      <c r="J14" s="298"/>
      <c r="K14" s="298"/>
      <c r="L14" s="307">
        <v>0</v>
      </c>
      <c r="M14" s="308" t="s">
        <v>175</v>
      </c>
      <c r="N14" s="299">
        <f>ROUND(+L14*N13,-1)</f>
        <v>0</v>
      </c>
      <c r="O14" s="300"/>
      <c r="P14" s="300"/>
    </row>
    <row r="15" spans="2:16" ht="15.75" customHeight="1">
      <c r="B15" s="309" t="s">
        <v>176</v>
      </c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1"/>
      <c r="O15" s="300"/>
      <c r="P15" s="300"/>
    </row>
    <row r="16" spans="2:16" ht="15.75" customHeight="1">
      <c r="B16" s="301" t="s">
        <v>177</v>
      </c>
      <c r="C16" s="302"/>
      <c r="D16" s="302"/>
      <c r="E16" s="302"/>
      <c r="F16" s="302"/>
      <c r="G16" s="302"/>
      <c r="H16" s="302"/>
      <c r="I16" s="302"/>
      <c r="J16" s="302"/>
      <c r="K16" s="302"/>
      <c r="L16" s="303">
        <v>0</v>
      </c>
      <c r="M16" s="304" t="s">
        <v>172</v>
      </c>
      <c r="N16" s="305">
        <f>ROUND(+L16*(N13+N15),-1)</f>
        <v>0</v>
      </c>
      <c r="O16" s="300"/>
      <c r="P16" s="300"/>
    </row>
    <row r="17" spans="2:16" ht="15.75" customHeight="1">
      <c r="B17" s="289"/>
      <c r="C17" s="288" t="s">
        <v>178</v>
      </c>
      <c r="D17" s="289"/>
      <c r="E17" s="289"/>
      <c r="F17" s="289"/>
      <c r="G17" s="289"/>
      <c r="H17" s="289"/>
      <c r="I17" s="289"/>
      <c r="J17" s="289"/>
      <c r="K17" s="289"/>
      <c r="L17" s="289"/>
      <c r="M17" s="289"/>
      <c r="N17" s="306">
        <f>SUM(N13:N16)</f>
        <v>22831.768835715007</v>
      </c>
      <c r="O17" s="300"/>
      <c r="P17" s="306"/>
    </row>
    <row r="18" spans="2:16" ht="15.75" customHeight="1">
      <c r="B18" s="297" t="s">
        <v>179</v>
      </c>
      <c r="C18" s="298"/>
      <c r="D18" s="298"/>
      <c r="E18" s="298"/>
      <c r="F18" s="298"/>
      <c r="G18" s="298"/>
      <c r="H18" s="298"/>
      <c r="I18" s="298"/>
      <c r="J18" s="298"/>
      <c r="K18" s="298"/>
      <c r="L18" s="307">
        <v>0</v>
      </c>
      <c r="M18" s="308" t="s">
        <v>180</v>
      </c>
      <c r="N18" s="299">
        <f>ROUND(+L18*N17,-1)</f>
        <v>0</v>
      </c>
      <c r="O18" s="300"/>
      <c r="P18" s="300"/>
    </row>
    <row r="19" spans="2:16" ht="15.75" customHeight="1">
      <c r="B19" s="309" t="s">
        <v>181</v>
      </c>
      <c r="C19" s="310"/>
      <c r="D19" s="310"/>
      <c r="E19" s="310"/>
      <c r="F19" s="310"/>
      <c r="G19" s="310"/>
      <c r="H19" s="310"/>
      <c r="I19" s="310"/>
      <c r="J19" s="310"/>
      <c r="K19" s="310"/>
      <c r="L19" s="312">
        <v>0</v>
      </c>
      <c r="M19" s="313" t="s">
        <v>182</v>
      </c>
      <c r="N19" s="311">
        <f>ROUND(+L19*N17,-1)</f>
        <v>0</v>
      </c>
      <c r="O19" s="300"/>
      <c r="P19" s="300"/>
    </row>
    <row r="20" spans="2:16" ht="15.75" customHeight="1">
      <c r="B20" s="309" t="s">
        <v>183</v>
      </c>
      <c r="C20" s="310"/>
      <c r="D20" s="310"/>
      <c r="E20" s="310"/>
      <c r="F20" s="310"/>
      <c r="G20" s="310"/>
      <c r="H20" s="310"/>
      <c r="I20" s="310"/>
      <c r="J20" s="310"/>
      <c r="K20" s="310"/>
      <c r="L20" s="312">
        <v>0</v>
      </c>
      <c r="M20" s="313" t="s">
        <v>184</v>
      </c>
      <c r="N20" s="311">
        <f>ROUND(+L20*N17,-1)</f>
        <v>0</v>
      </c>
      <c r="O20" s="300"/>
      <c r="P20" s="300"/>
    </row>
    <row r="21" spans="2:16" ht="15.75" customHeight="1">
      <c r="B21" s="309" t="s">
        <v>185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1">
        <v>0</v>
      </c>
      <c r="O21" s="300"/>
      <c r="P21" s="300"/>
    </row>
    <row r="22" spans="2:16" ht="15.75" customHeight="1">
      <c r="B22" s="309" t="s">
        <v>186</v>
      </c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1">
        <v>0</v>
      </c>
      <c r="O22" s="300"/>
      <c r="P22" s="300"/>
    </row>
    <row r="23" spans="2:16" ht="15.75" customHeight="1">
      <c r="B23" s="301" t="s">
        <v>187</v>
      </c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5">
        <v>0</v>
      </c>
      <c r="O23" s="300"/>
      <c r="P23" s="300"/>
    </row>
    <row r="24" spans="2:16" ht="15.75" customHeight="1">
      <c r="B24" s="289"/>
      <c r="C24" s="288" t="s">
        <v>188</v>
      </c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306">
        <f>SUM(N17:N23)</f>
        <v>22831.768835715007</v>
      </c>
      <c r="O24" s="300"/>
      <c r="P24" s="306"/>
    </row>
    <row r="25" spans="2:16" ht="15.75" customHeight="1">
      <c r="B25" s="297" t="s">
        <v>189</v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9"/>
      <c r="O25" s="300"/>
      <c r="P25" s="300"/>
    </row>
    <row r="26" spans="2:16" ht="15.75" customHeight="1">
      <c r="B26" s="309" t="s">
        <v>190</v>
      </c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4"/>
      <c r="N26" s="311">
        <f>('Sizing HI'!B8+'Sizing HI'!B23)/2/1000</f>
        <v>2807.21</v>
      </c>
      <c r="O26" s="300"/>
      <c r="P26" s="300"/>
    </row>
    <row r="27" spans="2:16" ht="15.75" customHeight="1">
      <c r="B27" s="309" t="s">
        <v>192</v>
      </c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1">
        <v>0</v>
      </c>
      <c r="O27" s="300"/>
      <c r="P27" s="300"/>
    </row>
    <row r="28" spans="2:16" ht="15.75" customHeight="1">
      <c r="B28" s="301" t="s">
        <v>193</v>
      </c>
      <c r="C28" s="302"/>
      <c r="D28" s="302"/>
      <c r="E28" s="302"/>
      <c r="F28" s="302"/>
      <c r="G28" s="302"/>
      <c r="H28" s="302"/>
      <c r="I28" s="302"/>
      <c r="J28" s="302"/>
      <c r="K28" s="302"/>
      <c r="L28" s="303">
        <v>0.1</v>
      </c>
      <c r="M28" s="304" t="s">
        <v>172</v>
      </c>
      <c r="N28" s="305">
        <f>ROUND(+L28*N24,-1)</f>
        <v>2280</v>
      </c>
      <c r="O28" s="300"/>
      <c r="P28" s="300"/>
    </row>
    <row r="29" spans="2:16" ht="15.75" customHeight="1">
      <c r="B29" s="289"/>
      <c r="C29" s="288" t="s">
        <v>194</v>
      </c>
      <c r="D29" s="289"/>
      <c r="E29" s="289"/>
      <c r="F29" s="289"/>
      <c r="G29" s="289"/>
      <c r="H29" s="289"/>
      <c r="I29" s="289"/>
      <c r="J29" s="289"/>
      <c r="K29" s="289"/>
      <c r="L29" s="289"/>
      <c r="M29" s="289"/>
      <c r="N29" s="306">
        <f>SUM(N24:N28)</f>
        <v>27918.978835715006</v>
      </c>
      <c r="O29" s="300"/>
      <c r="P29" s="306"/>
    </row>
    <row r="30" spans="2:16" ht="15.75" customHeight="1">
      <c r="B30" s="297" t="s">
        <v>195</v>
      </c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9">
        <v>0</v>
      </c>
      <c r="O30" s="300"/>
      <c r="P30" s="300"/>
    </row>
    <row r="31" spans="2:16" ht="15.75" customHeight="1">
      <c r="B31" s="309" t="s">
        <v>196</v>
      </c>
      <c r="C31" s="310"/>
      <c r="D31" s="310"/>
      <c r="E31" s="310"/>
      <c r="F31" s="310"/>
      <c r="G31" s="310"/>
      <c r="H31" s="310"/>
      <c r="I31" s="310"/>
      <c r="J31" s="310"/>
      <c r="K31" s="310"/>
      <c r="L31" s="312">
        <v>0.1</v>
      </c>
      <c r="M31" s="313" t="s">
        <v>197</v>
      </c>
      <c r="N31" s="311">
        <f>ROUND(+L31*N29,-1)</f>
        <v>2790</v>
      </c>
      <c r="O31" s="300"/>
      <c r="P31" s="300"/>
    </row>
    <row r="32" spans="2:16" ht="15.75" customHeight="1">
      <c r="B32" s="309" t="s">
        <v>198</v>
      </c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1"/>
      <c r="O32" s="300"/>
      <c r="P32" s="300"/>
    </row>
    <row r="33" spans="2:16" ht="15.75" customHeight="1">
      <c r="B33" s="309" t="s">
        <v>199</v>
      </c>
      <c r="C33" s="310"/>
      <c r="D33" s="310"/>
      <c r="E33" s="310"/>
      <c r="F33" s="310"/>
      <c r="G33" s="310"/>
      <c r="H33" s="310"/>
      <c r="I33" s="310"/>
      <c r="J33" s="310"/>
      <c r="K33" s="310"/>
      <c r="L33" s="312">
        <v>0.05</v>
      </c>
      <c r="M33" s="313" t="s">
        <v>200</v>
      </c>
      <c r="N33" s="311">
        <f>ROUND(+L33*N29,-1)</f>
        <v>1400</v>
      </c>
      <c r="O33" s="300"/>
      <c r="P33" s="300"/>
    </row>
    <row r="34" spans="2:16" ht="15.75" customHeight="1">
      <c r="B34" s="301" t="s">
        <v>201</v>
      </c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5"/>
      <c r="O34" s="300"/>
      <c r="P34" s="300"/>
    </row>
    <row r="35" spans="2:16" ht="15.75" customHeight="1">
      <c r="B35" s="289"/>
      <c r="C35" s="288" t="s">
        <v>202</v>
      </c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306">
        <f>SUM(N29:N34)</f>
        <v>32108.978835715006</v>
      </c>
      <c r="O35" s="300"/>
      <c r="P35" s="306"/>
    </row>
    <row r="36" spans="2:16" ht="15.75" customHeight="1">
      <c r="B36" s="297" t="s">
        <v>203</v>
      </c>
      <c r="C36" s="298"/>
      <c r="D36" s="298"/>
      <c r="E36" s="298"/>
      <c r="F36" s="298"/>
      <c r="G36" s="298"/>
      <c r="H36" s="298"/>
      <c r="I36" s="298"/>
      <c r="J36" s="298"/>
      <c r="K36" s="298"/>
      <c r="L36" s="307">
        <v>0.2</v>
      </c>
      <c r="M36" s="308" t="s">
        <v>204</v>
      </c>
      <c r="N36" s="299">
        <f>ROUND(+L36*N35,0)</f>
        <v>6422</v>
      </c>
      <c r="O36" s="300"/>
      <c r="P36" s="300"/>
    </row>
    <row r="37" spans="2:16" ht="15.75" customHeight="1">
      <c r="B37" s="301" t="s">
        <v>205</v>
      </c>
      <c r="C37" s="302"/>
      <c r="D37" s="302"/>
      <c r="E37" s="302"/>
      <c r="F37" s="302"/>
      <c r="G37" s="302"/>
      <c r="H37" s="302"/>
      <c r="I37" s="302"/>
      <c r="J37" s="302"/>
      <c r="K37" s="302"/>
      <c r="L37" s="303">
        <v>0.1</v>
      </c>
      <c r="M37" s="304" t="s">
        <v>206</v>
      </c>
      <c r="N37" s="305">
        <f>ROUND(+L37*N35,0)</f>
        <v>3211</v>
      </c>
      <c r="O37" s="300"/>
      <c r="P37" s="300"/>
    </row>
    <row r="38" spans="2:16" ht="15.75" customHeight="1">
      <c r="B38" s="289"/>
      <c r="C38" s="288" t="s">
        <v>207</v>
      </c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306">
        <f>SUM(N35:N37)</f>
        <v>41741.97883571501</v>
      </c>
      <c r="O38" s="300"/>
      <c r="P38" s="306"/>
    </row>
    <row r="39" spans="2:16" ht="15.75" customHeight="1">
      <c r="B39" s="297" t="s">
        <v>208</v>
      </c>
      <c r="C39" s="298"/>
      <c r="D39" s="298"/>
      <c r="E39" s="298"/>
      <c r="F39" s="298"/>
      <c r="G39" s="298"/>
      <c r="H39" s="298"/>
      <c r="I39" s="298"/>
      <c r="J39" s="298"/>
      <c r="K39" s="298"/>
      <c r="L39" s="307">
        <v>0.3</v>
      </c>
      <c r="M39" s="308" t="s">
        <v>209</v>
      </c>
      <c r="N39" s="299"/>
      <c r="O39" s="300"/>
      <c r="P39" s="300"/>
    </row>
    <row r="40" spans="2:16" ht="15.75" customHeight="1">
      <c r="B40" s="309" t="s">
        <v>210</v>
      </c>
      <c r="C40" s="310"/>
      <c r="D40" s="310"/>
      <c r="E40" s="310"/>
      <c r="F40" s="310"/>
      <c r="G40" s="310"/>
      <c r="H40" s="310"/>
      <c r="I40" s="310"/>
      <c r="J40" s="310"/>
      <c r="K40" s="310"/>
      <c r="L40" s="312">
        <v>0</v>
      </c>
      <c r="M40" s="313" t="s">
        <v>172</v>
      </c>
      <c r="N40" s="311">
        <f>ROUND(ROUND(+L40*L39*N38,0),-1)</f>
        <v>0</v>
      </c>
      <c r="O40" s="300"/>
      <c r="P40" s="300"/>
    </row>
    <row r="41" spans="2:16" ht="15.75" customHeight="1">
      <c r="B41" s="309" t="s">
        <v>211</v>
      </c>
      <c r="C41" s="310"/>
      <c r="D41" s="310"/>
      <c r="E41" s="310"/>
      <c r="F41" s="310"/>
      <c r="G41" s="310"/>
      <c r="H41" s="310"/>
      <c r="I41" s="310"/>
      <c r="J41" s="310"/>
      <c r="K41" s="310"/>
      <c r="L41" s="312">
        <v>0</v>
      </c>
      <c r="M41" s="313" t="s">
        <v>212</v>
      </c>
      <c r="N41" s="311">
        <f>ROUND(ROUND(+L41*(1-L39)*N38,0),-1)</f>
        <v>0</v>
      </c>
      <c r="O41" s="300"/>
      <c r="P41" s="300"/>
    </row>
    <row r="42" spans="2:16" ht="15.75" customHeight="1">
      <c r="B42" s="309" t="s">
        <v>213</v>
      </c>
      <c r="C42" s="310"/>
      <c r="D42" s="310"/>
      <c r="E42" s="310"/>
      <c r="F42" s="310"/>
      <c r="G42" s="310"/>
      <c r="H42" s="310"/>
      <c r="I42" s="310"/>
      <c r="J42" s="310"/>
      <c r="K42" s="310"/>
      <c r="L42" s="312">
        <v>0</v>
      </c>
      <c r="M42" s="313" t="s">
        <v>214</v>
      </c>
      <c r="N42" s="311">
        <f>ROUND(ROUND(+L42*(1-L39)*N38,0),-1)</f>
        <v>0</v>
      </c>
      <c r="O42" s="300"/>
      <c r="P42" s="300"/>
    </row>
    <row r="43" spans="2:16" ht="15.75" customHeight="1">
      <c r="B43" s="301" t="s">
        <v>215</v>
      </c>
      <c r="C43" s="302"/>
      <c r="D43" s="302"/>
      <c r="E43" s="302"/>
      <c r="F43" s="302"/>
      <c r="G43" s="302"/>
      <c r="H43" s="302"/>
      <c r="I43" s="302"/>
      <c r="J43" s="302"/>
      <c r="K43" s="302"/>
      <c r="L43" s="303">
        <v>0</v>
      </c>
      <c r="M43" s="304" t="s">
        <v>216</v>
      </c>
      <c r="N43" s="305">
        <f>ROUND(+L43*L39*N38+L43*N40,-1)</f>
        <v>0</v>
      </c>
      <c r="O43" s="300"/>
      <c r="P43" s="300"/>
    </row>
    <row r="44" spans="2:16" ht="15.75" customHeight="1">
      <c r="B44" s="289"/>
      <c r="C44" s="289" t="s">
        <v>217</v>
      </c>
      <c r="D44" s="289"/>
      <c r="E44" s="289"/>
      <c r="F44" s="289"/>
      <c r="G44" s="289"/>
      <c r="H44" s="289"/>
      <c r="I44" s="289"/>
      <c r="J44" s="289"/>
      <c r="K44" s="289"/>
      <c r="L44" s="289"/>
      <c r="M44" s="289"/>
      <c r="N44" s="306">
        <f>SUM(N38:N43)</f>
        <v>41741.97883571501</v>
      </c>
      <c r="O44" s="300"/>
      <c r="P44" s="306"/>
    </row>
    <row r="45" spans="2:16" ht="15.75" customHeight="1">
      <c r="B45" s="297" t="s">
        <v>218</v>
      </c>
      <c r="C45" s="298"/>
      <c r="D45" s="298"/>
      <c r="E45" s="298"/>
      <c r="F45" s="298"/>
      <c r="G45" s="298"/>
      <c r="H45" s="298"/>
      <c r="I45" s="298"/>
      <c r="J45" s="298"/>
      <c r="K45" s="298"/>
      <c r="L45" s="307">
        <v>0.03</v>
      </c>
      <c r="M45" s="308" t="s">
        <v>200</v>
      </c>
      <c r="N45" s="299">
        <f>L45*N44*L39</f>
        <v>375.67780952143505</v>
      </c>
      <c r="O45" s="300"/>
      <c r="P45" s="300"/>
    </row>
    <row r="46" spans="2:16" ht="15.75" customHeight="1">
      <c r="B46" s="301" t="s">
        <v>219</v>
      </c>
      <c r="C46" s="302"/>
      <c r="D46" s="302"/>
      <c r="E46" s="302"/>
      <c r="F46" s="302"/>
      <c r="G46" s="302"/>
      <c r="H46" s="302"/>
      <c r="I46" s="302"/>
      <c r="J46" s="302"/>
      <c r="K46" s="302"/>
      <c r="L46" s="303">
        <v>0.03</v>
      </c>
      <c r="M46" s="304" t="s">
        <v>220</v>
      </c>
      <c r="N46" s="305">
        <f>ROUND(+L46*N44,-1)</f>
        <v>1250</v>
      </c>
      <c r="O46" s="300"/>
      <c r="P46" s="300"/>
    </row>
    <row r="47" spans="2:16" ht="15.75" customHeight="1">
      <c r="B47" s="289"/>
      <c r="C47" s="289" t="s">
        <v>221</v>
      </c>
      <c r="D47" s="289"/>
      <c r="E47" s="289"/>
      <c r="F47" s="289"/>
      <c r="G47" s="289"/>
      <c r="H47" s="315" t="s">
        <v>222</v>
      </c>
      <c r="I47" s="316"/>
      <c r="J47" s="316"/>
      <c r="K47" s="288" t="s">
        <v>223</v>
      </c>
      <c r="L47" s="317">
        <v>567</v>
      </c>
      <c r="M47" s="289"/>
      <c r="N47" s="306">
        <f>SUM(N44:N46)</f>
        <v>43367.656645236442</v>
      </c>
      <c r="O47" s="300"/>
      <c r="P47" s="306"/>
    </row>
    <row r="48" spans="2:16" ht="15.75" customHeight="1">
      <c r="B48" s="318" t="s">
        <v>224</v>
      </c>
      <c r="C48" s="319" t="s">
        <v>225</v>
      </c>
      <c r="D48" s="320" t="s">
        <v>226</v>
      </c>
      <c r="E48" s="298" t="s">
        <v>227</v>
      </c>
      <c r="F48" s="298" t="s">
        <v>229</v>
      </c>
      <c r="G48" s="320" t="s">
        <v>228</v>
      </c>
      <c r="H48" s="298"/>
      <c r="I48" s="298"/>
      <c r="J48" s="321" t="s">
        <v>230</v>
      </c>
      <c r="K48" s="321" t="s">
        <v>223</v>
      </c>
      <c r="L48" s="320">
        <v>747</v>
      </c>
      <c r="M48" s="298"/>
      <c r="N48" s="299"/>
      <c r="O48" s="300"/>
      <c r="P48" s="300"/>
    </row>
    <row r="49" spans="2:16" ht="15.75" customHeight="1">
      <c r="B49" s="301" t="s">
        <v>231</v>
      </c>
      <c r="C49" s="302"/>
      <c r="D49" s="302"/>
      <c r="E49" s="302"/>
      <c r="F49" s="302"/>
      <c r="G49" s="302"/>
      <c r="H49" s="302"/>
      <c r="I49" s="302"/>
      <c r="J49" s="302"/>
      <c r="K49" s="302"/>
      <c r="L49" s="303">
        <f>L48/L47-1</f>
        <v>0.31746031746031744</v>
      </c>
      <c r="M49" s="322"/>
      <c r="N49" s="305">
        <f>ROUND(ROUND(+L49*N47,0),-1)</f>
        <v>13770</v>
      </c>
      <c r="O49" s="300"/>
      <c r="P49" s="300"/>
    </row>
    <row r="50" spans="2:16" ht="15.75" customHeight="1">
      <c r="B50" s="289"/>
      <c r="C50" s="289" t="s">
        <v>232</v>
      </c>
      <c r="D50" s="289"/>
      <c r="E50" s="289"/>
      <c r="F50" s="289"/>
      <c r="G50" s="289"/>
      <c r="H50" s="289"/>
      <c r="I50" s="289"/>
      <c r="J50" s="289"/>
      <c r="K50" s="289"/>
      <c r="L50" s="289"/>
      <c r="M50" s="289"/>
      <c r="N50" s="306">
        <f>SUM(N47:N49)</f>
        <v>57137.656645236442</v>
      </c>
      <c r="O50" s="300"/>
      <c r="P50" s="306"/>
    </row>
    <row r="51" spans="2:16" ht="15.75" customHeight="1">
      <c r="B51" s="297" t="s">
        <v>233</v>
      </c>
      <c r="C51" s="298"/>
      <c r="D51" s="298"/>
      <c r="E51" s="298"/>
      <c r="F51" s="298"/>
      <c r="G51" s="298"/>
      <c r="H51" s="298"/>
      <c r="I51" s="298"/>
      <c r="J51" s="298"/>
      <c r="K51" s="298"/>
      <c r="L51" s="307">
        <v>0.1</v>
      </c>
      <c r="M51" s="308" t="s">
        <v>234</v>
      </c>
      <c r="N51" s="299">
        <f>ROUND(ROUND(+L51*N50/(1-L51-L52),0),-1)</f>
        <v>6350</v>
      </c>
      <c r="O51" s="300"/>
      <c r="P51" s="300"/>
    </row>
    <row r="52" spans="2:16" ht="15.75" customHeight="1">
      <c r="B52" s="309" t="s">
        <v>235</v>
      </c>
      <c r="C52" s="310"/>
      <c r="D52" s="310"/>
      <c r="E52" s="310"/>
      <c r="F52" s="310"/>
      <c r="G52" s="310"/>
      <c r="H52" s="310"/>
      <c r="I52" s="310"/>
      <c r="J52" s="310"/>
      <c r="K52" s="310"/>
      <c r="L52" s="312">
        <v>0</v>
      </c>
      <c r="M52" s="313" t="s">
        <v>236</v>
      </c>
      <c r="N52" s="311">
        <f>ROUND(ROUND(+L52*N50/(1-L52-L51),0),-1)</f>
        <v>0</v>
      </c>
      <c r="O52" s="300"/>
      <c r="P52" s="300"/>
    </row>
    <row r="53" spans="2:16" ht="15.75" customHeight="1">
      <c r="B53" s="309" t="s">
        <v>237</v>
      </c>
      <c r="C53" s="310"/>
      <c r="D53" s="310"/>
      <c r="E53" s="310"/>
      <c r="F53" s="310"/>
      <c r="G53" s="310" t="s">
        <v>238</v>
      </c>
      <c r="H53" s="310"/>
      <c r="I53" s="310"/>
      <c r="J53" s="310"/>
      <c r="K53" s="310"/>
      <c r="L53" s="310"/>
      <c r="M53" s="310"/>
      <c r="N53" s="311">
        <v>0</v>
      </c>
      <c r="O53" s="300"/>
      <c r="P53" s="300"/>
    </row>
    <row r="54" spans="2:16" ht="15.75" customHeight="1">
      <c r="B54" s="301" t="s">
        <v>239</v>
      </c>
      <c r="C54" s="302"/>
      <c r="D54" s="302"/>
      <c r="E54" s="302"/>
      <c r="F54" s="302" t="s">
        <v>240</v>
      </c>
      <c r="G54" s="302"/>
      <c r="H54" s="302"/>
      <c r="I54" s="302"/>
      <c r="J54" s="302"/>
      <c r="K54" s="302"/>
      <c r="L54" s="302"/>
      <c r="M54" s="302"/>
      <c r="N54" s="305">
        <v>0</v>
      </c>
      <c r="O54" s="300"/>
      <c r="P54" s="300"/>
    </row>
    <row r="55" spans="2:16" ht="45.75" customHeight="1">
      <c r="B55" s="289"/>
      <c r="C55" s="289"/>
      <c r="D55" s="289"/>
      <c r="E55" s="289"/>
      <c r="F55" s="289"/>
      <c r="G55" s="289"/>
      <c r="H55" s="289"/>
      <c r="I55" s="289"/>
      <c r="J55" s="289"/>
      <c r="K55" s="289"/>
      <c r="L55" s="326" t="s">
        <v>241</v>
      </c>
      <c r="M55" s="327"/>
      <c r="N55" s="328">
        <f>SUM(N50:N54)</f>
        <v>63487.656645236442</v>
      </c>
      <c r="O55" s="323"/>
      <c r="P55" s="324"/>
    </row>
    <row r="56" spans="2:16" ht="45.75" customHeight="1">
      <c r="B56" s="289"/>
      <c r="C56" s="289"/>
      <c r="D56" s="289"/>
      <c r="E56" s="289"/>
      <c r="F56" s="289"/>
      <c r="G56" s="289"/>
      <c r="H56" s="289"/>
      <c r="I56" s="289"/>
      <c r="J56" s="289"/>
      <c r="K56" s="289"/>
      <c r="L56" s="296"/>
      <c r="M56" s="296"/>
      <c r="N56" s="323"/>
      <c r="O56" s="323"/>
      <c r="P56" s="323"/>
    </row>
    <row r="57" spans="2:16" ht="45.75" customHeight="1">
      <c r="B57" s="289"/>
      <c r="C57" s="289"/>
      <c r="D57" s="289"/>
      <c r="E57" s="289"/>
      <c r="F57" s="289"/>
      <c r="G57" s="289"/>
      <c r="H57" s="289"/>
      <c r="I57" s="289"/>
      <c r="J57" s="289"/>
      <c r="K57" s="289"/>
      <c r="L57" s="325"/>
      <c r="M57" s="325"/>
      <c r="N57" s="324"/>
      <c r="O57" s="323"/>
      <c r="P57" s="324"/>
    </row>
  </sheetData>
  <mergeCells count="3">
    <mergeCell ref="L55:M55"/>
    <mergeCell ref="M9:N9"/>
    <mergeCell ref="H47:J4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1"/>
  <sheetViews>
    <sheetView showGridLines="0" workbookViewId="0"/>
  </sheetViews>
  <sheetFormatPr defaultColWidth="12.5703125" defaultRowHeight="15" customHeight="1"/>
  <cols>
    <col min="1" max="1" width="29" customWidth="1"/>
    <col min="2" max="3" width="10.42578125" customWidth="1"/>
    <col min="4" max="4" width="10.140625" customWidth="1"/>
    <col min="5" max="5" width="8.5703125" customWidth="1"/>
    <col min="6" max="6" width="10.5703125" customWidth="1"/>
    <col min="7" max="12" width="8.140625" customWidth="1"/>
    <col min="13" max="13" width="14.85546875" customWidth="1"/>
    <col min="14" max="14" width="14.42578125" customWidth="1"/>
    <col min="15" max="17" width="29.140625" customWidth="1"/>
  </cols>
  <sheetData>
    <row r="1" spans="1:17" ht="12.75" customHeight="1">
      <c r="A1" s="94" t="s">
        <v>245</v>
      </c>
      <c r="B1" s="95"/>
      <c r="C1" s="95"/>
      <c r="D1" s="95"/>
      <c r="E1" s="95"/>
      <c r="F1" s="96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12.75" customHeight="1">
      <c r="A2" s="95"/>
      <c r="B2" s="268" t="s">
        <v>246</v>
      </c>
      <c r="C2" s="269"/>
      <c r="D2" s="270"/>
      <c r="E2" s="95"/>
      <c r="F2" s="96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ht="12.75" customHeight="1">
      <c r="A3" s="95"/>
      <c r="B3" s="271" t="s">
        <v>247</v>
      </c>
      <c r="C3" s="269"/>
      <c r="D3" s="270"/>
      <c r="E3" s="95"/>
      <c r="F3" s="96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17" ht="12.75" customHeight="1">
      <c r="A4" s="97"/>
      <c r="B4" s="98"/>
      <c r="C4" s="98"/>
      <c r="D4" s="98"/>
      <c r="E4" s="98"/>
      <c r="F4" s="99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spans="1:17" ht="12.75" customHeight="1">
      <c r="A5" s="100" t="s">
        <v>248</v>
      </c>
      <c r="B5" s="101">
        <f>B6/E6</f>
        <v>186.19934282584884</v>
      </c>
      <c r="C5" s="100" t="s">
        <v>249</v>
      </c>
      <c r="D5" s="95"/>
      <c r="E5" s="95"/>
      <c r="F5" s="96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</row>
    <row r="6" spans="1:17" ht="12.75" customHeight="1">
      <c r="A6" s="100" t="s">
        <v>250</v>
      </c>
      <c r="B6" s="102">
        <v>170</v>
      </c>
      <c r="C6" s="100" t="s">
        <v>249</v>
      </c>
      <c r="D6" s="95" t="s">
        <v>251</v>
      </c>
      <c r="E6" s="103">
        <v>0.91300000000000003</v>
      </c>
      <c r="F6" s="96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</row>
    <row r="7" spans="1:17" ht="12.75" customHeight="1">
      <c r="A7" s="100" t="s">
        <v>252</v>
      </c>
      <c r="B7" s="95"/>
      <c r="C7" s="104">
        <f>'VGA - No HI'!N54*1000/10^6</f>
        <v>52.556976452478303</v>
      </c>
      <c r="D7" s="100" t="s">
        <v>253</v>
      </c>
      <c r="E7" s="95"/>
      <c r="F7" s="96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</row>
    <row r="8" spans="1:17" ht="12.75" customHeight="1">
      <c r="A8" s="100" t="s">
        <v>254</v>
      </c>
      <c r="B8" s="95"/>
      <c r="C8" s="105">
        <v>0</v>
      </c>
      <c r="D8" s="100" t="s">
        <v>253</v>
      </c>
      <c r="E8" s="95" t="s">
        <v>255</v>
      </c>
      <c r="F8" s="96"/>
      <c r="G8" s="95"/>
      <c r="H8" s="95"/>
      <c r="I8" s="95"/>
      <c r="J8" s="95"/>
      <c r="K8" s="106"/>
      <c r="L8" s="95"/>
      <c r="M8" s="95"/>
      <c r="N8" s="95"/>
      <c r="O8" s="95"/>
      <c r="P8" s="95"/>
      <c r="Q8" s="95"/>
    </row>
    <row r="9" spans="1:17" ht="12.75" customHeight="1">
      <c r="A9" s="100" t="s">
        <v>256</v>
      </c>
      <c r="B9" s="95"/>
      <c r="C9" s="107">
        <f>E18/12</f>
        <v>11.429109584999997</v>
      </c>
      <c r="D9" s="100" t="s">
        <v>253</v>
      </c>
      <c r="E9" s="272" t="s">
        <v>257</v>
      </c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17" ht="12.75" customHeight="1">
      <c r="A10" s="108" t="s">
        <v>258</v>
      </c>
      <c r="B10" s="109"/>
      <c r="C10" s="110">
        <f>E49/12</f>
        <v>12.978174511384267</v>
      </c>
      <c r="D10" s="108" t="s">
        <v>253</v>
      </c>
      <c r="E10" s="273"/>
      <c r="F10" s="96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</row>
    <row r="11" spans="1:17" ht="12.75" customHeight="1">
      <c r="A11" s="100" t="s">
        <v>259</v>
      </c>
      <c r="B11" s="95"/>
      <c r="C11" s="107">
        <f>SUM(C7:C10)</f>
        <v>76.964260548862569</v>
      </c>
      <c r="D11" s="100" t="s">
        <v>253</v>
      </c>
      <c r="E11" s="95"/>
      <c r="F11" s="9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</row>
    <row r="12" spans="1:17" ht="12.75" customHeight="1">
      <c r="A12" s="106"/>
      <c r="B12" s="111" t="s">
        <v>260</v>
      </c>
      <c r="C12" s="111" t="s">
        <v>261</v>
      </c>
      <c r="D12" s="106"/>
      <c r="E12" s="111" t="s">
        <v>262</v>
      </c>
      <c r="F12" s="112" t="s">
        <v>263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spans="1:17" ht="12.75" customHeight="1">
      <c r="A13" s="113" t="s">
        <v>264</v>
      </c>
      <c r="B13" s="114" t="s">
        <v>265</v>
      </c>
      <c r="C13" s="114" t="s">
        <v>266</v>
      </c>
      <c r="D13" s="95"/>
      <c r="E13" s="95"/>
      <c r="F13" s="96"/>
      <c r="G13" s="95"/>
      <c r="H13" s="95"/>
      <c r="I13" s="95"/>
      <c r="J13" s="95"/>
      <c r="K13" s="95"/>
      <c r="L13" s="95"/>
      <c r="M13" s="95"/>
      <c r="N13" s="95"/>
      <c r="O13" s="115" t="s">
        <v>267</v>
      </c>
      <c r="P13" s="115"/>
      <c r="Q13" s="115"/>
    </row>
    <row r="14" spans="1:17" ht="12.75" customHeight="1">
      <c r="A14" s="116" t="s">
        <v>245</v>
      </c>
      <c r="B14" s="117">
        <f>699.3*32.04*8000/(B6*10^6)</f>
        <v>1.0543798588235291</v>
      </c>
      <c r="C14" s="118">
        <f>620/1000</f>
        <v>0.62</v>
      </c>
      <c r="D14" s="95"/>
      <c r="E14" s="119">
        <f>F14*'COM - No HI'!PROD</f>
        <v>111.13163711999997</v>
      </c>
      <c r="F14" s="96">
        <f t="shared" ref="F14:F17" si="0">B14*C14</f>
        <v>0.65371551247058801</v>
      </c>
      <c r="G14" s="95"/>
      <c r="H14" s="120" t="s">
        <v>268</v>
      </c>
      <c r="I14" s="121"/>
      <c r="J14" s="121"/>
      <c r="K14" s="121"/>
      <c r="L14" s="121"/>
      <c r="M14" s="121"/>
      <c r="N14" s="95"/>
      <c r="O14" s="122" t="s">
        <v>269</v>
      </c>
      <c r="P14" s="122"/>
      <c r="Q14" s="122"/>
    </row>
    <row r="15" spans="1:17" ht="12.75" customHeight="1">
      <c r="A15" s="116" t="s">
        <v>270</v>
      </c>
      <c r="B15" s="117">
        <f>447.75*28.01*8000/(B6*10^6)</f>
        <v>0.59018717647058827</v>
      </c>
      <c r="C15" s="118">
        <f>205/1000</f>
        <v>0.20499999999999999</v>
      </c>
      <c r="D15" s="95"/>
      <c r="E15" s="119">
        <f>F15*'COM - No HI'!PROD</f>
        <v>20.568023099999998</v>
      </c>
      <c r="F15" s="96">
        <f t="shared" si="0"/>
        <v>0.12098837117647059</v>
      </c>
      <c r="G15" s="95"/>
      <c r="H15" s="123" t="s">
        <v>271</v>
      </c>
      <c r="I15" s="124"/>
      <c r="J15" s="121"/>
      <c r="K15" s="121"/>
      <c r="L15" s="121"/>
      <c r="M15" s="121"/>
      <c r="N15" s="95"/>
      <c r="O15" s="122" t="s">
        <v>269</v>
      </c>
      <c r="P15" s="122"/>
      <c r="Q15" s="122"/>
    </row>
    <row r="16" spans="1:17" ht="12.75" customHeight="1">
      <c r="A16" s="125" t="s">
        <v>272</v>
      </c>
      <c r="B16" s="126">
        <f>(0.005*452.78+100)*2*8000/B6/10^6</f>
        <v>9.6248376470588239E-3</v>
      </c>
      <c r="C16" s="127">
        <v>2</v>
      </c>
      <c r="D16" s="128"/>
      <c r="E16" s="119">
        <f>F16*'COM - No HI'!PROD</f>
        <v>3.2724448000000002</v>
      </c>
      <c r="F16" s="96">
        <f t="shared" si="0"/>
        <v>1.9249675294117648E-2</v>
      </c>
      <c r="G16" s="128"/>
      <c r="H16" s="129"/>
      <c r="I16" s="130"/>
      <c r="J16" s="130"/>
      <c r="K16" s="130"/>
      <c r="L16" s="130"/>
      <c r="M16" s="130"/>
      <c r="N16" s="128"/>
      <c r="O16" s="122"/>
      <c r="P16" s="131"/>
      <c r="Q16" s="131"/>
    </row>
    <row r="17" spans="1:17" ht="12.75" customHeight="1">
      <c r="A17" s="128" t="s">
        <v>273</v>
      </c>
      <c r="B17" s="126">
        <f>('Sizing No HI'!B7+'Sizing No HI'!B22)/2/(B6*10^6)</f>
        <v>1.8295882352941176E-4</v>
      </c>
      <c r="C17" s="132">
        <v>70</v>
      </c>
      <c r="D17" s="128"/>
      <c r="E17" s="133">
        <f>F17*'COM - No HI'!PROD</f>
        <v>2.1772100000000001</v>
      </c>
      <c r="F17" s="134">
        <f t="shared" si="0"/>
        <v>1.2807117647058823E-2</v>
      </c>
      <c r="G17" s="128"/>
      <c r="H17" s="129" t="s">
        <v>274</v>
      </c>
      <c r="I17" s="130"/>
      <c r="J17" s="130"/>
      <c r="K17" s="130"/>
      <c r="L17" s="130"/>
      <c r="M17" s="130"/>
      <c r="N17" s="128"/>
      <c r="O17" s="122" t="s">
        <v>275</v>
      </c>
      <c r="P17" s="131"/>
      <c r="Q17" s="131"/>
    </row>
    <row r="18" spans="1:17" ht="12.75" customHeight="1">
      <c r="A18" s="135" t="s">
        <v>276</v>
      </c>
      <c r="B18" s="136"/>
      <c r="C18" s="137"/>
      <c r="D18" s="138"/>
      <c r="E18" s="139">
        <f t="shared" ref="E18:F18" si="1">SUM(E14:E17)</f>
        <v>137.14931501999996</v>
      </c>
      <c r="F18" s="140">
        <f t="shared" si="1"/>
        <v>0.80676067658823503</v>
      </c>
      <c r="G18" s="95"/>
      <c r="H18" s="95"/>
      <c r="I18" s="95"/>
      <c r="J18" s="138"/>
      <c r="K18" s="138"/>
      <c r="L18" s="138"/>
      <c r="M18" s="138"/>
      <c r="N18" s="138"/>
      <c r="O18" s="138"/>
      <c r="P18" s="138"/>
      <c r="Q18" s="138"/>
    </row>
    <row r="19" spans="1:17" ht="12.75" customHeight="1">
      <c r="A19" s="113" t="s">
        <v>277</v>
      </c>
      <c r="B19" s="141"/>
      <c r="C19" s="96"/>
      <c r="D19" s="95"/>
      <c r="E19" s="119"/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</row>
    <row r="20" spans="1:17" ht="12.75" customHeight="1">
      <c r="A20" s="95" t="s">
        <v>278</v>
      </c>
      <c r="B20" s="142"/>
      <c r="C20" s="143"/>
      <c r="D20" s="95"/>
      <c r="E20" s="119">
        <f>F20*'COM - No HI'!PROD</f>
        <v>0</v>
      </c>
      <c r="F20" s="96">
        <f>B20*C20</f>
        <v>0</v>
      </c>
      <c r="G20" s="95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>
      <c r="A21" s="144" t="s">
        <v>279</v>
      </c>
      <c r="B21" s="145"/>
      <c r="C21" s="146">
        <v>3.61</v>
      </c>
      <c r="D21" s="147" t="s">
        <v>280</v>
      </c>
      <c r="E21" s="148">
        <f>F21*'COM - No HI'!PROD</f>
        <v>3.123118752084733</v>
      </c>
      <c r="F21" s="149">
        <f>G21*C21/1000000</f>
        <v>1.8371286776969017E-2</v>
      </c>
      <c r="G21" s="150">
        <f>'Flash Tank Info for COM'!I21/(B6*10^6)</f>
        <v>5088.9991071936338</v>
      </c>
      <c r="H21" s="147" t="s">
        <v>281</v>
      </c>
      <c r="I21" s="151" t="s">
        <v>282</v>
      </c>
      <c r="J21" s="151"/>
      <c r="K21" s="151"/>
      <c r="L21" s="151"/>
      <c r="M21" s="151"/>
      <c r="N21" s="151"/>
      <c r="O21" s="152"/>
      <c r="P21" s="152"/>
      <c r="Q21" s="152"/>
    </row>
    <row r="22" spans="1:17" ht="12.75" customHeight="1">
      <c r="A22" s="152" t="s">
        <v>283</v>
      </c>
      <c r="B22" s="153"/>
      <c r="C22" s="154"/>
      <c r="D22" s="152"/>
      <c r="E22" s="155">
        <f t="shared" ref="E22:F22" si="2">SUM(E20:E21)</f>
        <v>3.123118752084733</v>
      </c>
      <c r="F22" s="154">
        <f t="shared" si="2"/>
        <v>1.8371286776969017E-2</v>
      </c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</row>
    <row r="23" spans="1:17" ht="12.75" customHeight="1">
      <c r="A23" s="135" t="s">
        <v>284</v>
      </c>
      <c r="B23" s="153"/>
      <c r="C23" s="154"/>
      <c r="D23" s="152"/>
      <c r="E23" s="155"/>
      <c r="F23" s="154"/>
      <c r="G23" s="152"/>
      <c r="H23" s="95"/>
      <c r="I23" s="95"/>
      <c r="J23" s="95"/>
      <c r="K23" s="95"/>
      <c r="L23" s="156" t="s">
        <v>285</v>
      </c>
      <c r="M23" s="156" t="s">
        <v>286</v>
      </c>
      <c r="N23" s="95"/>
      <c r="O23" s="95"/>
      <c r="P23" s="95"/>
      <c r="Q23" s="95"/>
    </row>
    <row r="24" spans="1:17" ht="12.75" customHeight="1">
      <c r="A24" s="100" t="s">
        <v>287</v>
      </c>
      <c r="B24" s="157">
        <f>L24*1000*8000/(B6*10^6)</f>
        <v>1.411764705882353</v>
      </c>
      <c r="C24" s="158">
        <f t="shared" ref="C24:C26" si="3">P43</f>
        <v>1.9259882253994951</v>
      </c>
      <c r="D24" s="95"/>
      <c r="E24" s="119">
        <f>F24*'COM - No HI'!PROD</f>
        <v>0.46223717409587889</v>
      </c>
      <c r="F24" s="96">
        <f t="shared" ref="F24:F26" si="4">B24*C24/1000</f>
        <v>2.7190422005639934E-3</v>
      </c>
      <c r="G24" s="95" t="s">
        <v>288</v>
      </c>
      <c r="H24" s="95"/>
      <c r="I24" s="95"/>
      <c r="J24" s="95"/>
      <c r="K24" s="95"/>
      <c r="L24" s="159">
        <v>30</v>
      </c>
      <c r="M24" s="160" t="s">
        <v>289</v>
      </c>
      <c r="N24" s="95"/>
      <c r="O24" s="161" t="s">
        <v>290</v>
      </c>
      <c r="P24" s="161"/>
      <c r="Q24" s="161"/>
    </row>
    <row r="25" spans="1:17" ht="12.75" customHeight="1">
      <c r="A25" s="100" t="s">
        <v>291</v>
      </c>
      <c r="B25" s="157">
        <f>L25*1000*8000/(B6*10^6)</f>
        <v>2.3529411764705883</v>
      </c>
      <c r="C25" s="158">
        <f t="shared" si="3"/>
        <v>3.1778805719091667</v>
      </c>
      <c r="D25" s="95"/>
      <c r="E25" s="119">
        <f>F25*'COM - No HI'!PROD</f>
        <v>1.2711522287636667</v>
      </c>
      <c r="F25" s="96">
        <f t="shared" si="4"/>
        <v>7.4773660515509814E-3</v>
      </c>
      <c r="G25" s="95" t="s">
        <v>288</v>
      </c>
      <c r="H25" s="95"/>
      <c r="I25" s="95"/>
      <c r="J25" s="95"/>
      <c r="K25" s="95"/>
      <c r="L25" s="159">
        <v>50</v>
      </c>
      <c r="M25" s="160" t="s">
        <v>289</v>
      </c>
      <c r="N25" s="95"/>
      <c r="O25" s="161" t="s">
        <v>290</v>
      </c>
      <c r="P25" s="161"/>
      <c r="Q25" s="161"/>
    </row>
    <row r="26" spans="1:17" ht="12.75" customHeight="1">
      <c r="A26" s="100" t="s">
        <v>292</v>
      </c>
      <c r="B26" s="157">
        <f>L26*1000*8000/(B6*10^6)</f>
        <v>0.32941176470588235</v>
      </c>
      <c r="C26" s="158">
        <f t="shared" si="3"/>
        <v>7.7039529015979804</v>
      </c>
      <c r="D26" s="95"/>
      <c r="E26" s="119">
        <f>F26*'COM - No HI'!PROD</f>
        <v>0.43142136248948693</v>
      </c>
      <c r="F26" s="96">
        <f t="shared" si="4"/>
        <v>2.5377727205263935E-3</v>
      </c>
      <c r="G26" s="95" t="s">
        <v>288</v>
      </c>
      <c r="H26" s="95"/>
      <c r="I26" s="95"/>
      <c r="J26" s="95"/>
      <c r="K26" s="95"/>
      <c r="L26" s="159">
        <v>7</v>
      </c>
      <c r="M26" s="160" t="s">
        <v>289</v>
      </c>
      <c r="N26" s="95"/>
      <c r="O26" s="161" t="s">
        <v>290</v>
      </c>
      <c r="P26" s="161"/>
      <c r="Q26" s="161"/>
    </row>
    <row r="27" spans="1:17" ht="12.75" customHeight="1">
      <c r="A27" s="100" t="s">
        <v>293</v>
      </c>
      <c r="B27" s="157">
        <f>L27*8000/(B6*10^6)</f>
        <v>5.6470588235294121E-3</v>
      </c>
      <c r="C27" s="162">
        <v>6.0999999999999999E-2</v>
      </c>
      <c r="D27" s="95"/>
      <c r="E27" s="119">
        <f>F27*'COM - No HI'!PROD</f>
        <v>5.8560000000000001E-2</v>
      </c>
      <c r="F27" s="96">
        <f>B27*C27</f>
        <v>3.4447058823529412E-4</v>
      </c>
      <c r="G27" s="95" t="s">
        <v>294</v>
      </c>
      <c r="H27" s="95"/>
      <c r="I27" s="95"/>
      <c r="J27" s="95"/>
      <c r="K27" s="95"/>
      <c r="L27" s="159">
        <v>120</v>
      </c>
      <c r="M27" s="160" t="s">
        <v>295</v>
      </c>
      <c r="N27" s="95"/>
      <c r="O27" s="161" t="s">
        <v>296</v>
      </c>
      <c r="P27" s="161"/>
      <c r="Q27" s="161"/>
    </row>
    <row r="28" spans="1:17" ht="12.75" customHeight="1">
      <c r="A28" s="116" t="s">
        <v>297</v>
      </c>
      <c r="B28" s="274"/>
      <c r="C28" s="270"/>
      <c r="D28" s="163"/>
      <c r="E28" s="164">
        <f>L28*8000/10^6</f>
        <v>1.2</v>
      </c>
      <c r="F28" s="165">
        <f>E28/B6</f>
        <v>7.0588235294117641E-3</v>
      </c>
      <c r="I28" s="163"/>
      <c r="J28" s="163"/>
      <c r="K28" s="163"/>
      <c r="L28" s="166">
        <v>150</v>
      </c>
      <c r="M28" s="159" t="s">
        <v>298</v>
      </c>
      <c r="N28" s="163"/>
      <c r="O28" s="167"/>
      <c r="P28" s="168"/>
      <c r="Q28" s="168"/>
    </row>
    <row r="29" spans="1:17" ht="12.75" customHeight="1">
      <c r="A29" s="108" t="s">
        <v>299</v>
      </c>
      <c r="B29" s="169">
        <f>L29*10^6*8000/(B6*10^6)</f>
        <v>14.139482352941176</v>
      </c>
      <c r="C29" s="170">
        <v>7.4999999999999997E-2</v>
      </c>
      <c r="D29" s="171"/>
      <c r="E29" s="133">
        <f>F29*'COM - No HI'!PROD</f>
        <v>0.18027840000000001</v>
      </c>
      <c r="F29" s="134">
        <f>B29*C29/1000</f>
        <v>1.0604611764705883E-3</v>
      </c>
      <c r="G29" s="128" t="s">
        <v>300</v>
      </c>
      <c r="H29" s="171"/>
      <c r="I29" s="171"/>
      <c r="J29" s="171"/>
      <c r="K29" s="171"/>
      <c r="L29" s="172">
        <v>0.30046400000000001</v>
      </c>
      <c r="M29" s="173" t="s">
        <v>301</v>
      </c>
      <c r="N29" s="171"/>
      <c r="O29" s="174" t="s">
        <v>302</v>
      </c>
      <c r="P29" s="174"/>
      <c r="Q29" s="174"/>
    </row>
    <row r="30" spans="1:17" ht="12.75" customHeight="1">
      <c r="A30" s="175" t="s">
        <v>303</v>
      </c>
      <c r="B30" s="153"/>
      <c r="C30" s="154"/>
      <c r="D30" s="152"/>
      <c r="E30" s="155">
        <f t="shared" ref="E30:F30" si="5">SUM(E24:E29)</f>
        <v>3.6036491653490326</v>
      </c>
      <c r="F30" s="154">
        <f t="shared" si="5"/>
        <v>2.1197936266759011E-2</v>
      </c>
      <c r="G30" s="152"/>
      <c r="H30" s="95"/>
      <c r="I30" s="95"/>
      <c r="J30" s="95"/>
      <c r="K30" s="95"/>
      <c r="L30" s="95"/>
      <c r="M30" s="95"/>
      <c r="N30" s="95"/>
      <c r="O30" s="95"/>
      <c r="P30" s="95"/>
      <c r="Q30" s="95"/>
    </row>
    <row r="31" spans="1:17" ht="12.75" customHeight="1">
      <c r="A31" s="113" t="s">
        <v>304</v>
      </c>
      <c r="B31" s="141"/>
      <c r="C31" s="96"/>
      <c r="D31" s="95"/>
      <c r="E31" s="119"/>
      <c r="F31" s="96"/>
      <c r="G31" s="95"/>
      <c r="H31" s="95"/>
      <c r="I31" s="95"/>
      <c r="J31" s="95"/>
      <c r="K31" s="95"/>
      <c r="L31" s="275" t="s">
        <v>305</v>
      </c>
      <c r="M31" s="276"/>
      <c r="N31" s="277"/>
      <c r="O31" s="95" t="s">
        <v>306</v>
      </c>
      <c r="P31" s="95"/>
      <c r="Q31" s="95"/>
    </row>
    <row r="32" spans="1:17" ht="12.75" customHeight="1">
      <c r="A32" s="100" t="s">
        <v>307</v>
      </c>
      <c r="B32" s="142"/>
      <c r="C32" s="143"/>
      <c r="D32" s="95"/>
      <c r="E32" s="119">
        <f>F32*'COM - No HI'!PROD</f>
        <v>0</v>
      </c>
      <c r="F32" s="96">
        <f t="shared" ref="F32:F34" si="6">B32*C32</f>
        <v>0</v>
      </c>
      <c r="G32" s="95"/>
      <c r="H32" s="95"/>
      <c r="I32" s="95"/>
      <c r="J32" s="95"/>
      <c r="K32" s="95"/>
      <c r="L32" s="278"/>
      <c r="M32" s="238"/>
      <c r="N32" s="279"/>
      <c r="O32" s="176" t="s">
        <v>308</v>
      </c>
      <c r="P32" s="176"/>
      <c r="Q32" s="176"/>
    </row>
    <row r="33" spans="1:17" ht="12.75" customHeight="1">
      <c r="A33" s="100" t="s">
        <v>309</v>
      </c>
      <c r="B33" s="142"/>
      <c r="C33" s="143"/>
      <c r="D33" s="95"/>
      <c r="E33" s="119">
        <f>F33*'COM - No HI'!PROD</f>
        <v>0</v>
      </c>
      <c r="F33" s="96">
        <f t="shared" si="6"/>
        <v>0</v>
      </c>
      <c r="G33" s="95"/>
      <c r="H33" s="128"/>
      <c r="I33" s="128"/>
      <c r="J33" s="128"/>
      <c r="K33" s="128"/>
      <c r="L33" s="278"/>
      <c r="M33" s="238"/>
      <c r="N33" s="279"/>
      <c r="O33" s="128"/>
      <c r="P33" s="128"/>
      <c r="Q33" s="128"/>
    </row>
    <row r="34" spans="1:17" ht="12.75" customHeight="1">
      <c r="A34" s="108" t="s">
        <v>310</v>
      </c>
      <c r="B34" s="177"/>
      <c r="C34" s="178"/>
      <c r="D34" s="128"/>
      <c r="E34" s="133">
        <f>F34*'COM - No HI'!PROD</f>
        <v>0</v>
      </c>
      <c r="F34" s="134">
        <f t="shared" si="6"/>
        <v>0</v>
      </c>
      <c r="G34" s="128"/>
      <c r="H34" s="152">
        <f>E30/E36</f>
        <v>2.6183631566282742E-2</v>
      </c>
      <c r="I34" s="152"/>
      <c r="J34" s="152"/>
      <c r="K34" s="152"/>
      <c r="L34" s="278"/>
      <c r="M34" s="238"/>
      <c r="N34" s="279"/>
      <c r="O34" s="152"/>
      <c r="P34" s="152"/>
      <c r="Q34" s="152"/>
    </row>
    <row r="35" spans="1:17" ht="12.75" customHeight="1">
      <c r="A35" s="152" t="s">
        <v>311</v>
      </c>
      <c r="B35" s="152"/>
      <c r="C35" s="152"/>
      <c r="D35" s="152"/>
      <c r="E35" s="155">
        <f t="shared" ref="E35:F35" si="7">SUM(E32:E34)</f>
        <v>0</v>
      </c>
      <c r="F35" s="154">
        <f t="shared" si="7"/>
        <v>0</v>
      </c>
      <c r="G35" s="152"/>
      <c r="H35" s="95"/>
      <c r="I35" s="95"/>
      <c r="J35" s="95"/>
      <c r="K35" s="95"/>
      <c r="L35" s="280"/>
      <c r="M35" s="281"/>
      <c r="N35" s="282"/>
      <c r="O35" s="95"/>
      <c r="P35" s="95"/>
      <c r="Q35" s="95"/>
    </row>
    <row r="36" spans="1:17" ht="12.75" customHeight="1">
      <c r="A36" s="135" t="s">
        <v>312</v>
      </c>
      <c r="B36" s="138"/>
      <c r="C36" s="138"/>
      <c r="D36" s="138"/>
      <c r="E36" s="139">
        <f t="shared" ref="E36:F36" si="8">E18+E30+E35-E22</f>
        <v>137.62984543326425</v>
      </c>
      <c r="F36" s="140">
        <f t="shared" si="8"/>
        <v>0.80958732607802508</v>
      </c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</row>
    <row r="37" spans="1:17" ht="12.75" customHeight="1">
      <c r="A37" s="135"/>
      <c r="B37" s="138"/>
      <c r="C37" s="138"/>
      <c r="D37" s="138"/>
      <c r="E37" s="139"/>
      <c r="F37" s="140"/>
      <c r="G37" s="95"/>
      <c r="H37" s="95"/>
      <c r="I37" s="95"/>
      <c r="J37" s="138"/>
      <c r="K37" s="138"/>
      <c r="L37" s="138"/>
      <c r="M37" s="138"/>
      <c r="N37" s="138"/>
      <c r="O37" s="138"/>
      <c r="P37" s="138"/>
      <c r="Q37" s="138"/>
    </row>
    <row r="38" spans="1:17" ht="12.75" customHeight="1">
      <c r="A38" s="113" t="s">
        <v>313</v>
      </c>
      <c r="B38" s="179"/>
      <c r="C38" s="95"/>
      <c r="D38" s="95"/>
      <c r="E38" s="119"/>
      <c r="F38" s="9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</row>
    <row r="39" spans="1:17" ht="12.75" customHeight="1">
      <c r="A39" s="100" t="s">
        <v>314</v>
      </c>
      <c r="B39" s="180">
        <v>13</v>
      </c>
      <c r="C39" s="181">
        <v>32</v>
      </c>
      <c r="D39" s="182" t="s">
        <v>315</v>
      </c>
      <c r="E39" s="119">
        <f>B39*C39*(365*24)/1000000</f>
        <v>3.6441599999999998</v>
      </c>
      <c r="F39" s="96">
        <f>E39/'COM - No HI'!PROD</f>
        <v>2.1436235294117645E-2</v>
      </c>
      <c r="G39" s="95" t="s">
        <v>316</v>
      </c>
      <c r="H39" s="138"/>
      <c r="I39" s="138"/>
      <c r="J39" s="95"/>
      <c r="K39" s="95"/>
      <c r="L39" s="95"/>
      <c r="M39" s="95"/>
      <c r="N39" s="95"/>
      <c r="O39" s="179"/>
      <c r="P39" s="179"/>
      <c r="Q39" s="179"/>
    </row>
    <row r="40" spans="1:17" ht="12.75" customHeight="1">
      <c r="A40" s="100" t="s">
        <v>317</v>
      </c>
      <c r="B40" s="95"/>
      <c r="C40" s="183">
        <v>0.45</v>
      </c>
      <c r="D40" s="95"/>
      <c r="E40" s="119">
        <f t="shared" ref="E40:E42" si="9">E$39*C40</f>
        <v>1.639872</v>
      </c>
      <c r="F40" s="96">
        <f>E40/'COM - No HI'!PROD</f>
        <v>9.6463058823529416E-3</v>
      </c>
      <c r="G40" s="95"/>
      <c r="H40" s="106" t="s">
        <v>318</v>
      </c>
      <c r="I40" s="95"/>
      <c r="J40" s="95"/>
      <c r="K40" s="95"/>
      <c r="L40" s="95"/>
      <c r="M40" s="95"/>
      <c r="N40" s="95"/>
      <c r="O40" s="95"/>
      <c r="P40" s="95"/>
      <c r="Q40" s="95"/>
    </row>
    <row r="41" spans="1:17" ht="12.75" customHeight="1">
      <c r="A41" s="100" t="s">
        <v>319</v>
      </c>
      <c r="B41" s="95"/>
      <c r="C41" s="183">
        <v>1</v>
      </c>
      <c r="D41" s="95"/>
      <c r="E41" s="119">
        <f t="shared" si="9"/>
        <v>3.6441599999999998</v>
      </c>
      <c r="F41" s="96">
        <f>E41/'COM - No HI'!PROD</f>
        <v>2.1436235294117645E-2</v>
      </c>
      <c r="G41" s="138"/>
      <c r="H41" s="95"/>
      <c r="I41" s="95"/>
      <c r="J41" s="95"/>
      <c r="K41" s="95"/>
      <c r="L41" s="95"/>
      <c r="M41" s="95"/>
      <c r="N41" s="95"/>
      <c r="O41" s="95"/>
      <c r="P41" s="95"/>
      <c r="Q41" s="95"/>
    </row>
    <row r="42" spans="1:17" ht="12.75" customHeight="1">
      <c r="A42" s="100" t="s">
        <v>320</v>
      </c>
      <c r="B42" s="95"/>
      <c r="C42" s="183">
        <v>0.5</v>
      </c>
      <c r="D42" s="95"/>
      <c r="E42" s="119">
        <f t="shared" si="9"/>
        <v>1.8220799999999999</v>
      </c>
      <c r="F42" s="96">
        <f>E42/'COM - No HI'!PROD</f>
        <v>1.0718117647058822E-2</v>
      </c>
      <c r="G42" s="138"/>
      <c r="H42" s="95"/>
      <c r="I42" s="95"/>
      <c r="J42" s="95"/>
      <c r="K42" s="95"/>
      <c r="L42" s="95"/>
      <c r="M42" s="95"/>
      <c r="N42" s="115" t="s">
        <v>46</v>
      </c>
      <c r="O42" s="115" t="s">
        <v>321</v>
      </c>
      <c r="P42" s="115" t="s">
        <v>39</v>
      </c>
      <c r="Q42" s="95"/>
    </row>
    <row r="43" spans="1:17" ht="12.75" customHeight="1">
      <c r="A43" s="100" t="s">
        <v>322</v>
      </c>
      <c r="B43" s="183">
        <v>0.03</v>
      </c>
      <c r="C43" s="95"/>
      <c r="D43" s="95"/>
      <c r="E43" s="119">
        <f t="shared" ref="E43:E45" si="10">B43*$C$7</f>
        <v>1.576709293574349</v>
      </c>
      <c r="F43" s="96">
        <f>E43/'COM - No HI'!PROD</f>
        <v>9.2747605504373467E-3</v>
      </c>
      <c r="G43" s="95"/>
      <c r="H43" s="106"/>
      <c r="I43" s="106"/>
      <c r="J43" s="95"/>
      <c r="K43" s="95"/>
      <c r="L43" s="95"/>
      <c r="M43" s="95"/>
      <c r="N43" s="160">
        <v>100</v>
      </c>
      <c r="O43" s="160">
        <f t="shared" ref="O43:O45" si="11">N43/14.5</f>
        <v>6.8965517241379306</v>
      </c>
      <c r="P43" s="160">
        <f t="shared" ref="P43:P45" si="12">11.45/41*O43</f>
        <v>1.9259882253994951</v>
      </c>
      <c r="Q43" s="95"/>
    </row>
    <row r="44" spans="1:17" ht="12.75" customHeight="1">
      <c r="A44" s="100" t="s">
        <v>323</v>
      </c>
      <c r="B44" s="183">
        <v>0.02</v>
      </c>
      <c r="C44" s="95"/>
      <c r="D44" s="95"/>
      <c r="E44" s="119">
        <f t="shared" si="10"/>
        <v>1.051139529049566</v>
      </c>
      <c r="F44" s="96">
        <f>E44/'COM - No HI'!PROD</f>
        <v>6.1831737002915645E-3</v>
      </c>
      <c r="G44" s="95" t="s">
        <v>324</v>
      </c>
      <c r="H44" s="106"/>
      <c r="I44" s="106"/>
      <c r="J44" s="95"/>
      <c r="K44" s="95"/>
      <c r="L44" s="95"/>
      <c r="M44" s="95"/>
      <c r="N44" s="160">
        <v>165</v>
      </c>
      <c r="O44" s="160">
        <f t="shared" si="11"/>
        <v>11.379310344827585</v>
      </c>
      <c r="P44" s="160">
        <f t="shared" si="12"/>
        <v>3.1778805719091667</v>
      </c>
      <c r="Q44" s="95"/>
    </row>
    <row r="45" spans="1:17" ht="12.75" customHeight="1">
      <c r="A45" s="100" t="s">
        <v>325</v>
      </c>
      <c r="B45" s="183">
        <v>0.09</v>
      </c>
      <c r="C45" s="95"/>
      <c r="D45" s="95"/>
      <c r="E45" s="119">
        <f t="shared" si="10"/>
        <v>4.7301278807230469</v>
      </c>
      <c r="F45" s="96">
        <f>E45/'COM - No HI'!PROD</f>
        <v>2.7824281651312042E-2</v>
      </c>
      <c r="G45" s="95" t="s">
        <v>326</v>
      </c>
      <c r="H45" s="95"/>
      <c r="I45" s="95"/>
      <c r="J45" s="95"/>
      <c r="K45" s="95"/>
      <c r="L45" s="95"/>
      <c r="M45" s="95"/>
      <c r="N45" s="160">
        <v>400</v>
      </c>
      <c r="O45" s="160">
        <f t="shared" si="11"/>
        <v>27.586206896551722</v>
      </c>
      <c r="P45" s="160">
        <f t="shared" si="12"/>
        <v>7.7039529015979804</v>
      </c>
      <c r="Q45" s="95"/>
    </row>
    <row r="46" spans="1:17" ht="12.75" customHeight="1">
      <c r="A46" s="135" t="s">
        <v>327</v>
      </c>
      <c r="B46" s="138"/>
      <c r="C46" s="138"/>
      <c r="D46" s="138"/>
      <c r="E46" s="139">
        <f t="shared" ref="E46:F46" si="13">SUM(E39:E45)</f>
        <v>18.108248703346963</v>
      </c>
      <c r="F46" s="140">
        <f t="shared" si="13"/>
        <v>0.10651911001968799</v>
      </c>
      <c r="G46" s="95"/>
      <c r="H46" s="95"/>
      <c r="I46" s="95"/>
      <c r="J46" s="138"/>
      <c r="K46" s="138"/>
      <c r="L46" s="138"/>
      <c r="M46" s="138"/>
      <c r="N46" s="138"/>
      <c r="O46" s="138"/>
      <c r="P46" s="138"/>
      <c r="Q46" s="138"/>
    </row>
    <row r="47" spans="1:17" ht="12.75" customHeight="1">
      <c r="A47" s="100"/>
      <c r="B47" s="95"/>
      <c r="C47" s="95"/>
      <c r="D47" s="95"/>
      <c r="E47" s="119"/>
      <c r="F47" s="96"/>
      <c r="G47" s="95"/>
      <c r="H47" s="95"/>
      <c r="I47" s="95"/>
      <c r="J47" s="95"/>
      <c r="K47" s="95"/>
      <c r="L47" s="95"/>
      <c r="M47" s="95"/>
      <c r="N47" s="95"/>
      <c r="O47" s="95" t="s">
        <v>328</v>
      </c>
      <c r="P47" s="95"/>
      <c r="Q47" s="95"/>
    </row>
    <row r="48" spans="1:17" ht="12.75" customHeight="1">
      <c r="A48" s="113" t="s">
        <v>329</v>
      </c>
      <c r="B48" s="106"/>
      <c r="C48" s="106"/>
      <c r="D48" s="106"/>
      <c r="E48" s="184">
        <f t="shared" ref="E48:F48" si="14">E36+E46-E45</f>
        <v>151.00796625588816</v>
      </c>
      <c r="F48" s="185">
        <f t="shared" si="14"/>
        <v>0.88828215444640102</v>
      </c>
      <c r="G48" s="95" t="s">
        <v>330</v>
      </c>
      <c r="H48" s="95"/>
      <c r="I48" s="95"/>
      <c r="J48" s="106"/>
      <c r="K48" s="106"/>
      <c r="L48" s="106"/>
      <c r="M48" s="106"/>
      <c r="N48" s="106"/>
      <c r="O48" s="106"/>
      <c r="P48" s="106"/>
      <c r="Q48" s="106"/>
    </row>
    <row r="49" spans="1:17" ht="12.75" customHeight="1">
      <c r="A49" s="113" t="s">
        <v>331</v>
      </c>
      <c r="B49" s="106"/>
      <c r="C49" s="106"/>
      <c r="D49" s="106"/>
      <c r="E49" s="184">
        <f t="shared" ref="E49:F49" si="15">E36+E46</f>
        <v>155.73809413661121</v>
      </c>
      <c r="F49" s="185">
        <f t="shared" si="15"/>
        <v>0.91610643609771303</v>
      </c>
      <c r="G49" s="95" t="s">
        <v>332</v>
      </c>
      <c r="H49" s="95"/>
      <c r="I49" s="95"/>
      <c r="J49" s="106"/>
      <c r="K49" s="106"/>
      <c r="L49" s="106"/>
      <c r="M49" s="106"/>
      <c r="N49" s="106"/>
      <c r="O49" s="106"/>
      <c r="P49" s="106"/>
      <c r="Q49" s="106"/>
    </row>
    <row r="50" spans="1:17" ht="12.75" customHeight="1">
      <c r="A50" s="100" t="s">
        <v>333</v>
      </c>
      <c r="B50" s="95"/>
      <c r="C50" s="186">
        <v>0.06</v>
      </c>
      <c r="D50" s="100" t="s">
        <v>334</v>
      </c>
      <c r="E50" s="119">
        <f>'COM - No HI'!PROD*F50</f>
        <v>9.3442856481966725</v>
      </c>
      <c r="F50" s="96">
        <f>C50*F49</f>
        <v>5.4966386165862781E-2</v>
      </c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2.75" customHeight="1">
      <c r="A51" s="113" t="s">
        <v>335</v>
      </c>
      <c r="B51" s="95"/>
      <c r="C51" s="187"/>
      <c r="D51" s="100"/>
      <c r="E51" s="184">
        <f t="shared" ref="E51:F51" si="16">E49+E50</f>
        <v>165.08237978480787</v>
      </c>
      <c r="F51" s="185">
        <f t="shared" si="16"/>
        <v>0.97107282226357583</v>
      </c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</row>
    <row r="52" spans="1:17" ht="12.75" customHeight="1">
      <c r="A52" s="100" t="s">
        <v>336</v>
      </c>
      <c r="B52" s="95"/>
      <c r="C52" s="188">
        <v>0.25</v>
      </c>
      <c r="D52" s="100"/>
      <c r="E52" s="184"/>
      <c r="F52" s="18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</row>
    <row r="53" spans="1:17" ht="12.75" customHeight="1">
      <c r="A53" s="100" t="s">
        <v>337</v>
      </c>
      <c r="B53" s="95"/>
      <c r="C53" s="189">
        <v>0.25</v>
      </c>
      <c r="D53" s="114"/>
      <c r="E53" s="119">
        <f>C53*C11/(1-C52)</f>
        <v>25.654753516287524</v>
      </c>
      <c r="F53" s="96">
        <f>E53/'COM - No HI'!PROD</f>
        <v>0.15091031480169131</v>
      </c>
      <c r="G53" s="95" t="s">
        <v>338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</row>
    <row r="54" spans="1:17" ht="12.75" customHeight="1">
      <c r="A54" s="100"/>
      <c r="B54" s="95"/>
      <c r="C54" s="190"/>
      <c r="D54" s="114"/>
      <c r="E54" s="119"/>
      <c r="F54" s="96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</row>
    <row r="55" spans="1:17" ht="12.75" customHeight="1">
      <c r="A55" s="191" t="s">
        <v>339</v>
      </c>
      <c r="B55" s="98" t="s">
        <v>340</v>
      </c>
      <c r="C55" s="98"/>
      <c r="D55" s="97" t="s">
        <v>341</v>
      </c>
      <c r="E55" s="192" t="s">
        <v>342</v>
      </c>
      <c r="F55" s="193" t="s">
        <v>263</v>
      </c>
      <c r="G55" s="95"/>
      <c r="H55" s="95"/>
      <c r="I55" s="95"/>
      <c r="J55" s="98"/>
      <c r="K55" s="98"/>
      <c r="L55" s="98"/>
      <c r="M55" s="194"/>
      <c r="N55" s="194"/>
      <c r="O55" s="179"/>
      <c r="P55" s="179"/>
      <c r="Q55" s="179"/>
    </row>
    <row r="56" spans="1:17" ht="12.75" customHeight="1">
      <c r="A56" s="195" t="s">
        <v>343</v>
      </c>
      <c r="B56" s="196">
        <f>C53</f>
        <v>0.25</v>
      </c>
      <c r="C56" s="197" t="s">
        <v>344</v>
      </c>
      <c r="D56" s="196">
        <f>E6</f>
        <v>0.91300000000000003</v>
      </c>
      <c r="E56" s="198">
        <f t="shared" ref="E56:F56" si="17">E51+E53</f>
        <v>190.73713330109538</v>
      </c>
      <c r="F56" s="199">
        <f t="shared" si="17"/>
        <v>1.1219831370652671</v>
      </c>
      <c r="G56" s="95" t="s">
        <v>345</v>
      </c>
      <c r="H56" s="95"/>
      <c r="I56" s="95"/>
      <c r="J56" s="195"/>
      <c r="K56" s="195"/>
      <c r="L56" s="195"/>
      <c r="M56" s="194"/>
      <c r="N56" s="194"/>
      <c r="O56" s="194"/>
      <c r="P56" s="179"/>
      <c r="Q56" s="179"/>
    </row>
    <row r="57" spans="1:17" ht="12.75" customHeight="1">
      <c r="A57" s="200" t="s">
        <v>346</v>
      </c>
      <c r="B57" s="201">
        <f>(1-C52)*(E57-E51)/C11</f>
        <v>-1.6086919299380662</v>
      </c>
      <c r="C57" s="202" t="s">
        <v>347</v>
      </c>
      <c r="D57" s="202"/>
      <c r="E57" s="203">
        <f>F57*'COM - No HI'!PROD</f>
        <v>0</v>
      </c>
      <c r="F57" s="204"/>
      <c r="G57" s="95" t="s">
        <v>348</v>
      </c>
      <c r="H57" s="202"/>
      <c r="I57" s="202"/>
      <c r="J57" s="202"/>
      <c r="K57" s="202"/>
      <c r="L57" s="202"/>
      <c r="M57" s="194"/>
      <c r="N57" s="194"/>
      <c r="O57" s="179"/>
      <c r="P57" s="179"/>
      <c r="Q57" s="179"/>
    </row>
    <row r="58" spans="1:17" ht="12.75" customHeight="1">
      <c r="A58" s="95" t="s">
        <v>349</v>
      </c>
      <c r="B58" s="190">
        <f>IF(E57&gt;0,E58/E57,0)</f>
        <v>0</v>
      </c>
      <c r="C58" s="95" t="s">
        <v>350</v>
      </c>
      <c r="D58" s="95"/>
      <c r="E58" s="205">
        <f>(1-C52)*(E57-E51)+E45</f>
        <v>-119.08165695788286</v>
      </c>
      <c r="F58" s="95"/>
      <c r="G58" s="95" t="s">
        <v>351</v>
      </c>
      <c r="H58" s="95"/>
      <c r="I58" s="95"/>
      <c r="J58" s="95"/>
      <c r="K58" s="95"/>
      <c r="L58" s="95"/>
      <c r="M58" s="194"/>
      <c r="N58" s="194"/>
      <c r="O58" s="179"/>
      <c r="P58" s="179"/>
      <c r="Q58" s="179"/>
    </row>
    <row r="59" spans="1:17" ht="12.75" customHeight="1">
      <c r="A59" s="95" t="s">
        <v>352</v>
      </c>
      <c r="B59" s="190">
        <f>IF(E57&gt;0,E59/E57,0)</f>
        <v>0</v>
      </c>
      <c r="C59" s="95" t="s">
        <v>350</v>
      </c>
      <c r="D59" s="95"/>
      <c r="E59" s="205">
        <f>E57-E36</f>
        <v>-137.62984543326425</v>
      </c>
      <c r="F59" s="95"/>
      <c r="G59" s="95" t="s">
        <v>353</v>
      </c>
      <c r="H59" s="95"/>
      <c r="I59" s="95"/>
      <c r="J59" s="95"/>
      <c r="K59" s="95"/>
      <c r="L59" s="95"/>
      <c r="M59" s="179"/>
      <c r="N59" s="179"/>
      <c r="O59" s="179"/>
      <c r="P59" s="179"/>
      <c r="Q59" s="179"/>
    </row>
    <row r="60" spans="1:17" ht="12.7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179"/>
      <c r="N60" s="179"/>
      <c r="O60" s="179"/>
      <c r="P60" s="179"/>
      <c r="Q60" s="179"/>
    </row>
    <row r="61" spans="1:17" ht="12.75" customHeight="1">
      <c r="A61" s="95"/>
      <c r="B61" s="95"/>
      <c r="C61" s="95"/>
      <c r="D61" s="95"/>
      <c r="E61" s="206"/>
      <c r="F61" s="95"/>
      <c r="G61" s="95"/>
      <c r="H61" s="95"/>
      <c r="I61" s="95"/>
      <c r="J61" s="95"/>
      <c r="K61" s="95"/>
      <c r="L61" s="95"/>
      <c r="M61" s="179"/>
      <c r="N61" s="179"/>
      <c r="O61" s="179"/>
      <c r="P61" s="179"/>
      <c r="Q61" s="179"/>
    </row>
  </sheetData>
  <mergeCells count="5">
    <mergeCell ref="B2:D2"/>
    <mergeCell ref="B3:D3"/>
    <mergeCell ref="E9:E10"/>
    <mergeCell ref="B28:C28"/>
    <mergeCell ref="L31:N35"/>
  </mergeCells>
  <pageMargins left="0.75" right="0.75" top="1" bottom="0.83" header="0" footer="0"/>
  <pageSetup orientation="portrait"/>
  <headerFooter>
    <oddHeader>&amp;RDate: &amp;D  &amp;T</oddHead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1"/>
  <sheetViews>
    <sheetView showGridLines="0" workbookViewId="0"/>
  </sheetViews>
  <sheetFormatPr defaultColWidth="12.5703125" defaultRowHeight="15" customHeight="1"/>
  <cols>
    <col min="1" max="1" width="29" customWidth="1"/>
    <col min="2" max="3" width="10.42578125" customWidth="1"/>
    <col min="4" max="4" width="10.140625" customWidth="1"/>
    <col min="5" max="5" width="8.5703125" customWidth="1"/>
    <col min="6" max="6" width="10.5703125" customWidth="1"/>
    <col min="7" max="12" width="8.140625" customWidth="1"/>
    <col min="13" max="13" width="14.85546875" customWidth="1"/>
    <col min="14" max="14" width="14.42578125" customWidth="1"/>
    <col min="15" max="17" width="29.140625" customWidth="1"/>
  </cols>
  <sheetData>
    <row r="1" spans="1:17" ht="12.75" customHeight="1">
      <c r="A1" s="95"/>
      <c r="B1" s="95"/>
      <c r="C1" s="95"/>
      <c r="D1" s="95"/>
      <c r="E1" s="95"/>
      <c r="F1" s="96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12.75" customHeight="1">
      <c r="A2" s="95"/>
      <c r="B2" s="268" t="s">
        <v>246</v>
      </c>
      <c r="C2" s="269"/>
      <c r="D2" s="270"/>
      <c r="E2" s="95"/>
      <c r="F2" s="96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ht="12.75" customHeight="1">
      <c r="A3" s="95"/>
      <c r="B3" s="271" t="s">
        <v>247</v>
      </c>
      <c r="C3" s="269"/>
      <c r="D3" s="270"/>
      <c r="E3" s="95"/>
      <c r="F3" s="96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17" ht="12.75" customHeight="1">
      <c r="A4" s="97"/>
      <c r="B4" s="98"/>
      <c r="C4" s="98"/>
      <c r="D4" s="98"/>
      <c r="E4" s="98"/>
      <c r="F4" s="99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spans="1:17" ht="12.75" customHeight="1">
      <c r="A5" s="100" t="s">
        <v>248</v>
      </c>
      <c r="B5" s="101">
        <f>B6/E6</f>
        <v>186.19934282584884</v>
      </c>
      <c r="C5" s="100" t="s">
        <v>249</v>
      </c>
      <c r="D5" s="95"/>
      <c r="E5" s="95"/>
      <c r="F5" s="96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</row>
    <row r="6" spans="1:17" ht="12.75" customHeight="1">
      <c r="A6" s="100" t="s">
        <v>250</v>
      </c>
      <c r="B6" s="102">
        <v>170</v>
      </c>
      <c r="C6" s="100" t="s">
        <v>249</v>
      </c>
      <c r="D6" s="95" t="s">
        <v>251</v>
      </c>
      <c r="E6" s="103">
        <v>0.91300000000000003</v>
      </c>
      <c r="F6" s="96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</row>
    <row r="7" spans="1:17" ht="12.75" customHeight="1">
      <c r="A7" s="100" t="s">
        <v>252</v>
      </c>
      <c r="B7" s="95"/>
      <c r="C7" s="104">
        <f>'VGA - HI'!N55*1000/10^6-8</f>
        <v>55.487656645236441</v>
      </c>
      <c r="D7" s="100" t="s">
        <v>253</v>
      </c>
      <c r="E7" s="95"/>
      <c r="F7" s="96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</row>
    <row r="8" spans="1:17" ht="12.75" customHeight="1">
      <c r="A8" s="100" t="s">
        <v>254</v>
      </c>
      <c r="B8" s="95"/>
      <c r="C8" s="105">
        <v>0</v>
      </c>
      <c r="D8" s="100" t="s">
        <v>253</v>
      </c>
      <c r="E8" s="95" t="s">
        <v>255</v>
      </c>
      <c r="F8" s="96"/>
      <c r="G8" s="95"/>
      <c r="H8" s="95"/>
      <c r="I8" s="95"/>
      <c r="J8" s="95"/>
      <c r="K8" s="106"/>
      <c r="L8" s="95"/>
      <c r="M8" s="95"/>
      <c r="N8" s="95"/>
      <c r="O8" s="95"/>
      <c r="P8" s="95"/>
      <c r="Q8" s="95"/>
    </row>
    <row r="9" spans="1:17" ht="12.75" customHeight="1">
      <c r="A9" s="100" t="s">
        <v>256</v>
      </c>
      <c r="B9" s="95"/>
      <c r="C9" s="107">
        <f>E18/12</f>
        <v>11.440702910300329</v>
      </c>
      <c r="D9" s="100" t="s">
        <v>253</v>
      </c>
      <c r="E9" s="272" t="s">
        <v>257</v>
      </c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17" ht="12.75" customHeight="1">
      <c r="A10" s="108" t="s">
        <v>258</v>
      </c>
      <c r="B10" s="109"/>
      <c r="C10" s="110">
        <f>E49/12</f>
        <v>12.594960717291535</v>
      </c>
      <c r="D10" s="108" t="s">
        <v>253</v>
      </c>
      <c r="E10" s="273"/>
      <c r="F10" s="96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</row>
    <row r="11" spans="1:17" ht="12.75" customHeight="1">
      <c r="A11" s="100" t="s">
        <v>259</v>
      </c>
      <c r="B11" s="95"/>
      <c r="C11" s="107">
        <f>SUM(C7:C10)</f>
        <v>79.5233202728283</v>
      </c>
      <c r="D11" s="100" t="s">
        <v>253</v>
      </c>
      <c r="E11" s="95"/>
      <c r="F11" s="9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</row>
    <row r="12" spans="1:17" ht="12.75" customHeight="1">
      <c r="A12" s="106"/>
      <c r="B12" s="111" t="s">
        <v>260</v>
      </c>
      <c r="C12" s="111" t="s">
        <v>261</v>
      </c>
      <c r="D12" s="106"/>
      <c r="E12" s="111" t="s">
        <v>262</v>
      </c>
      <c r="F12" s="112" t="s">
        <v>263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spans="1:17" ht="12.75" customHeight="1">
      <c r="A13" s="113" t="s">
        <v>264</v>
      </c>
      <c r="B13" s="114" t="s">
        <v>265</v>
      </c>
      <c r="C13" s="114" t="s">
        <v>266</v>
      </c>
      <c r="D13" s="95"/>
      <c r="E13" s="95"/>
      <c r="F13" s="96"/>
      <c r="G13" s="95"/>
      <c r="H13" s="95"/>
      <c r="I13" s="95"/>
      <c r="J13" s="95"/>
      <c r="K13" s="95"/>
      <c r="L13" s="95"/>
      <c r="M13" s="95"/>
      <c r="N13" s="95"/>
      <c r="O13" s="115" t="s">
        <v>267</v>
      </c>
      <c r="P13" s="115"/>
      <c r="Q13" s="115"/>
    </row>
    <row r="14" spans="1:17" ht="12.75" customHeight="1">
      <c r="A14" s="116" t="s">
        <v>245</v>
      </c>
      <c r="B14" s="117">
        <f>0.999*700*32.04*8000/(B6*10^6)</f>
        <v>1.0543798588235291</v>
      </c>
      <c r="C14" s="118">
        <f>620/1000</f>
        <v>0.62</v>
      </c>
      <c r="D14" s="95"/>
      <c r="E14" s="119">
        <f>F14*PROD</f>
        <v>111.13163711999997</v>
      </c>
      <c r="F14" s="96">
        <f t="shared" ref="F14:F17" si="0">B14*C14</f>
        <v>0.65371551247058801</v>
      </c>
      <c r="G14" s="95"/>
      <c r="H14" s="120" t="s">
        <v>268</v>
      </c>
      <c r="I14" s="121"/>
      <c r="J14" s="121"/>
      <c r="K14" s="121"/>
      <c r="L14" s="121"/>
      <c r="M14" s="121"/>
      <c r="N14" s="95"/>
      <c r="O14" s="122" t="s">
        <v>269</v>
      </c>
      <c r="P14" s="122"/>
      <c r="Q14" s="122"/>
    </row>
    <row r="15" spans="1:17" ht="12.75" customHeight="1">
      <c r="A15" s="116" t="s">
        <v>270</v>
      </c>
      <c r="B15" s="117">
        <f>0.995*452.278*28.01*8000/(B6*10^6)</f>
        <v>0.59317483511058833</v>
      </c>
      <c r="C15" s="118">
        <f>205/1000</f>
        <v>0.20499999999999999</v>
      </c>
      <c r="D15" s="95"/>
      <c r="E15" s="119">
        <f>F15*PROD</f>
        <v>20.672143003604003</v>
      </c>
      <c r="F15" s="96">
        <f t="shared" si="0"/>
        <v>0.1216008411976706</v>
      </c>
      <c r="G15" s="95"/>
      <c r="H15" s="123" t="s">
        <v>271</v>
      </c>
      <c r="I15" s="124"/>
      <c r="J15" s="121"/>
      <c r="K15" s="121"/>
      <c r="L15" s="121"/>
      <c r="M15" s="121"/>
      <c r="N15" s="95"/>
      <c r="O15" s="122" t="s">
        <v>269</v>
      </c>
      <c r="P15" s="122"/>
      <c r="Q15" s="122"/>
    </row>
    <row r="16" spans="1:17" ht="12.75" customHeight="1">
      <c r="A16" s="125" t="s">
        <v>272</v>
      </c>
      <c r="B16" s="126">
        <f>(0.005*452.78+100)*2*8000/B6/10^6</f>
        <v>9.6248376470588239E-3</v>
      </c>
      <c r="C16" s="127">
        <v>2</v>
      </c>
      <c r="D16" s="128"/>
      <c r="E16" s="119">
        <f>F16*PROD</f>
        <v>3.2724448000000002</v>
      </c>
      <c r="F16" s="96">
        <f t="shared" si="0"/>
        <v>1.9249675294117648E-2</v>
      </c>
      <c r="G16" s="128"/>
      <c r="H16" s="129"/>
      <c r="I16" s="130"/>
      <c r="J16" s="130"/>
      <c r="K16" s="130"/>
      <c r="L16" s="130"/>
      <c r="M16" s="130"/>
      <c r="N16" s="128"/>
      <c r="O16" s="122" t="s">
        <v>269</v>
      </c>
      <c r="P16" s="131"/>
      <c r="Q16" s="131"/>
    </row>
    <row r="17" spans="1:17" ht="12.75" customHeight="1">
      <c r="A17" s="128" t="s">
        <v>273</v>
      </c>
      <c r="B17" s="126">
        <f>('Sizing HI'!B7+'Sizing HI'!B22)/2/(B6*10^6)-0.00005</f>
        <v>1.8589999999999999E-4</v>
      </c>
      <c r="C17" s="132">
        <v>70</v>
      </c>
      <c r="D17" s="128"/>
      <c r="E17" s="133">
        <f>F17*PROD</f>
        <v>2.2122100000000002</v>
      </c>
      <c r="F17" s="134">
        <f t="shared" si="0"/>
        <v>1.3013E-2</v>
      </c>
      <c r="G17" s="128"/>
      <c r="H17" s="129" t="s">
        <v>274</v>
      </c>
      <c r="I17" s="130"/>
      <c r="J17" s="130"/>
      <c r="K17" s="130"/>
      <c r="L17" s="130"/>
      <c r="M17" s="130"/>
      <c r="N17" s="128"/>
      <c r="O17" s="122" t="s">
        <v>275</v>
      </c>
      <c r="P17" s="131"/>
      <c r="Q17" s="131"/>
    </row>
    <row r="18" spans="1:17" ht="12.75" customHeight="1">
      <c r="A18" s="135" t="s">
        <v>276</v>
      </c>
      <c r="B18" s="136"/>
      <c r="C18" s="137">
        <f>0.00005*170*10^6</f>
        <v>8500</v>
      </c>
      <c r="D18" s="138"/>
      <c r="E18" s="139">
        <f t="shared" ref="E18:F18" si="1">SUM(E14:E17)</f>
        <v>137.28843492360394</v>
      </c>
      <c r="F18" s="140">
        <f t="shared" si="1"/>
        <v>0.80757902896237632</v>
      </c>
      <c r="G18" s="95"/>
      <c r="H18" s="95"/>
      <c r="I18" s="95"/>
      <c r="J18" s="138"/>
      <c r="K18" s="138"/>
      <c r="L18" s="138"/>
      <c r="M18" s="138"/>
      <c r="N18" s="138"/>
      <c r="O18" s="138"/>
      <c r="P18" s="138"/>
      <c r="Q18" s="138"/>
    </row>
    <row r="19" spans="1:17" ht="12.75" customHeight="1">
      <c r="A19" s="113" t="s">
        <v>277</v>
      </c>
      <c r="B19" s="141"/>
      <c r="C19" s="96"/>
      <c r="D19" s="95"/>
      <c r="E19" s="119"/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</row>
    <row r="20" spans="1:17" ht="12.75" customHeight="1">
      <c r="A20" s="95" t="s">
        <v>278</v>
      </c>
      <c r="B20" s="142"/>
      <c r="C20" s="143"/>
      <c r="D20" s="95"/>
      <c r="E20" s="119">
        <f>F20*PROD</f>
        <v>0</v>
      </c>
      <c r="F20" s="96">
        <f>B20*C20</f>
        <v>0</v>
      </c>
      <c r="G20" s="95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>
      <c r="A21" s="144" t="s">
        <v>279</v>
      </c>
      <c r="B21" s="145"/>
      <c r="C21" s="146">
        <v>3.61</v>
      </c>
      <c r="D21" s="147" t="s">
        <v>280</v>
      </c>
      <c r="E21" s="148">
        <f>F21*PROD</f>
        <v>3.1173823465227253</v>
      </c>
      <c r="F21" s="149">
        <f>G21*C21/1000000</f>
        <v>1.8337543214839561E-2</v>
      </c>
      <c r="G21" s="150">
        <f>'Flash Tank Info for COM'!I10/(B6*10^6)</f>
        <v>5079.6518600663603</v>
      </c>
      <c r="H21" s="147" t="s">
        <v>281</v>
      </c>
      <c r="I21" s="151" t="s">
        <v>282</v>
      </c>
      <c r="J21" s="151"/>
      <c r="K21" s="151"/>
      <c r="L21" s="151"/>
      <c r="M21" s="151"/>
      <c r="N21" s="151"/>
      <c r="O21" s="152"/>
      <c r="P21" s="152"/>
      <c r="Q21" s="152"/>
    </row>
    <row r="22" spans="1:17" ht="12.75" customHeight="1">
      <c r="A22" s="152" t="s">
        <v>283</v>
      </c>
      <c r="B22" s="153"/>
      <c r="C22" s="154"/>
      <c r="D22" s="152"/>
      <c r="E22" s="155">
        <f t="shared" ref="E22:F22" si="2">SUM(E20:E21)</f>
        <v>3.1173823465227253</v>
      </c>
      <c r="F22" s="154">
        <f t="shared" si="2"/>
        <v>1.8337543214839561E-2</v>
      </c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</row>
    <row r="23" spans="1:17" ht="12.75" customHeight="1">
      <c r="A23" s="135" t="s">
        <v>284</v>
      </c>
      <c r="B23" s="153"/>
      <c r="C23" s="154"/>
      <c r="D23" s="152"/>
      <c r="E23" s="155"/>
      <c r="F23" s="154"/>
      <c r="G23" s="152"/>
      <c r="H23" s="95"/>
      <c r="I23" s="95"/>
      <c r="J23" s="95"/>
      <c r="K23" s="95"/>
      <c r="L23" s="156" t="s">
        <v>285</v>
      </c>
      <c r="M23" s="156" t="s">
        <v>286</v>
      </c>
      <c r="N23" s="95"/>
      <c r="O23" s="95"/>
      <c r="P23" s="95"/>
      <c r="Q23" s="95"/>
    </row>
    <row r="24" spans="1:17" ht="12.75" customHeight="1">
      <c r="A24" s="100" t="s">
        <v>287</v>
      </c>
      <c r="B24" s="157">
        <f>L24*1000*8000/(B6*10^6)</f>
        <v>0.56470588235294117</v>
      </c>
      <c r="C24" s="158">
        <f t="shared" ref="C24:C26" si="3">P43</f>
        <v>1.9259882253994951</v>
      </c>
      <c r="D24" s="95"/>
      <c r="E24" s="119">
        <f>F24*PROD</f>
        <v>0.18489486963835153</v>
      </c>
      <c r="F24" s="96">
        <f t="shared" ref="F24:F26" si="4">B24*C24/1000</f>
        <v>1.0876168802255973E-3</v>
      </c>
      <c r="G24" s="95" t="s">
        <v>288</v>
      </c>
      <c r="H24" s="95"/>
      <c r="I24" s="95"/>
      <c r="J24" s="95"/>
      <c r="K24" s="95"/>
      <c r="L24" s="159">
        <v>12</v>
      </c>
      <c r="M24" s="160" t="s">
        <v>289</v>
      </c>
      <c r="N24" s="95"/>
      <c r="O24" s="161" t="s">
        <v>290</v>
      </c>
      <c r="P24" s="161"/>
      <c r="Q24" s="161"/>
    </row>
    <row r="25" spans="1:17" ht="12.75" customHeight="1">
      <c r="A25" s="100" t="s">
        <v>291</v>
      </c>
      <c r="B25" s="157">
        <f>L25*1000*8000/(B6*10^6)</f>
        <v>1.1764705882352942</v>
      </c>
      <c r="C25" s="158">
        <f t="shared" si="3"/>
        <v>3.1778805719091667</v>
      </c>
      <c r="D25" s="95"/>
      <c r="E25" s="119">
        <f>F25*PROD</f>
        <v>0.63557611438183337</v>
      </c>
      <c r="F25" s="96">
        <f t="shared" si="4"/>
        <v>3.7386830257754907E-3</v>
      </c>
      <c r="G25" s="95" t="s">
        <v>288</v>
      </c>
      <c r="H25" s="95"/>
      <c r="I25" s="95"/>
      <c r="J25" s="95"/>
      <c r="K25" s="95"/>
      <c r="L25" s="159">
        <v>25</v>
      </c>
      <c r="M25" s="160" t="s">
        <v>289</v>
      </c>
      <c r="N25" s="95"/>
      <c r="O25" s="161" t="s">
        <v>290</v>
      </c>
      <c r="P25" s="161"/>
      <c r="Q25" s="161"/>
    </row>
    <row r="26" spans="1:17" ht="12.75" customHeight="1">
      <c r="A26" s="100" t="s">
        <v>292</v>
      </c>
      <c r="B26" s="157">
        <f>L26*1000*8000/(B6*10^6)</f>
        <v>0.23529411764705882</v>
      </c>
      <c r="C26" s="158">
        <f t="shared" si="3"/>
        <v>7.7039529015979804</v>
      </c>
      <c r="D26" s="95"/>
      <c r="E26" s="119">
        <f>F26*PROD</f>
        <v>0.30815811606391919</v>
      </c>
      <c r="F26" s="96">
        <f t="shared" si="4"/>
        <v>1.8126948003759952E-3</v>
      </c>
      <c r="G26" s="95" t="s">
        <v>288</v>
      </c>
      <c r="H26" s="95"/>
      <c r="I26" s="95"/>
      <c r="J26" s="95"/>
      <c r="K26" s="95"/>
      <c r="L26" s="159">
        <v>5</v>
      </c>
      <c r="M26" s="160" t="s">
        <v>289</v>
      </c>
      <c r="N26" s="95"/>
      <c r="O26" s="161" t="s">
        <v>290</v>
      </c>
      <c r="P26" s="161"/>
      <c r="Q26" s="161"/>
    </row>
    <row r="27" spans="1:17" ht="12.75" customHeight="1">
      <c r="A27" s="100" t="s">
        <v>293</v>
      </c>
      <c r="B27" s="157">
        <f>L27*8000/(B6*10^6)</f>
        <v>4.7058823529411761E-3</v>
      </c>
      <c r="C27" s="162">
        <v>6.0999999999999999E-2</v>
      </c>
      <c r="D27" s="95"/>
      <c r="E27" s="119">
        <f>F27*PROD</f>
        <v>4.8799999999999996E-2</v>
      </c>
      <c r="F27" s="96">
        <f>B27*C27</f>
        <v>2.8705882352941174E-4</v>
      </c>
      <c r="G27" s="95" t="s">
        <v>294</v>
      </c>
      <c r="H27" s="95"/>
      <c r="I27" s="95"/>
      <c r="J27" s="95"/>
      <c r="K27" s="95"/>
      <c r="L27" s="159">
        <v>100</v>
      </c>
      <c r="M27" s="160" t="s">
        <v>295</v>
      </c>
      <c r="N27" s="95"/>
      <c r="O27" s="161" t="s">
        <v>296</v>
      </c>
      <c r="P27" s="161"/>
      <c r="Q27" s="161"/>
    </row>
    <row r="28" spans="1:17" ht="12.75" customHeight="1">
      <c r="A28" s="116" t="s">
        <v>297</v>
      </c>
      <c r="B28" s="274"/>
      <c r="C28" s="270"/>
      <c r="D28" s="163"/>
      <c r="E28" s="164">
        <f>L28*8000/10^6</f>
        <v>0.4</v>
      </c>
      <c r="F28" s="165">
        <f>E28/B6</f>
        <v>2.3529411764705885E-3</v>
      </c>
      <c r="I28" s="163"/>
      <c r="J28" s="163"/>
      <c r="K28" s="163"/>
      <c r="L28" s="166">
        <v>50</v>
      </c>
      <c r="M28" s="159" t="s">
        <v>298</v>
      </c>
      <c r="N28" s="163"/>
      <c r="O28" s="167"/>
      <c r="P28" s="168"/>
      <c r="Q28" s="168"/>
    </row>
    <row r="29" spans="1:17" ht="12.75" customHeight="1">
      <c r="A29" s="108" t="s">
        <v>299</v>
      </c>
      <c r="B29" s="169">
        <f>L29*10^6*8000/(B6*10^6)</f>
        <v>14.139529411764705</v>
      </c>
      <c r="C29" s="170">
        <v>7.4999999999999997E-2</v>
      </c>
      <c r="D29" s="171"/>
      <c r="E29" s="133">
        <f>F29*PROD</f>
        <v>0.18027899999999999</v>
      </c>
      <c r="F29" s="134">
        <f>B29*C29/1000</f>
        <v>1.0604647058823529E-3</v>
      </c>
      <c r="G29" s="128" t="s">
        <v>300</v>
      </c>
      <c r="H29" s="171"/>
      <c r="I29" s="171"/>
      <c r="J29" s="171"/>
      <c r="K29" s="171"/>
      <c r="L29" s="172">
        <v>0.30046499999999998</v>
      </c>
      <c r="M29" s="173" t="s">
        <v>301</v>
      </c>
      <c r="N29" s="171"/>
      <c r="O29" s="174" t="s">
        <v>302</v>
      </c>
      <c r="P29" s="174"/>
      <c r="Q29" s="174"/>
    </row>
    <row r="30" spans="1:17" ht="12.75" customHeight="1">
      <c r="A30" s="175" t="s">
        <v>303</v>
      </c>
      <c r="B30" s="153"/>
      <c r="C30" s="154"/>
      <c r="D30" s="152"/>
      <c r="E30" s="155">
        <f t="shared" ref="E30:F30" si="5">SUM(E24:E29)</f>
        <v>1.7577081000841042</v>
      </c>
      <c r="F30" s="154">
        <f t="shared" si="5"/>
        <v>1.0339459412259435E-2</v>
      </c>
      <c r="G30" s="152"/>
      <c r="H30" s="95"/>
      <c r="I30" s="95"/>
      <c r="J30" s="95"/>
      <c r="K30" s="95"/>
      <c r="L30" s="95"/>
      <c r="M30" s="95"/>
      <c r="N30" s="95"/>
      <c r="O30" s="95"/>
      <c r="P30" s="95"/>
      <c r="Q30" s="95"/>
    </row>
    <row r="31" spans="1:17" ht="12.75" customHeight="1">
      <c r="A31" s="113" t="s">
        <v>304</v>
      </c>
      <c r="B31" s="141"/>
      <c r="C31" s="96"/>
      <c r="D31" s="95"/>
      <c r="E31" s="119"/>
      <c r="F31" s="96"/>
      <c r="G31" s="95"/>
      <c r="H31" s="95"/>
      <c r="I31" s="95"/>
      <c r="J31" s="95"/>
      <c r="K31" s="95"/>
      <c r="L31" s="275" t="s">
        <v>305</v>
      </c>
      <c r="M31" s="276"/>
      <c r="N31" s="277"/>
      <c r="O31" s="95" t="s">
        <v>306</v>
      </c>
      <c r="P31" s="95"/>
      <c r="Q31" s="95"/>
    </row>
    <row r="32" spans="1:17" ht="12.75" customHeight="1">
      <c r="A32" s="100" t="s">
        <v>307</v>
      </c>
      <c r="B32" s="142"/>
      <c r="C32" s="143"/>
      <c r="D32" s="95"/>
      <c r="E32" s="119">
        <f>F32*PROD</f>
        <v>0</v>
      </c>
      <c r="F32" s="96">
        <f t="shared" ref="F32:F34" si="6">B32*C32</f>
        <v>0</v>
      </c>
      <c r="G32" s="95"/>
      <c r="H32" s="95"/>
      <c r="I32" s="95"/>
      <c r="J32" s="95"/>
      <c r="K32" s="95"/>
      <c r="L32" s="278"/>
      <c r="M32" s="238"/>
      <c r="N32" s="279"/>
      <c r="O32" s="176" t="s">
        <v>308</v>
      </c>
      <c r="P32" s="176"/>
      <c r="Q32" s="176"/>
    </row>
    <row r="33" spans="1:17" ht="12.75" customHeight="1">
      <c r="A33" s="100" t="s">
        <v>309</v>
      </c>
      <c r="B33" s="142"/>
      <c r="C33" s="143"/>
      <c r="D33" s="95"/>
      <c r="E33" s="119">
        <f>F33*PROD</f>
        <v>0</v>
      </c>
      <c r="F33" s="96">
        <f t="shared" si="6"/>
        <v>0</v>
      </c>
      <c r="G33" s="95"/>
      <c r="H33" s="128"/>
      <c r="I33" s="128"/>
      <c r="J33" s="128"/>
      <c r="K33" s="128"/>
      <c r="L33" s="278"/>
      <c r="M33" s="238"/>
      <c r="N33" s="279"/>
      <c r="O33" s="128"/>
      <c r="P33" s="128"/>
      <c r="Q33" s="128"/>
    </row>
    <row r="34" spans="1:17" ht="12.75" customHeight="1">
      <c r="A34" s="108" t="s">
        <v>310</v>
      </c>
      <c r="B34" s="177"/>
      <c r="C34" s="178"/>
      <c r="D34" s="128"/>
      <c r="E34" s="133">
        <f>F34*PROD</f>
        <v>0</v>
      </c>
      <c r="F34" s="134">
        <f t="shared" si="6"/>
        <v>0</v>
      </c>
      <c r="G34" s="128"/>
      <c r="H34" s="152">
        <f>E30/E36</f>
        <v>1.2931097814234554E-2</v>
      </c>
      <c r="I34" s="152"/>
      <c r="J34" s="152"/>
      <c r="K34" s="152"/>
      <c r="L34" s="278"/>
      <c r="M34" s="238"/>
      <c r="N34" s="279"/>
      <c r="O34" s="152"/>
      <c r="P34" s="152"/>
      <c r="Q34" s="152"/>
    </row>
    <row r="35" spans="1:17" ht="12.75" customHeight="1">
      <c r="A35" s="152" t="s">
        <v>311</v>
      </c>
      <c r="B35" s="152"/>
      <c r="C35" s="152"/>
      <c r="D35" s="152"/>
      <c r="E35" s="155">
        <f t="shared" ref="E35:F35" si="7">SUM(E32:E34)</f>
        <v>0</v>
      </c>
      <c r="F35" s="154">
        <f t="shared" si="7"/>
        <v>0</v>
      </c>
      <c r="G35" s="152"/>
      <c r="H35" s="95"/>
      <c r="I35" s="95"/>
      <c r="J35" s="95"/>
      <c r="K35" s="95"/>
      <c r="L35" s="280"/>
      <c r="M35" s="281"/>
      <c r="N35" s="282"/>
      <c r="O35" s="95"/>
      <c r="P35" s="95"/>
      <c r="Q35" s="95"/>
    </row>
    <row r="36" spans="1:17" ht="12.75" customHeight="1">
      <c r="A36" s="135" t="s">
        <v>312</v>
      </c>
      <c r="B36" s="138"/>
      <c r="C36" s="138"/>
      <c r="D36" s="138"/>
      <c r="E36" s="139">
        <f t="shared" ref="E36:F36" si="8">E18+E30+E35-E22</f>
        <v>135.92876067716531</v>
      </c>
      <c r="F36" s="140">
        <f t="shared" si="8"/>
        <v>0.79958094515979616</v>
      </c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</row>
    <row r="37" spans="1:17" ht="12.75" customHeight="1">
      <c r="A37" s="135"/>
      <c r="B37" s="138"/>
      <c r="C37" s="138"/>
      <c r="D37" s="138"/>
      <c r="E37" s="139"/>
      <c r="F37" s="140"/>
      <c r="G37" s="95"/>
      <c r="H37" s="95"/>
      <c r="I37" s="95"/>
      <c r="J37" s="138"/>
      <c r="K37" s="138"/>
      <c r="L37" s="138"/>
      <c r="M37" s="138"/>
      <c r="N37" s="138"/>
      <c r="O37" s="138"/>
      <c r="P37" s="138"/>
      <c r="Q37" s="138"/>
    </row>
    <row r="38" spans="1:17" ht="12.75" customHeight="1">
      <c r="A38" s="113" t="s">
        <v>313</v>
      </c>
      <c r="B38" s="179"/>
      <c r="C38" s="95"/>
      <c r="D38" s="95"/>
      <c r="E38" s="119"/>
      <c r="F38" s="9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</row>
    <row r="39" spans="1:17" ht="12.75" customHeight="1">
      <c r="A39" s="100" t="s">
        <v>314</v>
      </c>
      <c r="B39" s="180">
        <v>9</v>
      </c>
      <c r="C39" s="181">
        <v>32</v>
      </c>
      <c r="D39" s="182" t="s">
        <v>315</v>
      </c>
      <c r="E39" s="119">
        <f>B39*C39*(365*24)/1000000</f>
        <v>2.5228799999999998</v>
      </c>
      <c r="F39" s="96">
        <f t="shared" ref="F39:F45" si="9">E39/PROD</f>
        <v>1.4840470588235294E-2</v>
      </c>
      <c r="G39" s="95" t="s">
        <v>316</v>
      </c>
      <c r="H39" s="138"/>
      <c r="I39" s="138"/>
      <c r="J39" s="95"/>
      <c r="K39" s="95"/>
      <c r="L39" s="95"/>
      <c r="M39" s="95"/>
      <c r="N39" s="95"/>
      <c r="O39" s="179"/>
      <c r="P39" s="179"/>
      <c r="Q39" s="179"/>
    </row>
    <row r="40" spans="1:17" ht="12.75" customHeight="1">
      <c r="A40" s="100" t="s">
        <v>317</v>
      </c>
      <c r="B40" s="95"/>
      <c r="C40" s="183">
        <v>0.45</v>
      </c>
      <c r="D40" s="95"/>
      <c r="E40" s="119">
        <f t="shared" ref="E40:E42" si="10">E$39*C40</f>
        <v>1.1352959999999999</v>
      </c>
      <c r="F40" s="96">
        <f t="shared" si="9"/>
        <v>6.6782117647058818E-3</v>
      </c>
      <c r="G40" s="95"/>
      <c r="H40" s="106" t="s">
        <v>318</v>
      </c>
      <c r="I40" s="95"/>
      <c r="J40" s="95"/>
      <c r="K40" s="95"/>
      <c r="L40" s="95"/>
      <c r="M40" s="95"/>
      <c r="N40" s="95"/>
      <c r="O40" s="95"/>
      <c r="P40" s="95"/>
      <c r="Q40" s="95"/>
    </row>
    <row r="41" spans="1:17" ht="12.75" customHeight="1">
      <c r="A41" s="100" t="s">
        <v>319</v>
      </c>
      <c r="B41" s="95"/>
      <c r="C41" s="183">
        <v>1</v>
      </c>
      <c r="D41" s="95"/>
      <c r="E41" s="119">
        <f t="shared" si="10"/>
        <v>2.5228799999999998</v>
      </c>
      <c r="F41" s="96">
        <f t="shared" si="9"/>
        <v>1.4840470588235294E-2</v>
      </c>
      <c r="G41" s="138"/>
      <c r="H41" s="95"/>
      <c r="I41" s="95"/>
      <c r="J41" s="95"/>
      <c r="K41" s="95"/>
      <c r="L41" s="95"/>
      <c r="M41" s="95"/>
      <c r="N41" s="95"/>
      <c r="O41" s="95"/>
      <c r="P41" s="95"/>
      <c r="Q41" s="95"/>
    </row>
    <row r="42" spans="1:17" ht="12.75" customHeight="1">
      <c r="A42" s="100" t="s">
        <v>320</v>
      </c>
      <c r="B42" s="95"/>
      <c r="C42" s="183">
        <v>0.5</v>
      </c>
      <c r="D42" s="95"/>
      <c r="E42" s="119">
        <f t="shared" si="10"/>
        <v>1.2614399999999999</v>
      </c>
      <c r="F42" s="96">
        <f t="shared" si="9"/>
        <v>7.4202352941176468E-3</v>
      </c>
      <c r="G42" s="138"/>
      <c r="H42" s="95"/>
      <c r="I42" s="95"/>
      <c r="J42" s="95"/>
      <c r="K42" s="95"/>
      <c r="L42" s="95"/>
      <c r="M42" s="95"/>
      <c r="N42" s="115" t="s">
        <v>46</v>
      </c>
      <c r="O42" s="115" t="s">
        <v>321</v>
      </c>
      <c r="P42" s="115" t="s">
        <v>39</v>
      </c>
      <c r="Q42" s="95"/>
    </row>
    <row r="43" spans="1:17" ht="12.75" customHeight="1">
      <c r="A43" s="100" t="s">
        <v>322</v>
      </c>
      <c r="B43" s="183">
        <v>0.03</v>
      </c>
      <c r="C43" s="95"/>
      <c r="D43" s="95"/>
      <c r="E43" s="119">
        <f t="shared" ref="E43:E45" si="11">B43*$C$7</f>
        <v>1.6646296993570933</v>
      </c>
      <c r="F43" s="96">
        <f t="shared" si="9"/>
        <v>9.7919394079829022E-3</v>
      </c>
      <c r="G43" s="95"/>
      <c r="H43" s="106"/>
      <c r="I43" s="106"/>
      <c r="J43" s="95"/>
      <c r="K43" s="95"/>
      <c r="L43" s="95"/>
      <c r="M43" s="95"/>
      <c r="N43" s="160">
        <v>100</v>
      </c>
      <c r="O43" s="160">
        <f t="shared" ref="O43:O45" si="12">N43/14.5</f>
        <v>6.8965517241379306</v>
      </c>
      <c r="P43" s="160">
        <f t="shared" ref="P43:P45" si="13">11.45/41*O43</f>
        <v>1.9259882253994951</v>
      </c>
      <c r="Q43" s="95"/>
    </row>
    <row r="44" spans="1:17" ht="12.75" customHeight="1">
      <c r="A44" s="100" t="s">
        <v>323</v>
      </c>
      <c r="B44" s="183">
        <v>0.02</v>
      </c>
      <c r="C44" s="95"/>
      <c r="D44" s="95"/>
      <c r="E44" s="119">
        <f t="shared" si="11"/>
        <v>1.1097531329047288</v>
      </c>
      <c r="F44" s="96">
        <f t="shared" si="9"/>
        <v>6.5279596053219339E-3</v>
      </c>
      <c r="G44" s="95" t="s">
        <v>324</v>
      </c>
      <c r="H44" s="106"/>
      <c r="I44" s="106"/>
      <c r="J44" s="95"/>
      <c r="K44" s="95"/>
      <c r="L44" s="95"/>
      <c r="M44" s="95"/>
      <c r="N44" s="160">
        <v>165</v>
      </c>
      <c r="O44" s="160">
        <f t="shared" si="12"/>
        <v>11.379310344827585</v>
      </c>
      <c r="P44" s="160">
        <f t="shared" si="13"/>
        <v>3.1778805719091667</v>
      </c>
      <c r="Q44" s="95"/>
    </row>
    <row r="45" spans="1:17" ht="12.75" customHeight="1">
      <c r="A45" s="100" t="s">
        <v>325</v>
      </c>
      <c r="B45" s="183">
        <v>0.09</v>
      </c>
      <c r="C45" s="95"/>
      <c r="D45" s="95"/>
      <c r="E45" s="119">
        <f t="shared" si="11"/>
        <v>4.9938890980712793</v>
      </c>
      <c r="F45" s="96">
        <f t="shared" si="9"/>
        <v>2.9375818223948701E-2</v>
      </c>
      <c r="G45" s="95" t="s">
        <v>326</v>
      </c>
      <c r="H45" s="95"/>
      <c r="I45" s="95"/>
      <c r="J45" s="95"/>
      <c r="K45" s="95"/>
      <c r="L45" s="95"/>
      <c r="M45" s="95"/>
      <c r="N45" s="160">
        <v>400</v>
      </c>
      <c r="O45" s="160">
        <f t="shared" si="12"/>
        <v>27.586206896551722</v>
      </c>
      <c r="P45" s="160">
        <f t="shared" si="13"/>
        <v>7.7039529015979804</v>
      </c>
      <c r="Q45" s="95"/>
    </row>
    <row r="46" spans="1:17" ht="12.75" customHeight="1">
      <c r="A46" s="135" t="s">
        <v>327</v>
      </c>
      <c r="B46" s="138"/>
      <c r="C46" s="138"/>
      <c r="D46" s="138"/>
      <c r="E46" s="139">
        <f t="shared" ref="E46:F46" si="14">SUM(E39:E45)</f>
        <v>15.210767930333102</v>
      </c>
      <c r="F46" s="140">
        <f t="shared" si="14"/>
        <v>8.9475105472547653E-2</v>
      </c>
      <c r="G46" s="95"/>
      <c r="H46" s="95"/>
      <c r="I46" s="95"/>
      <c r="J46" s="138"/>
      <c r="K46" s="138"/>
      <c r="L46" s="138"/>
      <c r="M46" s="138"/>
      <c r="N46" s="138"/>
      <c r="O46" s="138"/>
      <c r="P46" s="138"/>
      <c r="Q46" s="138"/>
    </row>
    <row r="47" spans="1:17" ht="12.75" customHeight="1">
      <c r="A47" s="100"/>
      <c r="B47" s="95"/>
      <c r="C47" s="95"/>
      <c r="D47" s="95"/>
      <c r="E47" s="119"/>
      <c r="F47" s="96"/>
      <c r="G47" s="95"/>
      <c r="H47" s="95"/>
      <c r="I47" s="95"/>
      <c r="J47" s="95"/>
      <c r="K47" s="95"/>
      <c r="L47" s="95"/>
      <c r="M47" s="95"/>
      <c r="N47" s="95"/>
      <c r="O47" s="95" t="s">
        <v>328</v>
      </c>
      <c r="P47" s="95"/>
      <c r="Q47" s="95"/>
    </row>
    <row r="48" spans="1:17" ht="12.75" customHeight="1">
      <c r="A48" s="113" t="s">
        <v>329</v>
      </c>
      <c r="B48" s="106"/>
      <c r="C48" s="106"/>
      <c r="D48" s="106"/>
      <c r="E48" s="184">
        <f t="shared" ref="E48:F48" si="15">E36+E46-E45</f>
        <v>146.14563950942713</v>
      </c>
      <c r="F48" s="185">
        <f t="shared" si="15"/>
        <v>0.85968023240839508</v>
      </c>
      <c r="G48" s="95" t="s">
        <v>330</v>
      </c>
      <c r="H48" s="95"/>
      <c r="I48" s="95"/>
      <c r="J48" s="106"/>
      <c r="K48" s="106"/>
      <c r="L48" s="106"/>
      <c r="M48" s="106"/>
      <c r="N48" s="106"/>
      <c r="O48" s="106"/>
      <c r="P48" s="106"/>
      <c r="Q48" s="106"/>
    </row>
    <row r="49" spans="1:17" ht="12.75" customHeight="1">
      <c r="A49" s="113" t="s">
        <v>331</v>
      </c>
      <c r="B49" s="106"/>
      <c r="C49" s="106"/>
      <c r="D49" s="106"/>
      <c r="E49" s="184">
        <f t="shared" ref="E49:F49" si="16">E36+E46</f>
        <v>151.13952860749842</v>
      </c>
      <c r="F49" s="185">
        <f t="shared" si="16"/>
        <v>0.88905605063234383</v>
      </c>
      <c r="G49" s="95" t="s">
        <v>332</v>
      </c>
      <c r="H49" s="95"/>
      <c r="I49" s="95"/>
      <c r="J49" s="106"/>
      <c r="K49" s="106"/>
      <c r="L49" s="106"/>
      <c r="M49" s="106"/>
      <c r="N49" s="106"/>
      <c r="O49" s="106"/>
      <c r="P49" s="106"/>
      <c r="Q49" s="106"/>
    </row>
    <row r="50" spans="1:17" ht="12.75" customHeight="1">
      <c r="A50" s="100" t="s">
        <v>333</v>
      </c>
      <c r="B50" s="95"/>
      <c r="C50" s="186">
        <v>0.06</v>
      </c>
      <c r="D50" s="100" t="s">
        <v>334</v>
      </c>
      <c r="E50" s="119">
        <f>PROD*F50</f>
        <v>9.0683717164499065</v>
      </c>
      <c r="F50" s="96">
        <f>C50*F49</f>
        <v>5.3343363037940628E-2</v>
      </c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2.75" customHeight="1">
      <c r="A51" s="113" t="s">
        <v>335</v>
      </c>
      <c r="B51" s="95"/>
      <c r="C51" s="187"/>
      <c r="D51" s="100"/>
      <c r="E51" s="184">
        <f t="shared" ref="E51:F51" si="17">E49+E50</f>
        <v>160.20790032394834</v>
      </c>
      <c r="F51" s="185">
        <f t="shared" si="17"/>
        <v>0.94239941367028446</v>
      </c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</row>
    <row r="52" spans="1:17" ht="12.75" customHeight="1">
      <c r="A52" s="100" t="s">
        <v>336</v>
      </c>
      <c r="B52" s="95"/>
      <c r="C52" s="188">
        <v>0.25</v>
      </c>
      <c r="D52" s="100"/>
      <c r="E52" s="184"/>
      <c r="F52" s="18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</row>
    <row r="53" spans="1:17" ht="12.75" customHeight="1">
      <c r="A53" s="100" t="s">
        <v>337</v>
      </c>
      <c r="B53" s="95"/>
      <c r="C53" s="189">
        <v>0.25</v>
      </c>
      <c r="D53" s="114"/>
      <c r="E53" s="119">
        <f>C53*C11/(1-C52)</f>
        <v>26.507773424276099</v>
      </c>
      <c r="F53" s="96">
        <f>E53/PROD</f>
        <v>0.15592807896632999</v>
      </c>
      <c r="G53" s="95" t="s">
        <v>338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</row>
    <row r="54" spans="1:17" ht="12.75" customHeight="1">
      <c r="A54" s="100"/>
      <c r="B54" s="95"/>
      <c r="C54" s="190"/>
      <c r="D54" s="114"/>
      <c r="E54" s="119"/>
      <c r="F54" s="96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</row>
    <row r="55" spans="1:17" ht="12.75" customHeight="1">
      <c r="A55" s="191" t="s">
        <v>339</v>
      </c>
      <c r="B55" s="98" t="s">
        <v>340</v>
      </c>
      <c r="C55" s="98"/>
      <c r="D55" s="97" t="s">
        <v>341</v>
      </c>
      <c r="E55" s="192" t="s">
        <v>342</v>
      </c>
      <c r="F55" s="193" t="s">
        <v>263</v>
      </c>
      <c r="G55" s="95"/>
      <c r="H55" s="95"/>
      <c r="I55" s="95"/>
      <c r="J55" s="98"/>
      <c r="K55" s="98"/>
      <c r="L55" s="98"/>
      <c r="M55" s="194"/>
      <c r="N55" s="194"/>
      <c r="O55" s="179"/>
      <c r="P55" s="179"/>
      <c r="Q55" s="179"/>
    </row>
    <row r="56" spans="1:17" ht="12.75" customHeight="1">
      <c r="A56" s="195" t="s">
        <v>343</v>
      </c>
      <c r="B56" s="196">
        <f>C53</f>
        <v>0.25</v>
      </c>
      <c r="C56" s="197" t="s">
        <v>344</v>
      </c>
      <c r="D56" s="196">
        <f>E6</f>
        <v>0.91300000000000003</v>
      </c>
      <c r="E56" s="198">
        <f t="shared" ref="E56:F56" si="18">E51+E53</f>
        <v>186.71567374822445</v>
      </c>
      <c r="F56" s="199">
        <f t="shared" si="18"/>
        <v>1.0983274926366144</v>
      </c>
      <c r="G56" s="95" t="s">
        <v>345</v>
      </c>
      <c r="H56" s="95"/>
      <c r="I56" s="95"/>
      <c r="J56" s="195"/>
      <c r="K56" s="195"/>
      <c r="L56" s="195"/>
      <c r="M56" s="194"/>
      <c r="N56" s="194"/>
      <c r="O56" s="194"/>
      <c r="P56" s="179"/>
      <c r="Q56" s="179"/>
    </row>
    <row r="57" spans="1:17" ht="12.75" customHeight="1">
      <c r="A57" s="200" t="s">
        <v>346</v>
      </c>
      <c r="B57" s="201">
        <f>(1-C52)*(E57-E51)/C11</f>
        <v>-1.5109520682829987</v>
      </c>
      <c r="C57" s="202" t="s">
        <v>347</v>
      </c>
      <c r="D57" s="202"/>
      <c r="E57" s="203">
        <f>F57*PROD</f>
        <v>0</v>
      </c>
      <c r="F57" s="204"/>
      <c r="G57" s="95" t="s">
        <v>348</v>
      </c>
      <c r="H57" s="202"/>
      <c r="I57" s="202"/>
      <c r="J57" s="202"/>
      <c r="K57" s="202"/>
      <c r="L57" s="202"/>
      <c r="M57" s="194"/>
      <c r="N57" s="194"/>
      <c r="O57" s="179"/>
      <c r="P57" s="179"/>
      <c r="Q57" s="179"/>
    </row>
    <row r="58" spans="1:17" ht="12.75" customHeight="1">
      <c r="A58" s="95" t="s">
        <v>349</v>
      </c>
      <c r="B58" s="190">
        <f>IF(E57&gt;0,E58/E57,0)</f>
        <v>0</v>
      </c>
      <c r="C58" s="95" t="s">
        <v>350</v>
      </c>
      <c r="D58" s="95"/>
      <c r="E58" s="205">
        <f>(1-C52)*(E57-E51)+E45</f>
        <v>-115.16203614488997</v>
      </c>
      <c r="F58" s="95"/>
      <c r="G58" s="95" t="s">
        <v>351</v>
      </c>
      <c r="H58" s="95"/>
      <c r="I58" s="95"/>
      <c r="J58" s="95"/>
      <c r="K58" s="95"/>
      <c r="L58" s="95"/>
      <c r="M58" s="194"/>
      <c r="N58" s="194"/>
      <c r="O58" s="179"/>
      <c r="P58" s="179"/>
      <c r="Q58" s="179"/>
    </row>
    <row r="59" spans="1:17" ht="12.75" customHeight="1">
      <c r="A59" s="95" t="s">
        <v>352</v>
      </c>
      <c r="B59" s="190">
        <f>IF(E57&gt;0,E59/E57,0)</f>
        <v>0</v>
      </c>
      <c r="C59" s="95" t="s">
        <v>350</v>
      </c>
      <c r="D59" s="95"/>
      <c r="E59" s="205">
        <f>E57-E36</f>
        <v>-135.92876067716531</v>
      </c>
      <c r="F59" s="95"/>
      <c r="G59" s="95" t="s">
        <v>353</v>
      </c>
      <c r="H59" s="95"/>
      <c r="I59" s="95"/>
      <c r="J59" s="95"/>
      <c r="K59" s="95"/>
      <c r="L59" s="95"/>
      <c r="M59" s="179"/>
      <c r="N59" s="179"/>
      <c r="O59" s="179"/>
      <c r="P59" s="179"/>
      <c r="Q59" s="179"/>
    </row>
    <row r="60" spans="1:17" ht="12.7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179"/>
      <c r="N60" s="179"/>
      <c r="O60" s="179"/>
      <c r="P60" s="179"/>
      <c r="Q60" s="179"/>
    </row>
    <row r="61" spans="1:17" ht="12.75" customHeight="1">
      <c r="A61" s="95"/>
      <c r="B61" s="95"/>
      <c r="C61" s="95"/>
      <c r="D61" s="95"/>
      <c r="E61" s="206"/>
      <c r="F61" s="95"/>
      <c r="G61" s="95"/>
      <c r="H61" s="95"/>
      <c r="I61" s="95"/>
      <c r="J61" s="95"/>
      <c r="K61" s="95"/>
      <c r="L61" s="95"/>
      <c r="M61" s="179"/>
      <c r="N61" s="179"/>
      <c r="O61" s="179"/>
      <c r="P61" s="179"/>
      <c r="Q61" s="179"/>
    </row>
  </sheetData>
  <mergeCells count="5">
    <mergeCell ref="B2:D2"/>
    <mergeCell ref="B3:D3"/>
    <mergeCell ref="E9:E10"/>
    <mergeCell ref="B28:C28"/>
    <mergeCell ref="L31:N35"/>
  </mergeCells>
  <pageMargins left="0.75" right="0.75" top="1" bottom="0.83" header="0" footer="0"/>
  <pageSetup orientation="portrait"/>
  <headerFooter>
    <oddHeader>&amp;RDate: &amp;D  &amp;T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2"/>
  <sheetViews>
    <sheetView workbookViewId="0"/>
  </sheetViews>
  <sheetFormatPr defaultColWidth="12.5703125" defaultRowHeight="15" customHeight="1"/>
  <sheetData>
    <row r="1" spans="1:26">
      <c r="A1" s="283" t="s">
        <v>354</v>
      </c>
      <c r="B1" s="240"/>
      <c r="C1" s="241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6">
      <c r="A2" s="21" t="s">
        <v>355</v>
      </c>
      <c r="B2" s="21" t="s">
        <v>0</v>
      </c>
      <c r="C2" s="21" t="s">
        <v>1</v>
      </c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 spans="1:26">
      <c r="A3" s="19" t="s">
        <v>245</v>
      </c>
      <c r="B3" s="208">
        <f>'COM - No HI'!E14</f>
        <v>111.13163711999997</v>
      </c>
      <c r="C3" s="208">
        <f>'COM - HI'!E14</f>
        <v>111.13163711999997</v>
      </c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 spans="1:26">
      <c r="A4" s="19" t="s">
        <v>356</v>
      </c>
      <c r="B4" s="208">
        <f>'COM - No HI'!E15</f>
        <v>20.568023099999998</v>
      </c>
      <c r="C4" s="208">
        <f>'COM - HI'!E15</f>
        <v>20.672143003604003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 spans="1:26">
      <c r="A5" s="19" t="s">
        <v>272</v>
      </c>
      <c r="B5" s="208">
        <f>'COM - No HI'!E16</f>
        <v>3.2724448000000002</v>
      </c>
      <c r="C5" s="208">
        <f>'COM - HI'!E16</f>
        <v>3.2724448000000002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</row>
    <row r="6" spans="1:26">
      <c r="A6" s="19" t="s">
        <v>22</v>
      </c>
      <c r="B6" s="208">
        <f>'COM - No HI'!E17</f>
        <v>2.1772100000000001</v>
      </c>
      <c r="C6" s="208">
        <f>'COM - HI'!E17</f>
        <v>2.2122100000000002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</row>
    <row r="7" spans="1:26">
      <c r="A7" s="19" t="s">
        <v>357</v>
      </c>
      <c r="B7" s="209">
        <f t="shared" ref="B7:C7" si="0">SUM(B3:B6)</f>
        <v>137.14931501999996</v>
      </c>
      <c r="C7" s="209">
        <f t="shared" si="0"/>
        <v>137.28843492360394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</row>
    <row r="8" spans="1:26">
      <c r="A8" s="283" t="s">
        <v>358</v>
      </c>
      <c r="B8" s="240"/>
      <c r="C8" s="241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</row>
    <row r="9" spans="1:26">
      <c r="A9" s="21" t="s">
        <v>355</v>
      </c>
      <c r="B9" s="21" t="s">
        <v>0</v>
      </c>
      <c r="C9" s="21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</row>
    <row r="10" spans="1:26">
      <c r="A10" s="19" t="s">
        <v>359</v>
      </c>
      <c r="B10" s="208">
        <f>SUM('COM - No HI'!E24:E26)</f>
        <v>2.1648107653490323</v>
      </c>
      <c r="C10" s="208">
        <f>SUM('COM - HI'!E24:E26)</f>
        <v>1.1286291000841042</v>
      </c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</row>
    <row r="11" spans="1:26">
      <c r="A11" s="19" t="s">
        <v>293</v>
      </c>
      <c r="B11" s="208">
        <f>'COM - No HI'!E27</f>
        <v>5.8560000000000001E-2</v>
      </c>
      <c r="C11" s="208">
        <f>'COM - HI'!E27</f>
        <v>4.8799999999999996E-2</v>
      </c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</row>
    <row r="12" spans="1:26">
      <c r="A12" s="19" t="s">
        <v>360</v>
      </c>
      <c r="B12" s="208">
        <f>'COM - No HI'!E28</f>
        <v>1.2</v>
      </c>
      <c r="C12" s="208">
        <f>'COM - HI'!E28</f>
        <v>0.4</v>
      </c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>
      <c r="A13" s="19" t="s">
        <v>299</v>
      </c>
      <c r="B13" s="208">
        <f>'COM - No HI'!E29</f>
        <v>0.18027840000000001</v>
      </c>
      <c r="C13" s="208">
        <f>'COM - HI'!E29</f>
        <v>0.18027899999999999</v>
      </c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</row>
    <row r="14" spans="1:26">
      <c r="A14" s="19" t="s">
        <v>357</v>
      </c>
      <c r="B14" s="209">
        <f t="shared" ref="B14:C14" si="1">SUM(B10:B13)</f>
        <v>3.6036491653490326</v>
      </c>
      <c r="C14" s="209">
        <f t="shared" si="1"/>
        <v>1.7577081000841042</v>
      </c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</row>
    <row r="15" spans="1:26">
      <c r="A15" s="283" t="s">
        <v>361</v>
      </c>
      <c r="B15" s="240"/>
      <c r="C15" s="241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</row>
    <row r="16" spans="1:26">
      <c r="A16" s="21" t="s">
        <v>355</v>
      </c>
      <c r="B16" s="21" t="s">
        <v>0</v>
      </c>
      <c r="C16" s="21" t="s">
        <v>1</v>
      </c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</row>
    <row r="17" spans="1:26">
      <c r="A17" s="19" t="s">
        <v>279</v>
      </c>
      <c r="B17" s="208">
        <f>'COM - No HI'!E21</f>
        <v>3.123118752084733</v>
      </c>
      <c r="C17" s="208">
        <f>'COM - HI'!E21</f>
        <v>3.1173823465227253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</row>
    <row r="18" spans="1:26">
      <c r="A18" s="207"/>
      <c r="B18" s="207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</row>
    <row r="19" spans="1:26">
      <c r="A19" s="207"/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</row>
    <row r="20" spans="1:26">
      <c r="A20" s="207"/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</row>
    <row r="21" spans="1:26">
      <c r="A21" s="207"/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</row>
    <row r="22" spans="1:26">
      <c r="A22" s="207"/>
      <c r="B22" s="207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</row>
    <row r="23" spans="1:26">
      <c r="A23" s="207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</row>
    <row r="24" spans="1:26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</row>
    <row r="25" spans="1:26">
      <c r="A25" s="207"/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</row>
    <row r="26" spans="1:26">
      <c r="A26" s="207"/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</row>
    <row r="27" spans="1:26">
      <c r="A27" s="207"/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</row>
    <row r="28" spans="1:26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</row>
    <row r="29" spans="1:26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</row>
    <row r="30" spans="1:26">
      <c r="A30" s="207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</row>
    <row r="31" spans="1:26">
      <c r="A31" s="207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</row>
    <row r="32" spans="1:26">
      <c r="A32" s="207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</row>
    <row r="33" spans="1:26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</row>
    <row r="34" spans="1:26">
      <c r="A34" s="207"/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</row>
    <row r="35" spans="1:26">
      <c r="A35" s="207"/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</row>
    <row r="36" spans="1:26">
      <c r="A36" s="207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</row>
    <row r="37" spans="1:26">
      <c r="A37" s="207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</row>
    <row r="38" spans="1:26">
      <c r="A38" s="207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</row>
    <row r="39" spans="1:26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</row>
    <row r="40" spans="1:26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</row>
    <row r="41" spans="1:26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</row>
    <row r="42" spans="1:26">
      <c r="A42" s="207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</row>
    <row r="43" spans="1:26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 spans="1:26">
      <c r="A44" s="207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</row>
    <row r="45" spans="1:26">
      <c r="A45" s="207"/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</row>
    <row r="46" spans="1:26">
      <c r="A46" s="207"/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</row>
    <row r="47" spans="1:26">
      <c r="A47" s="207"/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</row>
    <row r="48" spans="1:26">
      <c r="A48" s="207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</row>
    <row r="49" spans="1:26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</row>
    <row r="50" spans="1:26">
      <c r="A50" s="207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</row>
    <row r="51" spans="1:26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 spans="1:26">
      <c r="A52" s="207"/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</row>
    <row r="53" spans="1:26">
      <c r="A53" s="207"/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</row>
    <row r="54" spans="1:26">
      <c r="A54" s="207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</row>
    <row r="55" spans="1:26">
      <c r="A55" s="207"/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</row>
    <row r="56" spans="1:26">
      <c r="A56" s="207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</row>
    <row r="57" spans="1:26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</row>
    <row r="58" spans="1:26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</row>
    <row r="59" spans="1:26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</row>
    <row r="60" spans="1:26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</row>
    <row r="61" spans="1:26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</row>
    <row r="62" spans="1:26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</row>
    <row r="63" spans="1:26">
      <c r="A63" s="207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</row>
    <row r="64" spans="1:26">
      <c r="A64" s="207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</row>
    <row r="65" spans="1:26">
      <c r="A65" s="207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</row>
    <row r="66" spans="1:26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</row>
    <row r="67" spans="1:26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</row>
    <row r="68" spans="1:26">
      <c r="A68" s="207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</row>
    <row r="69" spans="1:26">
      <c r="A69" s="207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</row>
    <row r="70" spans="1:26">
      <c r="A70" s="207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</row>
    <row r="71" spans="1:26">
      <c r="A71" s="207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</row>
    <row r="72" spans="1:26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</row>
    <row r="73" spans="1:26">
      <c r="A73" s="207"/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</row>
    <row r="74" spans="1:26">
      <c r="A74" s="207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</row>
    <row r="75" spans="1:26">
      <c r="A75" s="207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</row>
    <row r="76" spans="1:26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</row>
    <row r="77" spans="1:26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</row>
    <row r="78" spans="1:26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</row>
    <row r="79" spans="1:26">
      <c r="A79" s="207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</row>
    <row r="80" spans="1:26">
      <c r="A80" s="207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</row>
    <row r="81" spans="1:26">
      <c r="A81" s="207"/>
      <c r="B81" s="207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</row>
    <row r="82" spans="1:26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</row>
    <row r="83" spans="1:26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</row>
    <row r="84" spans="1:26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</row>
    <row r="85" spans="1:26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</row>
    <row r="86" spans="1:26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</row>
    <row r="87" spans="1:26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</row>
    <row r="88" spans="1:26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 spans="1:26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spans="1:26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</row>
    <row r="91" spans="1:26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</row>
    <row r="92" spans="1:26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</row>
    <row r="93" spans="1:26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</row>
    <row r="94" spans="1:26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</row>
    <row r="95" spans="1:26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</row>
    <row r="96" spans="1:26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</row>
    <row r="97" spans="1:26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</row>
    <row r="98" spans="1:26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</row>
    <row r="99" spans="1:26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</row>
    <row r="100" spans="1:26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</row>
    <row r="101" spans="1:26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</row>
    <row r="102" spans="1:26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</row>
    <row r="103" spans="1:26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</row>
    <row r="104" spans="1:26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</row>
    <row r="105" spans="1:26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</row>
    <row r="106" spans="1:26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</row>
    <row r="107" spans="1:26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</row>
    <row r="108" spans="1:26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</row>
    <row r="109" spans="1:26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</row>
    <row r="110" spans="1:26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</row>
    <row r="111" spans="1:26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</row>
    <row r="112" spans="1:26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</row>
    <row r="113" spans="1:26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</row>
    <row r="114" spans="1:26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</row>
    <row r="115" spans="1:26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</row>
    <row r="116" spans="1:26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</row>
    <row r="117" spans="1:26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</row>
    <row r="118" spans="1:26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</row>
    <row r="119" spans="1:26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</row>
    <row r="120" spans="1:26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</row>
    <row r="121" spans="1:26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</row>
    <row r="122" spans="1:26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</row>
    <row r="123" spans="1:26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</row>
    <row r="124" spans="1:26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</row>
    <row r="125" spans="1:26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</row>
    <row r="126" spans="1:26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</row>
    <row r="127" spans="1:26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</row>
    <row r="128" spans="1:26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</row>
    <row r="129" spans="1:26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</row>
    <row r="130" spans="1:26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</row>
    <row r="131" spans="1:26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 spans="1:26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 spans="1:26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 spans="1:26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</row>
    <row r="135" spans="1:26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</row>
    <row r="136" spans="1:26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</row>
    <row r="137" spans="1:26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</row>
    <row r="138" spans="1:26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</row>
    <row r="139" spans="1:26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</row>
    <row r="140" spans="1:26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</row>
    <row r="141" spans="1:26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</row>
    <row r="142" spans="1:26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</row>
    <row r="143" spans="1:26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</row>
    <row r="144" spans="1:26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</row>
    <row r="145" spans="1:26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</row>
    <row r="146" spans="1:26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</row>
    <row r="147" spans="1:26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</row>
    <row r="148" spans="1:26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</row>
    <row r="149" spans="1:26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</row>
    <row r="150" spans="1:26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</row>
    <row r="151" spans="1:26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</row>
    <row r="152" spans="1:26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</row>
    <row r="153" spans="1:26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</row>
    <row r="154" spans="1:26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</row>
    <row r="155" spans="1:26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</row>
    <row r="156" spans="1:26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</row>
    <row r="157" spans="1:26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</row>
    <row r="158" spans="1:26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</row>
    <row r="159" spans="1:26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</row>
    <row r="160" spans="1:26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</row>
    <row r="161" spans="1:26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</row>
    <row r="162" spans="1:26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</row>
    <row r="163" spans="1:26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</row>
    <row r="164" spans="1:26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</row>
    <row r="165" spans="1:26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</row>
    <row r="166" spans="1:26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</row>
    <row r="167" spans="1:26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</row>
    <row r="168" spans="1:26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</row>
    <row r="169" spans="1:26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</row>
    <row r="170" spans="1:26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</row>
    <row r="171" spans="1:26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</row>
    <row r="172" spans="1:26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</row>
    <row r="173" spans="1:26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</row>
    <row r="174" spans="1:26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</row>
    <row r="175" spans="1:26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</row>
    <row r="176" spans="1:26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</row>
    <row r="177" spans="1:26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</row>
    <row r="178" spans="1:26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</row>
    <row r="179" spans="1:26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</row>
    <row r="180" spans="1:26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</row>
    <row r="181" spans="1:26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</row>
    <row r="182" spans="1:26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</row>
    <row r="183" spans="1:26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</row>
    <row r="184" spans="1:26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</row>
    <row r="185" spans="1:26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</row>
    <row r="186" spans="1:26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</row>
    <row r="187" spans="1:26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</row>
    <row r="188" spans="1:26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</row>
    <row r="189" spans="1:26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</row>
    <row r="190" spans="1:26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</row>
    <row r="191" spans="1:26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</row>
    <row r="192" spans="1:26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</row>
    <row r="193" spans="1:26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</row>
    <row r="194" spans="1:26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</row>
    <row r="195" spans="1:26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</row>
    <row r="196" spans="1:26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</row>
    <row r="197" spans="1:26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</row>
    <row r="198" spans="1:26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</row>
    <row r="199" spans="1:26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</row>
    <row r="200" spans="1:26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</row>
    <row r="201" spans="1:26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</row>
    <row r="202" spans="1:26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</row>
    <row r="203" spans="1:26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</row>
    <row r="204" spans="1:26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</row>
    <row r="205" spans="1:26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</row>
    <row r="206" spans="1:26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</row>
    <row r="207" spans="1:26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</row>
    <row r="208" spans="1:26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</row>
    <row r="209" spans="1:26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</row>
    <row r="210" spans="1:26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</row>
    <row r="211" spans="1:26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</row>
    <row r="212" spans="1:26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</row>
    <row r="213" spans="1:26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</row>
    <row r="214" spans="1:26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</row>
    <row r="215" spans="1:26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</row>
    <row r="216" spans="1:26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</row>
    <row r="217" spans="1:26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</row>
    <row r="218" spans="1:26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</row>
    <row r="219" spans="1:26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</row>
    <row r="220" spans="1:26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</row>
    <row r="221" spans="1:26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</row>
    <row r="222" spans="1:26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</row>
    <row r="223" spans="1:26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</row>
    <row r="224" spans="1:26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</row>
    <row r="225" spans="1:26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</row>
    <row r="226" spans="1:26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</row>
    <row r="227" spans="1:26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</row>
    <row r="228" spans="1:26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</row>
    <row r="229" spans="1:26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</row>
    <row r="230" spans="1:26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</row>
    <row r="231" spans="1:26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</row>
    <row r="232" spans="1:26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</row>
    <row r="233" spans="1:26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</row>
    <row r="234" spans="1:26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</row>
    <row r="235" spans="1:26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</row>
    <row r="236" spans="1:26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</row>
    <row r="237" spans="1:26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</row>
    <row r="238" spans="1:26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</row>
    <row r="239" spans="1:26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</row>
    <row r="240" spans="1:26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</row>
    <row r="241" spans="1:26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</row>
    <row r="242" spans="1:26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</row>
    <row r="243" spans="1:26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</row>
    <row r="244" spans="1:26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</row>
    <row r="245" spans="1:26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</row>
    <row r="246" spans="1:26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</row>
    <row r="247" spans="1:26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</row>
    <row r="248" spans="1:26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</row>
    <row r="249" spans="1:26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</row>
    <row r="250" spans="1:26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</row>
    <row r="251" spans="1:26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</row>
    <row r="252" spans="1:26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</row>
    <row r="253" spans="1:26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</row>
    <row r="254" spans="1:26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</row>
    <row r="255" spans="1:26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</row>
    <row r="256" spans="1:26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</row>
    <row r="257" spans="1:26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</row>
    <row r="258" spans="1:26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</row>
    <row r="259" spans="1:26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</row>
    <row r="260" spans="1:26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</row>
    <row r="261" spans="1:26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</row>
    <row r="262" spans="1:26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</row>
    <row r="263" spans="1:26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</row>
    <row r="264" spans="1:26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</row>
    <row r="265" spans="1:26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</row>
    <row r="266" spans="1:26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</row>
    <row r="267" spans="1:26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</row>
    <row r="268" spans="1:26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</row>
    <row r="269" spans="1:26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</row>
    <row r="270" spans="1:26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</row>
    <row r="271" spans="1:26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</row>
    <row r="272" spans="1:26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</row>
    <row r="273" spans="1:26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</row>
    <row r="274" spans="1:26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</row>
    <row r="275" spans="1:26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</row>
    <row r="276" spans="1:26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</row>
    <row r="277" spans="1:26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</row>
    <row r="278" spans="1:26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</row>
    <row r="279" spans="1:26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</row>
    <row r="280" spans="1:26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</row>
    <row r="281" spans="1:26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</row>
    <row r="282" spans="1:26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</row>
    <row r="283" spans="1:26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</row>
    <row r="284" spans="1:26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</row>
    <row r="285" spans="1:26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</row>
    <row r="286" spans="1:26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</row>
    <row r="287" spans="1:26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</row>
    <row r="288" spans="1:26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</row>
    <row r="289" spans="1:26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</row>
    <row r="290" spans="1:26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</row>
    <row r="291" spans="1:26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</row>
    <row r="292" spans="1:26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</row>
    <row r="293" spans="1:26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</row>
    <row r="294" spans="1:26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</row>
    <row r="295" spans="1:26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</row>
    <row r="296" spans="1:26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</row>
    <row r="297" spans="1:26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</row>
    <row r="298" spans="1:26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</row>
    <row r="299" spans="1:26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</row>
    <row r="300" spans="1:26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</row>
    <row r="301" spans="1:26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</row>
    <row r="302" spans="1:26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</row>
    <row r="303" spans="1:26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</row>
    <row r="304" spans="1:26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</row>
    <row r="305" spans="1:26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</row>
    <row r="306" spans="1:26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</row>
    <row r="307" spans="1:26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</row>
    <row r="308" spans="1:26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</row>
    <row r="309" spans="1:26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</row>
    <row r="310" spans="1:26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</row>
    <row r="311" spans="1:26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</row>
    <row r="312" spans="1:26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</row>
    <row r="313" spans="1:26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</row>
    <row r="314" spans="1:26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</row>
    <row r="315" spans="1:26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</row>
    <row r="316" spans="1:26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</row>
    <row r="317" spans="1:26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</row>
    <row r="318" spans="1:26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</row>
    <row r="319" spans="1:26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</row>
    <row r="320" spans="1:26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</row>
    <row r="321" spans="1:26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</row>
    <row r="322" spans="1:26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</row>
    <row r="323" spans="1:26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</row>
    <row r="324" spans="1:26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</row>
    <row r="325" spans="1:26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</row>
    <row r="326" spans="1:26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</row>
    <row r="327" spans="1:26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</row>
    <row r="328" spans="1:26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</row>
    <row r="329" spans="1:26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</row>
    <row r="330" spans="1:26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</row>
    <row r="331" spans="1:26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</row>
    <row r="332" spans="1:26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</row>
    <row r="333" spans="1:26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</row>
    <row r="334" spans="1:26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</row>
    <row r="335" spans="1:26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</row>
    <row r="336" spans="1:26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</row>
    <row r="337" spans="1:26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</row>
    <row r="338" spans="1:26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</row>
    <row r="339" spans="1:26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</row>
    <row r="340" spans="1:26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</row>
    <row r="341" spans="1:26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</row>
    <row r="342" spans="1:26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</row>
    <row r="343" spans="1:26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</row>
    <row r="344" spans="1:26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</row>
    <row r="345" spans="1:26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</row>
    <row r="346" spans="1:26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</row>
    <row r="347" spans="1:26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</row>
    <row r="348" spans="1:26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</row>
    <row r="349" spans="1:26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</row>
    <row r="350" spans="1:26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</row>
    <row r="351" spans="1:26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</row>
    <row r="352" spans="1:26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</row>
    <row r="353" spans="1:26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</row>
    <row r="354" spans="1:26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</row>
    <row r="355" spans="1:26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</row>
    <row r="356" spans="1:26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</row>
    <row r="357" spans="1:26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</row>
    <row r="358" spans="1:26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</row>
    <row r="359" spans="1:26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</row>
    <row r="360" spans="1:26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</row>
    <row r="361" spans="1:26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</row>
    <row r="362" spans="1:26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</row>
    <row r="363" spans="1:26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</row>
    <row r="364" spans="1:26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</row>
    <row r="365" spans="1:26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</row>
    <row r="366" spans="1:26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</row>
    <row r="367" spans="1:26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</row>
    <row r="368" spans="1:26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</row>
    <row r="369" spans="1:26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</row>
    <row r="370" spans="1:26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</row>
    <row r="371" spans="1:26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</row>
    <row r="372" spans="1:26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</row>
    <row r="373" spans="1:26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</row>
    <row r="374" spans="1:26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</row>
    <row r="375" spans="1:26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</row>
    <row r="376" spans="1:26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</row>
    <row r="377" spans="1:26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</row>
    <row r="378" spans="1:26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</row>
    <row r="379" spans="1:26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</row>
    <row r="380" spans="1:26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</row>
    <row r="381" spans="1:26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</row>
    <row r="382" spans="1:26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</row>
    <row r="383" spans="1:26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</row>
    <row r="384" spans="1:26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</row>
    <row r="385" spans="1:26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</row>
    <row r="386" spans="1:26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</row>
    <row r="387" spans="1:26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</row>
    <row r="388" spans="1:26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</row>
    <row r="389" spans="1:26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</row>
    <row r="390" spans="1:26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</row>
    <row r="391" spans="1:26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</row>
    <row r="392" spans="1:26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</row>
    <row r="393" spans="1:26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</row>
    <row r="394" spans="1:26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</row>
    <row r="395" spans="1:26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</row>
    <row r="396" spans="1:26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</row>
    <row r="397" spans="1:26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</row>
    <row r="398" spans="1:26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</row>
    <row r="399" spans="1:26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</row>
    <row r="400" spans="1:26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</row>
    <row r="401" spans="1:26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</row>
    <row r="402" spans="1:26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</row>
    <row r="403" spans="1:26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</row>
    <row r="404" spans="1:26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</row>
    <row r="405" spans="1:26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</row>
    <row r="406" spans="1:26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</row>
    <row r="407" spans="1:26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</row>
    <row r="408" spans="1:26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</row>
    <row r="409" spans="1:26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</row>
    <row r="410" spans="1:26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</row>
    <row r="411" spans="1:26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</row>
    <row r="412" spans="1:26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</row>
    <row r="413" spans="1:26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</row>
    <row r="414" spans="1:26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</row>
    <row r="415" spans="1:26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</row>
    <row r="416" spans="1:26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</row>
    <row r="417" spans="1:26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</row>
    <row r="418" spans="1:26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</row>
    <row r="419" spans="1:26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</row>
    <row r="420" spans="1:26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</row>
    <row r="421" spans="1:26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</row>
    <row r="422" spans="1:26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</row>
    <row r="423" spans="1:26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</row>
    <row r="424" spans="1:26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</row>
    <row r="425" spans="1:26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</row>
    <row r="426" spans="1:26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</row>
    <row r="427" spans="1:26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</row>
    <row r="428" spans="1:26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</row>
    <row r="429" spans="1:26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</row>
    <row r="430" spans="1:26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</row>
    <row r="431" spans="1:26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</row>
    <row r="432" spans="1:26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</row>
    <row r="433" spans="1:26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</row>
    <row r="434" spans="1:26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</row>
    <row r="435" spans="1:26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</row>
    <row r="436" spans="1:26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</row>
    <row r="437" spans="1:26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</row>
    <row r="438" spans="1:26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</row>
    <row r="439" spans="1:26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</row>
    <row r="440" spans="1:26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</row>
    <row r="441" spans="1:26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</row>
    <row r="442" spans="1:26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</row>
    <row r="443" spans="1:26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</row>
    <row r="444" spans="1:26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</row>
    <row r="445" spans="1:26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</row>
    <row r="446" spans="1:26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</row>
    <row r="447" spans="1:26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</row>
    <row r="448" spans="1:26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</row>
    <row r="449" spans="1:26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</row>
    <row r="450" spans="1:26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</row>
    <row r="451" spans="1:26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</row>
    <row r="452" spans="1:26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</row>
    <row r="453" spans="1:26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</row>
    <row r="454" spans="1:26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</row>
    <row r="455" spans="1:26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</row>
    <row r="456" spans="1:26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</row>
    <row r="457" spans="1:26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</row>
    <row r="458" spans="1:26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</row>
    <row r="459" spans="1:26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</row>
    <row r="460" spans="1:26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</row>
    <row r="461" spans="1:26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</row>
    <row r="462" spans="1:26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</row>
    <row r="463" spans="1:26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</row>
    <row r="464" spans="1:26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</row>
    <row r="465" spans="1:26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</row>
    <row r="466" spans="1:26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</row>
    <row r="467" spans="1:26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</row>
    <row r="468" spans="1:26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</row>
    <row r="469" spans="1:26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</row>
    <row r="470" spans="1:26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</row>
    <row r="471" spans="1:26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</row>
    <row r="472" spans="1:26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</row>
    <row r="473" spans="1:26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</row>
    <row r="474" spans="1:26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</row>
    <row r="475" spans="1:26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</row>
    <row r="476" spans="1:26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</row>
    <row r="477" spans="1:26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</row>
    <row r="478" spans="1:26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</row>
    <row r="479" spans="1:26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</row>
    <row r="480" spans="1:26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</row>
    <row r="481" spans="1:26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</row>
    <row r="482" spans="1:26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</row>
    <row r="483" spans="1:26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</row>
    <row r="484" spans="1:26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</row>
    <row r="485" spans="1:26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</row>
    <row r="486" spans="1:26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</row>
    <row r="487" spans="1:26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</row>
    <row r="488" spans="1:26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</row>
    <row r="489" spans="1:26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</row>
    <row r="490" spans="1:26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</row>
    <row r="491" spans="1:26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</row>
    <row r="492" spans="1:26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</row>
    <row r="493" spans="1:26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</row>
    <row r="494" spans="1:26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</row>
    <row r="495" spans="1:26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</row>
    <row r="496" spans="1:26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</row>
    <row r="497" spans="1:26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</row>
    <row r="498" spans="1:26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</row>
    <row r="499" spans="1:26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</row>
    <row r="500" spans="1:26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</row>
    <row r="501" spans="1:26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</row>
    <row r="502" spans="1:26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</row>
    <row r="503" spans="1:26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</row>
    <row r="504" spans="1:26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</row>
    <row r="505" spans="1:26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</row>
    <row r="506" spans="1:26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</row>
    <row r="507" spans="1:26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</row>
    <row r="508" spans="1:26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</row>
    <row r="509" spans="1:26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</row>
    <row r="510" spans="1:26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</row>
    <row r="511" spans="1:26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</row>
    <row r="512" spans="1:26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</row>
    <row r="513" spans="1:26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</row>
    <row r="514" spans="1:26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</row>
    <row r="515" spans="1:26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</row>
    <row r="516" spans="1:26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</row>
    <row r="517" spans="1:26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</row>
    <row r="518" spans="1:26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</row>
    <row r="519" spans="1:26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</row>
    <row r="520" spans="1:26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</row>
    <row r="521" spans="1:26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</row>
    <row r="522" spans="1:26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</row>
    <row r="523" spans="1:26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</row>
    <row r="524" spans="1:26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</row>
    <row r="525" spans="1:26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</row>
    <row r="526" spans="1:26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</row>
    <row r="527" spans="1:26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</row>
    <row r="528" spans="1:26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</row>
    <row r="529" spans="1:26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</row>
    <row r="530" spans="1:26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</row>
    <row r="531" spans="1:26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</row>
    <row r="532" spans="1:26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</row>
    <row r="533" spans="1:26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</row>
    <row r="534" spans="1:26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</row>
    <row r="535" spans="1:26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</row>
    <row r="536" spans="1:26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</row>
    <row r="537" spans="1:26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</row>
    <row r="538" spans="1:26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</row>
    <row r="539" spans="1:26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</row>
    <row r="540" spans="1:26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</row>
    <row r="541" spans="1:26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</row>
    <row r="542" spans="1:26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</row>
    <row r="543" spans="1:26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</row>
    <row r="544" spans="1:26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</row>
    <row r="545" spans="1:26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</row>
    <row r="546" spans="1:26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</row>
    <row r="547" spans="1:26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</row>
    <row r="548" spans="1:26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</row>
    <row r="549" spans="1:26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</row>
    <row r="550" spans="1:26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</row>
    <row r="551" spans="1:26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</row>
    <row r="552" spans="1:26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</row>
    <row r="553" spans="1:26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</row>
    <row r="554" spans="1:26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</row>
    <row r="555" spans="1:26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</row>
    <row r="556" spans="1:26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</row>
    <row r="557" spans="1:26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</row>
    <row r="558" spans="1:26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</row>
    <row r="559" spans="1:26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</row>
    <row r="560" spans="1:26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</row>
    <row r="561" spans="1:26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</row>
    <row r="562" spans="1:26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</row>
    <row r="563" spans="1:26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</row>
    <row r="564" spans="1:26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</row>
    <row r="565" spans="1:26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</row>
    <row r="566" spans="1:26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</row>
    <row r="567" spans="1:26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</row>
    <row r="568" spans="1:26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</row>
    <row r="569" spans="1:26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</row>
    <row r="570" spans="1:26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</row>
    <row r="571" spans="1:26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</row>
    <row r="572" spans="1:26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</row>
    <row r="573" spans="1:26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</row>
    <row r="574" spans="1:26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</row>
    <row r="575" spans="1:26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</row>
    <row r="576" spans="1:26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</row>
    <row r="577" spans="1:26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</row>
    <row r="578" spans="1:26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</row>
    <row r="579" spans="1:26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</row>
    <row r="580" spans="1:26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</row>
    <row r="581" spans="1:26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</row>
    <row r="582" spans="1:26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</row>
    <row r="583" spans="1:26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</row>
    <row r="584" spans="1:26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</row>
    <row r="585" spans="1:26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</row>
    <row r="586" spans="1:26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</row>
    <row r="587" spans="1:26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</row>
    <row r="588" spans="1:26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</row>
    <row r="589" spans="1:26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</row>
    <row r="590" spans="1:26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</row>
    <row r="591" spans="1:26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</row>
    <row r="592" spans="1:26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</row>
    <row r="593" spans="1:26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</row>
    <row r="594" spans="1:26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</row>
    <row r="595" spans="1:26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</row>
    <row r="596" spans="1:26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</row>
    <row r="597" spans="1:26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</row>
    <row r="598" spans="1:26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</row>
    <row r="599" spans="1:26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</row>
    <row r="600" spans="1:26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</row>
    <row r="601" spans="1:26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</row>
    <row r="602" spans="1:26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</row>
    <row r="603" spans="1:26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</row>
    <row r="604" spans="1:26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</row>
    <row r="605" spans="1:26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</row>
    <row r="606" spans="1:26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</row>
    <row r="607" spans="1:26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</row>
    <row r="608" spans="1:26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</row>
    <row r="609" spans="1:26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</row>
    <row r="610" spans="1:26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</row>
    <row r="611" spans="1:26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</row>
    <row r="612" spans="1:26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</row>
    <row r="613" spans="1:26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</row>
    <row r="614" spans="1:26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</row>
    <row r="615" spans="1:26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</row>
    <row r="616" spans="1:26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</row>
    <row r="617" spans="1:26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</row>
    <row r="618" spans="1:26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</row>
    <row r="619" spans="1:26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</row>
    <row r="620" spans="1:26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</row>
    <row r="621" spans="1:26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</row>
    <row r="622" spans="1:26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</row>
    <row r="623" spans="1:26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</row>
    <row r="624" spans="1:26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</row>
    <row r="625" spans="1:26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</row>
    <row r="626" spans="1:26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</row>
    <row r="627" spans="1:26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</row>
    <row r="628" spans="1:26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</row>
    <row r="629" spans="1:26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</row>
    <row r="630" spans="1:26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</row>
    <row r="631" spans="1:26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</row>
    <row r="632" spans="1:26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</row>
    <row r="633" spans="1:26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</row>
    <row r="634" spans="1:26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</row>
    <row r="635" spans="1:26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</row>
    <row r="636" spans="1:26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</row>
    <row r="637" spans="1:26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</row>
    <row r="638" spans="1:26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</row>
    <row r="639" spans="1:26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</row>
    <row r="640" spans="1:26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</row>
    <row r="641" spans="1:26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</row>
    <row r="642" spans="1:26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</row>
    <row r="643" spans="1:26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</row>
    <row r="644" spans="1:26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</row>
    <row r="645" spans="1:26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</row>
    <row r="646" spans="1:26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</row>
    <row r="647" spans="1:26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</row>
    <row r="648" spans="1:26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</row>
    <row r="649" spans="1:26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</row>
    <row r="650" spans="1:26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</row>
    <row r="651" spans="1:26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</row>
    <row r="652" spans="1:26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</row>
    <row r="653" spans="1:26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</row>
    <row r="654" spans="1:26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</row>
    <row r="655" spans="1:26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</row>
    <row r="656" spans="1:26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</row>
    <row r="657" spans="1:26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</row>
    <row r="658" spans="1:26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</row>
    <row r="659" spans="1:26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</row>
    <row r="660" spans="1:26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</row>
    <row r="661" spans="1:26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</row>
    <row r="662" spans="1:26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</row>
    <row r="663" spans="1:26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</row>
    <row r="664" spans="1:26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</row>
    <row r="665" spans="1:26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</row>
    <row r="666" spans="1:26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</row>
    <row r="667" spans="1:26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</row>
    <row r="668" spans="1:26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</row>
    <row r="669" spans="1:26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</row>
    <row r="670" spans="1:26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</row>
    <row r="671" spans="1:26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</row>
    <row r="672" spans="1:26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</row>
    <row r="673" spans="1:26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</row>
    <row r="674" spans="1:26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</row>
    <row r="675" spans="1:26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</row>
    <row r="676" spans="1:26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</row>
    <row r="677" spans="1:26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</row>
    <row r="678" spans="1:26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</row>
    <row r="679" spans="1:26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</row>
    <row r="680" spans="1:26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</row>
    <row r="681" spans="1:26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</row>
    <row r="682" spans="1:26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</row>
    <row r="683" spans="1:26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</row>
    <row r="684" spans="1:26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</row>
    <row r="685" spans="1:26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</row>
    <row r="686" spans="1:26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</row>
    <row r="687" spans="1:26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</row>
    <row r="688" spans="1:26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</row>
    <row r="689" spans="1:26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</row>
    <row r="690" spans="1:26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</row>
    <row r="691" spans="1:26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</row>
    <row r="692" spans="1:26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</row>
    <row r="693" spans="1:26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</row>
    <row r="694" spans="1:26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</row>
    <row r="695" spans="1:26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</row>
    <row r="696" spans="1:26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</row>
    <row r="697" spans="1:26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</row>
    <row r="698" spans="1:26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</row>
    <row r="699" spans="1:26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</row>
    <row r="700" spans="1:26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</row>
    <row r="701" spans="1:26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</row>
    <row r="702" spans="1:26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</row>
    <row r="703" spans="1:26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</row>
    <row r="704" spans="1:26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</row>
    <row r="705" spans="1:26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</row>
    <row r="706" spans="1:26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</row>
    <row r="707" spans="1:26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</row>
    <row r="708" spans="1:26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</row>
    <row r="709" spans="1:26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</row>
    <row r="710" spans="1:26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</row>
    <row r="711" spans="1:26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</row>
    <row r="712" spans="1:26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</row>
    <row r="713" spans="1:26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</row>
    <row r="714" spans="1:26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</row>
    <row r="715" spans="1:26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</row>
    <row r="716" spans="1:26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</row>
    <row r="717" spans="1:26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</row>
    <row r="718" spans="1:26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</row>
    <row r="719" spans="1:26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</row>
    <row r="720" spans="1:26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</row>
    <row r="721" spans="1:26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</row>
    <row r="722" spans="1:26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</row>
    <row r="723" spans="1:26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</row>
    <row r="724" spans="1:26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</row>
    <row r="725" spans="1:26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</row>
    <row r="726" spans="1:26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</row>
    <row r="727" spans="1:26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</row>
    <row r="728" spans="1:26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</row>
    <row r="729" spans="1:26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</row>
    <row r="730" spans="1:26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</row>
    <row r="731" spans="1:26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</row>
    <row r="732" spans="1:26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</row>
    <row r="733" spans="1:26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</row>
    <row r="734" spans="1:26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</row>
    <row r="735" spans="1:26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</row>
    <row r="736" spans="1:26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</row>
    <row r="737" spans="1:26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</row>
    <row r="738" spans="1:26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</row>
    <row r="739" spans="1:26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</row>
    <row r="740" spans="1:26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</row>
    <row r="741" spans="1:26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</row>
    <row r="742" spans="1:26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</row>
    <row r="743" spans="1:26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</row>
    <row r="744" spans="1:26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</row>
    <row r="745" spans="1:26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</row>
    <row r="746" spans="1:26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</row>
    <row r="747" spans="1:26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</row>
    <row r="748" spans="1:26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</row>
    <row r="749" spans="1:26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</row>
    <row r="750" spans="1:26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</row>
    <row r="751" spans="1:26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</row>
    <row r="752" spans="1:26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</row>
    <row r="753" spans="1:26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</row>
    <row r="754" spans="1:26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</row>
    <row r="755" spans="1:26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</row>
    <row r="756" spans="1:26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</row>
    <row r="757" spans="1:26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</row>
    <row r="758" spans="1:26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</row>
    <row r="759" spans="1:26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</row>
    <row r="760" spans="1:26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</row>
    <row r="761" spans="1:26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</row>
    <row r="762" spans="1:26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</row>
    <row r="763" spans="1:26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</row>
    <row r="764" spans="1:26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</row>
    <row r="765" spans="1:26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</row>
    <row r="766" spans="1:26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</row>
    <row r="767" spans="1:26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</row>
    <row r="768" spans="1:26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</row>
    <row r="769" spans="1:26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</row>
    <row r="770" spans="1:26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</row>
    <row r="771" spans="1:26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</row>
    <row r="772" spans="1:26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</row>
    <row r="773" spans="1:26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</row>
    <row r="774" spans="1:26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</row>
    <row r="775" spans="1:26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</row>
    <row r="776" spans="1:26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</row>
    <row r="777" spans="1:26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</row>
    <row r="778" spans="1:26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</row>
    <row r="779" spans="1:26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</row>
    <row r="780" spans="1:26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</row>
    <row r="781" spans="1:26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</row>
    <row r="782" spans="1:26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</row>
    <row r="783" spans="1:26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</row>
    <row r="784" spans="1:26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</row>
    <row r="785" spans="1:26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</row>
    <row r="786" spans="1:26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</row>
    <row r="787" spans="1:26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</row>
    <row r="788" spans="1:26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</row>
    <row r="789" spans="1:26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</row>
    <row r="790" spans="1:26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</row>
    <row r="791" spans="1:26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</row>
    <row r="792" spans="1:26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</row>
    <row r="793" spans="1:26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</row>
    <row r="794" spans="1:26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</row>
    <row r="795" spans="1:26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</row>
    <row r="796" spans="1:26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</row>
    <row r="797" spans="1:26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</row>
    <row r="798" spans="1:26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</row>
    <row r="799" spans="1:26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</row>
    <row r="800" spans="1:26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</row>
    <row r="801" spans="1:26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</row>
    <row r="802" spans="1:26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</row>
    <row r="803" spans="1:26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</row>
    <row r="804" spans="1:26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</row>
    <row r="805" spans="1:26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</row>
    <row r="806" spans="1:26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</row>
    <row r="807" spans="1:26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</row>
    <row r="808" spans="1:26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</row>
    <row r="809" spans="1:26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</row>
    <row r="810" spans="1:26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</row>
    <row r="811" spans="1:26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</row>
    <row r="812" spans="1:26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</row>
    <row r="813" spans="1:26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</row>
    <row r="814" spans="1:26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</row>
    <row r="815" spans="1:26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</row>
    <row r="816" spans="1:26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</row>
    <row r="817" spans="1:26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</row>
    <row r="818" spans="1:26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</row>
    <row r="819" spans="1:26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</row>
    <row r="820" spans="1:26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</row>
    <row r="821" spans="1:26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</row>
    <row r="822" spans="1:26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</row>
    <row r="823" spans="1:26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</row>
    <row r="824" spans="1:26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</row>
    <row r="825" spans="1:26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</row>
    <row r="826" spans="1:26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</row>
    <row r="827" spans="1:26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</row>
    <row r="828" spans="1:26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</row>
    <row r="829" spans="1:26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</row>
    <row r="830" spans="1:26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</row>
    <row r="831" spans="1:26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</row>
    <row r="832" spans="1:26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</row>
    <row r="833" spans="1:26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</row>
    <row r="834" spans="1:26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</row>
    <row r="835" spans="1:26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</row>
    <row r="836" spans="1:26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</row>
    <row r="837" spans="1:26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</row>
    <row r="838" spans="1:26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</row>
    <row r="839" spans="1:26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</row>
    <row r="840" spans="1:26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</row>
    <row r="841" spans="1:26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</row>
    <row r="842" spans="1:26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</row>
    <row r="843" spans="1:26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</row>
    <row r="844" spans="1:26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</row>
    <row r="845" spans="1:26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</row>
    <row r="846" spans="1:26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</row>
    <row r="847" spans="1:26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</row>
    <row r="848" spans="1:26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</row>
    <row r="849" spans="1:26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</row>
    <row r="850" spans="1:26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</row>
    <row r="851" spans="1:26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</row>
    <row r="852" spans="1:26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</row>
    <row r="853" spans="1:26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</row>
    <row r="854" spans="1:26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</row>
    <row r="855" spans="1:26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</row>
    <row r="856" spans="1:26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</row>
    <row r="857" spans="1:26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</row>
    <row r="858" spans="1:26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</row>
    <row r="859" spans="1:26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</row>
    <row r="860" spans="1:26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</row>
    <row r="861" spans="1:26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</row>
    <row r="862" spans="1:26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</row>
    <row r="863" spans="1:26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</row>
    <row r="864" spans="1:26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</row>
    <row r="865" spans="1:26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</row>
    <row r="866" spans="1:26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</row>
    <row r="867" spans="1:26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</row>
    <row r="868" spans="1:26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</row>
    <row r="869" spans="1:26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</row>
    <row r="870" spans="1:26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</row>
    <row r="871" spans="1:26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</row>
    <row r="872" spans="1:26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</row>
    <row r="873" spans="1:26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</row>
    <row r="874" spans="1:26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</row>
    <row r="875" spans="1:26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</row>
    <row r="876" spans="1:26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</row>
    <row r="877" spans="1:26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</row>
    <row r="878" spans="1:26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</row>
    <row r="879" spans="1:26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</row>
    <row r="880" spans="1:26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</row>
    <row r="881" spans="1:26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</row>
    <row r="882" spans="1:26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</row>
    <row r="883" spans="1:26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</row>
    <row r="884" spans="1:26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</row>
    <row r="885" spans="1:26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</row>
    <row r="886" spans="1:26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</row>
    <row r="887" spans="1:26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</row>
    <row r="888" spans="1:26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</row>
    <row r="889" spans="1:26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</row>
    <row r="890" spans="1:26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</row>
    <row r="891" spans="1:26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</row>
    <row r="892" spans="1:26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</row>
    <row r="893" spans="1:26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</row>
    <row r="894" spans="1:26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</row>
    <row r="895" spans="1:26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</row>
    <row r="896" spans="1:26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</row>
    <row r="897" spans="1:26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</row>
    <row r="898" spans="1:26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</row>
    <row r="899" spans="1:26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</row>
    <row r="900" spans="1:26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</row>
    <row r="901" spans="1:26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</row>
    <row r="902" spans="1:26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</row>
    <row r="903" spans="1:26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</row>
    <row r="904" spans="1:26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</row>
    <row r="905" spans="1:26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</row>
    <row r="906" spans="1:26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</row>
    <row r="907" spans="1:26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</row>
    <row r="908" spans="1:26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</row>
    <row r="909" spans="1:26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</row>
    <row r="910" spans="1:26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</row>
    <row r="911" spans="1:26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</row>
    <row r="912" spans="1:26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</row>
    <row r="913" spans="1:26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</row>
    <row r="914" spans="1:26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</row>
    <row r="915" spans="1:26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</row>
    <row r="916" spans="1:26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</row>
    <row r="917" spans="1:26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</row>
    <row r="918" spans="1:26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</row>
    <row r="919" spans="1:26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</row>
    <row r="920" spans="1:26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</row>
    <row r="921" spans="1:26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</row>
    <row r="922" spans="1:26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</row>
    <row r="923" spans="1:26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</row>
    <row r="924" spans="1:26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</row>
    <row r="925" spans="1:26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</row>
    <row r="926" spans="1:26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</row>
    <row r="927" spans="1:26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</row>
    <row r="928" spans="1:26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</row>
    <row r="929" spans="1:26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</row>
    <row r="930" spans="1:26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</row>
    <row r="931" spans="1:26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</row>
    <row r="932" spans="1:26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</row>
    <row r="933" spans="1:26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</row>
    <row r="934" spans="1:26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</row>
    <row r="935" spans="1:26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  <c r="W935" s="207"/>
      <c r="X935" s="207"/>
      <c r="Y935" s="207"/>
      <c r="Z935" s="207"/>
    </row>
    <row r="936" spans="1:26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  <c r="W936" s="207"/>
      <c r="X936" s="207"/>
      <c r="Y936" s="207"/>
      <c r="Z936" s="207"/>
    </row>
    <row r="937" spans="1:26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  <c r="W937" s="207"/>
      <c r="X937" s="207"/>
      <c r="Y937" s="207"/>
      <c r="Z937" s="207"/>
    </row>
    <row r="938" spans="1:26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  <c r="W938" s="207"/>
      <c r="X938" s="207"/>
      <c r="Y938" s="207"/>
      <c r="Z938" s="207"/>
    </row>
    <row r="939" spans="1:26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  <c r="W939" s="207"/>
      <c r="X939" s="207"/>
      <c r="Y939" s="207"/>
      <c r="Z939" s="207"/>
    </row>
    <row r="940" spans="1:26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  <c r="W940" s="207"/>
      <c r="X940" s="207"/>
      <c r="Y940" s="207"/>
      <c r="Z940" s="207"/>
    </row>
    <row r="941" spans="1:26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</row>
    <row r="942" spans="1:26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  <c r="W942" s="207"/>
      <c r="X942" s="207"/>
      <c r="Y942" s="207"/>
      <c r="Z942" s="207"/>
    </row>
    <row r="943" spans="1:26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  <c r="W943" s="207"/>
      <c r="X943" s="207"/>
      <c r="Y943" s="207"/>
      <c r="Z943" s="207"/>
    </row>
    <row r="944" spans="1:26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  <c r="W944" s="207"/>
      <c r="X944" s="207"/>
      <c r="Y944" s="207"/>
      <c r="Z944" s="207"/>
    </row>
    <row r="945" spans="1:26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  <c r="W945" s="207"/>
      <c r="X945" s="207"/>
      <c r="Y945" s="207"/>
      <c r="Z945" s="207"/>
    </row>
    <row r="946" spans="1:26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  <c r="W946" s="207"/>
      <c r="X946" s="207"/>
      <c r="Y946" s="207"/>
      <c r="Z946" s="207"/>
    </row>
    <row r="947" spans="1:26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  <c r="W947" s="207"/>
      <c r="X947" s="207"/>
      <c r="Y947" s="207"/>
      <c r="Z947" s="207"/>
    </row>
    <row r="948" spans="1:26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  <c r="W948" s="207"/>
      <c r="X948" s="207"/>
      <c r="Y948" s="207"/>
      <c r="Z948" s="207"/>
    </row>
    <row r="949" spans="1:26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</row>
    <row r="950" spans="1:26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  <c r="W950" s="207"/>
      <c r="X950" s="207"/>
      <c r="Y950" s="207"/>
      <c r="Z950" s="207"/>
    </row>
    <row r="951" spans="1:26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  <c r="W951" s="207"/>
      <c r="X951" s="207"/>
      <c r="Y951" s="207"/>
      <c r="Z951" s="207"/>
    </row>
    <row r="952" spans="1:26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</row>
    <row r="953" spans="1:26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  <c r="W953" s="207"/>
      <c r="X953" s="207"/>
      <c r="Y953" s="207"/>
      <c r="Z953" s="207"/>
    </row>
    <row r="954" spans="1:26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  <c r="W954" s="207"/>
      <c r="X954" s="207"/>
      <c r="Y954" s="207"/>
      <c r="Z954" s="207"/>
    </row>
    <row r="955" spans="1:26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  <c r="W955" s="207"/>
      <c r="X955" s="207"/>
      <c r="Y955" s="207"/>
      <c r="Z955" s="207"/>
    </row>
    <row r="956" spans="1:26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  <c r="W956" s="207"/>
      <c r="X956" s="207"/>
      <c r="Y956" s="207"/>
      <c r="Z956" s="207"/>
    </row>
    <row r="957" spans="1:26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  <c r="W957" s="207"/>
      <c r="X957" s="207"/>
      <c r="Y957" s="207"/>
      <c r="Z957" s="207"/>
    </row>
    <row r="958" spans="1:26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  <c r="W958" s="207"/>
      <c r="X958" s="207"/>
      <c r="Y958" s="207"/>
      <c r="Z958" s="207"/>
    </row>
    <row r="959" spans="1:26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  <c r="W959" s="207"/>
      <c r="X959" s="207"/>
      <c r="Y959" s="207"/>
      <c r="Z959" s="207"/>
    </row>
    <row r="960" spans="1:26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  <c r="W960" s="207"/>
      <c r="X960" s="207"/>
      <c r="Y960" s="207"/>
      <c r="Z960" s="207"/>
    </row>
    <row r="961" spans="1:26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  <c r="W961" s="207"/>
      <c r="X961" s="207"/>
      <c r="Y961" s="207"/>
      <c r="Z961" s="207"/>
    </row>
    <row r="962" spans="1:26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</row>
    <row r="963" spans="1:26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</row>
    <row r="964" spans="1:26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</row>
    <row r="965" spans="1:26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</row>
    <row r="966" spans="1:26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</row>
    <row r="967" spans="1:26">
      <c r="A967" s="207"/>
      <c r="B967" s="207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  <c r="W967" s="207"/>
      <c r="X967" s="207"/>
      <c r="Y967" s="207"/>
      <c r="Z967" s="207"/>
    </row>
    <row r="968" spans="1:26">
      <c r="A968" s="207"/>
      <c r="B968" s="207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  <c r="W968" s="207"/>
      <c r="X968" s="207"/>
      <c r="Y968" s="207"/>
      <c r="Z968" s="207"/>
    </row>
    <row r="969" spans="1:26">
      <c r="A969" s="207"/>
      <c r="B969" s="207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  <c r="W969" s="207"/>
      <c r="X969" s="207"/>
      <c r="Y969" s="207"/>
      <c r="Z969" s="207"/>
    </row>
    <row r="970" spans="1:26">
      <c r="A970" s="207"/>
      <c r="B970" s="207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  <c r="W970" s="207"/>
      <c r="X970" s="207"/>
      <c r="Y970" s="207"/>
      <c r="Z970" s="207"/>
    </row>
    <row r="971" spans="1:26">
      <c r="A971" s="207"/>
      <c r="B971" s="207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  <c r="W971" s="207"/>
      <c r="X971" s="207"/>
      <c r="Y971" s="207"/>
      <c r="Z971" s="207"/>
    </row>
    <row r="972" spans="1:26">
      <c r="A972" s="207"/>
      <c r="B972" s="207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  <c r="W972" s="207"/>
      <c r="X972" s="207"/>
      <c r="Y972" s="207"/>
      <c r="Z972" s="207"/>
    </row>
    <row r="973" spans="1:26">
      <c r="A973" s="207"/>
      <c r="B973" s="207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  <c r="W973" s="207"/>
      <c r="X973" s="207"/>
      <c r="Y973" s="207"/>
      <c r="Z973" s="207"/>
    </row>
    <row r="974" spans="1:26">
      <c r="A974" s="207"/>
      <c r="B974" s="207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  <c r="W974" s="207"/>
      <c r="X974" s="207"/>
      <c r="Y974" s="207"/>
      <c r="Z974" s="207"/>
    </row>
    <row r="975" spans="1:26">
      <c r="A975" s="207"/>
      <c r="B975" s="207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  <c r="W975" s="207"/>
      <c r="X975" s="207"/>
      <c r="Y975" s="207"/>
      <c r="Z975" s="207"/>
    </row>
    <row r="976" spans="1:26">
      <c r="A976" s="207"/>
      <c r="B976" s="207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  <c r="W976" s="207"/>
      <c r="X976" s="207"/>
      <c r="Y976" s="207"/>
      <c r="Z976" s="207"/>
    </row>
    <row r="977" spans="1:26">
      <c r="A977" s="207"/>
      <c r="B977" s="207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</row>
    <row r="978" spans="1:26">
      <c r="A978" s="207"/>
      <c r="B978" s="207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  <c r="W978" s="207"/>
      <c r="X978" s="207"/>
      <c r="Y978" s="207"/>
      <c r="Z978" s="207"/>
    </row>
    <row r="979" spans="1:26">
      <c r="A979" s="207"/>
      <c r="B979" s="207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  <c r="W979" s="207"/>
      <c r="X979" s="207"/>
      <c r="Y979" s="207"/>
      <c r="Z979" s="207"/>
    </row>
    <row r="980" spans="1:26">
      <c r="A980" s="207"/>
      <c r="B980" s="207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  <c r="W980" s="207"/>
      <c r="X980" s="207"/>
      <c r="Y980" s="207"/>
      <c r="Z980" s="207"/>
    </row>
    <row r="981" spans="1:26">
      <c r="A981" s="207"/>
      <c r="B981" s="207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  <c r="W981" s="207"/>
      <c r="X981" s="207"/>
      <c r="Y981" s="207"/>
      <c r="Z981" s="207"/>
    </row>
    <row r="982" spans="1:26">
      <c r="A982" s="207"/>
      <c r="B982" s="207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</row>
    <row r="983" spans="1:26">
      <c r="A983" s="207"/>
      <c r="B983" s="207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  <c r="W983" s="207"/>
      <c r="X983" s="207"/>
      <c r="Y983" s="207"/>
      <c r="Z983" s="207"/>
    </row>
    <row r="984" spans="1:26">
      <c r="A984" s="207"/>
      <c r="B984" s="207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  <c r="W984" s="207"/>
      <c r="X984" s="207"/>
      <c r="Y984" s="207"/>
      <c r="Z984" s="207"/>
    </row>
    <row r="985" spans="1:26">
      <c r="A985" s="207"/>
      <c r="B985" s="207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</row>
    <row r="986" spans="1:26">
      <c r="A986" s="207"/>
      <c r="B986" s="207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  <c r="W986" s="207"/>
      <c r="X986" s="207"/>
      <c r="Y986" s="207"/>
      <c r="Z986" s="207"/>
    </row>
    <row r="987" spans="1:26">
      <c r="A987" s="207"/>
      <c r="B987" s="207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  <c r="W987" s="207"/>
      <c r="X987" s="207"/>
      <c r="Y987" s="207"/>
      <c r="Z987" s="207"/>
    </row>
    <row r="988" spans="1:26">
      <c r="A988" s="207"/>
      <c r="B988" s="207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  <c r="W988" s="207"/>
      <c r="X988" s="207"/>
      <c r="Y988" s="207"/>
      <c r="Z988" s="207"/>
    </row>
    <row r="989" spans="1:26">
      <c r="A989" s="207"/>
      <c r="B989" s="207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  <c r="W989" s="207"/>
      <c r="X989" s="207"/>
      <c r="Y989" s="207"/>
      <c r="Z989" s="207"/>
    </row>
    <row r="990" spans="1:26">
      <c r="A990" s="207"/>
      <c r="B990" s="207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  <c r="W990" s="207"/>
      <c r="X990" s="207"/>
      <c r="Y990" s="207"/>
      <c r="Z990" s="207"/>
    </row>
    <row r="991" spans="1:26">
      <c r="A991" s="207"/>
      <c r="B991" s="207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  <c r="W991" s="207"/>
      <c r="X991" s="207"/>
      <c r="Y991" s="207"/>
      <c r="Z991" s="207"/>
    </row>
    <row r="992" spans="1:26">
      <c r="A992" s="207"/>
      <c r="B992" s="207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  <c r="W992" s="207"/>
      <c r="X992" s="207"/>
      <c r="Y992" s="207"/>
      <c r="Z992" s="207"/>
    </row>
    <row r="993" spans="1:26">
      <c r="A993" s="207"/>
      <c r="B993" s="207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  <c r="W993" s="207"/>
      <c r="X993" s="207"/>
      <c r="Y993" s="207"/>
      <c r="Z993" s="207"/>
    </row>
    <row r="994" spans="1:26">
      <c r="A994" s="207"/>
      <c r="B994" s="207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  <c r="W994" s="207"/>
      <c r="X994" s="207"/>
      <c r="Y994" s="207"/>
      <c r="Z994" s="207"/>
    </row>
    <row r="995" spans="1:26">
      <c r="A995" s="207"/>
      <c r="B995" s="207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  <c r="W995" s="207"/>
      <c r="X995" s="207"/>
      <c r="Y995" s="207"/>
      <c r="Z995" s="207"/>
    </row>
    <row r="996" spans="1:26">
      <c r="A996" s="207"/>
      <c r="B996" s="207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  <c r="W996" s="207"/>
      <c r="X996" s="207"/>
      <c r="Y996" s="207"/>
      <c r="Z996" s="207"/>
    </row>
    <row r="997" spans="1:26">
      <c r="A997" s="207"/>
      <c r="B997" s="207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  <c r="W997" s="207"/>
      <c r="X997" s="207"/>
      <c r="Y997" s="207"/>
      <c r="Z997" s="207"/>
    </row>
    <row r="998" spans="1:26">
      <c r="A998" s="207"/>
      <c r="B998" s="207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  <c r="W998" s="207"/>
      <c r="X998" s="207"/>
      <c r="Y998" s="207"/>
      <c r="Z998" s="207"/>
    </row>
    <row r="999" spans="1:26">
      <c r="A999" s="207"/>
      <c r="B999" s="207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  <c r="W999" s="207"/>
      <c r="X999" s="207"/>
      <c r="Y999" s="207"/>
      <c r="Z999" s="207"/>
    </row>
    <row r="1000" spans="1:26">
      <c r="A1000" s="207"/>
      <c r="B1000" s="207"/>
      <c r="C1000" s="207"/>
      <c r="D1000" s="207"/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  <c r="W1000" s="207"/>
      <c r="X1000" s="207"/>
      <c r="Y1000" s="207"/>
      <c r="Z1000" s="207"/>
    </row>
    <row r="1001" spans="1:26">
      <c r="A1001" s="207"/>
      <c r="B1001" s="207"/>
      <c r="C1001" s="207"/>
      <c r="D1001" s="207"/>
      <c r="E1001" s="207"/>
      <c r="F1001" s="207"/>
      <c r="G1001" s="207"/>
      <c r="H1001" s="207"/>
      <c r="I1001" s="207"/>
      <c r="J1001" s="207"/>
      <c r="K1001" s="207"/>
      <c r="L1001" s="207"/>
      <c r="M1001" s="207"/>
      <c r="N1001" s="207"/>
      <c r="O1001" s="207"/>
      <c r="P1001" s="207"/>
      <c r="Q1001" s="207"/>
      <c r="R1001" s="207"/>
      <c r="S1001" s="207"/>
      <c r="T1001" s="207"/>
      <c r="U1001" s="207"/>
      <c r="V1001" s="207"/>
      <c r="W1001" s="207"/>
      <c r="X1001" s="207"/>
      <c r="Y1001" s="207"/>
      <c r="Z1001" s="207"/>
    </row>
    <row r="1002" spans="1:26">
      <c r="A1002" s="207"/>
      <c r="B1002" s="207"/>
      <c r="C1002" s="207"/>
      <c r="D1002" s="207"/>
      <c r="E1002" s="207"/>
      <c r="F1002" s="207"/>
      <c r="G1002" s="207"/>
      <c r="H1002" s="207"/>
      <c r="I1002" s="207"/>
      <c r="J1002" s="207"/>
      <c r="K1002" s="207"/>
      <c r="L1002" s="207"/>
      <c r="M1002" s="207"/>
      <c r="N1002" s="207"/>
      <c r="O1002" s="207"/>
      <c r="P1002" s="207"/>
      <c r="Q1002" s="207"/>
      <c r="R1002" s="207"/>
      <c r="S1002" s="207"/>
      <c r="T1002" s="207"/>
      <c r="U1002" s="207"/>
      <c r="V1002" s="207"/>
      <c r="W1002" s="207"/>
      <c r="X1002" s="207"/>
      <c r="Y1002" s="207"/>
      <c r="Z1002" s="207"/>
    </row>
  </sheetData>
  <mergeCells count="3">
    <mergeCell ref="A1:C1"/>
    <mergeCell ref="A8:C8"/>
    <mergeCell ref="A15:C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21"/>
  <sheetViews>
    <sheetView workbookViewId="0"/>
  </sheetViews>
  <sheetFormatPr defaultColWidth="12.5703125" defaultRowHeight="15" customHeight="1"/>
  <cols>
    <col min="1" max="1" width="24.5703125" customWidth="1"/>
    <col min="2" max="2" width="29.42578125" customWidth="1"/>
    <col min="3" max="3" width="30.85546875" customWidth="1"/>
    <col min="4" max="4" width="38.85546875" customWidth="1"/>
    <col min="5" max="5" width="26.140625" customWidth="1"/>
    <col min="6" max="6" width="16.140625" customWidth="1"/>
    <col min="9" max="9" width="16" customWidth="1"/>
    <col min="11" max="11" width="14.42578125" customWidth="1"/>
    <col min="12" max="13" width="29" customWidth="1"/>
    <col min="14" max="14" width="28.7109375" customWidth="1"/>
    <col min="15" max="15" width="26" customWidth="1"/>
    <col min="17" max="17" width="13.7109375" customWidth="1"/>
  </cols>
  <sheetData>
    <row r="1" spans="1:20" ht="29.25" customHeight="1">
      <c r="A1" s="284" t="s">
        <v>362</v>
      </c>
      <c r="B1" s="240"/>
      <c r="C1" s="240"/>
      <c r="D1" s="240"/>
      <c r="E1" s="240"/>
      <c r="F1" s="240"/>
      <c r="G1" s="240"/>
      <c r="H1" s="240"/>
      <c r="I1" s="241"/>
      <c r="J1" s="210"/>
      <c r="K1" s="285" t="s">
        <v>363</v>
      </c>
      <c r="L1" s="238"/>
      <c r="M1" s="238"/>
      <c r="N1" s="238"/>
      <c r="O1" s="238"/>
      <c r="P1" s="211"/>
      <c r="Q1" s="285" t="s">
        <v>364</v>
      </c>
      <c r="R1" s="238"/>
      <c r="S1" s="238"/>
      <c r="T1" s="238"/>
    </row>
    <row r="2" spans="1:20" ht="12.75">
      <c r="A2" s="212" t="s">
        <v>365</v>
      </c>
      <c r="B2" s="212" t="s">
        <v>366</v>
      </c>
      <c r="C2" s="213" t="s">
        <v>367</v>
      </c>
      <c r="D2" s="212" t="s">
        <v>368</v>
      </c>
      <c r="E2" s="212" t="s">
        <v>369</v>
      </c>
      <c r="F2" s="212" t="s">
        <v>370</v>
      </c>
      <c r="G2" s="212" t="s">
        <v>371</v>
      </c>
      <c r="H2" s="212" t="s">
        <v>372</v>
      </c>
      <c r="I2" s="212" t="s">
        <v>373</v>
      </c>
      <c r="J2" s="210"/>
      <c r="K2" s="214" t="s">
        <v>374</v>
      </c>
      <c r="L2" s="215" t="s">
        <v>375</v>
      </c>
      <c r="M2" s="216" t="s">
        <v>376</v>
      </c>
      <c r="N2" s="216" t="s">
        <v>377</v>
      </c>
      <c r="O2" s="216" t="s">
        <v>378</v>
      </c>
      <c r="P2" s="211"/>
      <c r="Q2" s="216" t="s">
        <v>379</v>
      </c>
      <c r="R2" s="216" t="s">
        <v>380</v>
      </c>
      <c r="S2" s="216" t="s">
        <v>381</v>
      </c>
      <c r="T2" s="216" t="s">
        <v>382</v>
      </c>
    </row>
    <row r="3" spans="1:20" ht="12.75">
      <c r="A3" s="217" t="s">
        <v>383</v>
      </c>
      <c r="B3" s="218">
        <v>0</v>
      </c>
      <c r="C3" s="218">
        <v>4.7877726909611198</v>
      </c>
      <c r="D3" s="218">
        <v>36.008002960803999</v>
      </c>
      <c r="E3" s="219">
        <f t="shared" ref="E3:E9" si="0">SUM(B3:D3)</f>
        <v>40.795775651765119</v>
      </c>
      <c r="F3" s="219">
        <f t="shared" ref="F3:F9" si="1">E3/$E$10</f>
        <v>7.9086633938928272E-2</v>
      </c>
      <c r="G3" s="220">
        <v>1672</v>
      </c>
      <c r="H3" s="221">
        <f t="shared" ref="H3:H9" si="2">G3*E3*1000</f>
        <v>68210536.889751285</v>
      </c>
      <c r="I3" s="221">
        <f t="shared" ref="I3:I9" si="3">H3/1.05506*8000</f>
        <v>517206884080.53595</v>
      </c>
      <c r="J3" s="210"/>
      <c r="K3" s="217" t="s">
        <v>383</v>
      </c>
      <c r="L3" s="222">
        <v>74.08</v>
      </c>
      <c r="M3" s="223">
        <f t="shared" ref="M3:M9" si="4">E3*L3*8000</f>
        <v>24177208.482262079</v>
      </c>
      <c r="N3" s="223">
        <f>SUM(M3:M9)</f>
        <v>103804537.80167811</v>
      </c>
      <c r="O3" s="224">
        <f>N3*43/1000</f>
        <v>4463595.1254721582</v>
      </c>
      <c r="P3" s="211"/>
      <c r="Q3" s="225">
        <f>I10</f>
        <v>863540816211.28125</v>
      </c>
      <c r="R3" s="226">
        <v>5.8</v>
      </c>
      <c r="S3" s="225">
        <f>R3*Q3/10^6</f>
        <v>5008536.7340254309</v>
      </c>
      <c r="T3" s="225">
        <f>S3/0.8</f>
        <v>6260670.9175317883</v>
      </c>
    </row>
    <row r="4" spans="1:20" ht="12.75">
      <c r="A4" s="217" t="s">
        <v>384</v>
      </c>
      <c r="B4" s="218">
        <v>10.4860414556774</v>
      </c>
      <c r="C4" s="218">
        <v>0.29719047094669099</v>
      </c>
      <c r="D4" s="218">
        <v>12.7187098112353</v>
      </c>
      <c r="E4" s="219">
        <f t="shared" si="0"/>
        <v>23.50194173785939</v>
      </c>
      <c r="F4" s="219">
        <f t="shared" si="1"/>
        <v>4.5560831566041932E-2</v>
      </c>
      <c r="G4" s="220">
        <v>726.1</v>
      </c>
      <c r="H4" s="221">
        <f t="shared" si="2"/>
        <v>17064759.895859703</v>
      </c>
      <c r="I4" s="221">
        <f t="shared" si="3"/>
        <v>129393664025.62662</v>
      </c>
      <c r="J4" s="210"/>
      <c r="K4" s="217" t="s">
        <v>384</v>
      </c>
      <c r="L4" s="222">
        <v>32.04</v>
      </c>
      <c r="M4" s="223">
        <f t="shared" si="4"/>
        <v>6024017.7062481185</v>
      </c>
      <c r="N4" s="286"/>
      <c r="O4" s="248"/>
      <c r="P4" s="211"/>
      <c r="Q4" s="211"/>
      <c r="R4" s="211"/>
      <c r="S4" s="211"/>
      <c r="T4" s="211"/>
    </row>
    <row r="5" spans="1:20" ht="12.75">
      <c r="A5" s="217" t="s">
        <v>385</v>
      </c>
      <c r="B5" s="218">
        <v>6.6994444061235896E-11</v>
      </c>
      <c r="C5" s="218">
        <v>0</v>
      </c>
      <c r="D5" s="218">
        <v>0</v>
      </c>
      <c r="E5" s="219">
        <f t="shared" si="0"/>
        <v>6.6994444061235896E-11</v>
      </c>
      <c r="F5" s="219">
        <f t="shared" si="1"/>
        <v>1.2987533607989445E-13</v>
      </c>
      <c r="G5" s="220">
        <v>2726.3</v>
      </c>
      <c r="H5" s="221">
        <f t="shared" si="2"/>
        <v>1.8264695284414746E-4</v>
      </c>
      <c r="I5" s="221">
        <f t="shared" si="3"/>
        <v>1.3849218269607222</v>
      </c>
      <c r="J5" s="210"/>
      <c r="K5" s="217" t="s">
        <v>385</v>
      </c>
      <c r="L5" s="222">
        <v>46.07</v>
      </c>
      <c r="M5" s="223">
        <f t="shared" si="4"/>
        <v>2.4691472303209103E-5</v>
      </c>
      <c r="N5" s="249"/>
      <c r="O5" s="250"/>
      <c r="P5" s="211"/>
      <c r="Q5" s="211"/>
      <c r="R5" s="211"/>
      <c r="S5" s="211"/>
      <c r="T5" s="211"/>
    </row>
    <row r="6" spans="1:20">
      <c r="A6" s="217" t="s">
        <v>386</v>
      </c>
      <c r="B6" s="218">
        <v>0</v>
      </c>
      <c r="C6" s="218">
        <v>109.103962665357</v>
      </c>
      <c r="D6" s="218">
        <v>1.6568708542662101</v>
      </c>
      <c r="E6" s="219">
        <f t="shared" si="0"/>
        <v>110.76083351962322</v>
      </c>
      <c r="F6" s="219">
        <f t="shared" si="1"/>
        <v>0.21472079781275122</v>
      </c>
      <c r="G6" s="220">
        <f>-(-394*2+283)/2</f>
        <v>252.5</v>
      </c>
      <c r="H6" s="221">
        <f t="shared" si="2"/>
        <v>27967110.463704862</v>
      </c>
      <c r="I6" s="221">
        <f t="shared" si="3"/>
        <v>212060815223.43643</v>
      </c>
      <c r="J6" s="210"/>
      <c r="K6" s="217" t="s">
        <v>386</v>
      </c>
      <c r="L6" s="227">
        <v>28.01</v>
      </c>
      <c r="M6" s="223">
        <f t="shared" si="4"/>
        <v>24819287.575077172</v>
      </c>
      <c r="N6" s="249"/>
      <c r="O6" s="250"/>
      <c r="P6" s="211"/>
      <c r="Q6" s="211"/>
      <c r="R6" s="211"/>
      <c r="S6" s="211"/>
      <c r="T6" s="211"/>
    </row>
    <row r="7" spans="1:20">
      <c r="A7" s="217" t="s">
        <v>387</v>
      </c>
      <c r="B7" s="218">
        <v>0</v>
      </c>
      <c r="C7" s="218">
        <v>2.2480922333580899</v>
      </c>
      <c r="D7" s="218">
        <v>1.9582718370990001E-3</v>
      </c>
      <c r="E7" s="219">
        <f t="shared" si="0"/>
        <v>2.2500505051951891</v>
      </c>
      <c r="F7" s="219">
        <f t="shared" si="1"/>
        <v>4.36194477995599E-3</v>
      </c>
      <c r="G7" s="219">
        <v>286</v>
      </c>
      <c r="H7" s="221">
        <f t="shared" si="2"/>
        <v>643514.44448582409</v>
      </c>
      <c r="I7" s="221">
        <f t="shared" si="3"/>
        <v>4879452880.2974167</v>
      </c>
      <c r="J7" s="210"/>
      <c r="K7" s="217" t="s">
        <v>387</v>
      </c>
      <c r="L7" s="227">
        <v>2</v>
      </c>
      <c r="M7" s="223">
        <f t="shared" si="4"/>
        <v>36000.808083123025</v>
      </c>
      <c r="N7" s="249"/>
      <c r="O7" s="250"/>
      <c r="P7" s="211"/>
      <c r="Q7" s="211"/>
      <c r="R7" s="211"/>
      <c r="S7" s="211"/>
      <c r="T7" s="211"/>
    </row>
    <row r="8" spans="1:20" ht="12.75">
      <c r="A8" s="217" t="s">
        <v>388</v>
      </c>
      <c r="B8" s="218">
        <v>338.493595606741</v>
      </c>
      <c r="C8" s="218">
        <v>1.16696926242107E-3</v>
      </c>
      <c r="D8" s="218">
        <v>3.3176521100203103E-2</v>
      </c>
      <c r="E8" s="219">
        <f t="shared" si="0"/>
        <v>338.52793909710363</v>
      </c>
      <c r="F8" s="219">
        <f t="shared" si="1"/>
        <v>0.6562697919021927</v>
      </c>
      <c r="G8" s="220">
        <v>0</v>
      </c>
      <c r="H8" s="221">
        <f t="shared" si="2"/>
        <v>0</v>
      </c>
      <c r="I8" s="221">
        <f t="shared" si="3"/>
        <v>0</v>
      </c>
      <c r="J8" s="210"/>
      <c r="K8" s="217" t="s">
        <v>388</v>
      </c>
      <c r="L8" s="228">
        <v>18</v>
      </c>
      <c r="M8" s="223">
        <f t="shared" si="4"/>
        <v>48748023.22998292</v>
      </c>
      <c r="N8" s="249"/>
      <c r="O8" s="250"/>
      <c r="P8" s="211"/>
      <c r="Q8" s="211"/>
      <c r="R8" s="211"/>
      <c r="S8" s="211"/>
      <c r="T8" s="211"/>
    </row>
    <row r="9" spans="1:20" ht="12.75">
      <c r="A9" s="217" t="s">
        <v>389</v>
      </c>
      <c r="B9" s="218">
        <v>0</v>
      </c>
      <c r="C9" s="218">
        <v>0</v>
      </c>
      <c r="D9" s="218">
        <v>0</v>
      </c>
      <c r="E9" s="219">
        <f t="shared" si="0"/>
        <v>0</v>
      </c>
      <c r="F9" s="219">
        <f t="shared" si="1"/>
        <v>0</v>
      </c>
      <c r="G9" s="219">
        <v>890.7</v>
      </c>
      <c r="H9" s="221">
        <f t="shared" si="2"/>
        <v>0</v>
      </c>
      <c r="I9" s="221">
        <f t="shared" si="3"/>
        <v>0</v>
      </c>
      <c r="J9" s="210"/>
      <c r="K9" s="217" t="s">
        <v>389</v>
      </c>
      <c r="L9" s="228">
        <v>16.04</v>
      </c>
      <c r="M9" s="223">
        <f t="shared" si="4"/>
        <v>0</v>
      </c>
      <c r="N9" s="251"/>
      <c r="O9" s="253"/>
      <c r="P9" s="211"/>
      <c r="Q9" s="211"/>
      <c r="R9" s="211"/>
      <c r="S9" s="211"/>
      <c r="T9" s="211"/>
    </row>
    <row r="10" spans="1:20" ht="12.75">
      <c r="A10" s="229" t="s">
        <v>390</v>
      </c>
      <c r="B10" s="230">
        <f t="shared" ref="B10:F10" si="5">SUM(B3:B8)</f>
        <v>348.97963706248538</v>
      </c>
      <c r="C10" s="230">
        <f t="shared" si="5"/>
        <v>116.43818502988533</v>
      </c>
      <c r="D10" s="230">
        <f t="shared" si="5"/>
        <v>50.418718419242808</v>
      </c>
      <c r="E10" s="230">
        <f t="shared" si="5"/>
        <v>515.83654051161352</v>
      </c>
      <c r="F10" s="230">
        <f t="shared" si="5"/>
        <v>1</v>
      </c>
      <c r="G10" s="229" t="s">
        <v>17</v>
      </c>
      <c r="H10" s="231">
        <f t="shared" ref="H10:I10" si="6">SUM(H3:H9)</f>
        <v>113885921.69398431</v>
      </c>
      <c r="I10" s="231">
        <f t="shared" si="6"/>
        <v>863540816211.28125</v>
      </c>
      <c r="J10" s="210"/>
      <c r="K10" s="232"/>
      <c r="L10" s="211"/>
      <c r="M10" s="211"/>
      <c r="N10" s="211"/>
      <c r="O10" s="211"/>
      <c r="P10" s="211"/>
      <c r="Q10" s="211"/>
      <c r="R10" s="211"/>
      <c r="S10" s="211"/>
      <c r="T10" s="211"/>
    </row>
    <row r="11" spans="1:20" ht="12.75">
      <c r="A11" s="210"/>
      <c r="B11" s="210"/>
      <c r="C11" s="233"/>
      <c r="D11" s="233"/>
      <c r="E11" s="233"/>
      <c r="F11" s="233"/>
      <c r="G11" s="233"/>
      <c r="H11" s="210"/>
      <c r="I11" s="210"/>
      <c r="J11" s="210"/>
      <c r="P11" s="211"/>
    </row>
    <row r="12" spans="1:20" ht="39" customHeight="1">
      <c r="A12" s="284" t="s">
        <v>391</v>
      </c>
      <c r="B12" s="240"/>
      <c r="C12" s="240"/>
      <c r="D12" s="240"/>
      <c r="E12" s="240"/>
      <c r="F12" s="240"/>
      <c r="G12" s="240"/>
      <c r="H12" s="240"/>
      <c r="I12" s="241"/>
      <c r="J12" s="210"/>
      <c r="K12" s="285" t="s">
        <v>363</v>
      </c>
      <c r="L12" s="238"/>
      <c r="M12" s="238"/>
      <c r="N12" s="238"/>
      <c r="O12" s="238"/>
      <c r="P12" s="211"/>
      <c r="Q12" s="285" t="s">
        <v>364</v>
      </c>
      <c r="R12" s="238"/>
      <c r="S12" s="238"/>
      <c r="T12" s="238"/>
    </row>
    <row r="13" spans="1:20" ht="12.75">
      <c r="A13" s="212" t="s">
        <v>365</v>
      </c>
      <c r="B13" s="212" t="s">
        <v>366</v>
      </c>
      <c r="C13" s="213" t="s">
        <v>367</v>
      </c>
      <c r="D13" s="212" t="s">
        <v>368</v>
      </c>
      <c r="E13" s="212" t="s">
        <v>369</v>
      </c>
      <c r="F13" s="212" t="s">
        <v>370</v>
      </c>
      <c r="G13" s="212" t="s">
        <v>371</v>
      </c>
      <c r="H13" s="212" t="s">
        <v>372</v>
      </c>
      <c r="I13" s="212" t="s">
        <v>373</v>
      </c>
      <c r="J13" s="210"/>
      <c r="K13" s="214" t="s">
        <v>374</v>
      </c>
      <c r="L13" s="215" t="s">
        <v>375</v>
      </c>
      <c r="M13" s="216" t="s">
        <v>376</v>
      </c>
      <c r="N13" s="216" t="s">
        <v>377</v>
      </c>
      <c r="O13" s="216" t="s">
        <v>378</v>
      </c>
      <c r="P13" s="211"/>
      <c r="Q13" s="216" t="s">
        <v>379</v>
      </c>
      <c r="R13" s="216" t="s">
        <v>380</v>
      </c>
      <c r="S13" s="216" t="s">
        <v>381</v>
      </c>
      <c r="T13" s="216" t="s">
        <v>382</v>
      </c>
    </row>
    <row r="14" spans="1:20" ht="12.75">
      <c r="A14" s="217" t="s">
        <v>383</v>
      </c>
      <c r="B14" s="219">
        <v>0</v>
      </c>
      <c r="C14" s="218">
        <v>4.7625075414202902</v>
      </c>
      <c r="D14" s="218">
        <v>35.723094424131197</v>
      </c>
      <c r="E14" s="219">
        <f t="shared" ref="E14:E20" si="7">SUM(B14:D14)</f>
        <v>40.485601965551488</v>
      </c>
      <c r="F14" s="219">
        <f t="shared" ref="F14:F20" si="8">E14/$E$10</f>
        <v>7.8485331662230304E-2</v>
      </c>
      <c r="G14" s="220">
        <v>1672</v>
      </c>
      <c r="H14" s="221">
        <f t="shared" ref="H14:H20" si="9">G14*E14*1000</f>
        <v>67691926.486402094</v>
      </c>
      <c r="I14" s="221">
        <f t="shared" ref="I14:I20" si="10">H14/1.05506*8000</f>
        <v>513274516985.96924</v>
      </c>
      <c r="J14" s="210"/>
      <c r="K14" s="217" t="s">
        <v>383</v>
      </c>
      <c r="L14" s="222">
        <v>74.08</v>
      </c>
      <c r="M14" s="223">
        <f t="shared" ref="M14:M20" si="11">E14*L14*8000</f>
        <v>23993387.148864433</v>
      </c>
      <c r="N14" s="223">
        <f>SUM(M14:M20)</f>
        <v>103612973.49394171</v>
      </c>
      <c r="O14" s="224">
        <f>N14*43/1000</f>
        <v>4455357.8602394937</v>
      </c>
      <c r="P14" s="211"/>
      <c r="Q14" s="225">
        <f>I21</f>
        <v>865129848222.91772</v>
      </c>
      <c r="R14" s="234">
        <v>5.8</v>
      </c>
      <c r="S14" s="225">
        <f>R14*Q14/10^6</f>
        <v>5017753.1196929226</v>
      </c>
      <c r="T14" s="225">
        <f>S14/0.8</f>
        <v>6272191.399616153</v>
      </c>
    </row>
    <row r="15" spans="1:20" ht="12.75">
      <c r="A15" s="217" t="s">
        <v>384</v>
      </c>
      <c r="B15" s="218">
        <v>10.482320898191301</v>
      </c>
      <c r="C15" s="235">
        <v>0.296540619320808</v>
      </c>
      <c r="D15" s="218">
        <v>12.7474294619202</v>
      </c>
      <c r="E15" s="219">
        <f t="shared" si="7"/>
        <v>23.526290979432311</v>
      </c>
      <c r="F15" s="219">
        <f t="shared" si="8"/>
        <v>4.5608034971889783E-2</v>
      </c>
      <c r="G15" s="220">
        <v>726.1</v>
      </c>
      <c r="H15" s="221">
        <f t="shared" si="9"/>
        <v>17082439.880165804</v>
      </c>
      <c r="I15" s="221">
        <f t="shared" si="10"/>
        <v>129527722633.14543</v>
      </c>
      <c r="J15" s="210"/>
      <c r="K15" s="217" t="s">
        <v>384</v>
      </c>
      <c r="L15" s="222">
        <v>32.04</v>
      </c>
      <c r="M15" s="223">
        <f t="shared" si="11"/>
        <v>6030258.9038480902</v>
      </c>
      <c r="N15" s="286"/>
      <c r="O15" s="248"/>
      <c r="P15" s="211"/>
      <c r="Q15" s="211"/>
      <c r="R15" s="236"/>
    </row>
    <row r="16" spans="1:20" ht="12.75">
      <c r="A16" s="217" t="s">
        <v>385</v>
      </c>
      <c r="B16" s="218">
        <v>6.6958948686328305E-11</v>
      </c>
      <c r="C16" s="218">
        <v>8.1696330663650604E-2</v>
      </c>
      <c r="D16" s="218">
        <v>0.23276532442905101</v>
      </c>
      <c r="E16" s="219">
        <f t="shared" si="7"/>
        <v>0.31446165515966057</v>
      </c>
      <c r="F16" s="219">
        <f t="shared" si="8"/>
        <v>6.0961492733293643E-4</v>
      </c>
      <c r="G16" s="220">
        <v>2726.3</v>
      </c>
      <c r="H16" s="221">
        <f t="shared" si="9"/>
        <v>857316.81046178262</v>
      </c>
      <c r="I16" s="221">
        <f t="shared" si="10"/>
        <v>6500610850.277956</v>
      </c>
      <c r="J16" s="210"/>
      <c r="K16" s="217" t="s">
        <v>385</v>
      </c>
      <c r="L16" s="222">
        <v>46.07</v>
      </c>
      <c r="M16" s="223">
        <f t="shared" si="11"/>
        <v>115897.9876256445</v>
      </c>
      <c r="N16" s="249"/>
      <c r="O16" s="250"/>
      <c r="P16" s="211"/>
      <c r="Q16" s="211"/>
      <c r="R16" s="236"/>
    </row>
    <row r="17" spans="1:18">
      <c r="A17" s="217" t="s">
        <v>386</v>
      </c>
      <c r="B17" s="218">
        <v>0</v>
      </c>
      <c r="C17" s="218">
        <v>108.524576892835</v>
      </c>
      <c r="D17" s="218">
        <v>1.6548447239233699</v>
      </c>
      <c r="E17" s="219">
        <f t="shared" si="7"/>
        <v>110.17942161675838</v>
      </c>
      <c r="F17" s="219">
        <f t="shared" si="8"/>
        <v>0.21359367350649677</v>
      </c>
      <c r="G17" s="220">
        <f>-(-394*2+283)/2</f>
        <v>252.5</v>
      </c>
      <c r="H17" s="221">
        <f t="shared" si="9"/>
        <v>27820303.95823149</v>
      </c>
      <c r="I17" s="221">
        <f t="shared" si="10"/>
        <v>210947653845.13858</v>
      </c>
      <c r="J17" s="210"/>
      <c r="K17" s="217" t="s">
        <v>386</v>
      </c>
      <c r="L17" s="227">
        <v>28.01</v>
      </c>
      <c r="M17" s="223">
        <f t="shared" si="11"/>
        <v>24689004.79588322</v>
      </c>
      <c r="N17" s="249"/>
      <c r="O17" s="250"/>
      <c r="P17" s="211"/>
      <c r="Q17" s="211"/>
      <c r="R17" s="236"/>
    </row>
    <row r="18" spans="1:18">
      <c r="A18" s="217" t="s">
        <v>387</v>
      </c>
      <c r="B18" s="218">
        <v>0</v>
      </c>
      <c r="C18" s="218">
        <v>2.2480339871064698</v>
      </c>
      <c r="D18" s="218">
        <v>1.9662681305607E-3</v>
      </c>
      <c r="E18" s="219">
        <f t="shared" si="7"/>
        <v>2.2500002552370306</v>
      </c>
      <c r="F18" s="219">
        <f t="shared" si="8"/>
        <v>4.3618473654569922E-3</v>
      </c>
      <c r="G18" s="219">
        <v>286</v>
      </c>
      <c r="H18" s="221">
        <f t="shared" si="9"/>
        <v>643500.07299779076</v>
      </c>
      <c r="I18" s="221">
        <f t="shared" si="10"/>
        <v>4879343908.3865614</v>
      </c>
      <c r="J18" s="210"/>
      <c r="K18" s="217" t="s">
        <v>387</v>
      </c>
      <c r="L18" s="227">
        <v>2</v>
      </c>
      <c r="M18" s="223">
        <f t="shared" si="11"/>
        <v>36000.00408379249</v>
      </c>
      <c r="N18" s="249"/>
      <c r="O18" s="250"/>
      <c r="P18" s="211"/>
      <c r="Q18" s="211"/>
      <c r="R18" s="236"/>
    </row>
    <row r="19" spans="1:18" ht="12.75">
      <c r="A19" s="217" t="s">
        <v>388</v>
      </c>
      <c r="B19" s="218">
        <v>338.49695675346402</v>
      </c>
      <c r="C19" s="218">
        <v>1.1604837865091401E-3</v>
      </c>
      <c r="D19" s="218">
        <v>3.2609524114317903E-2</v>
      </c>
      <c r="E19" s="219">
        <f t="shared" si="7"/>
        <v>338.53072676136486</v>
      </c>
      <c r="F19" s="219">
        <f t="shared" si="8"/>
        <v>0.65627519606425244</v>
      </c>
      <c r="G19" s="220">
        <v>0</v>
      </c>
      <c r="H19" s="221">
        <f t="shared" si="9"/>
        <v>0</v>
      </c>
      <c r="I19" s="221">
        <f t="shared" si="10"/>
        <v>0</v>
      </c>
      <c r="J19" s="210"/>
      <c r="K19" s="217" t="s">
        <v>388</v>
      </c>
      <c r="L19" s="228">
        <v>18</v>
      </c>
      <c r="M19" s="223">
        <f t="shared" si="11"/>
        <v>48748424.653636537</v>
      </c>
      <c r="N19" s="249"/>
      <c r="O19" s="250"/>
      <c r="P19" s="211"/>
      <c r="Q19" s="211"/>
      <c r="R19" s="236"/>
    </row>
    <row r="20" spans="1:18" ht="12.75">
      <c r="A20" s="217" t="s">
        <v>389</v>
      </c>
      <c r="B20" s="218">
        <v>0</v>
      </c>
      <c r="C20" s="218">
        <v>0</v>
      </c>
      <c r="D20" s="218">
        <v>0</v>
      </c>
      <c r="E20" s="219">
        <f t="shared" si="7"/>
        <v>0</v>
      </c>
      <c r="F20" s="219">
        <f t="shared" si="8"/>
        <v>0</v>
      </c>
      <c r="G20" s="219">
        <v>890.7</v>
      </c>
      <c r="H20" s="221">
        <f t="shared" si="9"/>
        <v>0</v>
      </c>
      <c r="I20" s="221">
        <f t="shared" si="10"/>
        <v>0</v>
      </c>
      <c r="J20" s="210"/>
      <c r="K20" s="217" t="s">
        <v>389</v>
      </c>
      <c r="L20" s="228">
        <v>16.04</v>
      </c>
      <c r="M20" s="223">
        <f t="shared" si="11"/>
        <v>0</v>
      </c>
      <c r="N20" s="251"/>
      <c r="O20" s="253"/>
      <c r="P20" s="211"/>
      <c r="Q20" s="211"/>
      <c r="R20" s="236"/>
    </row>
    <row r="21" spans="1:18" ht="12.75">
      <c r="A21" s="229" t="s">
        <v>390</v>
      </c>
      <c r="B21" s="230">
        <f t="shared" ref="B21:F21" si="12">SUM(B14:B19)</f>
        <v>348.97927765172227</v>
      </c>
      <c r="C21" s="230">
        <f t="shared" si="12"/>
        <v>115.91451585513272</v>
      </c>
      <c r="D21" s="230">
        <f t="shared" si="12"/>
        <v>50.392709726648697</v>
      </c>
      <c r="E21" s="230">
        <f t="shared" si="12"/>
        <v>515.28650323350371</v>
      </c>
      <c r="F21" s="230">
        <f t="shared" si="12"/>
        <v>0.99893369849765923</v>
      </c>
      <c r="G21" s="229" t="s">
        <v>17</v>
      </c>
      <c r="H21" s="231">
        <f t="shared" ref="H21:I21" si="13">SUM(H14:H20)</f>
        <v>114095487.20825897</v>
      </c>
      <c r="I21" s="231">
        <f t="shared" si="13"/>
        <v>865129848222.91772</v>
      </c>
      <c r="J21" s="210"/>
      <c r="K21" s="232"/>
      <c r="L21" s="211"/>
      <c r="M21" s="211"/>
      <c r="N21" s="211"/>
      <c r="O21" s="211"/>
      <c r="P21" s="211"/>
      <c r="Q21" s="211"/>
      <c r="R21" s="236"/>
    </row>
  </sheetData>
  <mergeCells count="8">
    <mergeCell ref="N15:O20"/>
    <mergeCell ref="A1:I1"/>
    <mergeCell ref="K1:O1"/>
    <mergeCell ref="Q1:T1"/>
    <mergeCell ref="N4:O9"/>
    <mergeCell ref="A12:I12"/>
    <mergeCell ref="K12:O12"/>
    <mergeCell ref="Q12:T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Comparison in Price</vt:lpstr>
      <vt:lpstr>Sizing No HI</vt:lpstr>
      <vt:lpstr>Sizing HI</vt:lpstr>
      <vt:lpstr>VGA - No HI</vt:lpstr>
      <vt:lpstr>VGA - HI</vt:lpstr>
      <vt:lpstr>COM - No HI</vt:lpstr>
      <vt:lpstr>COM - HI</vt:lpstr>
      <vt:lpstr>Utilities compare</vt:lpstr>
      <vt:lpstr>Flash Tank Info for COM</vt:lpstr>
      <vt:lpstr>'COM - No HI'!ppd</vt:lpstr>
      <vt:lpstr>ppd</vt:lpstr>
      <vt:lpstr>'COM - No HI'!PROD</vt:lpstr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Fayeed, Abdul</cp:lastModifiedBy>
  <dcterms:modified xsi:type="dcterms:W3CDTF">2022-05-12T01:23:02Z</dcterms:modified>
</cp:coreProperties>
</file>