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afayeed\Downloads\"/>
    </mc:Choice>
  </mc:AlternateContent>
  <xr:revisionPtr revIDLastSave="0" documentId="13_ncr:1_{F38A2CD3-C3E2-413C-AF54-5A171AE0D2F6}" xr6:coauthVersionLast="36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Final NPV - No HI" sheetId="11" r:id="rId1"/>
    <sheet name="Final NPV - HI" sheetId="12" r:id="rId2"/>
  </sheets>
  <definedNames>
    <definedName name="_xlnm.Print_Area" localSheetId="1">'Final NPV - HI'!$A$2:$P$56</definedName>
    <definedName name="_xlnm.Print_Area" localSheetId="0">'Final NPV - No HI'!$A$2:$P$56</definedName>
    <definedName name="solver_adj" localSheetId="1" hidden="1">'Final NPV - HI'!$E$16</definedName>
    <definedName name="solver_adj" localSheetId="0" hidden="1">'Final NPV - No HI'!$E$16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'Final NPV - HI'!$E$16</definedName>
    <definedName name="solver_lhs1" localSheetId="0" hidden="1">'Final NPV - No HI'!$E$16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'Final NPV - HI'!$P$55</definedName>
    <definedName name="solver_opt" localSheetId="0" hidden="1">'Final NPV - No HI'!$P$55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hs1" localSheetId="1" hidden="1">25</definedName>
    <definedName name="solver_rhs1" localSheetId="0" hidden="1">25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 calcMode="manual"/>
</workbook>
</file>

<file path=xl/calcChain.xml><?xml version="1.0" encoding="utf-8"?>
<calcChain xmlns="http://schemas.openxmlformats.org/spreadsheetml/2006/main">
  <c r="E18" i="11" l="1"/>
  <c r="G25" i="12"/>
  <c r="G24" i="12"/>
  <c r="E19" i="12"/>
  <c r="F19" i="12"/>
  <c r="P41" i="12" s="1"/>
  <c r="S51" i="12"/>
  <c r="F47" i="12"/>
  <c r="E47" i="12"/>
  <c r="L41" i="12"/>
  <c r="K41" i="12"/>
  <c r="J41" i="12"/>
  <c r="I41" i="12"/>
  <c r="E41" i="12"/>
  <c r="F39" i="12"/>
  <c r="E39" i="12"/>
  <c r="G36" i="12"/>
  <c r="G47" i="12" s="1"/>
  <c r="P35" i="12"/>
  <c r="O35" i="12"/>
  <c r="N35" i="12"/>
  <c r="M35" i="12"/>
  <c r="L35" i="12"/>
  <c r="K35" i="12"/>
  <c r="J35" i="12"/>
  <c r="I35" i="12"/>
  <c r="H35" i="12"/>
  <c r="G34" i="12"/>
  <c r="H34" i="12" s="1"/>
  <c r="H33" i="12"/>
  <c r="I33" i="12" s="1"/>
  <c r="J33" i="12" s="1"/>
  <c r="F30" i="12"/>
  <c r="E30" i="12"/>
  <c r="E42" i="12" s="1"/>
  <c r="P29" i="12"/>
  <c r="O29" i="12"/>
  <c r="N29" i="12"/>
  <c r="M29" i="12"/>
  <c r="L29" i="12"/>
  <c r="K29" i="12"/>
  <c r="J29" i="12"/>
  <c r="I29" i="12"/>
  <c r="H29" i="12"/>
  <c r="G29" i="12"/>
  <c r="G30" i="12"/>
  <c r="F8" i="12"/>
  <c r="F7" i="12" s="1"/>
  <c r="G34" i="11"/>
  <c r="G25" i="11"/>
  <c r="G24" i="11"/>
  <c r="F19" i="11"/>
  <c r="I41" i="11" s="1"/>
  <c r="E19" i="11"/>
  <c r="S51" i="11" s="1"/>
  <c r="F47" i="11"/>
  <c r="E47" i="11"/>
  <c r="N41" i="11"/>
  <c r="M41" i="11"/>
  <c r="L41" i="11"/>
  <c r="F41" i="11"/>
  <c r="E41" i="11"/>
  <c r="F39" i="11"/>
  <c r="E39" i="11"/>
  <c r="G36" i="11"/>
  <c r="G47" i="11" s="1"/>
  <c r="P35" i="11"/>
  <c r="O35" i="11"/>
  <c r="N35" i="11"/>
  <c r="M35" i="11"/>
  <c r="L35" i="11"/>
  <c r="K35" i="11"/>
  <c r="J35" i="11"/>
  <c r="I35" i="11"/>
  <c r="H35" i="11"/>
  <c r="H34" i="11"/>
  <c r="I34" i="11" s="1"/>
  <c r="H33" i="11"/>
  <c r="I33" i="11" s="1"/>
  <c r="J33" i="11" s="1"/>
  <c r="G30" i="11"/>
  <c r="F30" i="11"/>
  <c r="F42" i="11" s="1"/>
  <c r="E30" i="11"/>
  <c r="E42" i="11" s="1"/>
  <c r="P29" i="11"/>
  <c r="O29" i="11"/>
  <c r="N29" i="11"/>
  <c r="M29" i="11"/>
  <c r="L29" i="11"/>
  <c r="K29" i="11"/>
  <c r="J29" i="11"/>
  <c r="I29" i="11"/>
  <c r="H29" i="11"/>
  <c r="G29" i="11"/>
  <c r="E20" i="11"/>
  <c r="F8" i="11"/>
  <c r="G8" i="11" s="1"/>
  <c r="F7" i="11"/>
  <c r="M41" i="12" l="1"/>
  <c r="F41" i="12"/>
  <c r="N41" i="12"/>
  <c r="G41" i="12"/>
  <c r="G42" i="12" s="1"/>
  <c r="G49" i="12" s="1"/>
  <c r="O41" i="12"/>
  <c r="E20" i="12"/>
  <c r="E21" i="12" s="1"/>
  <c r="E48" i="12" s="1"/>
  <c r="H41" i="12"/>
  <c r="H36" i="12"/>
  <c r="I34" i="12"/>
  <c r="G40" i="12"/>
  <c r="K33" i="12"/>
  <c r="F49" i="12"/>
  <c r="G8" i="12"/>
  <c r="F40" i="12"/>
  <c r="F42" i="12"/>
  <c r="F43" i="12" s="1"/>
  <c r="F44" i="12" s="1"/>
  <c r="F50" i="12" s="1"/>
  <c r="G39" i="12"/>
  <c r="E49" i="12"/>
  <c r="E40" i="12"/>
  <c r="E43" i="12" s="1"/>
  <c r="E44" i="12" s="1"/>
  <c r="E50" i="12" s="1"/>
  <c r="H36" i="11"/>
  <c r="H47" i="11" s="1"/>
  <c r="K33" i="11"/>
  <c r="F43" i="11"/>
  <c r="F44" i="11" s="1"/>
  <c r="F50" i="11" s="1"/>
  <c r="I36" i="11"/>
  <c r="J34" i="11"/>
  <c r="K34" i="11" s="1"/>
  <c r="L34" i="11" s="1"/>
  <c r="M34" i="11" s="1"/>
  <c r="N34" i="11" s="1"/>
  <c r="O34" i="11" s="1"/>
  <c r="P34" i="11" s="1"/>
  <c r="G7" i="11"/>
  <c r="H8" i="11"/>
  <c r="G40" i="11"/>
  <c r="K41" i="11"/>
  <c r="G42" i="11"/>
  <c r="G49" i="11" s="1"/>
  <c r="G39" i="11"/>
  <c r="G41" i="11"/>
  <c r="O41" i="11"/>
  <c r="E49" i="11"/>
  <c r="H41" i="11"/>
  <c r="P41" i="11"/>
  <c r="F49" i="11"/>
  <c r="F20" i="11"/>
  <c r="F21" i="11" s="1"/>
  <c r="F48" i="11" s="1"/>
  <c r="F52" i="11" s="1"/>
  <c r="E21" i="11"/>
  <c r="E48" i="11" s="1"/>
  <c r="E40" i="11"/>
  <c r="E43" i="11" s="1"/>
  <c r="E44" i="11" s="1"/>
  <c r="E50" i="11" s="1"/>
  <c r="F40" i="11"/>
  <c r="J41" i="11"/>
  <c r="F20" i="12" l="1"/>
  <c r="G43" i="12"/>
  <c r="G44" i="12" s="1"/>
  <c r="G50" i="12" s="1"/>
  <c r="E52" i="12"/>
  <c r="L33" i="12"/>
  <c r="I36" i="12"/>
  <c r="J34" i="12"/>
  <c r="G7" i="12"/>
  <c r="H8" i="12"/>
  <c r="H47" i="12"/>
  <c r="H39" i="12"/>
  <c r="H39" i="11"/>
  <c r="E52" i="11"/>
  <c r="H7" i="11"/>
  <c r="H28" i="11"/>
  <c r="I28" i="11" s="1"/>
  <c r="J28" i="11" s="1"/>
  <c r="K28" i="11" s="1"/>
  <c r="L28" i="11" s="1"/>
  <c r="M28" i="11" s="1"/>
  <c r="N28" i="11" s="1"/>
  <c r="O28" i="11" s="1"/>
  <c r="P28" i="11" s="1"/>
  <c r="H25" i="11"/>
  <c r="I25" i="11" s="1"/>
  <c r="J25" i="11" s="1"/>
  <c r="K25" i="11" s="1"/>
  <c r="L25" i="11" s="1"/>
  <c r="M25" i="11" s="1"/>
  <c r="N25" i="11" s="1"/>
  <c r="O25" i="11" s="1"/>
  <c r="P25" i="11" s="1"/>
  <c r="H27" i="11"/>
  <c r="I27" i="11" s="1"/>
  <c r="J27" i="11" s="1"/>
  <c r="K27" i="11" s="1"/>
  <c r="L27" i="11" s="1"/>
  <c r="M27" i="11" s="1"/>
  <c r="N27" i="11" s="1"/>
  <c r="O27" i="11" s="1"/>
  <c r="P27" i="11" s="1"/>
  <c r="I8" i="11"/>
  <c r="H26" i="11"/>
  <c r="I26" i="11" s="1"/>
  <c r="H24" i="11"/>
  <c r="K36" i="11"/>
  <c r="L33" i="11"/>
  <c r="J36" i="11"/>
  <c r="G43" i="11"/>
  <c r="G44" i="11" s="1"/>
  <c r="G50" i="11" s="1"/>
  <c r="G20" i="11"/>
  <c r="I47" i="11"/>
  <c r="I39" i="11"/>
  <c r="S50" i="11"/>
  <c r="G20" i="12" l="1"/>
  <c r="G21" i="12" s="1"/>
  <c r="G48" i="12" s="1"/>
  <c r="G52" i="12" s="1"/>
  <c r="F21" i="12"/>
  <c r="F48" i="12" s="1"/>
  <c r="F52" i="12" s="1"/>
  <c r="S50" i="12"/>
  <c r="I39" i="12"/>
  <c r="I47" i="12"/>
  <c r="M33" i="12"/>
  <c r="H28" i="12"/>
  <c r="I28" i="12" s="1"/>
  <c r="J28" i="12" s="1"/>
  <c r="K28" i="12" s="1"/>
  <c r="L28" i="12" s="1"/>
  <c r="M28" i="12" s="1"/>
  <c r="N28" i="12" s="1"/>
  <c r="O28" i="12" s="1"/>
  <c r="P28" i="12" s="1"/>
  <c r="H7" i="12"/>
  <c r="H27" i="12"/>
  <c r="I27" i="12" s="1"/>
  <c r="J27" i="12" s="1"/>
  <c r="K27" i="12" s="1"/>
  <c r="L27" i="12" s="1"/>
  <c r="M27" i="12" s="1"/>
  <c r="N27" i="12" s="1"/>
  <c r="O27" i="12" s="1"/>
  <c r="P27" i="12" s="1"/>
  <c r="H26" i="12"/>
  <c r="I26" i="12" s="1"/>
  <c r="H24" i="12"/>
  <c r="I8" i="12"/>
  <c r="H25" i="12"/>
  <c r="I25" i="12" s="1"/>
  <c r="J25" i="12" s="1"/>
  <c r="K25" i="12" s="1"/>
  <c r="L25" i="12" s="1"/>
  <c r="M25" i="12" s="1"/>
  <c r="N25" i="12" s="1"/>
  <c r="O25" i="12" s="1"/>
  <c r="P25" i="12" s="1"/>
  <c r="G55" i="12"/>
  <c r="F55" i="12"/>
  <c r="E55" i="12"/>
  <c r="K34" i="12"/>
  <c r="J36" i="12"/>
  <c r="I7" i="11"/>
  <c r="J8" i="11"/>
  <c r="J26" i="11"/>
  <c r="K26" i="11" s="1"/>
  <c r="L26" i="11" s="1"/>
  <c r="M26" i="11" s="1"/>
  <c r="N26" i="11" s="1"/>
  <c r="O26" i="11" s="1"/>
  <c r="P26" i="11" s="1"/>
  <c r="S47" i="11"/>
  <c r="J47" i="11"/>
  <c r="J39" i="11"/>
  <c r="L36" i="11"/>
  <c r="M33" i="11"/>
  <c r="G21" i="11"/>
  <c r="G48" i="11" s="1"/>
  <c r="G52" i="11" s="1"/>
  <c r="K47" i="11"/>
  <c r="K39" i="11"/>
  <c r="I24" i="11"/>
  <c r="H30" i="11"/>
  <c r="G55" i="11"/>
  <c r="F55" i="11"/>
  <c r="E55" i="11"/>
  <c r="N33" i="12" l="1"/>
  <c r="J47" i="12"/>
  <c r="J39" i="12"/>
  <c r="I7" i="12"/>
  <c r="J8" i="12"/>
  <c r="L34" i="12"/>
  <c r="K36" i="12"/>
  <c r="H30" i="12"/>
  <c r="I24" i="12"/>
  <c r="J26" i="12"/>
  <c r="K26" i="12" s="1"/>
  <c r="L26" i="12" s="1"/>
  <c r="M26" i="12" s="1"/>
  <c r="N26" i="12" s="1"/>
  <c r="O26" i="12" s="1"/>
  <c r="P26" i="12" s="1"/>
  <c r="S47" i="12"/>
  <c r="K8" i="11"/>
  <c r="J7" i="11"/>
  <c r="H20" i="11"/>
  <c r="H42" i="11"/>
  <c r="H49" i="11" s="1"/>
  <c r="H40" i="11"/>
  <c r="H43" i="11" s="1"/>
  <c r="H44" i="11" s="1"/>
  <c r="H50" i="11" s="1"/>
  <c r="M36" i="11"/>
  <c r="N33" i="11"/>
  <c r="S46" i="11"/>
  <c r="I30" i="11"/>
  <c r="J24" i="11"/>
  <c r="L47" i="11"/>
  <c r="L39" i="11"/>
  <c r="K8" i="12" l="1"/>
  <c r="J7" i="12"/>
  <c r="K39" i="12"/>
  <c r="K47" i="12"/>
  <c r="O33" i="12"/>
  <c r="M34" i="12"/>
  <c r="L36" i="12"/>
  <c r="I30" i="12"/>
  <c r="S46" i="12"/>
  <c r="J24" i="12"/>
  <c r="H42" i="12"/>
  <c r="H20" i="12"/>
  <c r="H49" i="12"/>
  <c r="H40" i="12"/>
  <c r="L8" i="11"/>
  <c r="K7" i="11"/>
  <c r="M47" i="11"/>
  <c r="M39" i="11"/>
  <c r="N36" i="11"/>
  <c r="O33" i="11"/>
  <c r="H21" i="11"/>
  <c r="H48" i="11" s="1"/>
  <c r="H52" i="11" s="1"/>
  <c r="I42" i="11"/>
  <c r="S48" i="11" s="1"/>
  <c r="S49" i="11" s="1"/>
  <c r="I40" i="11"/>
  <c r="I43" i="11" s="1"/>
  <c r="I44" i="11" s="1"/>
  <c r="I50" i="11" s="1"/>
  <c r="I49" i="11"/>
  <c r="I20" i="11"/>
  <c r="I21" i="11" s="1"/>
  <c r="I48" i="11" s="1"/>
  <c r="J30" i="11"/>
  <c r="K24" i="11"/>
  <c r="P33" i="12" l="1"/>
  <c r="J30" i="12"/>
  <c r="K24" i="12"/>
  <c r="L47" i="12"/>
  <c r="L39" i="12"/>
  <c r="H21" i="12"/>
  <c r="H48" i="12" s="1"/>
  <c r="I20" i="12"/>
  <c r="I21" i="12" s="1"/>
  <c r="I48" i="12" s="1"/>
  <c r="I40" i="12"/>
  <c r="I42" i="12"/>
  <c r="S48" i="12" s="1"/>
  <c r="S49" i="12" s="1"/>
  <c r="I49" i="12"/>
  <c r="H43" i="12"/>
  <c r="H44" i="12" s="1"/>
  <c r="H50" i="12" s="1"/>
  <c r="N34" i="12"/>
  <c r="M36" i="12"/>
  <c r="L8" i="12"/>
  <c r="K7" i="12"/>
  <c r="I52" i="11"/>
  <c r="P33" i="11"/>
  <c r="P36" i="11" s="1"/>
  <c r="O36" i="11"/>
  <c r="N47" i="11"/>
  <c r="N39" i="11"/>
  <c r="S52" i="11"/>
  <c r="S54" i="11" s="1"/>
  <c r="K30" i="11"/>
  <c r="L24" i="11"/>
  <c r="I55" i="11"/>
  <c r="H55" i="11"/>
  <c r="M8" i="11"/>
  <c r="L7" i="11"/>
  <c r="J20" i="11"/>
  <c r="J21" i="11" s="1"/>
  <c r="J48" i="11" s="1"/>
  <c r="J40" i="11"/>
  <c r="J43" i="11" s="1"/>
  <c r="J44" i="11" s="1"/>
  <c r="J50" i="11" s="1"/>
  <c r="J42" i="11"/>
  <c r="J49" i="11" s="1"/>
  <c r="I43" i="12" l="1"/>
  <c r="I44" i="12" s="1"/>
  <c r="I50" i="12" s="1"/>
  <c r="I52" i="12" s="1"/>
  <c r="K30" i="12"/>
  <c r="L24" i="12"/>
  <c r="L7" i="12"/>
  <c r="M8" i="12"/>
  <c r="M39" i="12"/>
  <c r="M47" i="12"/>
  <c r="J20" i="12"/>
  <c r="J21" i="12" s="1"/>
  <c r="J48" i="12" s="1"/>
  <c r="J42" i="12"/>
  <c r="J40" i="12"/>
  <c r="J49" i="12"/>
  <c r="O34" i="12"/>
  <c r="N36" i="12"/>
  <c r="S52" i="12"/>
  <c r="S54" i="12" s="1"/>
  <c r="H52" i="12"/>
  <c r="N8" i="11"/>
  <c r="M7" i="11"/>
  <c r="M24" i="11"/>
  <c r="L30" i="11"/>
  <c r="O47" i="11"/>
  <c r="O39" i="11"/>
  <c r="J52" i="11"/>
  <c r="K42" i="11"/>
  <c r="K40" i="11"/>
  <c r="K49" i="11"/>
  <c r="K20" i="11"/>
  <c r="K21" i="11" s="1"/>
  <c r="K48" i="11" s="1"/>
  <c r="P47" i="11"/>
  <c r="P39" i="11"/>
  <c r="J43" i="12" l="1"/>
  <c r="J44" i="12" s="1"/>
  <c r="J50" i="12" s="1"/>
  <c r="K20" i="12"/>
  <c r="K21" i="12" s="1"/>
  <c r="K48" i="12" s="1"/>
  <c r="K42" i="12"/>
  <c r="K40" i="12"/>
  <c r="K43" i="12" s="1"/>
  <c r="K44" i="12" s="1"/>
  <c r="K50" i="12" s="1"/>
  <c r="K49" i="12"/>
  <c r="N8" i="12"/>
  <c r="M7" i="12"/>
  <c r="P34" i="12"/>
  <c r="P36" i="12" s="1"/>
  <c r="O36" i="12"/>
  <c r="I55" i="12"/>
  <c r="H55" i="12"/>
  <c r="M24" i="12"/>
  <c r="L30" i="12"/>
  <c r="J52" i="12"/>
  <c r="J55" i="12" s="1"/>
  <c r="N47" i="12"/>
  <c r="N39" i="12"/>
  <c r="M30" i="11"/>
  <c r="N24" i="11"/>
  <c r="L20" i="11"/>
  <c r="L21" i="11" s="1"/>
  <c r="L48" i="11" s="1"/>
  <c r="L42" i="11"/>
  <c r="L49" i="11" s="1"/>
  <c r="L40" i="11"/>
  <c r="K43" i="11"/>
  <c r="K44" i="11" s="1"/>
  <c r="K50" i="11" s="1"/>
  <c r="K52" i="11" s="1"/>
  <c r="J55" i="11"/>
  <c r="N7" i="11"/>
  <c r="O8" i="11"/>
  <c r="P47" i="12" l="1"/>
  <c r="P39" i="12"/>
  <c r="N7" i="12"/>
  <c r="O8" i="12"/>
  <c r="O47" i="12"/>
  <c r="O39" i="12"/>
  <c r="L42" i="12"/>
  <c r="L49" i="12" s="1"/>
  <c r="L40" i="12"/>
  <c r="L20" i="12"/>
  <c r="L21" i="12" s="1"/>
  <c r="L48" i="12" s="1"/>
  <c r="N24" i="12"/>
  <c r="M30" i="12"/>
  <c r="K52" i="12"/>
  <c r="K55" i="11"/>
  <c r="O7" i="11"/>
  <c r="P8" i="11"/>
  <c r="P7" i="11" s="1"/>
  <c r="N30" i="11"/>
  <c r="O24" i="11"/>
  <c r="M42" i="11"/>
  <c r="M40" i="11"/>
  <c r="M43" i="11" s="1"/>
  <c r="M44" i="11" s="1"/>
  <c r="M50" i="11" s="1"/>
  <c r="M49" i="11"/>
  <c r="M20" i="11"/>
  <c r="M21" i="11" s="1"/>
  <c r="M48" i="11" s="1"/>
  <c r="L43" i="11"/>
  <c r="L44" i="11" s="1"/>
  <c r="L50" i="11" s="1"/>
  <c r="L52" i="11" s="1"/>
  <c r="O24" i="12" l="1"/>
  <c r="N30" i="12"/>
  <c r="O7" i="12"/>
  <c r="P8" i="12"/>
  <c r="P7" i="12" s="1"/>
  <c r="M42" i="12"/>
  <c r="M40" i="12"/>
  <c r="M49" i="12"/>
  <c r="M20" i="12"/>
  <c r="M21" i="12" s="1"/>
  <c r="M48" i="12" s="1"/>
  <c r="K55" i="12"/>
  <c r="L43" i="12"/>
  <c r="L44" i="12" s="1"/>
  <c r="L50" i="12" s="1"/>
  <c r="L52" i="12" s="1"/>
  <c r="M52" i="11"/>
  <c r="M55" i="11" s="1"/>
  <c r="L55" i="11"/>
  <c r="O30" i="11"/>
  <c r="P24" i="11"/>
  <c r="P30" i="11" s="1"/>
  <c r="N42" i="11"/>
  <c r="N49" i="11" s="1"/>
  <c r="N40" i="11"/>
  <c r="N43" i="11" s="1"/>
  <c r="N44" i="11" s="1"/>
  <c r="N50" i="11" s="1"/>
  <c r="N20" i="11"/>
  <c r="N21" i="11" s="1"/>
  <c r="N48" i="11" s="1"/>
  <c r="N20" i="12" l="1"/>
  <c r="N21" i="12" s="1"/>
  <c r="N48" i="12" s="1"/>
  <c r="N42" i="12"/>
  <c r="N49" i="12" s="1"/>
  <c r="N40" i="12"/>
  <c r="N43" i="12" s="1"/>
  <c r="N44" i="12" s="1"/>
  <c r="N50" i="12" s="1"/>
  <c r="L55" i="12"/>
  <c r="M43" i="12"/>
  <c r="M44" i="12" s="1"/>
  <c r="M50" i="12" s="1"/>
  <c r="M52" i="12" s="1"/>
  <c r="O30" i="12"/>
  <c r="P24" i="12"/>
  <c r="P30" i="12" s="1"/>
  <c r="P49" i="11"/>
  <c r="P42" i="11"/>
  <c r="P40" i="11"/>
  <c r="P43" i="11" s="1"/>
  <c r="P44" i="11" s="1"/>
  <c r="P50" i="11" s="1"/>
  <c r="O20" i="11"/>
  <c r="O21" i="11" s="1"/>
  <c r="O48" i="11" s="1"/>
  <c r="O42" i="11"/>
  <c r="O49" i="11" s="1"/>
  <c r="O40" i="11"/>
  <c r="O43" i="11" s="1"/>
  <c r="O44" i="11" s="1"/>
  <c r="O50" i="11" s="1"/>
  <c r="N52" i="11"/>
  <c r="N55" i="11" s="1"/>
  <c r="M55" i="12" l="1"/>
  <c r="N52" i="12"/>
  <c r="N55" i="12" s="1"/>
  <c r="P40" i="12"/>
  <c r="P42" i="12"/>
  <c r="P49" i="12" s="1"/>
  <c r="O20" i="12"/>
  <c r="O21" i="12" s="1"/>
  <c r="O48" i="12" s="1"/>
  <c r="O42" i="12"/>
  <c r="O40" i="12"/>
  <c r="O43" i="12" s="1"/>
  <c r="O44" i="12" s="1"/>
  <c r="O50" i="12" s="1"/>
  <c r="O49" i="12"/>
  <c r="O52" i="11"/>
  <c r="O55" i="11" s="1"/>
  <c r="P20" i="11"/>
  <c r="O52" i="12" l="1"/>
  <c r="O55" i="12" s="1"/>
  <c r="P43" i="12"/>
  <c r="P44" i="12" s="1"/>
  <c r="P50" i="12" s="1"/>
  <c r="P20" i="12"/>
  <c r="P21" i="11"/>
  <c r="P48" i="11" s="1"/>
  <c r="P51" i="11"/>
  <c r="P21" i="12" l="1"/>
  <c r="P48" i="12" s="1"/>
  <c r="P51" i="12"/>
  <c r="P52" i="11"/>
  <c r="P55" i="11" s="1"/>
  <c r="P52" i="12" l="1"/>
  <c r="P55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 Diemer</author>
  </authors>
  <commentList>
    <comment ref="E9" authorId="0" shapeId="0" xr:uid="{8D9C7499-FB8B-4156-B73E-400C59ABC593}">
      <text>
        <r>
          <rPr>
            <b/>
            <sz val="9"/>
            <color indexed="81"/>
            <rFont val="Tahoma"/>
            <family val="2"/>
          </rPr>
          <t>Bert Diemer:</t>
        </r>
        <r>
          <rPr>
            <sz val="9"/>
            <color indexed="81"/>
            <rFont val="Tahoma"/>
            <family val="2"/>
          </rPr>
          <t xml:space="preserve">
Based on compound annual growth rate (CAGR) of CEPCI from 2009 to 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 Diemer</author>
  </authors>
  <commentList>
    <comment ref="E9" authorId="0" shapeId="0" xr:uid="{3B8E5EE5-22B2-487E-BFF1-D7B21C9F6733}">
      <text>
        <r>
          <rPr>
            <b/>
            <sz val="9"/>
            <color indexed="81"/>
            <rFont val="Tahoma"/>
            <family val="2"/>
          </rPr>
          <t>Bert Diemer:</t>
        </r>
        <r>
          <rPr>
            <sz val="9"/>
            <color indexed="81"/>
            <rFont val="Tahoma"/>
            <family val="2"/>
          </rPr>
          <t xml:space="preserve">
Based on compound annual growth rate (CAGR) of CEPCI from 2009 to 2020</t>
        </r>
      </text>
    </comment>
  </commentList>
</comments>
</file>

<file path=xl/sharedStrings.xml><?xml version="1.0" encoding="utf-8"?>
<sst xmlns="http://schemas.openxmlformats.org/spreadsheetml/2006/main" count="212" uniqueCount="81">
  <si>
    <t>DENOTES VALUE INPUTS.</t>
  </si>
  <si>
    <t>BASES</t>
  </si>
  <si>
    <t>YEAR</t>
  </si>
  <si>
    <t>INVESTMENT, COST &amp; REVENUE ANNUAL ESCALATION, %</t>
  </si>
  <si>
    <t>IRS INVEST DEPRECIATION SCH, % YEAR 0, YR 1, ETC</t>
  </si>
  <si>
    <t>PROPERTY TAXES &amp; INSURANCE, % OF PERM INVESTMENT</t>
  </si>
  <si>
    <t>INCOME TAXES, % OF PRETAX EARNINGS</t>
  </si>
  <si>
    <t xml:space="preserve">OPPORTUNITY COST OF CAPITAL (DISCOUNT RATE), % </t>
  </si>
  <si>
    <t>NEW WORKING CAPITAL</t>
  </si>
  <si>
    <t>TOTAL</t>
  </si>
  <si>
    <t>OPERATIONS</t>
  </si>
  <si>
    <t>MAINTENANCE</t>
  </si>
  <si>
    <t>OTHER (One-time costs:years 0&amp;1, on-going costs:yrs 2+)</t>
  </si>
  <si>
    <t>PROPERTY TAXES &amp; INSURANCE</t>
  </si>
  <si>
    <t>TOTAL CASH COSTS</t>
  </si>
  <si>
    <t>REVENUES</t>
  </si>
  <si>
    <t>CASH COSTS</t>
  </si>
  <si>
    <t>DEPRECIATION (INCOME TAX)</t>
  </si>
  <si>
    <t>PRETAX EARNINGS</t>
  </si>
  <si>
    <t>INCOME TAXES</t>
  </si>
  <si>
    <t>REVENUES, IN</t>
  </si>
  <si>
    <t>CHANGE IN INVESTMENT, OUT</t>
  </si>
  <si>
    <t>INCOME TAXES, OUT</t>
  </si>
  <si>
    <t>WORKING CAPITAL LIQUIDATION, IN</t>
  </si>
  <si>
    <t>NET CASH INFLOW</t>
  </si>
  <si>
    <t>ECONOMICS</t>
  </si>
  <si>
    <t xml:space="preserve">  (CUMMULATIVE DISCOUNTED CASH FLOW) </t>
  </si>
  <si>
    <t>NET PRESENT VALUE  CALCULATOR</t>
  </si>
  <si>
    <t xml:space="preserve">CASE:  </t>
  </si>
  <si>
    <t>BUSINESS OVERHEAD, % of COST OF MANUFACTURE</t>
  </si>
  <si>
    <t>BUSINESS OVERHEAD</t>
  </si>
  <si>
    <t>CASH COSTS + BUSINESS OVERHEAD, OUT</t>
  </si>
  <si>
    <t>WORKING CAPITAL, DAYS OF PRODUCT INVENTORY</t>
  </si>
  <si>
    <t>WORKING CAPITAL, DAYS OF RAWS INVENTORY</t>
  </si>
  <si>
    <t>TOTAL NEW INVESTMENT, MM$</t>
  </si>
  <si>
    <t xml:space="preserve">CASH COSTS (INCREMENTAL CASH COSTS), MM$ </t>
  </si>
  <si>
    <t>ADDITIONAL REVENUES, MM$</t>
  </si>
  <si>
    <t>INCOME TAXES, MM$</t>
  </si>
  <si>
    <t>CASH FLOWS, MM$</t>
  </si>
  <si>
    <t>NET PRESENT VALUE TO START OF YEAR 0, MM$ @DISC RATE</t>
  </si>
  <si>
    <t>ADDITIONAL REVENUES</t>
  </si>
  <si>
    <t>ANNUAL COST SAVINGS</t>
  </si>
  <si>
    <t>NEW PERMANENT INVESTMENT</t>
  </si>
  <si>
    <t>SALES VOLUME, MM KG</t>
  </si>
  <si>
    <t>SELLING PRICE, $/KG</t>
  </si>
  <si>
    <t xml:space="preserve">Example: $40MM permanent investment, 150MM kg/yr, 50% rate in Year 2, 80% Rate in Year 3, 100% Rate Thereafter, </t>
  </si>
  <si>
    <t xml:space="preserve"> </t>
  </si>
  <si>
    <t>MATERIALS*</t>
  </si>
  <si>
    <t>UTILITIES*</t>
  </si>
  <si>
    <t>Year</t>
  </si>
  <si>
    <t xml:space="preserve">               NPV at 25% Return = $61MM, IRR = 62%</t>
  </si>
  <si>
    <t>year 4 let say capacity 100%</t>
  </si>
  <si>
    <t>VC</t>
  </si>
  <si>
    <t>materials+utilities</t>
  </si>
  <si>
    <t>FC</t>
  </si>
  <si>
    <t>operations+maintanence+other+property taxes+depreciation income tax</t>
  </si>
  <si>
    <t>AC</t>
  </si>
  <si>
    <t>business overhead</t>
  </si>
  <si>
    <t>COS</t>
  </si>
  <si>
    <t>vc+ac+fc</t>
  </si>
  <si>
    <t>R</t>
  </si>
  <si>
    <t>additional revenues</t>
  </si>
  <si>
    <t>FI</t>
  </si>
  <si>
    <t>from vga basically</t>
  </si>
  <si>
    <t>WC</t>
  </si>
  <si>
    <t>accumulated WC since the beginning up to the year</t>
  </si>
  <si>
    <t>t</t>
  </si>
  <si>
    <t>income tax. =25%</t>
  </si>
  <si>
    <t>TP Basis</t>
  </si>
  <si>
    <t>NROI = 25%</t>
  </si>
  <si>
    <t>IRR = 25%</t>
  </si>
  <si>
    <t>TP ($/kg)</t>
  </si>
  <si>
    <t>NPV ($MM)</t>
  </si>
  <si>
    <t>NPC ($MM)</t>
  </si>
  <si>
    <t>NROI (%)</t>
  </si>
  <si>
    <t>IRR (%)</t>
  </si>
  <si>
    <t>From COM</t>
  </si>
  <si>
    <t>From NROI = 25 Solver</t>
  </si>
  <si>
    <t>HI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</si>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</sst>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_);\(#,##0.0\)"/>
    <numFmt numFmtId="165" formatCode="#,##0;\(#,##0\)"/>
    <numFmt numFmtId="166" formatCode="0;\(0\)"/>
    <numFmt numFmtId="167" formatCode="###0;\(##0\)"/>
    <numFmt numFmtId="168" formatCode="###0;\(###0\)"/>
    <numFmt numFmtId="169" formatCode="0.0_);\(0.0\)"/>
    <numFmt numFmtId="171" formatCode="0.0000"/>
  </numFmts>
  <fonts count="13">
    <font>
      <sz val="10"/>
      <name val="Geneva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Geneva"/>
      <family val="2"/>
    </font>
    <font>
      <sz val="10"/>
      <name val="Geneva"/>
      <charset val="1"/>
    </font>
    <font>
      <sz val="10"/>
      <name val="Geneva"/>
      <family val="2"/>
      <charset val="1"/>
    </font>
    <font>
      <b/>
      <sz val="10"/>
      <name val="Genev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lightGray"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37" fontId="1" fillId="0" borderId="4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7" fontId="1" fillId="0" borderId="2" xfId="0" applyNumberFormat="1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5" fontId="4" fillId="0" borderId="5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2" fillId="0" borderId="0" xfId="0" applyFont="1" applyFill="1" applyAlignment="1">
      <alignment horizontal="right"/>
    </xf>
    <xf numFmtId="0" fontId="1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167" fontId="3" fillId="2" borderId="4" xfId="0" applyNumberFormat="1" applyFont="1" applyFill="1" applyBorder="1" applyAlignment="1" applyProtection="1">
      <alignment horizontal="center"/>
      <protection locked="0"/>
    </xf>
    <xf numFmtId="167" fontId="3" fillId="2" borderId="2" xfId="0" applyNumberFormat="1" applyFont="1" applyFill="1" applyBorder="1" applyAlignment="1" applyProtection="1">
      <alignment horizontal="center"/>
      <protection locked="0"/>
    </xf>
    <xf numFmtId="168" fontId="3" fillId="2" borderId="3" xfId="0" applyNumberFormat="1" applyFont="1" applyFill="1" applyBorder="1" applyAlignment="1" applyProtection="1">
      <alignment horizontal="center"/>
      <protection locked="0"/>
    </xf>
    <xf numFmtId="0" fontId="1" fillId="3" borderId="0" xfId="0" applyFont="1" applyFill="1"/>
    <xf numFmtId="37" fontId="1" fillId="4" borderId="4" xfId="0" applyNumberFormat="1" applyFont="1" applyFill="1" applyBorder="1" applyAlignment="1">
      <alignment horizontal="center"/>
    </xf>
    <xf numFmtId="167" fontId="1" fillId="4" borderId="4" xfId="0" applyNumberFormat="1" applyFont="1" applyFill="1" applyBorder="1" applyAlignment="1">
      <alignment horizontal="center"/>
    </xf>
    <xf numFmtId="167" fontId="1" fillId="4" borderId="2" xfId="0" applyNumberFormat="1" applyFont="1" applyFill="1" applyBorder="1" applyAlignment="1">
      <alignment horizontal="center"/>
    </xf>
    <xf numFmtId="168" fontId="1" fillId="4" borderId="2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 applyProtection="1">
      <alignment horizontal="center"/>
      <protection locked="0"/>
    </xf>
    <xf numFmtId="2" fontId="1" fillId="0" borderId="4" xfId="0" applyNumberFormat="1" applyFont="1" applyBorder="1" applyAlignment="1">
      <alignment horizontal="center"/>
    </xf>
    <xf numFmtId="169" fontId="3" fillId="2" borderId="4" xfId="0" applyNumberFormat="1" applyFont="1" applyFill="1" applyBorder="1" applyAlignment="1" applyProtection="1">
      <alignment horizontal="center"/>
      <protection locked="0"/>
    </xf>
    <xf numFmtId="169" fontId="3" fillId="2" borderId="2" xfId="0" applyNumberFormat="1" applyFont="1" applyFill="1" applyBorder="1" applyAlignment="1" applyProtection="1">
      <alignment horizontal="center"/>
      <protection locked="0"/>
    </xf>
    <xf numFmtId="169" fontId="1" fillId="0" borderId="3" xfId="0" applyNumberFormat="1" applyFont="1" applyBorder="1" applyAlignment="1">
      <alignment horizontal="center"/>
    </xf>
    <xf numFmtId="0" fontId="9" fillId="0" borderId="0" xfId="0" applyFont="1"/>
    <xf numFmtId="167" fontId="0" fillId="0" borderId="0" xfId="0" applyNumberFormat="1"/>
    <xf numFmtId="37" fontId="0" fillId="0" borderId="0" xfId="0" applyNumberFormat="1"/>
    <xf numFmtId="168" fontId="0" fillId="0" borderId="0" xfId="0" applyNumberFormat="1"/>
    <xf numFmtId="0" fontId="10" fillId="0" borderId="0" xfId="0" applyFont="1"/>
    <xf numFmtId="0" fontId="11" fillId="0" borderId="0" xfId="0" applyFont="1"/>
    <xf numFmtId="0" fontId="12" fillId="5" borderId="1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71" fontId="3" fillId="2" borderId="4" xfId="0" applyNumberFormat="1" applyFont="1" applyFill="1" applyBorder="1" applyAlignment="1" applyProtection="1">
      <alignment horizontal="center"/>
      <protection locked="0"/>
    </xf>
    <xf numFmtId="0" fontId="12" fillId="6" borderId="15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0" xfId="0" applyFont="1" applyFill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aseline="0"/>
            </a:pPr>
            <a:r>
              <a:rPr lang="en-US" sz="2000" baseline="0"/>
              <a:t>Net Cash Flows (NCF) and</a:t>
            </a:r>
          </a:p>
          <a:p>
            <a:pPr>
              <a:defRPr sz="2000" baseline="0"/>
            </a:pPr>
            <a:r>
              <a:rPr lang="en-US" sz="2000" baseline="0"/>
              <a:t>Net Present Value (NPV): Base = Year 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50650970608872"/>
          <c:y val="0.16427335133367951"/>
          <c:w val="0.84564657140629695"/>
          <c:h val="0.69934893451990876"/>
        </c:manualLayout>
      </c:layout>
      <c:barChart>
        <c:barDir val="col"/>
        <c:grouping val="clustered"/>
        <c:varyColors val="0"/>
        <c:ser>
          <c:idx val="0"/>
          <c:order val="0"/>
          <c:tx>
            <c:v>NCF</c:v>
          </c:tx>
          <c:invertIfNegative val="0"/>
          <c:cat>
            <c:numRef>
              <c:f>'Final NPV - No HI'!$E$54:$P$54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 formatCode="0;\(0\)">
                  <c:v>3</c:v>
                </c:pt>
                <c:pt idx="4" formatCode="0;\(0\)">
                  <c:v>4</c:v>
                </c:pt>
                <c:pt idx="5" formatCode="0;\(0\)">
                  <c:v>5</c:v>
                </c:pt>
                <c:pt idx="6" formatCode="0;\(0\)">
                  <c:v>6</c:v>
                </c:pt>
                <c:pt idx="7" formatCode="0;\(0\)">
                  <c:v>7</c:v>
                </c:pt>
                <c:pt idx="8" formatCode="0;\(0\)">
                  <c:v>8</c:v>
                </c:pt>
                <c:pt idx="9" formatCode="0;\(0\)">
                  <c:v>9</c:v>
                </c:pt>
                <c:pt idx="10" formatCode="0;\(0\)">
                  <c:v>10</c:v>
                </c:pt>
                <c:pt idx="11">
                  <c:v>11</c:v>
                </c:pt>
              </c:numCache>
            </c:numRef>
          </c:cat>
          <c:val>
            <c:numRef>
              <c:f>'Final NPV - No HI'!$E$52:$P$52</c:f>
              <c:numCache>
                <c:formatCode>#,##0_);\(#,##0\)</c:formatCode>
                <c:ptCount val="12"/>
                <c:pt idx="0">
                  <c:v>-25.20107191</c:v>
                </c:pt>
                <c:pt idx="1">
                  <c:v>-23.477202966000004</c:v>
                </c:pt>
                <c:pt idx="2">
                  <c:v>-3.5524610764725875</c:v>
                </c:pt>
                <c:pt idx="3" formatCode="0;\(0\)">
                  <c:v>11.137709852447957</c:v>
                </c:pt>
                <c:pt idx="4" formatCode="0;\(0\)">
                  <c:v>20.372074837349533</c:v>
                </c:pt>
                <c:pt idx="5" formatCode="0;\(0\)">
                  <c:v>25.319888327950107</c:v>
                </c:pt>
                <c:pt idx="6" formatCode="0;\(0\)">
                  <c:v>25.329670686219817</c:v>
                </c:pt>
                <c:pt idx="7" formatCode="0;\(0\)">
                  <c:v>25.733611439508547</c:v>
                </c:pt>
                <c:pt idx="8" formatCode="0;\(0\)">
                  <c:v>26.424412392467772</c:v>
                </c:pt>
                <c:pt idx="9" formatCode="0;\(0\)">
                  <c:v>27.133174170203915</c:v>
                </c:pt>
                <c:pt idx="10" formatCode="0;\(0\)">
                  <c:v>27.86036375416122</c:v>
                </c:pt>
                <c:pt idx="11">
                  <c:v>58.743379027467967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A-4CBA-BADF-AAA08BB5E7F3}"/>
            </c:ext>
          </c:extLst>
        </c:ser>
        <c:ser>
          <c:idx val="3"/>
          <c:order val="1"/>
          <c:tx>
            <c:v>NPV @ 25% (Cumulative)</c:v>
          </c:tx>
          <c:spPr>
            <a:solidFill>
              <a:srgbClr val="C00000"/>
            </a:solidFill>
          </c:spPr>
          <c:invertIfNegative val="0"/>
          <c:cat>
            <c:numRef>
              <c:f>'Final NPV - No HI'!$E$54:$P$54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 formatCode="0;\(0\)">
                  <c:v>3</c:v>
                </c:pt>
                <c:pt idx="4" formatCode="0;\(0\)">
                  <c:v>4</c:v>
                </c:pt>
                <c:pt idx="5" formatCode="0;\(0\)">
                  <c:v>5</c:v>
                </c:pt>
                <c:pt idx="6" formatCode="0;\(0\)">
                  <c:v>6</c:v>
                </c:pt>
                <c:pt idx="7" formatCode="0;\(0\)">
                  <c:v>7</c:v>
                </c:pt>
                <c:pt idx="8" formatCode="0;\(0\)">
                  <c:v>8</c:v>
                </c:pt>
                <c:pt idx="9" formatCode="0;\(0\)">
                  <c:v>9</c:v>
                </c:pt>
                <c:pt idx="10" formatCode="0;\(0\)">
                  <c:v>10</c:v>
                </c:pt>
                <c:pt idx="11">
                  <c:v>11</c:v>
                </c:pt>
              </c:numCache>
            </c:numRef>
          </c:cat>
          <c:val>
            <c:numRef>
              <c:f>'Final NPV - No HI'!$E$55:$P$55</c:f>
              <c:numCache>
                <c:formatCode>#,##0_);\(#,##0\)</c:formatCode>
                <c:ptCount val="12"/>
                <c:pt idx="0">
                  <c:v>-20.160857528000001</c:v>
                </c:pt>
                <c:pt idx="1">
                  <c:v>-35.186267426240001</c:v>
                </c:pt>
                <c:pt idx="2">
                  <c:v>-37.005127497393964</c:v>
                </c:pt>
                <c:pt idx="3" formatCode="0;\(0\)">
                  <c:v>-32.443121541831282</c:v>
                </c:pt>
                <c:pt idx="4" formatCode="0;\(0\)">
                  <c:v>-25.767600059128586</c:v>
                </c:pt>
                <c:pt idx="5" formatCode="0;\(0\)">
                  <c:v>-19.130143253286434</c:v>
                </c:pt>
                <c:pt idx="6" formatCode="0;\(0\)">
                  <c:v>-13.818126299391707</c:v>
                </c:pt>
                <c:pt idx="7" formatCode="0;\(0\)">
                  <c:v>-9.5007427235846489</c:v>
                </c:pt>
                <c:pt idx="8" formatCode="0;\(0\)">
                  <c:v>-5.9541181285325804</c:v>
                </c:pt>
                <c:pt idx="9" formatCode="0;\(0\)">
                  <c:v>-3.0407157360901365</c:v>
                </c:pt>
                <c:pt idx="10" formatCode="0;\(0\)">
                  <c:v>-0.64752871251441202</c:v>
                </c:pt>
                <c:pt idx="11" formatCode="#,##0;\(#,##0\)">
                  <c:v>3.3892855559577031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A-4CBA-BADF-AAA08BB5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239920"/>
        <c:axId val="366247368"/>
      </c:barChart>
      <c:catAx>
        <c:axId val="36623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366247368"/>
        <c:crossesAt val="0"/>
        <c:auto val="1"/>
        <c:lblAlgn val="ctr"/>
        <c:lblOffset val="100"/>
        <c:noMultiLvlLbl val="0"/>
      </c:catAx>
      <c:valAx>
        <c:axId val="366247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MM$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36623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833554221563888"/>
          <c:y val="0.17132384854092422"/>
          <c:w val="0.2526649562063169"/>
          <c:h val="0.10935220801003505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aseline="0"/>
            </a:pPr>
            <a:r>
              <a:rPr lang="en-US" sz="2000" baseline="0"/>
              <a:t>Net Cash Flows (NCF) and</a:t>
            </a:r>
          </a:p>
          <a:p>
            <a:pPr>
              <a:defRPr sz="2000" baseline="0"/>
            </a:pPr>
            <a:r>
              <a:rPr lang="en-US" sz="2000" baseline="0"/>
              <a:t>Net Present Value (NPV): Base = Year 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50650970608872"/>
          <c:y val="0.16427335133367951"/>
          <c:w val="0.84564657140629695"/>
          <c:h val="0.69934893451990876"/>
        </c:manualLayout>
      </c:layout>
      <c:barChart>
        <c:barDir val="col"/>
        <c:grouping val="clustered"/>
        <c:varyColors val="0"/>
        <c:ser>
          <c:idx val="0"/>
          <c:order val="0"/>
          <c:tx>
            <c:v>NCF</c:v>
          </c:tx>
          <c:invertIfNegative val="0"/>
          <c:cat>
            <c:numRef>
              <c:f>'Final NPV - HI'!$E$54:$P$54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 formatCode="0;\(0\)">
                  <c:v>3</c:v>
                </c:pt>
                <c:pt idx="4" formatCode="0;\(0\)">
                  <c:v>4</c:v>
                </c:pt>
                <c:pt idx="5" formatCode="0;\(0\)">
                  <c:v>5</c:v>
                </c:pt>
                <c:pt idx="6" formatCode="0;\(0\)">
                  <c:v>6</c:v>
                </c:pt>
                <c:pt idx="7" formatCode="0;\(0\)">
                  <c:v>7</c:v>
                </c:pt>
                <c:pt idx="8" formatCode="0;\(0\)">
                  <c:v>8</c:v>
                </c:pt>
                <c:pt idx="9" formatCode="0;\(0\)">
                  <c:v>9</c:v>
                </c:pt>
                <c:pt idx="10" formatCode="0;\(0\)">
                  <c:v>10</c:v>
                </c:pt>
                <c:pt idx="11">
                  <c:v>11</c:v>
                </c:pt>
              </c:numCache>
            </c:numRef>
          </c:cat>
          <c:val>
            <c:numRef>
              <c:f>'Final NPV - HI'!$E$52:$P$52</c:f>
              <c:numCache>
                <c:formatCode>#,##0_);\(#,##0\)</c:formatCode>
                <c:ptCount val="12"/>
                <c:pt idx="0">
                  <c:v>-26.372499999999999</c:v>
                </c:pt>
                <c:pt idx="1">
                  <c:v>-24.5685</c:v>
                </c:pt>
                <c:pt idx="2">
                  <c:v>-1.4714345481305136</c:v>
                </c:pt>
                <c:pt idx="3" formatCode="0;\(0\)">
                  <c:v>12.396077917021826</c:v>
                </c:pt>
                <c:pt idx="4" formatCode="0;\(0\)">
                  <c:v>21.263738553429839</c:v>
                </c:pt>
                <c:pt idx="5" formatCode="0;\(0\)">
                  <c:v>26.214923594723121</c:v>
                </c:pt>
                <c:pt idx="6" formatCode="0;\(0\)">
                  <c:v>26.217830858185938</c:v>
                </c:pt>
                <c:pt idx="7" formatCode="0;\(0\)">
                  <c:v>26.633027710498801</c:v>
                </c:pt>
                <c:pt idx="8" formatCode="0;\(0\)">
                  <c:v>27.348223430971757</c:v>
                </c:pt>
                <c:pt idx="9" formatCode="0;\(0\)">
                  <c:v>28.082014240177021</c:v>
                </c:pt>
                <c:pt idx="10" formatCode="0;\(0\)">
                  <c:v>28.83488361042156</c:v>
                </c:pt>
                <c:pt idx="11">
                  <c:v>59.396188592131821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A-46E0-8E87-CFB755C967B5}"/>
            </c:ext>
          </c:extLst>
        </c:ser>
        <c:ser>
          <c:idx val="3"/>
          <c:order val="1"/>
          <c:tx>
            <c:v>NPV @ 25% (Cumulative)</c:v>
          </c:tx>
          <c:spPr>
            <a:solidFill>
              <a:srgbClr val="C00000"/>
            </a:solidFill>
          </c:spPr>
          <c:invertIfNegative val="0"/>
          <c:cat>
            <c:numRef>
              <c:f>'Final NPV - HI'!$E$54:$P$54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 formatCode="0;\(0\)">
                  <c:v>3</c:v>
                </c:pt>
                <c:pt idx="4" formatCode="0;\(0\)">
                  <c:v>4</c:v>
                </c:pt>
                <c:pt idx="5" formatCode="0;\(0\)">
                  <c:v>5</c:v>
                </c:pt>
                <c:pt idx="6" formatCode="0;\(0\)">
                  <c:v>6</c:v>
                </c:pt>
                <c:pt idx="7" formatCode="0;\(0\)">
                  <c:v>7</c:v>
                </c:pt>
                <c:pt idx="8" formatCode="0;\(0\)">
                  <c:v>8</c:v>
                </c:pt>
                <c:pt idx="9" formatCode="0;\(0\)">
                  <c:v>9</c:v>
                </c:pt>
                <c:pt idx="10" formatCode="0;\(0\)">
                  <c:v>10</c:v>
                </c:pt>
                <c:pt idx="11">
                  <c:v>11</c:v>
                </c:pt>
              </c:numCache>
            </c:numRef>
          </c:cat>
          <c:val>
            <c:numRef>
              <c:f>'Final NPV - HI'!$E$55:$P$55</c:f>
              <c:numCache>
                <c:formatCode>#,##0_);\(#,##0\)</c:formatCode>
                <c:ptCount val="12"/>
                <c:pt idx="0">
                  <c:v>-21.097999999999999</c:v>
                </c:pt>
                <c:pt idx="1">
                  <c:v>-36.821839999999995</c:v>
                </c:pt>
                <c:pt idx="2">
                  <c:v>-37.575214488642821</c:v>
                </c:pt>
                <c:pt idx="3" formatCode="0;\(0\)">
                  <c:v>-32.497780973830679</c:v>
                </c:pt>
                <c:pt idx="4" formatCode="0;\(0\)">
                  <c:v>-25.530079124642789</c:v>
                </c:pt>
                <c:pt idx="5" formatCode="0;\(0\)">
                  <c:v>-18.657994193827694</c:v>
                </c:pt>
                <c:pt idx="6" formatCode="0;\(0\)">
                  <c:v>-13.159716551837056</c:v>
                </c:pt>
                <c:pt idx="7" formatCode="0;\(0\)">
                  <c:v>-8.6914359655068179</c:v>
                </c:pt>
                <c:pt idx="8" formatCode="0;\(0\)">
                  <c:v>-5.0208195517654239</c:v>
                </c:pt>
                <c:pt idx="9" formatCode="0;\(0\)">
                  <c:v>-2.0055362325812593</c:v>
                </c:pt>
                <c:pt idx="10" formatCode="0;\(0\)">
                  <c:v>0.47136140923328079</c:v>
                </c:pt>
                <c:pt idx="11" formatCode="#,##0;\(#,##0\)">
                  <c:v>4.5530364093973521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A-46E0-8E87-CFB755C9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239920"/>
        <c:axId val="366247368"/>
      </c:barChart>
      <c:catAx>
        <c:axId val="36623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366247368"/>
        <c:crossesAt val="0"/>
        <c:auto val="1"/>
        <c:lblAlgn val="ctr"/>
        <c:lblOffset val="100"/>
        <c:noMultiLvlLbl val="0"/>
      </c:catAx>
      <c:valAx>
        <c:axId val="366247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MM$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36623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833554221563888"/>
          <c:y val="0.17132384854092422"/>
          <c:w val="0.2526649562063169"/>
          <c:h val="0.10935220801003505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166007</xdr:colOff>
      <xdr:row>7</xdr:row>
      <xdr:rowOff>114298</xdr:rowOff>
    </xdr:from>
    <xdr:ext cx="2238375" cy="4676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4CF92B-D53A-41AC-9F3F-547D6886BA14}"/>
            </a:ext>
          </a:extLst>
        </xdr:cNvPr>
        <xdr:cNvSpPr txBox="1"/>
      </xdr:nvSpPr>
      <xdr:spPr>
        <a:xfrm>
          <a:off x="9092293" y="1257298"/>
          <a:ext cx="2238375" cy="467677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u="sng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100"/>
            <a:t>As the sheet is currently configured, enter  1/2</a:t>
          </a:r>
          <a:r>
            <a:rPr lang="en-US" sz="1100" baseline="0"/>
            <a:t> of Materials and 1/2 Utilities Costs from cost sheet in Year 2 cells and sheet will ramp up values to 80% in Year 3 and 100% in Year 4 onward while adjusting for inflation.  Be sure to subtract any credits from these for byproduct sales or burning waste fuels.  There is no line for credits in this calculator.  </a:t>
          </a:r>
        </a:p>
        <a:p>
          <a:endParaRPr lang="en-US" sz="1100" baseline="0"/>
        </a:p>
        <a:p>
          <a:r>
            <a:rPr lang="en-US" sz="1100" baseline="0"/>
            <a:t>Enter 100% of fixed costs from cost sheet in Year 2 cells (Operations &amp; Maintenance) since these are independent of rate.</a:t>
          </a:r>
        </a:p>
        <a:p>
          <a:endParaRPr lang="en-US" sz="1100" baseline="0"/>
        </a:p>
        <a:p>
          <a:r>
            <a:rPr lang="en-US" sz="1100" baseline="0"/>
            <a:t>Enter 50% of full production for Year 2 Sales Volume  and enter expected Year 2 Selling Price.  Sheet will ramp up sales to 80% in Year 3 and 100% in Year 4 and onward.  Selling Price is adjusted for inflation after Year 2.</a:t>
          </a:r>
          <a:endParaRPr lang="en-US" sz="1100"/>
        </a:p>
      </xdr:txBody>
    </xdr:sp>
    <xdr:clientData/>
  </xdr:oneCellAnchor>
  <xdr:twoCellAnchor>
    <xdr:from>
      <xdr:col>0</xdr:col>
      <xdr:colOff>314324</xdr:colOff>
      <xdr:row>56</xdr:row>
      <xdr:rowOff>142874</xdr:rowOff>
    </xdr:from>
    <xdr:to>
      <xdr:col>11</xdr:col>
      <xdr:colOff>380999</xdr:colOff>
      <xdr:row>86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54472-3799-449C-BB13-D1094B536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166007</xdr:colOff>
      <xdr:row>7</xdr:row>
      <xdr:rowOff>114298</xdr:rowOff>
    </xdr:from>
    <xdr:ext cx="2238375" cy="46767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597877-9BF2-426B-9263-A39BAC7678BB}"/>
            </a:ext>
          </a:extLst>
        </xdr:cNvPr>
        <xdr:cNvSpPr txBox="1"/>
      </xdr:nvSpPr>
      <xdr:spPr>
        <a:xfrm>
          <a:off x="9071882" y="1247773"/>
          <a:ext cx="2238375" cy="467677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u="sng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100"/>
            <a:t>As the sheet is currently configured, enter  1/2</a:t>
          </a:r>
          <a:r>
            <a:rPr lang="en-US" sz="1100" baseline="0"/>
            <a:t> of Materials and 1/2 Utilities Costs from cost sheet in Year 2 cells and sheet will ramp up values to 80% in Year 3 and 100% in Year 4 onward while adjusting for inflation.  Be sure to subtract any credits from these for byproduct sales or burning waste fuels.  There is no line for credits in this calculator.  </a:t>
          </a:r>
        </a:p>
        <a:p>
          <a:endParaRPr lang="en-US" sz="1100" baseline="0"/>
        </a:p>
        <a:p>
          <a:r>
            <a:rPr lang="en-US" sz="1100" baseline="0"/>
            <a:t>Enter 100% of fixed costs from cost sheet in Year 2 cells (Operations &amp; Maintenance) since these are independent of rate.</a:t>
          </a:r>
        </a:p>
        <a:p>
          <a:endParaRPr lang="en-US" sz="1100" baseline="0"/>
        </a:p>
        <a:p>
          <a:r>
            <a:rPr lang="en-US" sz="1100" baseline="0"/>
            <a:t>Enter 50% of full production for Year 2 Sales Volume  and enter expected Year 2 Selling Price.  Sheet will ramp up sales to 80% in Year 3 and 100% in Year 4 and onward.  Selling Price is adjusted for inflation after Year 2.</a:t>
          </a:r>
          <a:endParaRPr lang="en-US" sz="1100"/>
        </a:p>
      </xdr:txBody>
    </xdr:sp>
    <xdr:clientData/>
  </xdr:oneCellAnchor>
  <xdr:twoCellAnchor>
    <xdr:from>
      <xdr:col>0</xdr:col>
      <xdr:colOff>314324</xdr:colOff>
      <xdr:row>56</xdr:row>
      <xdr:rowOff>142874</xdr:rowOff>
    </xdr:from>
    <xdr:to>
      <xdr:col>11</xdr:col>
      <xdr:colOff>380999</xdr:colOff>
      <xdr:row>86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453AD-5283-425B-9DA5-E55E885C5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67B3-C7F9-4DBE-8733-B21EEFF05660}">
  <sheetPr>
    <pageSetUpPr fitToPage="1"/>
  </sheetPr>
  <dimension ref="A1:U77"/>
  <sheetViews>
    <sheetView zoomScale="85" zoomScaleNormal="85" workbookViewId="0">
      <selection activeCell="J54" sqref="J54"/>
    </sheetView>
  </sheetViews>
  <sheetFormatPr defaultColWidth="11.42578125" defaultRowHeight="12.75"/>
  <cols>
    <col min="1" max="1" width="12.7109375" customWidth="1"/>
    <col min="2" max="4" width="11.42578125" customWidth="1"/>
    <col min="5" max="7" width="8.7109375" customWidth="1"/>
    <col min="8" max="16" width="6.7109375" customWidth="1"/>
  </cols>
  <sheetData>
    <row r="1" spans="1:1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27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37" t="s">
        <v>28</v>
      </c>
      <c r="B3" s="38" t="s">
        <v>45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>
      <c r="A4" s="37"/>
      <c r="B4" s="38" t="s">
        <v>50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>
      <c r="A5" s="46"/>
      <c r="B5" s="2" t="s">
        <v>0</v>
      </c>
      <c r="C5" s="4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2"/>
      <c r="P6" s="2"/>
    </row>
    <row r="7" spans="1:16">
      <c r="A7" s="3" t="s">
        <v>1</v>
      </c>
      <c r="B7" s="2"/>
      <c r="C7" s="2"/>
      <c r="D7" s="2"/>
      <c r="E7" s="39">
        <v>2022</v>
      </c>
      <c r="F7" s="6">
        <f t="shared" ref="F7:P7" si="0">$E7+F8</f>
        <v>2023</v>
      </c>
      <c r="G7" s="6">
        <f t="shared" si="0"/>
        <v>2024</v>
      </c>
      <c r="H7" s="6">
        <f t="shared" si="0"/>
        <v>2025</v>
      </c>
      <c r="I7" s="6">
        <f t="shared" si="0"/>
        <v>2026</v>
      </c>
      <c r="J7" s="6">
        <f t="shared" si="0"/>
        <v>2027</v>
      </c>
      <c r="K7" s="6">
        <f t="shared" si="0"/>
        <v>2028</v>
      </c>
      <c r="L7" s="6">
        <f t="shared" si="0"/>
        <v>2029</v>
      </c>
      <c r="M7" s="6">
        <f t="shared" si="0"/>
        <v>2030</v>
      </c>
      <c r="N7" s="6">
        <f t="shared" si="0"/>
        <v>2031</v>
      </c>
      <c r="O7" s="6">
        <f t="shared" si="0"/>
        <v>2032</v>
      </c>
      <c r="P7" s="6">
        <f t="shared" si="0"/>
        <v>2033</v>
      </c>
    </row>
    <row r="8" spans="1:16">
      <c r="A8" s="28" t="s">
        <v>2</v>
      </c>
      <c r="B8" s="29"/>
      <c r="C8" s="29"/>
      <c r="D8" s="30"/>
      <c r="E8" s="7">
        <v>0</v>
      </c>
      <c r="F8" s="7">
        <f t="shared" ref="F8:P8" si="1">+E8+1</f>
        <v>1</v>
      </c>
      <c r="G8" s="7">
        <f t="shared" si="1"/>
        <v>2</v>
      </c>
      <c r="H8" s="7">
        <f t="shared" si="1"/>
        <v>3</v>
      </c>
      <c r="I8" s="7">
        <f t="shared" si="1"/>
        <v>4</v>
      </c>
      <c r="J8" s="7">
        <f t="shared" si="1"/>
        <v>5</v>
      </c>
      <c r="K8" s="7">
        <f t="shared" si="1"/>
        <v>6</v>
      </c>
      <c r="L8" s="7">
        <f t="shared" si="1"/>
        <v>7</v>
      </c>
      <c r="M8" s="7">
        <f t="shared" si="1"/>
        <v>8</v>
      </c>
      <c r="N8" s="7">
        <f t="shared" si="1"/>
        <v>9</v>
      </c>
      <c r="O8" s="7">
        <f t="shared" si="1"/>
        <v>10</v>
      </c>
      <c r="P8" s="7">
        <f t="shared" si="1"/>
        <v>11</v>
      </c>
    </row>
    <row r="9" spans="1:16">
      <c r="A9" s="31" t="s">
        <v>3</v>
      </c>
      <c r="B9" s="32"/>
      <c r="C9" s="32"/>
      <c r="D9" s="33"/>
      <c r="E9" s="40">
        <v>2.6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>
      <c r="A10" s="31" t="s">
        <v>4</v>
      </c>
      <c r="B10" s="32"/>
      <c r="C10" s="32"/>
      <c r="D10" s="33"/>
      <c r="E10" s="9">
        <v>20</v>
      </c>
      <c r="F10" s="9">
        <v>32</v>
      </c>
      <c r="G10" s="9">
        <v>19</v>
      </c>
      <c r="H10" s="9">
        <v>12</v>
      </c>
      <c r="I10" s="9">
        <v>12</v>
      </c>
      <c r="J10" s="9">
        <v>5</v>
      </c>
      <c r="K10" s="9">
        <v>0</v>
      </c>
      <c r="L10" s="9"/>
      <c r="M10" s="9"/>
      <c r="N10" s="9"/>
      <c r="O10" s="9"/>
      <c r="P10" s="9"/>
    </row>
    <row r="11" spans="1:16">
      <c r="A11" s="31" t="s">
        <v>32</v>
      </c>
      <c r="B11" s="32"/>
      <c r="C11" s="32"/>
      <c r="D11" s="33"/>
      <c r="E11" s="41">
        <v>30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31" t="s">
        <v>33</v>
      </c>
      <c r="B12" s="32"/>
      <c r="C12" s="32"/>
      <c r="D12" s="33"/>
      <c r="E12" s="41">
        <v>30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31" t="s">
        <v>29</v>
      </c>
      <c r="B13" s="32"/>
      <c r="C13" s="32"/>
      <c r="D13" s="33"/>
      <c r="E13" s="51">
        <v>6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>
      <c r="A14" s="31" t="s">
        <v>5</v>
      </c>
      <c r="B14" s="32"/>
      <c r="C14" s="32"/>
      <c r="D14" s="33"/>
      <c r="E14" s="9">
        <v>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>
      <c r="A15" s="31" t="s">
        <v>6</v>
      </c>
      <c r="B15" s="32"/>
      <c r="C15" s="32"/>
      <c r="D15" s="33"/>
      <c r="E15" s="9">
        <v>25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>
      <c r="A16" s="34" t="s">
        <v>7</v>
      </c>
      <c r="B16" s="35"/>
      <c r="C16" s="35"/>
      <c r="D16" s="36"/>
      <c r="E16" s="42">
        <v>25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21">
      <c r="A17" s="2"/>
      <c r="B17" s="2"/>
      <c r="C17" s="2"/>
      <c r="D17" s="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21">
      <c r="A18" s="3" t="s">
        <v>34</v>
      </c>
      <c r="B18" s="2"/>
      <c r="C18" s="2"/>
      <c r="D18" s="2"/>
      <c r="E18" s="2">
        <f>53/2</f>
        <v>26.5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T18" s="70" t="s">
        <v>51</v>
      </c>
      <c r="U18" s="70"/>
    </row>
    <row r="19" spans="1:21">
      <c r="A19" s="28" t="s">
        <v>42</v>
      </c>
      <c r="B19" s="29"/>
      <c r="C19" s="29"/>
      <c r="D19" s="30"/>
      <c r="E19" s="43">
        <f>52556.98*1000/10^6/2</f>
        <v>26.278490000000001</v>
      </c>
      <c r="F19" s="43">
        <f>52556.98*1000/10^6/2</f>
        <v>26.278490000000001</v>
      </c>
      <c r="G19" s="12">
        <v>0</v>
      </c>
      <c r="H19" s="12">
        <v>0</v>
      </c>
      <c r="I19" s="12">
        <v>0</v>
      </c>
      <c r="J19" s="47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T19" s="56" t="s">
        <v>52</v>
      </c>
      <c r="U19" s="56" t="s">
        <v>53</v>
      </c>
    </row>
    <row r="20" spans="1:21">
      <c r="A20" s="31" t="s">
        <v>8</v>
      </c>
      <c r="B20" s="32"/>
      <c r="C20" s="32"/>
      <c r="D20" s="33"/>
      <c r="E20" s="13">
        <f>E30*$E11/365</f>
        <v>0</v>
      </c>
      <c r="F20" s="14">
        <f>F30*$E11/365-SUM($E20:E20)</f>
        <v>0</v>
      </c>
      <c r="G20" s="14">
        <f>G30*$E11/365+G24*$E12/365-SUM($E20:F20)</f>
        <v>12.522011473972601</v>
      </c>
      <c r="H20" s="14">
        <f>H30*$E11/365+H24*$E12/365-SUM($E20:G20)</f>
        <v>7.3512854794520592</v>
      </c>
      <c r="I20" s="14">
        <f>I30*$E11/365+I24*$E12/365-SUM($E20:H20)</f>
        <v>5.3215837150684919</v>
      </c>
      <c r="J20" s="14">
        <f>J30*$E11/365+J24*$E12/365-SUM($E20:I20)</f>
        <v>0.652820626454794</v>
      </c>
      <c r="K20" s="14">
        <f>K30*$E11/365+K24*$E12/365-SUM($E20:J20)</f>
        <v>0.66979396274262015</v>
      </c>
      <c r="L20" s="14">
        <f>L30*$E11/365+L24*$E12/365-SUM($E20:K20)</f>
        <v>0.68720860577392884</v>
      </c>
      <c r="M20" s="14">
        <f>M30*$E11/365+M24*$E12/365-SUM($E20:L20)</f>
        <v>0.7050760295240508</v>
      </c>
      <c r="N20" s="14">
        <f>N30*$E11/365+N24*$E12/365-SUM($E20:M20)</f>
        <v>0.72340800629167745</v>
      </c>
      <c r="O20" s="14">
        <f>O30*$E11/365+O24*$E12/365-SUM($E20:N20)</f>
        <v>0.74221661445525555</v>
      </c>
      <c r="P20" s="14">
        <f>P30*$E11/365+P24*$E12/365-SUM($E20:O20)</f>
        <v>0.76151424643110133</v>
      </c>
      <c r="T20" s="56" t="s">
        <v>54</v>
      </c>
      <c r="U20" s="56" t="s">
        <v>55</v>
      </c>
    </row>
    <row r="21" spans="1:21">
      <c r="A21" s="34"/>
      <c r="B21" s="35"/>
      <c r="C21" s="35" t="s">
        <v>9</v>
      </c>
      <c r="D21" s="35"/>
      <c r="E21" s="13">
        <f t="shared" ref="E21:P21" si="2">E19+E20</f>
        <v>26.278490000000001</v>
      </c>
      <c r="F21" s="14">
        <f t="shared" si="2"/>
        <v>26.278490000000001</v>
      </c>
      <c r="G21" s="14">
        <f t="shared" si="2"/>
        <v>12.522011473972601</v>
      </c>
      <c r="H21" s="14">
        <f t="shared" si="2"/>
        <v>7.3512854794520592</v>
      </c>
      <c r="I21" s="14">
        <f t="shared" si="2"/>
        <v>5.3215837150684919</v>
      </c>
      <c r="J21" s="14">
        <f t="shared" si="2"/>
        <v>0.652820626454794</v>
      </c>
      <c r="K21" s="14">
        <f t="shared" si="2"/>
        <v>0.66979396274262015</v>
      </c>
      <c r="L21" s="14">
        <f t="shared" si="2"/>
        <v>0.68720860577392884</v>
      </c>
      <c r="M21" s="14">
        <f t="shared" si="2"/>
        <v>0.7050760295240508</v>
      </c>
      <c r="N21" s="14">
        <f t="shared" si="2"/>
        <v>0.72340800629167745</v>
      </c>
      <c r="O21" s="14">
        <f t="shared" si="2"/>
        <v>0.74221661445525555</v>
      </c>
      <c r="P21" s="14">
        <f t="shared" si="2"/>
        <v>0.76151424643110133</v>
      </c>
      <c r="T21" s="56" t="s">
        <v>56</v>
      </c>
      <c r="U21" s="56" t="s">
        <v>57</v>
      </c>
    </row>
    <row r="22" spans="1:21">
      <c r="A22" s="2"/>
      <c r="B22" s="2"/>
      <c r="C22" s="2"/>
      <c r="D22" s="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T22" s="56" t="s">
        <v>58</v>
      </c>
      <c r="U22" s="56" t="s">
        <v>59</v>
      </c>
    </row>
    <row r="23" spans="1:21">
      <c r="A23" s="3" t="s">
        <v>35</v>
      </c>
      <c r="B23" s="2"/>
      <c r="C23" s="2"/>
      <c r="D23" s="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T23" s="56" t="s">
        <v>60</v>
      </c>
      <c r="U23" s="56" t="s">
        <v>61</v>
      </c>
    </row>
    <row r="24" spans="1:21">
      <c r="A24" s="28" t="s">
        <v>47</v>
      </c>
      <c r="B24" s="29"/>
      <c r="C24" s="29"/>
      <c r="D24" s="30"/>
      <c r="E24" s="15">
        <v>0</v>
      </c>
      <c r="F24" s="15">
        <v>0</v>
      </c>
      <c r="G24" s="53">
        <f>137.1/2</f>
        <v>68.55</v>
      </c>
      <c r="H24" s="48">
        <f>0.8/0.5*G24*(1+$E$9/100)^($H$8-2)</f>
        <v>112.53168000000001</v>
      </c>
      <c r="I24" s="48">
        <f>1/0.8*H24*(1+$E$9/100)^($H$8-2)</f>
        <v>144.32187960000002</v>
      </c>
      <c r="J24" s="48">
        <f t="shared" ref="H24:P28" si="3">I24*(1+$E$9/100)^($H$8-2)</f>
        <v>148.07424846960001</v>
      </c>
      <c r="K24" s="15">
        <f t="shared" si="3"/>
        <v>151.92417892980961</v>
      </c>
      <c r="L24" s="15">
        <f t="shared" si="3"/>
        <v>155.87420758198468</v>
      </c>
      <c r="M24" s="15">
        <f t="shared" si="3"/>
        <v>159.92693697911628</v>
      </c>
      <c r="N24" s="15">
        <f t="shared" si="3"/>
        <v>164.08503734057331</v>
      </c>
      <c r="O24" s="15">
        <f t="shared" si="3"/>
        <v>168.35124831142821</v>
      </c>
      <c r="P24" s="15">
        <f t="shared" si="3"/>
        <v>172.72838076752535</v>
      </c>
      <c r="Q24" t="s">
        <v>46</v>
      </c>
      <c r="T24" s="56" t="s">
        <v>62</v>
      </c>
      <c r="U24" s="56" t="s">
        <v>63</v>
      </c>
    </row>
    <row r="25" spans="1:21">
      <c r="A25" s="31" t="s">
        <v>48</v>
      </c>
      <c r="B25" s="32"/>
      <c r="C25" s="32"/>
      <c r="D25" s="33"/>
      <c r="E25" s="16">
        <v>0</v>
      </c>
      <c r="F25" s="16">
        <v>0</v>
      </c>
      <c r="G25" s="54">
        <f>0.5*3.6</f>
        <v>1.8</v>
      </c>
      <c r="H25" s="49">
        <f>0.8/0.5*G25*(1+$E$9/100)^($H$8-2)</f>
        <v>2.9548800000000006</v>
      </c>
      <c r="I25" s="49">
        <f>1/0.8*H25*(1+$E$9/100)^($H$8-2)</f>
        <v>3.789633600000001</v>
      </c>
      <c r="J25" s="49">
        <f t="shared" si="3"/>
        <v>3.8881640736000014</v>
      </c>
      <c r="K25" s="16">
        <f t="shared" si="3"/>
        <v>3.9892563395136014</v>
      </c>
      <c r="L25" s="16">
        <f t="shared" si="3"/>
        <v>4.0929770043409555</v>
      </c>
      <c r="M25" s="16">
        <f t="shared" si="3"/>
        <v>4.1993944064538207</v>
      </c>
      <c r="N25" s="16">
        <f t="shared" si="3"/>
        <v>4.3085786610216203</v>
      </c>
      <c r="O25" s="16">
        <f t="shared" si="3"/>
        <v>4.4206017062081822</v>
      </c>
      <c r="P25" s="16">
        <f t="shared" si="3"/>
        <v>4.5355373505695953</v>
      </c>
      <c r="Q25" t="s">
        <v>46</v>
      </c>
      <c r="T25" s="56" t="s">
        <v>64</v>
      </c>
      <c r="U25" s="56" t="s">
        <v>65</v>
      </c>
    </row>
    <row r="26" spans="1:21">
      <c r="A26" s="31" t="s">
        <v>10</v>
      </c>
      <c r="B26" s="32"/>
      <c r="C26" s="32"/>
      <c r="D26" s="33"/>
      <c r="E26" s="16">
        <v>0</v>
      </c>
      <c r="F26" s="16">
        <v>0</v>
      </c>
      <c r="G26" s="54">
        <v>10.8</v>
      </c>
      <c r="H26" s="49">
        <f t="shared" si="3"/>
        <v>11.080800000000002</v>
      </c>
      <c r="I26" s="49">
        <f t="shared" si="3"/>
        <v>11.368900800000002</v>
      </c>
      <c r="J26" s="49">
        <f t="shared" si="3"/>
        <v>11.664492220800003</v>
      </c>
      <c r="K26" s="16">
        <f t="shared" si="3"/>
        <v>11.967769018540803</v>
      </c>
      <c r="L26" s="16">
        <f t="shared" si="3"/>
        <v>12.278931013022865</v>
      </c>
      <c r="M26" s="16">
        <f t="shared" si="3"/>
        <v>12.598183219361459</v>
      </c>
      <c r="N26" s="16">
        <f t="shared" si="3"/>
        <v>12.925735983064857</v>
      </c>
      <c r="O26" s="16">
        <f t="shared" si="3"/>
        <v>13.261805118624544</v>
      </c>
      <c r="P26" s="16">
        <f t="shared" si="3"/>
        <v>13.606612051708781</v>
      </c>
      <c r="T26" s="56" t="s">
        <v>66</v>
      </c>
      <c r="U26" s="56" t="s">
        <v>67</v>
      </c>
    </row>
    <row r="27" spans="1:21">
      <c r="A27" s="31" t="s">
        <v>11</v>
      </c>
      <c r="B27" s="32"/>
      <c r="C27" s="32"/>
      <c r="D27" s="33"/>
      <c r="E27" s="16">
        <v>0</v>
      </c>
      <c r="F27" s="16">
        <v>0</v>
      </c>
      <c r="G27" s="54">
        <v>1.6</v>
      </c>
      <c r="H27" s="49">
        <f t="shared" si="3"/>
        <v>1.6416000000000002</v>
      </c>
      <c r="I27" s="49">
        <f t="shared" si="3"/>
        <v>1.6842816000000003</v>
      </c>
      <c r="J27" s="49">
        <f t="shared" si="3"/>
        <v>1.7280729216000004</v>
      </c>
      <c r="K27" s="16">
        <f t="shared" si="3"/>
        <v>1.7730028175616004</v>
      </c>
      <c r="L27" s="16">
        <f t="shared" si="3"/>
        <v>1.819100890818202</v>
      </c>
      <c r="M27" s="16">
        <f t="shared" si="3"/>
        <v>1.8663975139794753</v>
      </c>
      <c r="N27" s="16">
        <f t="shared" si="3"/>
        <v>1.9149238493429417</v>
      </c>
      <c r="O27" s="16">
        <f t="shared" si="3"/>
        <v>1.9647118694258583</v>
      </c>
      <c r="P27" s="16">
        <f t="shared" si="3"/>
        <v>2.0157943780309306</v>
      </c>
    </row>
    <row r="28" spans="1:21">
      <c r="A28" s="31" t="s">
        <v>12</v>
      </c>
      <c r="B28" s="32"/>
      <c r="C28" s="32"/>
      <c r="D28" s="33"/>
      <c r="E28" s="44">
        <v>0</v>
      </c>
      <c r="F28" s="44">
        <v>0</v>
      </c>
      <c r="G28" s="54">
        <v>0</v>
      </c>
      <c r="H28" s="49">
        <f t="shared" si="3"/>
        <v>0</v>
      </c>
      <c r="I28" s="49">
        <f t="shared" si="3"/>
        <v>0</v>
      </c>
      <c r="J28" s="49">
        <f t="shared" si="3"/>
        <v>0</v>
      </c>
      <c r="K28" s="16">
        <f t="shared" si="3"/>
        <v>0</v>
      </c>
      <c r="L28" s="16">
        <f t="shared" si="3"/>
        <v>0</v>
      </c>
      <c r="M28" s="16">
        <f t="shared" si="3"/>
        <v>0</v>
      </c>
      <c r="N28" s="16">
        <f t="shared" si="3"/>
        <v>0</v>
      </c>
      <c r="O28" s="16">
        <f t="shared" si="3"/>
        <v>0</v>
      </c>
      <c r="P28" s="16">
        <f t="shared" si="3"/>
        <v>0</v>
      </c>
    </row>
    <row r="29" spans="1:21">
      <c r="A29" s="31" t="s">
        <v>13</v>
      </c>
      <c r="B29" s="32"/>
      <c r="C29" s="32"/>
      <c r="D29" s="33"/>
      <c r="E29" s="17">
        <v>0</v>
      </c>
      <c r="F29" s="17">
        <v>0</v>
      </c>
      <c r="G29" s="55">
        <f>$E14/100*SUM($E19:G19)</f>
        <v>1.0511396000000002</v>
      </c>
      <c r="H29" s="17">
        <f>$E14/100*SUM($E19:H19)</f>
        <v>1.0511396000000002</v>
      </c>
      <c r="I29" s="17">
        <f>$E14/100*SUM($E19:I19)</f>
        <v>1.0511396000000002</v>
      </c>
      <c r="J29" s="17">
        <f>$E14/100*SUM($E19:J19)</f>
        <v>1.0511396000000002</v>
      </c>
      <c r="K29" s="17">
        <f>$E14/100*SUM($E19:K19)</f>
        <v>1.0511396000000002</v>
      </c>
      <c r="L29" s="17">
        <f>$E14/100*SUM($E19:L19)</f>
        <v>1.0511396000000002</v>
      </c>
      <c r="M29" s="17">
        <f>$E14/100*SUM($E19:M19)</f>
        <v>1.0511396000000002</v>
      </c>
      <c r="N29" s="17">
        <f>$E14/100*SUM($E19:N19)</f>
        <v>1.0511396000000002</v>
      </c>
      <c r="O29" s="17">
        <f>$E14/100*SUM($E19:O19)</f>
        <v>1.0511396000000002</v>
      </c>
      <c r="P29" s="17">
        <f>$E14/100*SUM($E19:P19)</f>
        <v>1.0511396000000002</v>
      </c>
    </row>
    <row r="30" spans="1:21">
      <c r="A30" s="34"/>
      <c r="B30" s="35"/>
      <c r="C30" s="35" t="s">
        <v>14</v>
      </c>
      <c r="D30" s="36"/>
      <c r="E30" s="17">
        <f t="shared" ref="E30:P30" si="4">SUM(E24:E29)</f>
        <v>0</v>
      </c>
      <c r="F30" s="17">
        <f t="shared" si="4"/>
        <v>0</v>
      </c>
      <c r="G30" s="17">
        <f t="shared" si="4"/>
        <v>83.801139599999985</v>
      </c>
      <c r="H30" s="17">
        <f t="shared" si="4"/>
        <v>129.26009960000002</v>
      </c>
      <c r="I30" s="17">
        <f t="shared" si="4"/>
        <v>162.21583520000001</v>
      </c>
      <c r="J30" s="17">
        <f t="shared" si="4"/>
        <v>166.4061172856</v>
      </c>
      <c r="K30" s="17">
        <f t="shared" si="4"/>
        <v>170.7053467054256</v>
      </c>
      <c r="L30" s="17">
        <f t="shared" si="4"/>
        <v>175.11635609016668</v>
      </c>
      <c r="M30" s="17">
        <f t="shared" si="4"/>
        <v>179.64205171891103</v>
      </c>
      <c r="N30" s="17">
        <f t="shared" si="4"/>
        <v>184.28541543400274</v>
      </c>
      <c r="O30" s="17">
        <f t="shared" si="4"/>
        <v>189.04950660568679</v>
      </c>
      <c r="P30" s="17">
        <f t="shared" si="4"/>
        <v>193.93746414783467</v>
      </c>
    </row>
    <row r="31" spans="1:21">
      <c r="A31" s="8"/>
      <c r="B31" s="8"/>
      <c r="C31" s="8"/>
      <c r="D31" s="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21">
      <c r="A32" s="3" t="s">
        <v>36</v>
      </c>
      <c r="B32" s="2"/>
      <c r="C32" s="2"/>
      <c r="D32" s="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20">
      <c r="A33" s="28" t="s">
        <v>44</v>
      </c>
      <c r="B33" s="29"/>
      <c r="C33" s="29"/>
      <c r="D33" s="30"/>
      <c r="E33" s="12">
        <v>0</v>
      </c>
      <c r="F33" s="12">
        <v>0</v>
      </c>
      <c r="G33" s="66">
        <v>1.1419999999999999</v>
      </c>
      <c r="H33" s="52">
        <f t="shared" ref="H33:P33" si="5">G33*(1+$E9/100)</f>
        <v>1.171692</v>
      </c>
      <c r="I33" s="52">
        <f t="shared" si="5"/>
        <v>1.202155992</v>
      </c>
      <c r="J33" s="52">
        <f t="shared" si="5"/>
        <v>1.2334120477920001</v>
      </c>
      <c r="K33" s="52">
        <f t="shared" si="5"/>
        <v>1.2654807610345922</v>
      </c>
      <c r="L33" s="52">
        <f t="shared" si="5"/>
        <v>1.2983832608214916</v>
      </c>
      <c r="M33" s="52">
        <f t="shared" si="5"/>
        <v>1.3321412256028504</v>
      </c>
      <c r="N33" s="52">
        <f t="shared" si="5"/>
        <v>1.3667768974685246</v>
      </c>
      <c r="O33" s="52">
        <f t="shared" si="5"/>
        <v>1.4023130968027062</v>
      </c>
      <c r="P33" s="52">
        <f t="shared" si="5"/>
        <v>1.4387732373195765</v>
      </c>
    </row>
    <row r="34" spans="1:20">
      <c r="A34" s="31" t="s">
        <v>43</v>
      </c>
      <c r="B34" s="32"/>
      <c r="C34" s="32"/>
      <c r="D34" s="32"/>
      <c r="E34" s="19"/>
      <c r="F34" s="19"/>
      <c r="G34" s="54">
        <f>0.5*170097000/10^6</f>
        <v>85.048500000000004</v>
      </c>
      <c r="H34" s="50">
        <f>0.8/0.5*G34</f>
        <v>136.07760000000002</v>
      </c>
      <c r="I34" s="50">
        <f>1/0.8*H34</f>
        <v>170.09700000000004</v>
      </c>
      <c r="J34" s="50">
        <f>I34</f>
        <v>170.09700000000004</v>
      </c>
      <c r="K34" s="20">
        <f t="shared" ref="K34:P34" si="6">J34</f>
        <v>170.09700000000004</v>
      </c>
      <c r="L34" s="20">
        <f t="shared" si="6"/>
        <v>170.09700000000004</v>
      </c>
      <c r="M34" s="20">
        <f t="shared" si="6"/>
        <v>170.09700000000004</v>
      </c>
      <c r="N34" s="20">
        <f t="shared" si="6"/>
        <v>170.09700000000004</v>
      </c>
      <c r="O34" s="20">
        <f t="shared" si="6"/>
        <v>170.09700000000004</v>
      </c>
      <c r="P34" s="20">
        <f t="shared" si="6"/>
        <v>170.09700000000004</v>
      </c>
    </row>
    <row r="35" spans="1:20">
      <c r="A35" s="31" t="s">
        <v>41</v>
      </c>
      <c r="B35" s="32"/>
      <c r="C35" s="32"/>
      <c r="D35" s="32"/>
      <c r="E35" s="14"/>
      <c r="F35" s="14"/>
      <c r="G35" s="45"/>
      <c r="H35" s="21">
        <f>$G$35</f>
        <v>0</v>
      </c>
      <c r="I35" s="21">
        <f t="shared" ref="I35:P35" si="7">$G$35</f>
        <v>0</v>
      </c>
      <c r="J35" s="21">
        <f t="shared" si="7"/>
        <v>0</v>
      </c>
      <c r="K35" s="21">
        <f t="shared" si="7"/>
        <v>0</v>
      </c>
      <c r="L35" s="21">
        <f t="shared" si="7"/>
        <v>0</v>
      </c>
      <c r="M35" s="21">
        <f t="shared" si="7"/>
        <v>0</v>
      </c>
      <c r="N35" s="21">
        <f t="shared" si="7"/>
        <v>0</v>
      </c>
      <c r="O35" s="21">
        <f t="shared" si="7"/>
        <v>0</v>
      </c>
      <c r="P35" s="21">
        <f t="shared" si="7"/>
        <v>0</v>
      </c>
    </row>
    <row r="36" spans="1:20">
      <c r="A36" s="34" t="s">
        <v>40</v>
      </c>
      <c r="B36" s="35"/>
      <c r="C36" s="35"/>
      <c r="D36" s="35"/>
      <c r="E36" s="14"/>
      <c r="F36" s="14"/>
      <c r="G36" s="21">
        <f>G33*G34+G35</f>
        <v>97.125387000000003</v>
      </c>
      <c r="H36" s="21">
        <f t="shared" ref="H36:P36" si="8">H33*H34+H35</f>
        <v>159.44103529920002</v>
      </c>
      <c r="I36" s="21">
        <f t="shared" si="8"/>
        <v>204.48312777122405</v>
      </c>
      <c r="J36" s="21">
        <f t="shared" si="8"/>
        <v>209.79968909327587</v>
      </c>
      <c r="K36" s="21">
        <f t="shared" si="8"/>
        <v>215.25448100970107</v>
      </c>
      <c r="L36" s="21">
        <f t="shared" si="8"/>
        <v>220.85109751595331</v>
      </c>
      <c r="M36" s="21">
        <f t="shared" si="8"/>
        <v>226.59322605136811</v>
      </c>
      <c r="N36" s="21">
        <f t="shared" si="8"/>
        <v>232.48464992870367</v>
      </c>
      <c r="O36" s="21">
        <f t="shared" si="8"/>
        <v>238.52925082684996</v>
      </c>
      <c r="P36" s="21">
        <f t="shared" si="8"/>
        <v>244.73101134834806</v>
      </c>
    </row>
    <row r="37" spans="1:20">
      <c r="A37" s="2"/>
      <c r="B37" s="2"/>
      <c r="C37" s="2"/>
      <c r="D37" s="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20">
      <c r="A38" s="3" t="s">
        <v>37</v>
      </c>
      <c r="B38" s="2"/>
      <c r="C38" s="2"/>
      <c r="D38" s="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20">
      <c r="A39" s="28" t="s">
        <v>15</v>
      </c>
      <c r="B39" s="29"/>
      <c r="C39" s="29"/>
      <c r="D39" s="30"/>
      <c r="E39" s="12">
        <f t="shared" ref="E39:P39" si="9">E36</f>
        <v>0</v>
      </c>
      <c r="F39" s="12">
        <f t="shared" si="9"/>
        <v>0</v>
      </c>
      <c r="G39" s="12">
        <f t="shared" si="9"/>
        <v>97.125387000000003</v>
      </c>
      <c r="H39" s="12">
        <f t="shared" si="9"/>
        <v>159.44103529920002</v>
      </c>
      <c r="I39" s="12">
        <f t="shared" si="9"/>
        <v>204.48312777122405</v>
      </c>
      <c r="J39" s="12">
        <f t="shared" si="9"/>
        <v>209.79968909327587</v>
      </c>
      <c r="K39" s="12">
        <f t="shared" si="9"/>
        <v>215.25448100970107</v>
      </c>
      <c r="L39" s="12">
        <f t="shared" si="9"/>
        <v>220.85109751595331</v>
      </c>
      <c r="M39" s="12">
        <f t="shared" si="9"/>
        <v>226.59322605136811</v>
      </c>
      <c r="N39" s="12">
        <f t="shared" si="9"/>
        <v>232.48464992870367</v>
      </c>
      <c r="O39" s="12">
        <f t="shared" si="9"/>
        <v>238.52925082684996</v>
      </c>
      <c r="P39" s="12">
        <f t="shared" si="9"/>
        <v>244.73101134834806</v>
      </c>
    </row>
    <row r="40" spans="1:20">
      <c r="A40" s="31" t="s">
        <v>16</v>
      </c>
      <c r="B40" s="32"/>
      <c r="C40" s="32"/>
      <c r="D40" s="33"/>
      <c r="E40" s="19">
        <f t="shared" ref="E40:P40" si="10">E30</f>
        <v>0</v>
      </c>
      <c r="F40" s="19">
        <f t="shared" si="10"/>
        <v>0</v>
      </c>
      <c r="G40" s="22">
        <f t="shared" si="10"/>
        <v>83.801139599999985</v>
      </c>
      <c r="H40" s="22">
        <f t="shared" si="10"/>
        <v>129.26009960000002</v>
      </c>
      <c r="I40" s="22">
        <f t="shared" si="10"/>
        <v>162.21583520000001</v>
      </c>
      <c r="J40" s="22">
        <f t="shared" si="10"/>
        <v>166.4061172856</v>
      </c>
      <c r="K40" s="22">
        <f t="shared" si="10"/>
        <v>170.7053467054256</v>
      </c>
      <c r="L40" s="22">
        <f t="shared" si="10"/>
        <v>175.11635609016668</v>
      </c>
      <c r="M40" s="22">
        <f t="shared" si="10"/>
        <v>179.64205171891103</v>
      </c>
      <c r="N40" s="22">
        <f t="shared" si="10"/>
        <v>184.28541543400274</v>
      </c>
      <c r="O40" s="22">
        <f t="shared" si="10"/>
        <v>189.04950660568679</v>
      </c>
      <c r="P40" s="22">
        <f t="shared" si="10"/>
        <v>193.93746414783467</v>
      </c>
    </row>
    <row r="41" spans="1:20">
      <c r="A41" s="31" t="s">
        <v>17</v>
      </c>
      <c r="B41" s="32"/>
      <c r="C41" s="32"/>
      <c r="D41" s="33"/>
      <c r="E41" s="19">
        <f>E19*E10/100</f>
        <v>5.2556979999999998</v>
      </c>
      <c r="F41" s="19">
        <f>($E19*F10+$F19*E10)/100</f>
        <v>13.664814799999998</v>
      </c>
      <c r="G41" s="19">
        <f>($E19*G10+$F19*F10)/100</f>
        <v>13.4020299</v>
      </c>
      <c r="H41" s="19">
        <f>($E19*H10+$F19*G10)/100</f>
        <v>8.1463318999999998</v>
      </c>
      <c r="I41" s="19">
        <f>($E19*I10+$F19*H10)/100</f>
        <v>6.3068375999999997</v>
      </c>
      <c r="J41" s="19">
        <f t="shared" ref="J41:P41" si="11">($E19*J10+$F19*I10+$J19*E10)/100</f>
        <v>4.4673432999999996</v>
      </c>
      <c r="K41" s="19">
        <f t="shared" si="11"/>
        <v>1.3139244999999999</v>
      </c>
      <c r="L41" s="19">
        <f t="shared" si="11"/>
        <v>0</v>
      </c>
      <c r="M41" s="19">
        <f t="shared" si="11"/>
        <v>0</v>
      </c>
      <c r="N41" s="19">
        <f t="shared" si="11"/>
        <v>0</v>
      </c>
      <c r="O41" s="19">
        <f t="shared" si="11"/>
        <v>0</v>
      </c>
      <c r="P41" s="19">
        <f t="shared" si="11"/>
        <v>0</v>
      </c>
    </row>
    <row r="42" spans="1:20">
      <c r="A42" s="31" t="s">
        <v>30</v>
      </c>
      <c r="B42" s="32"/>
      <c r="C42" s="32"/>
      <c r="D42" s="33"/>
      <c r="E42" s="14">
        <f t="shared" ref="E42:P42" si="12">$E13/100*(E30+E41)</f>
        <v>0.31534187999999996</v>
      </c>
      <c r="F42" s="14">
        <f t="shared" si="12"/>
        <v>0.81988888799999993</v>
      </c>
      <c r="G42" s="14">
        <f t="shared" si="12"/>
        <v>5.8321901699999987</v>
      </c>
      <c r="H42" s="14">
        <f t="shared" si="12"/>
        <v>8.244385890000002</v>
      </c>
      <c r="I42" s="14">
        <f t="shared" si="12"/>
        <v>10.111360368</v>
      </c>
      <c r="J42" s="14">
        <f t="shared" si="12"/>
        <v>10.252407635136001</v>
      </c>
      <c r="K42" s="14">
        <f t="shared" si="12"/>
        <v>10.321156272325537</v>
      </c>
      <c r="L42" s="14">
        <f t="shared" si="12"/>
        <v>10.506981365410001</v>
      </c>
      <c r="M42" s="14">
        <f t="shared" si="12"/>
        <v>10.778523103134662</v>
      </c>
      <c r="N42" s="14">
        <f t="shared" si="12"/>
        <v>11.057124926040164</v>
      </c>
      <c r="O42" s="14">
        <f t="shared" si="12"/>
        <v>11.342970396341206</v>
      </c>
      <c r="P42" s="14">
        <f t="shared" si="12"/>
        <v>11.636247848870081</v>
      </c>
    </row>
    <row r="43" spans="1:20">
      <c r="A43" s="31"/>
      <c r="B43" s="32"/>
      <c r="C43" s="32" t="s">
        <v>18</v>
      </c>
      <c r="D43" s="33"/>
      <c r="E43" s="14">
        <f t="shared" ref="E43:P43" si="13">E39-E40-E41-E42</f>
        <v>-5.5710398799999998</v>
      </c>
      <c r="F43" s="14">
        <f t="shared" si="13"/>
        <v>-14.484703687999998</v>
      </c>
      <c r="G43" s="14">
        <f t="shared" si="13"/>
        <v>-5.9099726699999806</v>
      </c>
      <c r="H43" s="14">
        <f t="shared" si="13"/>
        <v>13.790217909200004</v>
      </c>
      <c r="I43" s="14">
        <f t="shared" si="13"/>
        <v>25.849094603224032</v>
      </c>
      <c r="J43" s="14">
        <f t="shared" si="13"/>
        <v>28.673820872539871</v>
      </c>
      <c r="K43" s="14">
        <f t="shared" si="13"/>
        <v>32.914053531949932</v>
      </c>
      <c r="L43" s="14">
        <f t="shared" si="13"/>
        <v>35.227760060376639</v>
      </c>
      <c r="M43" s="14">
        <f t="shared" si="13"/>
        <v>36.172651229322412</v>
      </c>
      <c r="N43" s="14">
        <f t="shared" si="13"/>
        <v>37.142109568660771</v>
      </c>
      <c r="O43" s="14">
        <f t="shared" si="13"/>
        <v>38.136773824821965</v>
      </c>
      <c r="P43" s="14">
        <f t="shared" si="13"/>
        <v>39.157299351643303</v>
      </c>
    </row>
    <row r="44" spans="1:20">
      <c r="A44" s="34"/>
      <c r="B44" s="35"/>
      <c r="C44" s="35" t="s">
        <v>19</v>
      </c>
      <c r="D44" s="36"/>
      <c r="E44" s="14">
        <f t="shared" ref="E44:P44" si="14">E43*$E15/100</f>
        <v>-1.39275997</v>
      </c>
      <c r="F44" s="14">
        <f t="shared" si="14"/>
        <v>-3.6211759219999995</v>
      </c>
      <c r="G44" s="14">
        <f t="shared" si="14"/>
        <v>-1.4774931674999952</v>
      </c>
      <c r="H44" s="23">
        <f t="shared" si="14"/>
        <v>3.4475544773000011</v>
      </c>
      <c r="I44" s="23">
        <f t="shared" si="14"/>
        <v>6.4622736508060079</v>
      </c>
      <c r="J44" s="23">
        <f t="shared" si="14"/>
        <v>7.1684552181349686</v>
      </c>
      <c r="K44" s="23">
        <f t="shared" si="14"/>
        <v>8.228513382987483</v>
      </c>
      <c r="L44" s="23">
        <f t="shared" si="14"/>
        <v>8.8069400150941597</v>
      </c>
      <c r="M44" s="23">
        <f t="shared" si="14"/>
        <v>9.043162807330603</v>
      </c>
      <c r="N44" s="23">
        <f t="shared" si="14"/>
        <v>9.2855273921651929</v>
      </c>
      <c r="O44" s="23">
        <f t="shared" si="14"/>
        <v>9.5341934562054913</v>
      </c>
      <c r="P44" s="14">
        <f t="shared" si="14"/>
        <v>9.7893248379108257</v>
      </c>
    </row>
    <row r="45" spans="1:20">
      <c r="A45" s="2"/>
      <c r="B45" s="2"/>
      <c r="C45" s="2"/>
      <c r="D45" s="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60"/>
      <c r="R45" s="71" t="s">
        <v>51</v>
      </c>
      <c r="S45" s="71"/>
      <c r="T45" s="60"/>
    </row>
    <row r="46" spans="1:20">
      <c r="A46" s="3" t="s">
        <v>38</v>
      </c>
      <c r="B46" s="2"/>
      <c r="C46" s="2"/>
      <c r="D46" s="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60"/>
      <c r="R46" s="61" t="s">
        <v>52</v>
      </c>
      <c r="S46" s="57">
        <f>I24+I25</f>
        <v>148.11151320000002</v>
      </c>
      <c r="T46" s="61" t="s">
        <v>53</v>
      </c>
    </row>
    <row r="47" spans="1:20">
      <c r="A47" s="28" t="s">
        <v>20</v>
      </c>
      <c r="B47" s="29"/>
      <c r="C47" s="29"/>
      <c r="D47" s="30"/>
      <c r="E47" s="12">
        <f t="shared" ref="E47:P47" si="15">E36</f>
        <v>0</v>
      </c>
      <c r="F47" s="12">
        <f t="shared" si="15"/>
        <v>0</v>
      </c>
      <c r="G47" s="12">
        <f t="shared" si="15"/>
        <v>97.125387000000003</v>
      </c>
      <c r="H47" s="12">
        <f t="shared" si="15"/>
        <v>159.44103529920002</v>
      </c>
      <c r="I47" s="12">
        <f t="shared" si="15"/>
        <v>204.48312777122405</v>
      </c>
      <c r="J47" s="12">
        <f t="shared" si="15"/>
        <v>209.79968909327587</v>
      </c>
      <c r="K47" s="12">
        <f t="shared" si="15"/>
        <v>215.25448100970107</v>
      </c>
      <c r="L47" s="12">
        <f t="shared" si="15"/>
        <v>220.85109751595331</v>
      </c>
      <c r="M47" s="12">
        <f t="shared" si="15"/>
        <v>226.59322605136811</v>
      </c>
      <c r="N47" s="12">
        <f t="shared" si="15"/>
        <v>232.48464992870367</v>
      </c>
      <c r="O47" s="12">
        <f t="shared" si="15"/>
        <v>238.52925082684996</v>
      </c>
      <c r="P47" s="12">
        <f t="shared" si="15"/>
        <v>244.73101134834806</v>
      </c>
      <c r="Q47" s="60"/>
      <c r="R47" s="61" t="s">
        <v>54</v>
      </c>
      <c r="S47" s="57">
        <f>SUM(I26:I29)+I41</f>
        <v>20.411159600000005</v>
      </c>
      <c r="T47" s="61" t="s">
        <v>55</v>
      </c>
    </row>
    <row r="48" spans="1:20">
      <c r="A48" s="31" t="s">
        <v>21</v>
      </c>
      <c r="B48" s="32"/>
      <c r="C48" s="32"/>
      <c r="D48" s="33"/>
      <c r="E48" s="19">
        <f t="shared" ref="E48:P48" si="16">E21</f>
        <v>26.278490000000001</v>
      </c>
      <c r="F48" s="19">
        <f t="shared" si="16"/>
        <v>26.278490000000001</v>
      </c>
      <c r="G48" s="19">
        <f t="shared" si="16"/>
        <v>12.522011473972601</v>
      </c>
      <c r="H48" s="19">
        <f t="shared" si="16"/>
        <v>7.3512854794520592</v>
      </c>
      <c r="I48" s="19">
        <f t="shared" si="16"/>
        <v>5.3215837150684919</v>
      </c>
      <c r="J48" s="19">
        <f t="shared" si="16"/>
        <v>0.652820626454794</v>
      </c>
      <c r="K48" s="19">
        <f t="shared" si="16"/>
        <v>0.66979396274262015</v>
      </c>
      <c r="L48" s="19">
        <f t="shared" si="16"/>
        <v>0.68720860577392884</v>
      </c>
      <c r="M48" s="19">
        <f t="shared" si="16"/>
        <v>0.7050760295240508</v>
      </c>
      <c r="N48" s="19">
        <f t="shared" si="16"/>
        <v>0.72340800629167745</v>
      </c>
      <c r="O48" s="19">
        <f t="shared" si="16"/>
        <v>0.74221661445525555</v>
      </c>
      <c r="P48" s="19">
        <f t="shared" si="16"/>
        <v>0.76151424643110133</v>
      </c>
      <c r="Q48" s="60"/>
      <c r="R48" s="61" t="s">
        <v>56</v>
      </c>
      <c r="S48" s="58">
        <f>I42</f>
        <v>10.111360368</v>
      </c>
      <c r="T48" s="61" t="s">
        <v>57</v>
      </c>
    </row>
    <row r="49" spans="1:20">
      <c r="A49" s="31" t="s">
        <v>31</v>
      </c>
      <c r="B49" s="32"/>
      <c r="C49" s="32"/>
      <c r="D49" s="33"/>
      <c r="E49" s="19">
        <f t="shared" ref="E49:P49" si="17">E30+E42</f>
        <v>0.31534187999999996</v>
      </c>
      <c r="F49" s="19">
        <f t="shared" si="17"/>
        <v>0.81988888799999993</v>
      </c>
      <c r="G49" s="19">
        <f t="shared" si="17"/>
        <v>89.633329769999989</v>
      </c>
      <c r="H49" s="19">
        <f t="shared" si="17"/>
        <v>137.50448549000001</v>
      </c>
      <c r="I49" s="19">
        <f t="shared" si="17"/>
        <v>172.32719556800001</v>
      </c>
      <c r="J49" s="19">
        <f t="shared" si="17"/>
        <v>176.658524920736</v>
      </c>
      <c r="K49" s="19">
        <f t="shared" si="17"/>
        <v>181.02650297775114</v>
      </c>
      <c r="L49" s="19">
        <f t="shared" si="17"/>
        <v>185.62333745557669</v>
      </c>
      <c r="M49" s="19">
        <f t="shared" si="17"/>
        <v>190.42057482204569</v>
      </c>
      <c r="N49" s="19">
        <f t="shared" si="17"/>
        <v>195.3425403600429</v>
      </c>
      <c r="O49" s="19">
        <f t="shared" si="17"/>
        <v>200.39247700202799</v>
      </c>
      <c r="P49" s="19">
        <f t="shared" si="17"/>
        <v>205.57371199670476</v>
      </c>
      <c r="Q49" s="60"/>
      <c r="R49" s="61" t="s">
        <v>58</v>
      </c>
      <c r="S49" s="57">
        <f>SUM(S46:S48)</f>
        <v>178.634033168</v>
      </c>
      <c r="T49" s="61" t="s">
        <v>59</v>
      </c>
    </row>
    <row r="50" spans="1:20">
      <c r="A50" s="31" t="s">
        <v>22</v>
      </c>
      <c r="B50" s="32"/>
      <c r="C50" s="32"/>
      <c r="D50" s="33"/>
      <c r="E50" s="19">
        <f t="shared" ref="E50:P50" si="18">E44</f>
        <v>-1.39275997</v>
      </c>
      <c r="F50" s="19">
        <f t="shared" si="18"/>
        <v>-3.6211759219999995</v>
      </c>
      <c r="G50" s="19">
        <f t="shared" si="18"/>
        <v>-1.4774931674999952</v>
      </c>
      <c r="H50" s="22">
        <f t="shared" si="18"/>
        <v>3.4475544773000011</v>
      </c>
      <c r="I50" s="22">
        <f t="shared" si="18"/>
        <v>6.4622736508060079</v>
      </c>
      <c r="J50" s="22">
        <f t="shared" si="18"/>
        <v>7.1684552181349686</v>
      </c>
      <c r="K50" s="22">
        <f t="shared" si="18"/>
        <v>8.228513382987483</v>
      </c>
      <c r="L50" s="22">
        <f t="shared" si="18"/>
        <v>8.8069400150941597</v>
      </c>
      <c r="M50" s="22">
        <f t="shared" si="18"/>
        <v>9.043162807330603</v>
      </c>
      <c r="N50" s="22">
        <f t="shared" si="18"/>
        <v>9.2855273921651929</v>
      </c>
      <c r="O50" s="22">
        <f t="shared" si="18"/>
        <v>9.5341934562054913</v>
      </c>
      <c r="P50" s="19">
        <f t="shared" si="18"/>
        <v>9.7893248379108257</v>
      </c>
      <c r="Q50" s="60"/>
      <c r="R50" s="61" t="s">
        <v>60</v>
      </c>
      <c r="S50" s="59">
        <f>I36</f>
        <v>204.48312777122405</v>
      </c>
      <c r="T50" s="61" t="s">
        <v>61</v>
      </c>
    </row>
    <row r="51" spans="1:20">
      <c r="A51" s="31" t="s">
        <v>23</v>
      </c>
      <c r="B51" s="32"/>
      <c r="C51" s="32"/>
      <c r="D51" s="33"/>
      <c r="E51" s="14">
        <v>0</v>
      </c>
      <c r="F51" s="14">
        <v>0</v>
      </c>
      <c r="G51" s="14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14">
        <f>SUM(E20:P20)</f>
        <v>30.13691876016658</v>
      </c>
      <c r="Q51" s="60"/>
      <c r="R51" s="61" t="s">
        <v>62</v>
      </c>
      <c r="S51" s="57">
        <f>SUM(E19:F19)</f>
        <v>52.556980000000003</v>
      </c>
      <c r="T51" s="61" t="s">
        <v>63</v>
      </c>
    </row>
    <row r="52" spans="1:20">
      <c r="A52" s="34"/>
      <c r="B52" s="35"/>
      <c r="C52" s="35" t="s">
        <v>24</v>
      </c>
      <c r="D52" s="36"/>
      <c r="E52" s="14">
        <f t="shared" ref="E52:P52" si="19">E47-E48-E49-E50+E51</f>
        <v>-25.20107191</v>
      </c>
      <c r="F52" s="14">
        <f t="shared" si="19"/>
        <v>-23.477202966000004</v>
      </c>
      <c r="G52" s="14">
        <f t="shared" si="19"/>
        <v>-3.5524610764725875</v>
      </c>
      <c r="H52" s="23">
        <f t="shared" si="19"/>
        <v>11.137709852447957</v>
      </c>
      <c r="I52" s="23">
        <f t="shared" si="19"/>
        <v>20.372074837349533</v>
      </c>
      <c r="J52" s="23">
        <f t="shared" si="19"/>
        <v>25.319888327950107</v>
      </c>
      <c r="K52" s="23">
        <f t="shared" si="19"/>
        <v>25.329670686219817</v>
      </c>
      <c r="L52" s="23">
        <f t="shared" si="19"/>
        <v>25.733611439508547</v>
      </c>
      <c r="M52" s="23">
        <f t="shared" si="19"/>
        <v>26.424412392467772</v>
      </c>
      <c r="N52" s="23">
        <f t="shared" si="19"/>
        <v>27.133174170203915</v>
      </c>
      <c r="O52" s="23">
        <f t="shared" si="19"/>
        <v>27.86036375416122</v>
      </c>
      <c r="P52" s="14">
        <f t="shared" si="19"/>
        <v>58.743379027467967</v>
      </c>
      <c r="Q52" s="60"/>
      <c r="R52" s="61" t="s">
        <v>64</v>
      </c>
      <c r="S52" s="58">
        <f>SUM(G20:I20)</f>
        <v>25.194880668493152</v>
      </c>
      <c r="T52" s="61" t="s">
        <v>65</v>
      </c>
    </row>
    <row r="53" spans="1:20">
      <c r="A53" s="2"/>
      <c r="B53" s="2"/>
      <c r="C53" s="2"/>
      <c r="D53" s="2"/>
      <c r="E53" s="11"/>
      <c r="F53" s="11"/>
      <c r="G53" s="11"/>
      <c r="H53" s="24"/>
      <c r="I53" s="24"/>
      <c r="J53" s="24"/>
      <c r="K53" s="24"/>
      <c r="L53" s="24"/>
      <c r="M53" s="24"/>
      <c r="N53" s="24"/>
      <c r="O53" s="24"/>
      <c r="P53" s="11"/>
      <c r="Q53" s="60">
        <v>-1</v>
      </c>
      <c r="R53" s="61" t="s">
        <v>66</v>
      </c>
      <c r="S53">
        <v>25</v>
      </c>
      <c r="T53" s="61" t="s">
        <v>67</v>
      </c>
    </row>
    <row r="54" spans="1:20" ht="13.5" thickBot="1">
      <c r="A54" s="3" t="s">
        <v>25</v>
      </c>
      <c r="B54" s="2"/>
      <c r="C54" s="2"/>
      <c r="D54" s="2" t="s">
        <v>49</v>
      </c>
      <c r="E54" s="11">
        <v>0</v>
      </c>
      <c r="F54" s="11">
        <v>1</v>
      </c>
      <c r="G54" s="11">
        <v>2</v>
      </c>
      <c r="H54" s="24">
        <v>3</v>
      </c>
      <c r="I54" s="24">
        <v>4</v>
      </c>
      <c r="J54" s="24">
        <v>5</v>
      </c>
      <c r="K54" s="24">
        <v>6</v>
      </c>
      <c r="L54" s="24">
        <v>7</v>
      </c>
      <c r="M54" s="24">
        <v>8</v>
      </c>
      <c r="N54" s="24">
        <v>9</v>
      </c>
      <c r="O54" s="24">
        <v>10</v>
      </c>
      <c r="P54" s="11">
        <v>11</v>
      </c>
      <c r="Q54" s="60"/>
      <c r="R54" s="61" t="s">
        <v>74</v>
      </c>
      <c r="S54">
        <f>(1-S53/100)*(S50-S49)/(S51+S52)*100</f>
        <v>24.934221233722866</v>
      </c>
      <c r="T54" s="60"/>
    </row>
    <row r="55" spans="1:20" ht="13.5" thickTop="1">
      <c r="A55" s="28" t="s">
        <v>39</v>
      </c>
      <c r="B55" s="29"/>
      <c r="C55" s="29"/>
      <c r="D55" s="30"/>
      <c r="E55" s="12">
        <f>NPV($E16%,$E52:E52)</f>
        <v>-20.160857528000001</v>
      </c>
      <c r="F55" s="12">
        <f>NPV($E16%,$E52:F52)</f>
        <v>-35.186267426240001</v>
      </c>
      <c r="G55" s="12">
        <f>NPV($E16%,$E52:G52)</f>
        <v>-37.005127497393964</v>
      </c>
      <c r="H55" s="25">
        <f>NPV($E16%,$E52:H52)</f>
        <v>-32.443121541831282</v>
      </c>
      <c r="I55" s="25">
        <f>NPV($E16%,$E52:I52)</f>
        <v>-25.767600059128586</v>
      </c>
      <c r="J55" s="25">
        <f>NPV($E16%,$E52:J52)</f>
        <v>-19.130143253286434</v>
      </c>
      <c r="K55" s="25">
        <f>NPV($E16%,$E52:K52)</f>
        <v>-13.818126299391707</v>
      </c>
      <c r="L55" s="25">
        <f>NPV($E16%,$E52:L52)</f>
        <v>-9.5007427235846489</v>
      </c>
      <c r="M55" s="25">
        <f>NPV($E16%,$E52:M52)</f>
        <v>-5.9541181285325804</v>
      </c>
      <c r="N55" s="25">
        <f>NPV($E16%,$E52:N52)</f>
        <v>-3.0407157360901365</v>
      </c>
      <c r="O55" s="25">
        <f>NPV($E16%,$E52:O52)</f>
        <v>-0.64752871251441202</v>
      </c>
      <c r="P55" s="26">
        <f>NPV($E16%,$E52:P52)</f>
        <v>3.3892855559577031</v>
      </c>
      <c r="Q55" s="60"/>
      <c r="R55" s="60"/>
      <c r="S55" s="60"/>
      <c r="T55" s="60"/>
    </row>
    <row r="56" spans="1:20" ht="13.5" thickBot="1">
      <c r="A56" s="34" t="s">
        <v>26</v>
      </c>
      <c r="B56" s="35"/>
      <c r="C56" s="35"/>
      <c r="D56" s="36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27"/>
      <c r="Q56" s="60"/>
      <c r="R56" s="60"/>
      <c r="S56" s="60"/>
      <c r="T56" s="60"/>
    </row>
    <row r="57" spans="1:20" ht="13.5" thickTop="1">
      <c r="Q57" s="60"/>
      <c r="R57" s="61" t="s">
        <v>76</v>
      </c>
      <c r="S57" s="61" t="s">
        <v>77</v>
      </c>
      <c r="T57" s="60"/>
    </row>
    <row r="58" spans="1:20">
      <c r="A58" t="s">
        <v>46</v>
      </c>
      <c r="Q58" s="62" t="s">
        <v>68</v>
      </c>
      <c r="R58" s="63" t="s">
        <v>69</v>
      </c>
      <c r="S58" s="67" t="s">
        <v>69</v>
      </c>
      <c r="T58" s="63" t="s">
        <v>70</v>
      </c>
    </row>
    <row r="59" spans="1:20">
      <c r="Q59" s="64" t="s">
        <v>71</v>
      </c>
      <c r="R59" s="65">
        <v>1.073</v>
      </c>
      <c r="S59" s="68">
        <v>1.099</v>
      </c>
      <c r="T59" s="65">
        <v>1.127</v>
      </c>
    </row>
    <row r="60" spans="1:20">
      <c r="Q60" s="64" t="s">
        <v>72</v>
      </c>
      <c r="R60" s="65">
        <v>-14</v>
      </c>
      <c r="S60" s="68">
        <v>4</v>
      </c>
      <c r="T60" s="65">
        <v>0</v>
      </c>
    </row>
    <row r="61" spans="1:20">
      <c r="C61" s="1"/>
      <c r="Q61" s="64" t="s">
        <v>74</v>
      </c>
      <c r="R61" s="65">
        <v>25</v>
      </c>
      <c r="S61" s="68">
        <v>25</v>
      </c>
      <c r="T61" s="65">
        <v>22.31</v>
      </c>
    </row>
    <row r="62" spans="1:20">
      <c r="Q62" s="64" t="s">
        <v>75</v>
      </c>
      <c r="R62" s="65">
        <v>16.309999999999999</v>
      </c>
      <c r="S62" s="68">
        <v>27.17</v>
      </c>
      <c r="T62" s="65">
        <v>25</v>
      </c>
    </row>
    <row r="63" spans="1:20">
      <c r="Q63" s="64" t="s">
        <v>73</v>
      </c>
      <c r="R63" s="65">
        <v>305</v>
      </c>
      <c r="S63" s="68">
        <v>293</v>
      </c>
      <c r="T63" s="65">
        <v>305</v>
      </c>
    </row>
    <row r="64" spans="1:20">
      <c r="Q64" s="60"/>
      <c r="R64" s="60"/>
      <c r="S64" s="69"/>
      <c r="T64" s="60"/>
    </row>
    <row r="65" spans="17:20">
      <c r="Q65" s="62" t="s">
        <v>68</v>
      </c>
      <c r="R65" s="63" t="s">
        <v>69</v>
      </c>
      <c r="S65" s="67" t="s">
        <v>69</v>
      </c>
      <c r="T65" s="63" t="s">
        <v>70</v>
      </c>
    </row>
    <row r="66" spans="17:20">
      <c r="Q66" s="64" t="s">
        <v>71</v>
      </c>
      <c r="R66" s="65">
        <v>1.165</v>
      </c>
      <c r="S66" s="68">
        <v>1.1910000000000001</v>
      </c>
      <c r="T66" s="65">
        <v>1.1719999999999999</v>
      </c>
    </row>
    <row r="67" spans="17:20">
      <c r="Q67" s="64" t="s">
        <v>72</v>
      </c>
      <c r="R67" s="65">
        <v>-2</v>
      </c>
      <c r="S67" s="68">
        <v>5</v>
      </c>
      <c r="T67" s="65">
        <v>0</v>
      </c>
    </row>
    <row r="68" spans="17:20">
      <c r="Q68" s="64" t="s">
        <v>74</v>
      </c>
      <c r="R68" s="65">
        <v>25</v>
      </c>
      <c r="S68" s="68">
        <v>25</v>
      </c>
      <c r="T68" s="65">
        <v>22.21</v>
      </c>
    </row>
    <row r="69" spans="17:20">
      <c r="Q69" s="64" t="s">
        <v>75</v>
      </c>
      <c r="R69" s="65">
        <v>24.15</v>
      </c>
      <c r="S69" s="68">
        <v>27.36</v>
      </c>
      <c r="T69" s="65">
        <v>25</v>
      </c>
    </row>
    <row r="70" spans="17:20">
      <c r="Q70" s="64" t="s">
        <v>73</v>
      </c>
      <c r="R70" s="65">
        <v>317</v>
      </c>
      <c r="S70" s="68">
        <v>317</v>
      </c>
      <c r="T70" s="65">
        <v>317</v>
      </c>
    </row>
    <row r="72" spans="17:20">
      <c r="Q72" s="62" t="s">
        <v>78</v>
      </c>
      <c r="R72" s="63" t="s">
        <v>79</v>
      </c>
      <c r="S72" s="73" t="s">
        <v>80</v>
      </c>
    </row>
    <row r="73" spans="17:20">
      <c r="Q73" s="64" t="s">
        <v>71</v>
      </c>
      <c r="R73" s="65">
        <v>1.1419999999999999</v>
      </c>
      <c r="S73" s="72">
        <v>1.099</v>
      </c>
    </row>
    <row r="74" spans="17:20">
      <c r="Q74" s="64" t="s">
        <v>72</v>
      </c>
      <c r="R74" s="65">
        <v>3</v>
      </c>
      <c r="S74" s="72">
        <v>4</v>
      </c>
    </row>
    <row r="75" spans="17:20">
      <c r="Q75" s="64" t="s">
        <v>74</v>
      </c>
      <c r="R75" s="65">
        <v>25</v>
      </c>
      <c r="S75" s="72">
        <v>25</v>
      </c>
    </row>
    <row r="76" spans="17:20">
      <c r="Q76" s="64" t="s">
        <v>75</v>
      </c>
      <c r="R76" s="65">
        <v>26.89</v>
      </c>
      <c r="S76" s="72">
        <v>27.17</v>
      </c>
    </row>
    <row r="77" spans="17:20">
      <c r="Q77" s="64" t="s">
        <v>73</v>
      </c>
      <c r="R77" s="65">
        <v>306</v>
      </c>
      <c r="S77" s="72">
        <v>293</v>
      </c>
    </row>
  </sheetData>
  <mergeCells count="2">
    <mergeCell ref="T18:U18"/>
    <mergeCell ref="R45:S45"/>
  </mergeCells>
  <printOptions horizontalCentered="1" verticalCentered="1"/>
  <pageMargins left="0.1" right="0.1" top="0.1" bottom="0.1" header="0.5" footer="0.5"/>
  <pageSetup scale="9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DB90-0208-4377-8F6A-7088FD827A42}">
  <sheetPr>
    <pageSetUpPr fitToPage="1"/>
  </sheetPr>
  <dimension ref="A1:U62"/>
  <sheetViews>
    <sheetView tabSelected="1" topLeftCell="A31" zoomScale="115" zoomScaleNormal="115" workbookViewId="0">
      <selection activeCell="E52" sqref="E52:P52"/>
    </sheetView>
  </sheetViews>
  <sheetFormatPr defaultColWidth="11.42578125" defaultRowHeight="12.75"/>
  <cols>
    <col min="1" max="1" width="12.7109375" customWidth="1"/>
    <col min="2" max="4" width="11.42578125" customWidth="1"/>
    <col min="5" max="7" width="8.7109375" customWidth="1"/>
    <col min="8" max="16" width="6.7109375" customWidth="1"/>
  </cols>
  <sheetData>
    <row r="1" spans="1:1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27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37" t="s">
        <v>28</v>
      </c>
      <c r="B3" s="38" t="s">
        <v>45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>
      <c r="A4" s="37"/>
      <c r="B4" s="38" t="s">
        <v>50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>
      <c r="A5" s="46"/>
      <c r="B5" s="2" t="s">
        <v>0</v>
      </c>
      <c r="C5" s="4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2"/>
      <c r="P6" s="2"/>
    </row>
    <row r="7" spans="1:16">
      <c r="A7" s="3" t="s">
        <v>1</v>
      </c>
      <c r="B7" s="2"/>
      <c r="C7" s="2"/>
      <c r="D7" s="2"/>
      <c r="E7" s="39">
        <v>2022</v>
      </c>
      <c r="F7" s="6">
        <f t="shared" ref="F7:P7" si="0">$E7+F8</f>
        <v>2023</v>
      </c>
      <c r="G7" s="6">
        <f t="shared" si="0"/>
        <v>2024</v>
      </c>
      <c r="H7" s="6">
        <f t="shared" si="0"/>
        <v>2025</v>
      </c>
      <c r="I7" s="6">
        <f t="shared" si="0"/>
        <v>2026</v>
      </c>
      <c r="J7" s="6">
        <f t="shared" si="0"/>
        <v>2027</v>
      </c>
      <c r="K7" s="6">
        <f t="shared" si="0"/>
        <v>2028</v>
      </c>
      <c r="L7" s="6">
        <f t="shared" si="0"/>
        <v>2029</v>
      </c>
      <c r="M7" s="6">
        <f t="shared" si="0"/>
        <v>2030</v>
      </c>
      <c r="N7" s="6">
        <f t="shared" si="0"/>
        <v>2031</v>
      </c>
      <c r="O7" s="6">
        <f t="shared" si="0"/>
        <v>2032</v>
      </c>
      <c r="P7" s="6">
        <f t="shared" si="0"/>
        <v>2033</v>
      </c>
    </row>
    <row r="8" spans="1:16">
      <c r="A8" s="28" t="s">
        <v>2</v>
      </c>
      <c r="B8" s="29"/>
      <c r="C8" s="29"/>
      <c r="D8" s="30"/>
      <c r="E8" s="7">
        <v>0</v>
      </c>
      <c r="F8" s="7">
        <f t="shared" ref="F8:P8" si="1">+E8+1</f>
        <v>1</v>
      </c>
      <c r="G8" s="7">
        <f t="shared" si="1"/>
        <v>2</v>
      </c>
      <c r="H8" s="7">
        <f t="shared" si="1"/>
        <v>3</v>
      </c>
      <c r="I8" s="7">
        <f t="shared" si="1"/>
        <v>4</v>
      </c>
      <c r="J8" s="7">
        <f t="shared" si="1"/>
        <v>5</v>
      </c>
      <c r="K8" s="7">
        <f t="shared" si="1"/>
        <v>6</v>
      </c>
      <c r="L8" s="7">
        <f t="shared" si="1"/>
        <v>7</v>
      </c>
      <c r="M8" s="7">
        <f t="shared" si="1"/>
        <v>8</v>
      </c>
      <c r="N8" s="7">
        <f t="shared" si="1"/>
        <v>9</v>
      </c>
      <c r="O8" s="7">
        <f t="shared" si="1"/>
        <v>10</v>
      </c>
      <c r="P8" s="7">
        <f t="shared" si="1"/>
        <v>11</v>
      </c>
    </row>
    <row r="9" spans="1:16">
      <c r="A9" s="31" t="s">
        <v>3</v>
      </c>
      <c r="B9" s="32"/>
      <c r="C9" s="32"/>
      <c r="D9" s="33"/>
      <c r="E9" s="40">
        <v>2.6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>
      <c r="A10" s="31" t="s">
        <v>4</v>
      </c>
      <c r="B10" s="32"/>
      <c r="C10" s="32"/>
      <c r="D10" s="33"/>
      <c r="E10" s="9">
        <v>20</v>
      </c>
      <c r="F10" s="9">
        <v>32</v>
      </c>
      <c r="G10" s="9">
        <v>19</v>
      </c>
      <c r="H10" s="9">
        <v>12</v>
      </c>
      <c r="I10" s="9">
        <v>12</v>
      </c>
      <c r="J10" s="9">
        <v>5</v>
      </c>
      <c r="K10" s="9">
        <v>0</v>
      </c>
      <c r="L10" s="9"/>
      <c r="M10" s="9"/>
      <c r="N10" s="9"/>
      <c r="O10" s="9"/>
      <c r="P10" s="9"/>
    </row>
    <row r="11" spans="1:16">
      <c r="A11" s="31" t="s">
        <v>32</v>
      </c>
      <c r="B11" s="32"/>
      <c r="C11" s="32"/>
      <c r="D11" s="33"/>
      <c r="E11" s="41">
        <v>30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31" t="s">
        <v>33</v>
      </c>
      <c r="B12" s="32"/>
      <c r="C12" s="32"/>
      <c r="D12" s="33"/>
      <c r="E12" s="41">
        <v>30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31" t="s">
        <v>29</v>
      </c>
      <c r="B13" s="32"/>
      <c r="C13" s="32"/>
      <c r="D13" s="33"/>
      <c r="E13" s="51">
        <v>6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>
      <c r="A14" s="31" t="s">
        <v>5</v>
      </c>
      <c r="B14" s="32"/>
      <c r="C14" s="32"/>
      <c r="D14" s="33"/>
      <c r="E14" s="9">
        <v>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>
      <c r="A15" s="31" t="s">
        <v>6</v>
      </c>
      <c r="B15" s="32"/>
      <c r="C15" s="32"/>
      <c r="D15" s="33"/>
      <c r="E15" s="9">
        <v>25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>
      <c r="A16" s="34" t="s">
        <v>7</v>
      </c>
      <c r="B16" s="35"/>
      <c r="C16" s="35"/>
      <c r="D16" s="36"/>
      <c r="E16" s="42">
        <v>25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21">
      <c r="A17" s="2"/>
      <c r="B17" s="2"/>
      <c r="C17" s="2"/>
      <c r="D17" s="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21">
      <c r="A18" s="3" t="s">
        <v>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T18" s="70" t="s">
        <v>51</v>
      </c>
      <c r="U18" s="70"/>
    </row>
    <row r="19" spans="1:21">
      <c r="A19" s="28" t="s">
        <v>42</v>
      </c>
      <c r="B19" s="29"/>
      <c r="C19" s="29"/>
      <c r="D19" s="30"/>
      <c r="E19" s="43">
        <f>55/2</f>
        <v>27.5</v>
      </c>
      <c r="F19" s="43">
        <f>55/2</f>
        <v>27.5</v>
      </c>
      <c r="G19" s="12">
        <v>0</v>
      </c>
      <c r="H19" s="12">
        <v>0</v>
      </c>
      <c r="I19" s="12">
        <v>0</v>
      </c>
      <c r="J19" s="47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T19" s="56" t="s">
        <v>52</v>
      </c>
      <c r="U19" s="56" t="s">
        <v>53</v>
      </c>
    </row>
    <row r="20" spans="1:21">
      <c r="A20" s="31" t="s">
        <v>8</v>
      </c>
      <c r="B20" s="32"/>
      <c r="C20" s="32"/>
      <c r="D20" s="33"/>
      <c r="E20" s="13">
        <f>E30*$E11/365</f>
        <v>0</v>
      </c>
      <c r="F20" s="14">
        <f>F30*$E11/365-SUM($E20:E20)</f>
        <v>0</v>
      </c>
      <c r="G20" s="14">
        <f>G30*$E11/365+G24*$E12/365-SUM($E20:F20)</f>
        <v>12.25068493150685</v>
      </c>
      <c r="H20" s="14">
        <f>H30*$E11/365+H24*$E12/365-SUM($E20:G20)</f>
        <v>7.3415967123287693</v>
      </c>
      <c r="I20" s="14">
        <f>I30*$E11/365+I24*$E12/365-SUM($E20:H20)</f>
        <v>5.3124424767123344</v>
      </c>
      <c r="J20" s="14">
        <f>J30*$E11/365+J24*$E12/365-SUM($E20:I20)</f>
        <v>0.645172142202739</v>
      </c>
      <c r="K20" s="14">
        <f>K30*$E11/365+K24*$E12/365-SUM($E20:J20)</f>
        <v>0.66194661790000708</v>
      </c>
      <c r="L20" s="14">
        <f>L30*$E11/365+L24*$E12/365-SUM($E20:K20)</f>
        <v>0.67915722996541206</v>
      </c>
      <c r="M20" s="14">
        <f>M30*$E11/365+M24*$E12/365-SUM($E20:L20)</f>
        <v>0.69681531794451246</v>
      </c>
      <c r="N20" s="14">
        <f>N30*$E11/365+N24*$E12/365-SUM($E20:M20)</f>
        <v>0.71493251621107134</v>
      </c>
      <c r="O20" s="14">
        <f>O30*$E11/365+O24*$E12/365-SUM($E20:N20)</f>
        <v>0.73352076163256186</v>
      </c>
      <c r="P20" s="14">
        <f>P30*$E11/365+P24*$E12/365-SUM($E20:O20)</f>
        <v>0.75259230143500133</v>
      </c>
      <c r="T20" s="56" t="s">
        <v>54</v>
      </c>
      <c r="U20" s="56" t="s">
        <v>55</v>
      </c>
    </row>
    <row r="21" spans="1:21">
      <c r="A21" s="34"/>
      <c r="B21" s="35"/>
      <c r="C21" s="35" t="s">
        <v>9</v>
      </c>
      <c r="D21" s="35"/>
      <c r="E21" s="13">
        <f t="shared" ref="E21:P21" si="2">E19+E20</f>
        <v>27.5</v>
      </c>
      <c r="F21" s="14">
        <f t="shared" si="2"/>
        <v>27.5</v>
      </c>
      <c r="G21" s="14">
        <f t="shared" si="2"/>
        <v>12.25068493150685</v>
      </c>
      <c r="H21" s="14">
        <f t="shared" si="2"/>
        <v>7.3415967123287693</v>
      </c>
      <c r="I21" s="14">
        <f t="shared" si="2"/>
        <v>5.3124424767123344</v>
      </c>
      <c r="J21" s="14">
        <f t="shared" si="2"/>
        <v>0.645172142202739</v>
      </c>
      <c r="K21" s="14">
        <f t="shared" si="2"/>
        <v>0.66194661790000708</v>
      </c>
      <c r="L21" s="14">
        <f t="shared" si="2"/>
        <v>0.67915722996541206</v>
      </c>
      <c r="M21" s="14">
        <f t="shared" si="2"/>
        <v>0.69681531794451246</v>
      </c>
      <c r="N21" s="14">
        <f t="shared" si="2"/>
        <v>0.71493251621107134</v>
      </c>
      <c r="O21" s="14">
        <f t="shared" si="2"/>
        <v>0.73352076163256186</v>
      </c>
      <c r="P21" s="14">
        <f t="shared" si="2"/>
        <v>0.75259230143500133</v>
      </c>
      <c r="T21" s="56" t="s">
        <v>56</v>
      </c>
      <c r="U21" s="56" t="s">
        <v>57</v>
      </c>
    </row>
    <row r="22" spans="1:21">
      <c r="A22" s="2"/>
      <c r="B22" s="2"/>
      <c r="C22" s="2"/>
      <c r="D22" s="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T22" s="56" t="s">
        <v>58</v>
      </c>
      <c r="U22" s="56" t="s">
        <v>59</v>
      </c>
    </row>
    <row r="23" spans="1:21">
      <c r="A23" s="3" t="s">
        <v>35</v>
      </c>
      <c r="B23" s="2"/>
      <c r="C23" s="2"/>
      <c r="D23" s="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T23" s="56" t="s">
        <v>60</v>
      </c>
      <c r="U23" s="56" t="s">
        <v>61</v>
      </c>
    </row>
    <row r="24" spans="1:21">
      <c r="A24" s="28" t="s">
        <v>47</v>
      </c>
      <c r="B24" s="29"/>
      <c r="C24" s="29"/>
      <c r="D24" s="30"/>
      <c r="E24" s="15">
        <v>0</v>
      </c>
      <c r="F24" s="15">
        <v>0</v>
      </c>
      <c r="G24" s="53">
        <f>137.3/2</f>
        <v>68.650000000000006</v>
      </c>
      <c r="H24" s="48">
        <f>0.8/0.5*G24*(1+$E$9/100)^($H$8-2)</f>
        <v>112.69584000000002</v>
      </c>
      <c r="I24" s="48">
        <f>1/0.8*H24*(1+$E$9/100)^($H$8-2)</f>
        <v>144.53241480000003</v>
      </c>
      <c r="J24" s="48">
        <f t="shared" ref="H24:P28" si="3">I24*(1+$E$9/100)^($H$8-2)</f>
        <v>148.29025758480003</v>
      </c>
      <c r="K24" s="15">
        <f t="shared" si="3"/>
        <v>152.14580428200483</v>
      </c>
      <c r="L24" s="15">
        <f t="shared" si="3"/>
        <v>156.10159519333695</v>
      </c>
      <c r="M24" s="15">
        <f t="shared" si="3"/>
        <v>160.16023666836372</v>
      </c>
      <c r="N24" s="15">
        <f t="shared" si="3"/>
        <v>164.32440282174119</v>
      </c>
      <c r="O24" s="15">
        <f t="shared" si="3"/>
        <v>168.59683729510647</v>
      </c>
      <c r="P24" s="15">
        <f t="shared" si="3"/>
        <v>172.98035506477925</v>
      </c>
      <c r="Q24" t="s">
        <v>46</v>
      </c>
      <c r="T24" s="56" t="s">
        <v>62</v>
      </c>
      <c r="U24" s="56" t="s">
        <v>63</v>
      </c>
    </row>
    <row r="25" spans="1:21">
      <c r="A25" s="31" t="s">
        <v>48</v>
      </c>
      <c r="B25" s="32"/>
      <c r="C25" s="32"/>
      <c r="D25" s="33"/>
      <c r="E25" s="16">
        <v>0</v>
      </c>
      <c r="F25" s="16">
        <v>0</v>
      </c>
      <c r="G25" s="54">
        <f>0.5*3.1</f>
        <v>1.55</v>
      </c>
      <c r="H25" s="49">
        <f>0.8/0.5*G25*(1+$E$9/100)^($H$8-2)</f>
        <v>2.5444800000000005</v>
      </c>
      <c r="I25" s="49">
        <f>1/0.8*H25*(1+$E$9/100)^($H$8-2)</f>
        <v>3.2632956000000006</v>
      </c>
      <c r="J25" s="49">
        <f t="shared" si="3"/>
        <v>3.3481412856000006</v>
      </c>
      <c r="K25" s="16">
        <f t="shared" si="3"/>
        <v>3.4351929590256005</v>
      </c>
      <c r="L25" s="16">
        <f t="shared" si="3"/>
        <v>3.5245079759602662</v>
      </c>
      <c r="M25" s="16">
        <f t="shared" si="3"/>
        <v>3.6161451833352332</v>
      </c>
      <c r="N25" s="16">
        <f t="shared" si="3"/>
        <v>3.7101649581019491</v>
      </c>
      <c r="O25" s="16">
        <f t="shared" si="3"/>
        <v>3.8066292470125997</v>
      </c>
      <c r="P25" s="16">
        <f t="shared" si="3"/>
        <v>3.9056016074349276</v>
      </c>
      <c r="Q25" t="s">
        <v>46</v>
      </c>
      <c r="T25" s="56" t="s">
        <v>64</v>
      </c>
      <c r="U25" s="56" t="s">
        <v>65</v>
      </c>
    </row>
    <row r="26" spans="1:21">
      <c r="A26" s="31" t="s">
        <v>10</v>
      </c>
      <c r="B26" s="32"/>
      <c r="C26" s="32"/>
      <c r="D26" s="33"/>
      <c r="E26" s="16">
        <v>0</v>
      </c>
      <c r="F26" s="16">
        <v>0</v>
      </c>
      <c r="G26" s="54">
        <v>7.4</v>
      </c>
      <c r="H26" s="49">
        <f t="shared" si="3"/>
        <v>7.5924000000000005</v>
      </c>
      <c r="I26" s="49">
        <f t="shared" si="3"/>
        <v>7.789802400000001</v>
      </c>
      <c r="J26" s="49">
        <f t="shared" si="3"/>
        <v>7.9923372624000013</v>
      </c>
      <c r="K26" s="16">
        <f t="shared" si="3"/>
        <v>8.2001380312224015</v>
      </c>
      <c r="L26" s="16">
        <f t="shared" si="3"/>
        <v>8.4133416200341848</v>
      </c>
      <c r="M26" s="16">
        <f t="shared" si="3"/>
        <v>8.6320885021550744</v>
      </c>
      <c r="N26" s="16">
        <f t="shared" si="3"/>
        <v>8.8565228032111065</v>
      </c>
      <c r="O26" s="16">
        <f t="shared" si="3"/>
        <v>9.0867923960945962</v>
      </c>
      <c r="P26" s="16">
        <f t="shared" si="3"/>
        <v>9.3230489983930553</v>
      </c>
      <c r="T26" s="56" t="s">
        <v>66</v>
      </c>
      <c r="U26" s="56" t="s">
        <v>67</v>
      </c>
    </row>
    <row r="27" spans="1:21">
      <c r="A27" s="31" t="s">
        <v>11</v>
      </c>
      <c r="B27" s="32"/>
      <c r="C27" s="32"/>
      <c r="D27" s="33"/>
      <c r="E27" s="16">
        <v>0</v>
      </c>
      <c r="F27" s="16">
        <v>0</v>
      </c>
      <c r="G27" s="54">
        <v>1.7</v>
      </c>
      <c r="H27" s="49">
        <f t="shared" si="3"/>
        <v>1.7442</v>
      </c>
      <c r="I27" s="49">
        <f t="shared" si="3"/>
        <v>1.7895492</v>
      </c>
      <c r="J27" s="49">
        <f t="shared" si="3"/>
        <v>1.8360774792000001</v>
      </c>
      <c r="K27" s="16">
        <f t="shared" si="3"/>
        <v>1.8838154936592002</v>
      </c>
      <c r="L27" s="16">
        <f t="shared" si="3"/>
        <v>1.9327946964943394</v>
      </c>
      <c r="M27" s="16">
        <f t="shared" si="3"/>
        <v>1.9830473586031923</v>
      </c>
      <c r="N27" s="16">
        <f t="shared" si="3"/>
        <v>2.0346065899268755</v>
      </c>
      <c r="O27" s="16">
        <f t="shared" si="3"/>
        <v>2.0875063612649742</v>
      </c>
      <c r="P27" s="16">
        <f t="shared" si="3"/>
        <v>2.1417815266578635</v>
      </c>
    </row>
    <row r="28" spans="1:21">
      <c r="A28" s="31" t="s">
        <v>12</v>
      </c>
      <c r="B28" s="32"/>
      <c r="C28" s="32"/>
      <c r="D28" s="33"/>
      <c r="E28" s="44">
        <v>0</v>
      </c>
      <c r="F28" s="44">
        <v>0</v>
      </c>
      <c r="G28" s="54">
        <v>0</v>
      </c>
      <c r="H28" s="49">
        <f t="shared" si="3"/>
        <v>0</v>
      </c>
      <c r="I28" s="49">
        <f t="shared" si="3"/>
        <v>0</v>
      </c>
      <c r="J28" s="49">
        <f t="shared" si="3"/>
        <v>0</v>
      </c>
      <c r="K28" s="16">
        <f t="shared" si="3"/>
        <v>0</v>
      </c>
      <c r="L28" s="16">
        <f t="shared" si="3"/>
        <v>0</v>
      </c>
      <c r="M28" s="16">
        <f t="shared" si="3"/>
        <v>0</v>
      </c>
      <c r="N28" s="16">
        <f t="shared" si="3"/>
        <v>0</v>
      </c>
      <c r="O28" s="16">
        <f t="shared" si="3"/>
        <v>0</v>
      </c>
      <c r="P28" s="16">
        <f t="shared" si="3"/>
        <v>0</v>
      </c>
    </row>
    <row r="29" spans="1:21">
      <c r="A29" s="31" t="s">
        <v>13</v>
      </c>
      <c r="B29" s="32"/>
      <c r="C29" s="32"/>
      <c r="D29" s="33"/>
      <c r="E29" s="17">
        <v>0</v>
      </c>
      <c r="F29" s="17">
        <v>0</v>
      </c>
      <c r="G29" s="55">
        <f>$E14/100*SUM($E19:G19)</f>
        <v>1.1000000000000001</v>
      </c>
      <c r="H29" s="17">
        <f>$E14/100*SUM($E19:H19)</f>
        <v>1.1000000000000001</v>
      </c>
      <c r="I29" s="17">
        <f>$E14/100*SUM($E19:I19)</f>
        <v>1.1000000000000001</v>
      </c>
      <c r="J29" s="17">
        <f>$E14/100*SUM($E19:J19)</f>
        <v>1.1000000000000001</v>
      </c>
      <c r="K29" s="17">
        <f>$E14/100*SUM($E19:K19)</f>
        <v>1.1000000000000001</v>
      </c>
      <c r="L29" s="17">
        <f>$E14/100*SUM($E19:L19)</f>
        <v>1.1000000000000001</v>
      </c>
      <c r="M29" s="17">
        <f>$E14/100*SUM($E19:M19)</f>
        <v>1.1000000000000001</v>
      </c>
      <c r="N29" s="17">
        <f>$E14/100*SUM($E19:N19)</f>
        <v>1.1000000000000001</v>
      </c>
      <c r="O29" s="17">
        <f>$E14/100*SUM($E19:O19)</f>
        <v>1.1000000000000001</v>
      </c>
      <c r="P29" s="17">
        <f>$E14/100*SUM($E19:P19)</f>
        <v>1.1000000000000001</v>
      </c>
    </row>
    <row r="30" spans="1:21">
      <c r="A30" s="34"/>
      <c r="B30" s="35"/>
      <c r="C30" s="35" t="s">
        <v>14</v>
      </c>
      <c r="D30" s="36"/>
      <c r="E30" s="17">
        <f t="shared" ref="E30:P30" si="4">SUM(E24:E29)</f>
        <v>0</v>
      </c>
      <c r="F30" s="17">
        <f t="shared" si="4"/>
        <v>0</v>
      </c>
      <c r="G30" s="17">
        <f t="shared" si="4"/>
        <v>80.400000000000006</v>
      </c>
      <c r="H30" s="17">
        <f t="shared" si="4"/>
        <v>125.67692000000002</v>
      </c>
      <c r="I30" s="17">
        <f t="shared" si="4"/>
        <v>158.47506200000004</v>
      </c>
      <c r="J30" s="17">
        <f t="shared" si="4"/>
        <v>162.56681361200006</v>
      </c>
      <c r="K30" s="17">
        <f t="shared" si="4"/>
        <v>166.76495076591203</v>
      </c>
      <c r="L30" s="17">
        <f t="shared" si="4"/>
        <v>171.07223948582572</v>
      </c>
      <c r="M30" s="17">
        <f t="shared" si="4"/>
        <v>175.49151771245721</v>
      </c>
      <c r="N30" s="17">
        <f t="shared" si="4"/>
        <v>180.02569717298113</v>
      </c>
      <c r="O30" s="17">
        <f t="shared" si="4"/>
        <v>184.67776529947866</v>
      </c>
      <c r="P30" s="17">
        <f t="shared" si="4"/>
        <v>189.4507871972651</v>
      </c>
    </row>
    <row r="31" spans="1:21">
      <c r="A31" s="8"/>
      <c r="B31" s="8"/>
      <c r="C31" s="8"/>
      <c r="D31" s="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21">
      <c r="A32" s="3" t="s">
        <v>36</v>
      </c>
      <c r="B32" s="2"/>
      <c r="C32" s="2"/>
      <c r="D32" s="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20">
      <c r="A33" s="28" t="s">
        <v>44</v>
      </c>
      <c r="B33" s="29"/>
      <c r="C33" s="29"/>
      <c r="D33" s="30"/>
      <c r="E33" s="12">
        <v>0</v>
      </c>
      <c r="F33" s="12">
        <v>0</v>
      </c>
      <c r="G33" s="66">
        <v>1.1259791042111476</v>
      </c>
      <c r="H33" s="52">
        <f t="shared" ref="H33:P33" si="5">G33*(1+$E9/100)</f>
        <v>1.1552545609206375</v>
      </c>
      <c r="I33" s="52">
        <f t="shared" si="5"/>
        <v>1.1852911795045742</v>
      </c>
      <c r="J33" s="52">
        <f t="shared" si="5"/>
        <v>1.2161087501716932</v>
      </c>
      <c r="K33" s="52">
        <f t="shared" si="5"/>
        <v>1.2477275776761572</v>
      </c>
      <c r="L33" s="52">
        <f t="shared" si="5"/>
        <v>1.2801684946957372</v>
      </c>
      <c r="M33" s="52">
        <f t="shared" si="5"/>
        <v>1.3134528755578265</v>
      </c>
      <c r="N33" s="52">
        <f t="shared" si="5"/>
        <v>1.34760265032233</v>
      </c>
      <c r="O33" s="52">
        <f t="shared" si="5"/>
        <v>1.3826403192307106</v>
      </c>
      <c r="P33" s="52">
        <f t="shared" si="5"/>
        <v>1.4185889675307091</v>
      </c>
    </row>
    <row r="34" spans="1:20">
      <c r="A34" s="31" t="s">
        <v>43</v>
      </c>
      <c r="B34" s="32"/>
      <c r="C34" s="32"/>
      <c r="D34" s="32"/>
      <c r="E34" s="19"/>
      <c r="F34" s="19"/>
      <c r="G34" s="54">
        <f>0.5*170097000/10^6</f>
        <v>85.048500000000004</v>
      </c>
      <c r="H34" s="50">
        <f>0.8/0.5*G34</f>
        <v>136.07760000000002</v>
      </c>
      <c r="I34" s="50">
        <f>1/0.8*H34</f>
        <v>170.09700000000004</v>
      </c>
      <c r="J34" s="50">
        <f>I34</f>
        <v>170.09700000000004</v>
      </c>
      <c r="K34" s="20">
        <f t="shared" ref="K34:P34" si="6">J34</f>
        <v>170.09700000000004</v>
      </c>
      <c r="L34" s="20">
        <f t="shared" si="6"/>
        <v>170.09700000000004</v>
      </c>
      <c r="M34" s="20">
        <f t="shared" si="6"/>
        <v>170.09700000000004</v>
      </c>
      <c r="N34" s="20">
        <f t="shared" si="6"/>
        <v>170.09700000000004</v>
      </c>
      <c r="O34" s="20">
        <f t="shared" si="6"/>
        <v>170.09700000000004</v>
      </c>
      <c r="P34" s="20">
        <f t="shared" si="6"/>
        <v>170.09700000000004</v>
      </c>
    </row>
    <row r="35" spans="1:20">
      <c r="A35" s="31" t="s">
        <v>41</v>
      </c>
      <c r="B35" s="32"/>
      <c r="C35" s="32"/>
      <c r="D35" s="32"/>
      <c r="E35" s="14"/>
      <c r="F35" s="14"/>
      <c r="G35" s="45"/>
      <c r="H35" s="21">
        <f>$G$35</f>
        <v>0</v>
      </c>
      <c r="I35" s="21">
        <f t="shared" ref="I35:P35" si="7">$G$35</f>
        <v>0</v>
      </c>
      <c r="J35" s="21">
        <f t="shared" si="7"/>
        <v>0</v>
      </c>
      <c r="K35" s="21">
        <f t="shared" si="7"/>
        <v>0</v>
      </c>
      <c r="L35" s="21">
        <f t="shared" si="7"/>
        <v>0</v>
      </c>
      <c r="M35" s="21">
        <f t="shared" si="7"/>
        <v>0</v>
      </c>
      <c r="N35" s="21">
        <f t="shared" si="7"/>
        <v>0</v>
      </c>
      <c r="O35" s="21">
        <f t="shared" si="7"/>
        <v>0</v>
      </c>
      <c r="P35" s="21">
        <f t="shared" si="7"/>
        <v>0</v>
      </c>
    </row>
    <row r="36" spans="1:20">
      <c r="A36" s="34" t="s">
        <v>40</v>
      </c>
      <c r="B36" s="35"/>
      <c r="C36" s="35"/>
      <c r="D36" s="35"/>
      <c r="E36" s="14"/>
      <c r="F36" s="14"/>
      <c r="G36" s="21">
        <f>G33*G34+G35</f>
        <v>95.762833844501785</v>
      </c>
      <c r="H36" s="21">
        <f t="shared" ref="H36:P36" si="8">H33*H34+H35</f>
        <v>157.20426803913415</v>
      </c>
      <c r="I36" s="21">
        <f t="shared" si="8"/>
        <v>201.61447376018961</v>
      </c>
      <c r="J36" s="21">
        <f t="shared" si="8"/>
        <v>206.85645007795455</v>
      </c>
      <c r="K36" s="21">
        <f t="shared" si="8"/>
        <v>212.23471777998134</v>
      </c>
      <c r="L36" s="21">
        <f t="shared" si="8"/>
        <v>217.75282044226086</v>
      </c>
      <c r="M36" s="21">
        <f t="shared" si="8"/>
        <v>223.41439377375966</v>
      </c>
      <c r="N36" s="21">
        <f t="shared" si="8"/>
        <v>229.22316801187742</v>
      </c>
      <c r="O36" s="21">
        <f t="shared" si="8"/>
        <v>235.18297038018625</v>
      </c>
      <c r="P36" s="21">
        <f t="shared" si="8"/>
        <v>241.29772761007106</v>
      </c>
    </row>
    <row r="37" spans="1:20">
      <c r="A37" s="2"/>
      <c r="B37" s="2"/>
      <c r="C37" s="2"/>
      <c r="D37" s="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20">
      <c r="A38" s="3" t="s">
        <v>37</v>
      </c>
      <c r="B38" s="2"/>
      <c r="C38" s="2"/>
      <c r="D38" s="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20">
      <c r="A39" s="28" t="s">
        <v>15</v>
      </c>
      <c r="B39" s="29"/>
      <c r="C39" s="29"/>
      <c r="D39" s="30"/>
      <c r="E39" s="12">
        <f t="shared" ref="E39:P39" si="9">E36</f>
        <v>0</v>
      </c>
      <c r="F39" s="12">
        <f t="shared" si="9"/>
        <v>0</v>
      </c>
      <c r="G39" s="12">
        <f t="shared" si="9"/>
        <v>95.762833844501785</v>
      </c>
      <c r="H39" s="12">
        <f t="shared" si="9"/>
        <v>157.20426803913415</v>
      </c>
      <c r="I39" s="12">
        <f t="shared" si="9"/>
        <v>201.61447376018961</v>
      </c>
      <c r="J39" s="12">
        <f t="shared" si="9"/>
        <v>206.85645007795455</v>
      </c>
      <c r="K39" s="12">
        <f t="shared" si="9"/>
        <v>212.23471777998134</v>
      </c>
      <c r="L39" s="12">
        <f t="shared" si="9"/>
        <v>217.75282044226086</v>
      </c>
      <c r="M39" s="12">
        <f t="shared" si="9"/>
        <v>223.41439377375966</v>
      </c>
      <c r="N39" s="12">
        <f t="shared" si="9"/>
        <v>229.22316801187742</v>
      </c>
      <c r="O39" s="12">
        <f t="shared" si="9"/>
        <v>235.18297038018625</v>
      </c>
      <c r="P39" s="12">
        <f t="shared" si="9"/>
        <v>241.29772761007106</v>
      </c>
    </row>
    <row r="40" spans="1:20">
      <c r="A40" s="31" t="s">
        <v>16</v>
      </c>
      <c r="B40" s="32"/>
      <c r="C40" s="32"/>
      <c r="D40" s="33"/>
      <c r="E40" s="19">
        <f t="shared" ref="E40:P40" si="10">E30</f>
        <v>0</v>
      </c>
      <c r="F40" s="19">
        <f t="shared" si="10"/>
        <v>0</v>
      </c>
      <c r="G40" s="22">
        <f t="shared" si="10"/>
        <v>80.400000000000006</v>
      </c>
      <c r="H40" s="22">
        <f t="shared" si="10"/>
        <v>125.67692000000002</v>
      </c>
      <c r="I40" s="22">
        <f t="shared" si="10"/>
        <v>158.47506200000004</v>
      </c>
      <c r="J40" s="22">
        <f t="shared" si="10"/>
        <v>162.56681361200006</v>
      </c>
      <c r="K40" s="22">
        <f t="shared" si="10"/>
        <v>166.76495076591203</v>
      </c>
      <c r="L40" s="22">
        <f t="shared" si="10"/>
        <v>171.07223948582572</v>
      </c>
      <c r="M40" s="22">
        <f t="shared" si="10"/>
        <v>175.49151771245721</v>
      </c>
      <c r="N40" s="22">
        <f t="shared" si="10"/>
        <v>180.02569717298113</v>
      </c>
      <c r="O40" s="22">
        <f t="shared" si="10"/>
        <v>184.67776529947866</v>
      </c>
      <c r="P40" s="22">
        <f t="shared" si="10"/>
        <v>189.4507871972651</v>
      </c>
    </row>
    <row r="41" spans="1:20">
      <c r="A41" s="31" t="s">
        <v>17</v>
      </c>
      <c r="B41" s="32"/>
      <c r="C41" s="32"/>
      <c r="D41" s="33"/>
      <c r="E41" s="19">
        <f>E19*E10/100</f>
        <v>5.5</v>
      </c>
      <c r="F41" s="19">
        <f>($E19*F10+$F19*E10)/100</f>
        <v>14.3</v>
      </c>
      <c r="G41" s="19">
        <f>($E19*G10+$F19*F10)/100</f>
        <v>14.025</v>
      </c>
      <c r="H41" s="19">
        <f>($E19*H10+$F19*G10)/100</f>
        <v>8.5250000000000004</v>
      </c>
      <c r="I41" s="19">
        <f>($E19*I10+$F19*H10)/100</f>
        <v>6.6</v>
      </c>
      <c r="J41" s="19">
        <f t="shared" ref="J41:P41" si="11">($E19*J10+$F19*I10+$J19*E10)/100</f>
        <v>4.6749999999999998</v>
      </c>
      <c r="K41" s="19">
        <f t="shared" si="11"/>
        <v>1.375</v>
      </c>
      <c r="L41" s="19">
        <f t="shared" si="11"/>
        <v>0</v>
      </c>
      <c r="M41" s="19">
        <f t="shared" si="11"/>
        <v>0</v>
      </c>
      <c r="N41" s="19">
        <f t="shared" si="11"/>
        <v>0</v>
      </c>
      <c r="O41" s="19">
        <f t="shared" si="11"/>
        <v>0</v>
      </c>
      <c r="P41" s="19">
        <f t="shared" si="11"/>
        <v>0</v>
      </c>
    </row>
    <row r="42" spans="1:20">
      <c r="A42" s="31" t="s">
        <v>30</v>
      </c>
      <c r="B42" s="32"/>
      <c r="C42" s="32"/>
      <c r="D42" s="33"/>
      <c r="E42" s="14">
        <f t="shared" ref="E42:P42" si="12">$E13/100*(E30+E41)</f>
        <v>0.32999999999999996</v>
      </c>
      <c r="F42" s="14">
        <f t="shared" si="12"/>
        <v>0.85799999999999998</v>
      </c>
      <c r="G42" s="14">
        <f t="shared" si="12"/>
        <v>5.6655000000000006</v>
      </c>
      <c r="H42" s="14">
        <f t="shared" si="12"/>
        <v>8.0521152000000011</v>
      </c>
      <c r="I42" s="14">
        <f t="shared" si="12"/>
        <v>9.904503720000001</v>
      </c>
      <c r="J42" s="14">
        <f t="shared" si="12"/>
        <v>10.034508816720004</v>
      </c>
      <c r="K42" s="14">
        <f t="shared" si="12"/>
        <v>10.088397045954721</v>
      </c>
      <c r="L42" s="14">
        <f t="shared" si="12"/>
        <v>10.264334369149543</v>
      </c>
      <c r="M42" s="14">
        <f t="shared" si="12"/>
        <v>10.529491062747432</v>
      </c>
      <c r="N42" s="14">
        <f t="shared" si="12"/>
        <v>10.801541830378866</v>
      </c>
      <c r="O42" s="14">
        <f t="shared" si="12"/>
        <v>11.080665917968719</v>
      </c>
      <c r="P42" s="14">
        <f t="shared" si="12"/>
        <v>11.367047231835906</v>
      </c>
    </row>
    <row r="43" spans="1:20">
      <c r="A43" s="31"/>
      <c r="B43" s="32"/>
      <c r="C43" s="32" t="s">
        <v>18</v>
      </c>
      <c r="D43" s="33"/>
      <c r="E43" s="14">
        <f t="shared" ref="E43:P43" si="13">E39-E40-E41-E42</f>
        <v>-5.83</v>
      </c>
      <c r="F43" s="14">
        <f t="shared" si="13"/>
        <v>-15.158000000000001</v>
      </c>
      <c r="G43" s="14">
        <f t="shared" si="13"/>
        <v>-4.3276661554982221</v>
      </c>
      <c r="H43" s="14">
        <f t="shared" si="13"/>
        <v>14.950232839134125</v>
      </c>
      <c r="I43" s="14">
        <f t="shared" si="13"/>
        <v>26.634908040189572</v>
      </c>
      <c r="J43" s="14">
        <f t="shared" si="13"/>
        <v>29.580127649234484</v>
      </c>
      <c r="K43" s="14">
        <f t="shared" si="13"/>
        <v>34.006369968114583</v>
      </c>
      <c r="L43" s="14">
        <f t="shared" si="13"/>
        <v>36.416246587285592</v>
      </c>
      <c r="M43" s="14">
        <f t="shared" si="13"/>
        <v>37.393384998555014</v>
      </c>
      <c r="N43" s="14">
        <f t="shared" si="13"/>
        <v>38.395929008517427</v>
      </c>
      <c r="O43" s="14">
        <f t="shared" si="13"/>
        <v>39.424539162738867</v>
      </c>
      <c r="P43" s="14">
        <f t="shared" si="13"/>
        <v>40.479893180970059</v>
      </c>
    </row>
    <row r="44" spans="1:20">
      <c r="A44" s="34"/>
      <c r="B44" s="35"/>
      <c r="C44" s="35" t="s">
        <v>19</v>
      </c>
      <c r="D44" s="36"/>
      <c r="E44" s="14">
        <f t="shared" ref="E44:P44" si="14">E43*$E15/100</f>
        <v>-1.4575</v>
      </c>
      <c r="F44" s="14">
        <f t="shared" si="14"/>
        <v>-3.7895000000000003</v>
      </c>
      <c r="G44" s="14">
        <f t="shared" si="14"/>
        <v>-1.0819165388745555</v>
      </c>
      <c r="H44" s="23">
        <f t="shared" si="14"/>
        <v>3.7375582097835314</v>
      </c>
      <c r="I44" s="23">
        <f t="shared" si="14"/>
        <v>6.658727010047393</v>
      </c>
      <c r="J44" s="23">
        <f t="shared" si="14"/>
        <v>7.395031912308621</v>
      </c>
      <c r="K44" s="23">
        <f t="shared" si="14"/>
        <v>8.5015924920286459</v>
      </c>
      <c r="L44" s="23">
        <f t="shared" si="14"/>
        <v>9.104061646821398</v>
      </c>
      <c r="M44" s="23">
        <f t="shared" si="14"/>
        <v>9.3483462496387535</v>
      </c>
      <c r="N44" s="23">
        <f t="shared" si="14"/>
        <v>9.5989822521293569</v>
      </c>
      <c r="O44" s="23">
        <f t="shared" si="14"/>
        <v>9.8561347906847168</v>
      </c>
      <c r="P44" s="14">
        <f t="shared" si="14"/>
        <v>10.119973295242515</v>
      </c>
    </row>
    <row r="45" spans="1:20">
      <c r="A45" s="2"/>
      <c r="B45" s="2"/>
      <c r="C45" s="2"/>
      <c r="D45" s="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60"/>
      <c r="R45" s="71" t="s">
        <v>51</v>
      </c>
      <c r="S45" s="71"/>
      <c r="T45" s="60"/>
    </row>
    <row r="46" spans="1:20">
      <c r="A46" s="3" t="s">
        <v>38</v>
      </c>
      <c r="B46" s="2"/>
      <c r="C46" s="2"/>
      <c r="D46" s="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60"/>
      <c r="R46" s="61" t="s">
        <v>52</v>
      </c>
      <c r="S46" s="57">
        <f>I24+I25</f>
        <v>147.79571040000002</v>
      </c>
      <c r="T46" s="61" t="s">
        <v>53</v>
      </c>
    </row>
    <row r="47" spans="1:20">
      <c r="A47" s="28" t="s">
        <v>20</v>
      </c>
      <c r="B47" s="29"/>
      <c r="C47" s="29"/>
      <c r="D47" s="30"/>
      <c r="E47" s="12">
        <f t="shared" ref="E47:P47" si="15">E36</f>
        <v>0</v>
      </c>
      <c r="F47" s="12">
        <f t="shared" si="15"/>
        <v>0</v>
      </c>
      <c r="G47" s="12">
        <f t="shared" si="15"/>
        <v>95.762833844501785</v>
      </c>
      <c r="H47" s="12">
        <f t="shared" si="15"/>
        <v>157.20426803913415</v>
      </c>
      <c r="I47" s="12">
        <f t="shared" si="15"/>
        <v>201.61447376018961</v>
      </c>
      <c r="J47" s="12">
        <f t="shared" si="15"/>
        <v>206.85645007795455</v>
      </c>
      <c r="K47" s="12">
        <f t="shared" si="15"/>
        <v>212.23471777998134</v>
      </c>
      <c r="L47" s="12">
        <f t="shared" si="15"/>
        <v>217.75282044226086</v>
      </c>
      <c r="M47" s="12">
        <f t="shared" si="15"/>
        <v>223.41439377375966</v>
      </c>
      <c r="N47" s="12">
        <f t="shared" si="15"/>
        <v>229.22316801187742</v>
      </c>
      <c r="O47" s="12">
        <f t="shared" si="15"/>
        <v>235.18297038018625</v>
      </c>
      <c r="P47" s="12">
        <f t="shared" si="15"/>
        <v>241.29772761007106</v>
      </c>
      <c r="Q47" s="60"/>
      <c r="R47" s="61" t="s">
        <v>54</v>
      </c>
      <c r="S47" s="57">
        <f>SUM(I26:I29)+I41</f>
        <v>17.279351599999998</v>
      </c>
      <c r="T47" s="61" t="s">
        <v>55</v>
      </c>
    </row>
    <row r="48" spans="1:20">
      <c r="A48" s="31" t="s">
        <v>21</v>
      </c>
      <c r="B48" s="32"/>
      <c r="C48" s="32"/>
      <c r="D48" s="33"/>
      <c r="E48" s="19">
        <f t="shared" ref="E48:P48" si="16">E21</f>
        <v>27.5</v>
      </c>
      <c r="F48" s="19">
        <f t="shared" si="16"/>
        <v>27.5</v>
      </c>
      <c r="G48" s="19">
        <f t="shared" si="16"/>
        <v>12.25068493150685</v>
      </c>
      <c r="H48" s="19">
        <f t="shared" si="16"/>
        <v>7.3415967123287693</v>
      </c>
      <c r="I48" s="19">
        <f t="shared" si="16"/>
        <v>5.3124424767123344</v>
      </c>
      <c r="J48" s="19">
        <f t="shared" si="16"/>
        <v>0.645172142202739</v>
      </c>
      <c r="K48" s="19">
        <f t="shared" si="16"/>
        <v>0.66194661790000708</v>
      </c>
      <c r="L48" s="19">
        <f t="shared" si="16"/>
        <v>0.67915722996541206</v>
      </c>
      <c r="M48" s="19">
        <f t="shared" si="16"/>
        <v>0.69681531794451246</v>
      </c>
      <c r="N48" s="19">
        <f t="shared" si="16"/>
        <v>0.71493251621107134</v>
      </c>
      <c r="O48" s="19">
        <f t="shared" si="16"/>
        <v>0.73352076163256186</v>
      </c>
      <c r="P48" s="19">
        <f t="shared" si="16"/>
        <v>0.75259230143500133</v>
      </c>
      <c r="Q48" s="60"/>
      <c r="R48" s="61" t="s">
        <v>56</v>
      </c>
      <c r="S48" s="58">
        <f>I42</f>
        <v>9.904503720000001</v>
      </c>
      <c r="T48" s="61" t="s">
        <v>57</v>
      </c>
    </row>
    <row r="49" spans="1:20">
      <c r="A49" s="31" t="s">
        <v>31</v>
      </c>
      <c r="B49" s="32"/>
      <c r="C49" s="32"/>
      <c r="D49" s="33"/>
      <c r="E49" s="19">
        <f t="shared" ref="E49:P49" si="17">E30+E42</f>
        <v>0.32999999999999996</v>
      </c>
      <c r="F49" s="19">
        <f t="shared" si="17"/>
        <v>0.85799999999999998</v>
      </c>
      <c r="G49" s="19">
        <f t="shared" si="17"/>
        <v>86.0655</v>
      </c>
      <c r="H49" s="19">
        <f t="shared" si="17"/>
        <v>133.72903520000003</v>
      </c>
      <c r="I49" s="19">
        <f t="shared" si="17"/>
        <v>168.37956572000004</v>
      </c>
      <c r="J49" s="19">
        <f t="shared" si="17"/>
        <v>172.60132242872007</v>
      </c>
      <c r="K49" s="19">
        <f t="shared" si="17"/>
        <v>176.85334781186674</v>
      </c>
      <c r="L49" s="19">
        <f t="shared" si="17"/>
        <v>181.33657385497526</v>
      </c>
      <c r="M49" s="19">
        <f t="shared" si="17"/>
        <v>186.02100877520465</v>
      </c>
      <c r="N49" s="19">
        <f t="shared" si="17"/>
        <v>190.82723900335998</v>
      </c>
      <c r="O49" s="19">
        <f t="shared" si="17"/>
        <v>195.7584312174474</v>
      </c>
      <c r="P49" s="19">
        <f t="shared" si="17"/>
        <v>200.817834429101</v>
      </c>
      <c r="Q49" s="60"/>
      <c r="R49" s="61" t="s">
        <v>58</v>
      </c>
      <c r="S49" s="57">
        <f>SUM(S46:S48)</f>
        <v>174.97956572000001</v>
      </c>
      <c r="T49" s="61" t="s">
        <v>59</v>
      </c>
    </row>
    <row r="50" spans="1:20">
      <c r="A50" s="31" t="s">
        <v>22</v>
      </c>
      <c r="B50" s="32"/>
      <c r="C50" s="32"/>
      <c r="D50" s="33"/>
      <c r="E50" s="19">
        <f t="shared" ref="E50:P50" si="18">E44</f>
        <v>-1.4575</v>
      </c>
      <c r="F50" s="19">
        <f t="shared" si="18"/>
        <v>-3.7895000000000003</v>
      </c>
      <c r="G50" s="19">
        <f t="shared" si="18"/>
        <v>-1.0819165388745555</v>
      </c>
      <c r="H50" s="22">
        <f t="shared" si="18"/>
        <v>3.7375582097835314</v>
      </c>
      <c r="I50" s="22">
        <f t="shared" si="18"/>
        <v>6.658727010047393</v>
      </c>
      <c r="J50" s="22">
        <f t="shared" si="18"/>
        <v>7.395031912308621</v>
      </c>
      <c r="K50" s="22">
        <f t="shared" si="18"/>
        <v>8.5015924920286459</v>
      </c>
      <c r="L50" s="22">
        <f t="shared" si="18"/>
        <v>9.104061646821398</v>
      </c>
      <c r="M50" s="22">
        <f t="shared" si="18"/>
        <v>9.3483462496387535</v>
      </c>
      <c r="N50" s="22">
        <f t="shared" si="18"/>
        <v>9.5989822521293569</v>
      </c>
      <c r="O50" s="22">
        <f t="shared" si="18"/>
        <v>9.8561347906847168</v>
      </c>
      <c r="P50" s="19">
        <f t="shared" si="18"/>
        <v>10.119973295242515</v>
      </c>
      <c r="Q50" s="60"/>
      <c r="R50" s="61" t="s">
        <v>60</v>
      </c>
      <c r="S50" s="59">
        <f>I36</f>
        <v>201.61447376018961</v>
      </c>
      <c r="T50" s="61" t="s">
        <v>61</v>
      </c>
    </row>
    <row r="51" spans="1:20">
      <c r="A51" s="31" t="s">
        <v>23</v>
      </c>
      <c r="B51" s="32"/>
      <c r="C51" s="32"/>
      <c r="D51" s="33"/>
      <c r="E51" s="14">
        <v>0</v>
      </c>
      <c r="F51" s="14">
        <v>0</v>
      </c>
      <c r="G51" s="14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14">
        <f>SUM(E20:P20)</f>
        <v>29.788861007839259</v>
      </c>
      <c r="Q51" s="60"/>
      <c r="R51" s="61" t="s">
        <v>62</v>
      </c>
      <c r="S51" s="57">
        <f>SUM(E19:F19)</f>
        <v>55</v>
      </c>
      <c r="T51" s="61" t="s">
        <v>63</v>
      </c>
    </row>
    <row r="52" spans="1:20">
      <c r="A52" s="34"/>
      <c r="B52" s="35"/>
      <c r="C52" s="35" t="s">
        <v>24</v>
      </c>
      <c r="D52" s="36"/>
      <c r="E52" s="14">
        <f t="shared" ref="E52:P52" si="19">E47-E48-E49-E50+E51</f>
        <v>-26.372499999999999</v>
      </c>
      <c r="F52" s="14">
        <f t="shared" si="19"/>
        <v>-24.5685</v>
      </c>
      <c r="G52" s="14">
        <f t="shared" si="19"/>
        <v>-1.4714345481305136</v>
      </c>
      <c r="H52" s="23">
        <f t="shared" si="19"/>
        <v>12.396077917021826</v>
      </c>
      <c r="I52" s="23">
        <f t="shared" si="19"/>
        <v>21.263738553429839</v>
      </c>
      <c r="J52" s="23">
        <f t="shared" si="19"/>
        <v>26.214923594723121</v>
      </c>
      <c r="K52" s="23">
        <f t="shared" si="19"/>
        <v>26.217830858185938</v>
      </c>
      <c r="L52" s="23">
        <f t="shared" si="19"/>
        <v>26.633027710498801</v>
      </c>
      <c r="M52" s="23">
        <f t="shared" si="19"/>
        <v>27.348223430971757</v>
      </c>
      <c r="N52" s="23">
        <f t="shared" si="19"/>
        <v>28.082014240177021</v>
      </c>
      <c r="O52" s="23">
        <f t="shared" si="19"/>
        <v>28.83488361042156</v>
      </c>
      <c r="P52" s="14">
        <f t="shared" si="19"/>
        <v>59.396188592131821</v>
      </c>
      <c r="Q52" s="60"/>
      <c r="R52" s="61" t="s">
        <v>64</v>
      </c>
      <c r="S52" s="58">
        <f>SUM(G20:I20)</f>
        <v>24.904724120547954</v>
      </c>
      <c r="T52" s="61" t="s">
        <v>65</v>
      </c>
    </row>
    <row r="53" spans="1:20">
      <c r="A53" s="2"/>
      <c r="B53" s="2"/>
      <c r="C53" s="2"/>
      <c r="D53" s="2"/>
      <c r="E53" s="11"/>
      <c r="F53" s="11"/>
      <c r="G53" s="11"/>
      <c r="H53" s="24"/>
      <c r="I53" s="24"/>
      <c r="J53" s="24"/>
      <c r="K53" s="24"/>
      <c r="L53" s="24"/>
      <c r="M53" s="24"/>
      <c r="N53" s="24"/>
      <c r="O53" s="24"/>
      <c r="P53" s="11"/>
      <c r="Q53" s="60"/>
      <c r="R53" s="61" t="s">
        <v>66</v>
      </c>
      <c r="S53">
        <v>25</v>
      </c>
      <c r="T53" s="61" t="s">
        <v>67</v>
      </c>
    </row>
    <row r="54" spans="1:20" ht="13.5" thickBot="1">
      <c r="A54" s="3" t="s">
        <v>25</v>
      </c>
      <c r="B54" s="2"/>
      <c r="C54" s="2"/>
      <c r="D54" s="2" t="s">
        <v>49</v>
      </c>
      <c r="E54" s="11">
        <v>0</v>
      </c>
      <c r="F54" s="11">
        <v>1</v>
      </c>
      <c r="G54" s="11">
        <v>2</v>
      </c>
      <c r="H54" s="24">
        <v>3</v>
      </c>
      <c r="I54" s="24">
        <v>4</v>
      </c>
      <c r="J54" s="24">
        <v>5</v>
      </c>
      <c r="K54" s="24">
        <v>6</v>
      </c>
      <c r="L54" s="24">
        <v>7</v>
      </c>
      <c r="M54" s="24">
        <v>8</v>
      </c>
      <c r="N54" s="24">
        <v>9</v>
      </c>
      <c r="O54" s="24">
        <v>10</v>
      </c>
      <c r="P54" s="11">
        <v>11</v>
      </c>
      <c r="Q54" s="60"/>
      <c r="R54" s="61" t="s">
        <v>74</v>
      </c>
      <c r="S54">
        <f>(1-S53/100)*(S50-S49)/(S51+S52)*100</f>
        <v>25.000000000006523</v>
      </c>
      <c r="T54" s="60"/>
    </row>
    <row r="55" spans="1:20" ht="13.5" thickTop="1">
      <c r="A55" s="28" t="s">
        <v>39</v>
      </c>
      <c r="B55" s="29"/>
      <c r="C55" s="29"/>
      <c r="D55" s="30"/>
      <c r="E55" s="12">
        <f>NPV($E16%,$E52:E52)</f>
        <v>-21.097999999999999</v>
      </c>
      <c r="F55" s="12">
        <f>NPV($E16%,$E52:F52)</f>
        <v>-36.821839999999995</v>
      </c>
      <c r="G55" s="12">
        <f>NPV($E16%,$E52:G52)</f>
        <v>-37.575214488642821</v>
      </c>
      <c r="H55" s="25">
        <f>NPV($E16%,$E52:H52)</f>
        <v>-32.497780973830679</v>
      </c>
      <c r="I55" s="25">
        <f>NPV($E16%,$E52:I52)</f>
        <v>-25.530079124642789</v>
      </c>
      <c r="J55" s="25">
        <f>NPV($E16%,$E52:J52)</f>
        <v>-18.657994193827694</v>
      </c>
      <c r="K55" s="25">
        <f>NPV($E16%,$E52:K52)</f>
        <v>-13.159716551837056</v>
      </c>
      <c r="L55" s="25">
        <f>NPV($E16%,$E52:L52)</f>
        <v>-8.6914359655068179</v>
      </c>
      <c r="M55" s="25">
        <f>NPV($E16%,$E52:M52)</f>
        <v>-5.0208195517654239</v>
      </c>
      <c r="N55" s="25">
        <f>NPV($E16%,$E52:N52)</f>
        <v>-2.0055362325812593</v>
      </c>
      <c r="O55" s="25">
        <f>NPV($E16%,$E52:O52)</f>
        <v>0.47136140923328079</v>
      </c>
      <c r="P55" s="26">
        <f>NPV($E16%,$E52:P52)</f>
        <v>4.5530364093973521</v>
      </c>
      <c r="Q55" s="60"/>
      <c r="R55" s="60"/>
      <c r="S55" s="60"/>
      <c r="T55" s="60"/>
    </row>
    <row r="56" spans="1:20" ht="13.5" thickBot="1">
      <c r="A56" s="34" t="s">
        <v>26</v>
      </c>
      <c r="B56" s="35"/>
      <c r="C56" s="35"/>
      <c r="D56" s="36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27"/>
    </row>
    <row r="57" spans="1:20" ht="13.5" thickTop="1">
      <c r="Q57" s="62" t="s">
        <v>78</v>
      </c>
      <c r="R57" s="63" t="s">
        <v>79</v>
      </c>
      <c r="S57" s="73" t="s">
        <v>80</v>
      </c>
    </row>
    <row r="58" spans="1:20">
      <c r="A58" t="s">
        <v>46</v>
      </c>
      <c r="Q58" s="64" t="s">
        <v>71</v>
      </c>
      <c r="R58" s="65">
        <v>1.1419999999999999</v>
      </c>
      <c r="S58" s="72">
        <v>1.1259999999999999</v>
      </c>
    </row>
    <row r="59" spans="1:20">
      <c r="Q59" s="64" t="s">
        <v>72</v>
      </c>
      <c r="R59" s="65">
        <v>3</v>
      </c>
      <c r="S59" s="72">
        <v>5</v>
      </c>
    </row>
    <row r="60" spans="1:20">
      <c r="Q60" s="64" t="s">
        <v>74</v>
      </c>
      <c r="R60" s="65">
        <v>25</v>
      </c>
      <c r="S60" s="72">
        <v>25</v>
      </c>
    </row>
    <row r="61" spans="1:20">
      <c r="C61" s="1"/>
      <c r="Q61" s="64" t="s">
        <v>75</v>
      </c>
      <c r="R61" s="65">
        <v>26.89</v>
      </c>
      <c r="S61" s="72">
        <v>27.47</v>
      </c>
    </row>
    <row r="62" spans="1:20">
      <c r="Q62" s="64" t="s">
        <v>73</v>
      </c>
      <c r="R62" s="65">
        <v>306</v>
      </c>
      <c r="S62" s="72">
        <v>300</v>
      </c>
    </row>
  </sheetData>
  <mergeCells count="2">
    <mergeCell ref="T18:U18"/>
    <mergeCell ref="R45:S45"/>
  </mergeCells>
  <printOptions horizontalCentered="1" verticalCentered="1"/>
  <pageMargins left="0.1" right="0.1" top="0.1" bottom="0.1" header="0.5" footer="0.5"/>
  <pageSetup scale="9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Final NPV - No HI</vt:lpstr>
      <vt:lpstr>Final NPV - HI</vt:lpstr>
      <vt:lpstr>'Final NPV - HI'!Print_Area</vt:lpstr>
      <vt:lpstr>'Final NPV - No HI'!Print_Area</vt:lpstr>
    </vt:vector>
  </TitlesOfParts>
  <Company>DuPont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Process Engineering</dc:creator>
  <cp:lastModifiedBy>Fayeed, Abdul</cp:lastModifiedBy>
  <cp:lastPrinted>2000-02-23T20:24:43Z</cp:lastPrinted>
  <dcterms:created xsi:type="dcterms:W3CDTF">2000-02-23T19:26:49Z</dcterms:created>
  <dcterms:modified xsi:type="dcterms:W3CDTF">2022-05-11T23:10:43Z</dcterms:modified>
</cp:coreProperties>
</file>