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glas 1" sheetId="1" r:id="rId4"/>
    <sheet state="visible" name="NROI Stuffs" sheetId="2" r:id="rId5"/>
    <sheet state="visible" name="Mass Balance" sheetId="3" r:id="rId6"/>
    <sheet state="visible" name="Carbonylation" sheetId="4" r:id="rId7"/>
    <sheet state="visible" name="Copy of Second Method" sheetId="5" r:id="rId8"/>
    <sheet state="visible" name="Esterification " sheetId="6" r:id="rId9"/>
    <sheet state="visible" name="Carbonylation New" sheetId="7" r:id="rId10"/>
    <sheet state="visible" name="Newest Carbonylation" sheetId="8" r:id="rId11"/>
  </sheets>
  <definedNames/>
  <calcPr/>
</workbook>
</file>

<file path=xl/sharedStrings.xml><?xml version="1.0" encoding="utf-8"?>
<sst xmlns="http://schemas.openxmlformats.org/spreadsheetml/2006/main" count="796" uniqueCount="225">
  <si>
    <t>Product</t>
  </si>
  <si>
    <t>Desired Amount (MMppy)</t>
  </si>
  <si>
    <t>Desired Amount (tonnes/yr)</t>
  </si>
  <si>
    <t>MeOAc kg/yr</t>
  </si>
  <si>
    <t>MeOAc mol/year</t>
  </si>
  <si>
    <t>(Ac)2O</t>
  </si>
  <si>
    <t>Continuous</t>
  </si>
  <si>
    <t>MeOAc</t>
  </si>
  <si>
    <t>continuous more than 5000 tonnes/yr</t>
  </si>
  <si>
    <t>1 ton = 2204.62 lbs</t>
  </si>
  <si>
    <t>NROI</t>
  </si>
  <si>
    <t>Raw Data Cost</t>
  </si>
  <si>
    <t>$/ton</t>
  </si>
  <si>
    <t>Raw Material Year cost</t>
  </si>
  <si>
    <t>VC ($/yr)</t>
  </si>
  <si>
    <t>VC ($MM/yr)</t>
  </si>
  <si>
    <t>t</t>
  </si>
  <si>
    <t>HOAc</t>
  </si>
  <si>
    <t>&lt;- esterification ingredients (VCe) (methanol and acetic acid only)</t>
  </si>
  <si>
    <t>MeOH</t>
  </si>
  <si>
    <t>&lt;- carbonylation ingredients (VCc) (methanol and co only)</t>
  </si>
  <si>
    <t>CO</t>
  </si>
  <si>
    <t>VC = Ingredient cost (FOR NOW)</t>
  </si>
  <si>
    <t>FC = 0.14FI*0.8MM/yr *n</t>
  </si>
  <si>
    <t>n = 1 to control everything, 1 to control process area, process area include two major equipment (rewactor and column, or 2 columns)</t>
  </si>
  <si>
    <t>AC = 0.06(VC+FC)</t>
  </si>
  <si>
    <t>WC = VC/6+FC/12</t>
  </si>
  <si>
    <t>NROI = (1-t)*(R-AC-VC-FC)/(FI+WC)</t>
  </si>
  <si>
    <t>What we have (materials)</t>
  </si>
  <si>
    <t>mol/yr</t>
  </si>
  <si>
    <t>kg/yr</t>
  </si>
  <si>
    <t>ppy</t>
  </si>
  <si>
    <t>kg/hr</t>
  </si>
  <si>
    <t>lb/hr</t>
  </si>
  <si>
    <t>EXCESS REAGENT ANALYSIS</t>
  </si>
  <si>
    <t>CO in excess...</t>
  </si>
  <si>
    <t>MeOH in excess...</t>
  </si>
  <si>
    <t>PLOTTING PURPOSES</t>
  </si>
  <si>
    <t>Materials</t>
  </si>
  <si>
    <t>Molar mass (g/mol)</t>
  </si>
  <si>
    <t>tonnes/yr</t>
  </si>
  <si>
    <t>Cost ($/tonnes)</t>
  </si>
  <si>
    <t>If 1:1 ratio EXACTLY ($MM/yr)</t>
  </si>
  <si>
    <t>Cost ($/yr)</t>
  </si>
  <si>
    <t>% excess of CO</t>
  </si>
  <si>
    <t>Total costs ($MM/yr)</t>
  </si>
  <si>
    <t>% excess of MeOH</t>
  </si>
  <si>
    <t>MeOH 2</t>
  </si>
  <si>
    <t>-</t>
  </si>
  <si>
    <t>DME</t>
  </si>
  <si>
    <t>H2O</t>
  </si>
  <si>
    <t>^ directly related to DME</t>
  </si>
  <si>
    <t>Possible cost ($)</t>
  </si>
  <si>
    <t>DME + CO -&gt; MeOAc</t>
  </si>
  <si>
    <t>MeOAc 2</t>
  </si>
  <si>
    <t>MeOAc Product Purity</t>
  </si>
  <si>
    <t>&gt;98.3%</t>
  </si>
  <si>
    <t>kmol/hr</t>
  </si>
  <si>
    <t>Feed flow rate</t>
  </si>
  <si>
    <t>Outflow after first reaxn</t>
  </si>
  <si>
    <t>Fresh MeOH</t>
  </si>
  <si>
    <t>Feed after second reaxn</t>
  </si>
  <si>
    <t>Recycle/Sep str</t>
  </si>
  <si>
    <t>AcOH</t>
  </si>
  <si>
    <t>MeoAC</t>
  </si>
  <si>
    <t>60% Per pass conversion</t>
  </si>
  <si>
    <t>Material</t>
  </si>
  <si>
    <t>Feed flow rate(kg/hr)</t>
  </si>
  <si>
    <t>Material (CO)</t>
  </si>
  <si>
    <t>Feed Flow rate(kg/hr)</t>
  </si>
  <si>
    <t>After Synthesis Materials</t>
  </si>
  <si>
    <t>New MeOH Feed Required</t>
  </si>
  <si>
    <t>Total Feed</t>
  </si>
  <si>
    <t>Post Reaction</t>
  </si>
  <si>
    <t>Splitter</t>
  </si>
  <si>
    <t>Stoic Ratio</t>
  </si>
  <si>
    <t>Moles</t>
  </si>
  <si>
    <t>Total</t>
  </si>
  <si>
    <t>Total Flow rate</t>
  </si>
  <si>
    <t>HOAC</t>
  </si>
  <si>
    <t>Mass Fraction MeOH</t>
  </si>
  <si>
    <t>Mass fraction MeOH</t>
  </si>
  <si>
    <t>Mass Fraction H2O</t>
  </si>
  <si>
    <t>Total Flow Rate</t>
  </si>
  <si>
    <t>Mass fraction H2O</t>
  </si>
  <si>
    <t>Moles MeOH</t>
  </si>
  <si>
    <t>MeOAC</t>
  </si>
  <si>
    <t>Mole fraction MeOH</t>
  </si>
  <si>
    <t>Moles HOAc</t>
  </si>
  <si>
    <t>Total Mass</t>
  </si>
  <si>
    <t>Mole Fraction H2O</t>
  </si>
  <si>
    <t>Moles H2O</t>
  </si>
  <si>
    <t>Mass Fraction HOAC</t>
  </si>
  <si>
    <t>Moles CO</t>
  </si>
  <si>
    <t>Mass Fraction CO</t>
  </si>
  <si>
    <t>Total Moles</t>
  </si>
  <si>
    <t>Mole Fraction MeOH</t>
  </si>
  <si>
    <t>Moles MeOAC</t>
  </si>
  <si>
    <t>Mole Fraction HOAC</t>
  </si>
  <si>
    <t>Ch3COOH</t>
  </si>
  <si>
    <t>Ch3OH</t>
  </si>
  <si>
    <t>Ch3COOCh3</t>
  </si>
  <si>
    <t>Mole Fraction CO</t>
  </si>
  <si>
    <t>Mole Fraction HOAc</t>
  </si>
  <si>
    <t>Mole Fraction MeOAC</t>
  </si>
  <si>
    <t>2nd Method Input (kmol/hr)</t>
  </si>
  <si>
    <t>Esterification Input (kmol/hr)</t>
  </si>
  <si>
    <t>MeAc</t>
  </si>
  <si>
    <t>Remaining MeOH</t>
  </si>
  <si>
    <t>Methanol Feed</t>
  </si>
  <si>
    <t>Recycle Feed</t>
  </si>
  <si>
    <t>Post Reactor</t>
  </si>
  <si>
    <t>Distillate</t>
  </si>
  <si>
    <t>Bottoms</t>
  </si>
  <si>
    <t>Feed for second process</t>
  </si>
  <si>
    <t>Carbon Monoxide Feed</t>
  </si>
  <si>
    <t>Recycle</t>
  </si>
  <si>
    <t>Pre Reactor</t>
  </si>
  <si>
    <t>Post Separation</t>
  </si>
  <si>
    <t>Methanol</t>
  </si>
  <si>
    <t>g/hr</t>
  </si>
  <si>
    <t>Total Recycle</t>
  </si>
  <si>
    <t>Mass MeOH</t>
  </si>
  <si>
    <t>moles/hr</t>
  </si>
  <si>
    <t>Water</t>
  </si>
  <si>
    <t>g</t>
  </si>
  <si>
    <t>mol/hr</t>
  </si>
  <si>
    <t>Moles DME</t>
  </si>
  <si>
    <t>Mass CO</t>
  </si>
  <si>
    <t>Diemers ratios</t>
  </si>
  <si>
    <t>Mass MeOAC</t>
  </si>
  <si>
    <t>Mass DME</t>
  </si>
  <si>
    <t>Mole Fraction DME</t>
  </si>
  <si>
    <t>Mole Fration H2O</t>
  </si>
  <si>
    <t>His inlet feed</t>
  </si>
  <si>
    <t>moles</t>
  </si>
  <si>
    <t>DME feed Reactor</t>
  </si>
  <si>
    <t>DME Conversion</t>
  </si>
  <si>
    <t>kmol/hr MEOH</t>
  </si>
  <si>
    <t>kmol/hr CO</t>
  </si>
  <si>
    <t>kmol/hr MeoAc</t>
  </si>
  <si>
    <t>kmol/hr DME</t>
  </si>
  <si>
    <t>Diemers Distillate</t>
  </si>
  <si>
    <t>Diemers Bottoms</t>
  </si>
  <si>
    <t xml:space="preserve">kmol/hr Total Recycle </t>
  </si>
  <si>
    <t>Expected</t>
  </si>
  <si>
    <t xml:space="preserve">Total </t>
  </si>
  <si>
    <t>Total Flow</t>
  </si>
  <si>
    <t>Total DME</t>
  </si>
  <si>
    <t>Vary this number for desired o/p</t>
  </si>
  <si>
    <t>Change distillate number based on wolfram</t>
  </si>
  <si>
    <t>Change bolded no</t>
  </si>
  <si>
    <t>Prof. Diemers ratios</t>
  </si>
  <si>
    <t>Moles MeOAc</t>
  </si>
  <si>
    <t>Mole Frac CO</t>
  </si>
  <si>
    <t>Feed For second requirement</t>
  </si>
  <si>
    <t>Total moles</t>
  </si>
  <si>
    <t>DME Mole Fraction</t>
  </si>
  <si>
    <t>lb/yr</t>
  </si>
  <si>
    <t>Ton/yr</t>
  </si>
  <si>
    <t>Tonn/yr</t>
  </si>
  <si>
    <t>D/f Ratio of 0.5</t>
  </si>
  <si>
    <t>Prof . Diemers Distillate</t>
  </si>
  <si>
    <t>Professor Diemers Bottoms column number</t>
  </si>
  <si>
    <t>Recycle MeOH</t>
  </si>
  <si>
    <t>Discarded</t>
  </si>
  <si>
    <t>Diemer's Numbers</t>
  </si>
  <si>
    <t>Fresh CO</t>
  </si>
  <si>
    <t>Recycle 2</t>
  </si>
  <si>
    <t>Recycle 1</t>
  </si>
  <si>
    <t>H2</t>
  </si>
  <si>
    <t>MeOACH</t>
  </si>
  <si>
    <t>Assume 70, 30 splits</t>
  </si>
  <si>
    <t>Fresh Feed</t>
  </si>
  <si>
    <t>Flow Into Reactor (kmol/hr)</t>
  </si>
  <si>
    <t>Flow Leaving Reactor (kmol/hr)</t>
  </si>
  <si>
    <t>Flow Into/ Out of Heat Exhanger</t>
  </si>
  <si>
    <t>C1 Feed</t>
  </si>
  <si>
    <t>C1 Distillate</t>
  </si>
  <si>
    <t>C1 Bottoms</t>
  </si>
  <si>
    <t>C2 Feed</t>
  </si>
  <si>
    <t>C2 Distillate</t>
  </si>
  <si>
    <t>C2 Bottoms</t>
  </si>
  <si>
    <t>C3 Feed</t>
  </si>
  <si>
    <t xml:space="preserve">C3 Distallate </t>
  </si>
  <si>
    <t>C3 Bottoms</t>
  </si>
  <si>
    <t>C4 Feed</t>
  </si>
  <si>
    <t>C4 Distillate</t>
  </si>
  <si>
    <t>C4 Bottoms</t>
  </si>
  <si>
    <t>Total Flow (kmol/hr)</t>
  </si>
  <si>
    <t>xHOAc</t>
  </si>
  <si>
    <t>xMeOH</t>
  </si>
  <si>
    <t>xMeOAC</t>
  </si>
  <si>
    <t>xH2O</t>
  </si>
  <si>
    <t>D</t>
  </si>
  <si>
    <t>B</t>
  </si>
  <si>
    <t>MeOh</t>
  </si>
  <si>
    <t>Boiling points of Components (C)</t>
  </si>
  <si>
    <t xml:space="preserve">Acetic Acid </t>
  </si>
  <si>
    <t>Acetic Acid</t>
  </si>
  <si>
    <t>Acetic</t>
  </si>
  <si>
    <t>Watr</t>
  </si>
  <si>
    <t>Feed Into Reactor 1</t>
  </si>
  <si>
    <t xml:space="preserve">Flow Leaving Reactor 1 </t>
  </si>
  <si>
    <t>Feed Into C1</t>
  </si>
  <si>
    <t xml:space="preserve">C2 Feed </t>
  </si>
  <si>
    <t xml:space="preserve">C2 Distillate </t>
  </si>
  <si>
    <t>Feed Into Reactor 2</t>
  </si>
  <si>
    <t>Flow Leaving Reactor 2</t>
  </si>
  <si>
    <t>C3 Distillate</t>
  </si>
  <si>
    <t>Moles of DME</t>
  </si>
  <si>
    <t>Moles of H2O</t>
  </si>
  <si>
    <t>Moles of CO</t>
  </si>
  <si>
    <t>Moles of MeOAc</t>
  </si>
  <si>
    <t>xDME</t>
  </si>
  <si>
    <t>xCO</t>
  </si>
  <si>
    <t>xMeOAc</t>
  </si>
  <si>
    <t>Values That need to be changed</t>
  </si>
  <si>
    <t>Input Into Reactor 2</t>
  </si>
  <si>
    <t>Recycle Stream</t>
  </si>
  <si>
    <t>Moles of H2</t>
  </si>
  <si>
    <t>Mole of CH4</t>
  </si>
  <si>
    <t>xH2</t>
  </si>
  <si>
    <t>xCh4</t>
  </si>
  <si>
    <t>CH4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</si>
</sst>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sz val="11.0"/>
      <color rgb="FF7E3794"/>
      <name val="Inconsolata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1" fillId="0" fontId="3" numFmtId="3" xfId="0" applyAlignment="1" applyBorder="1" applyFont="1" applyNumberFormat="1">
      <alignment horizontal="center"/>
    </xf>
    <xf borderId="0" fillId="0" fontId="3" numFmtId="0" xfId="0" applyFont="1"/>
    <xf borderId="0" fillId="4" fontId="3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0" fontId="3" numFmtId="4" xfId="0" applyFont="1" applyNumberFormat="1"/>
    <xf borderId="0" fillId="6" fontId="3" numFmtId="0" xfId="0" applyAlignment="1" applyFill="1" applyFont="1">
      <alignment horizontal="center" readingOrder="0" vertical="center"/>
    </xf>
    <xf borderId="0" fillId="4" fontId="3" numFmtId="0" xfId="0" applyFont="1"/>
    <xf borderId="0" fillId="4" fontId="1" numFmtId="4" xfId="0" applyAlignment="1" applyFont="1" applyNumberFormat="1">
      <alignment readingOrder="0"/>
    </xf>
    <xf borderId="0" fillId="4" fontId="1" numFmtId="4" xfId="0" applyFont="1" applyNumberFormat="1"/>
    <xf borderId="0" fillId="7" fontId="3" numFmtId="0" xfId="0" applyAlignment="1" applyFill="1" applyFont="1">
      <alignment readingOrder="0"/>
    </xf>
    <xf borderId="0" fillId="7" fontId="3" numFmtId="0" xfId="0" applyFont="1"/>
    <xf borderId="0" fillId="0" fontId="1" numFmtId="0" xfId="0" applyFont="1"/>
    <xf borderId="0" fillId="5" fontId="3" numFmtId="0" xfId="0" applyAlignment="1" applyFont="1">
      <alignment readingOrder="0"/>
    </xf>
    <xf borderId="0" fillId="0" fontId="3" numFmtId="11" xfId="0" applyFont="1" applyNumberFormat="1"/>
    <xf borderId="0" fillId="0" fontId="3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5" fontId="3" numFmtId="0" xfId="0" applyFont="1"/>
    <xf borderId="0" fillId="9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 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'Mass Balance'!$AC$2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'Mass Balance'!$AB$3:$AB$17</c:f>
            </c:strRef>
          </c:cat>
          <c:val>
            <c:numRef>
              <c:f>'Mass Balance'!$AC$3:$AC$17</c:f>
              <c:numCache/>
            </c:numRef>
          </c:val>
          <c:smooth val="1"/>
        </c:ser>
        <c:axId val="1026004127"/>
        <c:axId val="1857117484"/>
      </c:lineChart>
      <c:catAx>
        <c:axId val="1026004127"/>
        <c:scaling>
          <c:orientation val="minMax"/>
          <c:max val="2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117484"/>
      </c:catAx>
      <c:valAx>
        <c:axId val="1857117484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004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 MeOH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'Mass Balance'!$AE$2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'Mass Balance'!$AD$3:$AD$17</c:f>
            </c:strRef>
          </c:cat>
          <c:val>
            <c:numRef>
              <c:f>'Mass Balance'!$AE$3:$AE$17</c:f>
              <c:numCache/>
            </c:numRef>
          </c:val>
          <c:smooth val="1"/>
        </c:ser>
        <c:axId val="1830532491"/>
        <c:axId val="863473169"/>
      </c:lineChart>
      <c:catAx>
        <c:axId val="1830532491"/>
        <c:scaling>
          <c:orientation val="minMax"/>
          <c:max val="2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473169"/>
      </c:catAx>
      <c:valAx>
        <c:axId val="863473169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532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1000125</xdr:colOff>
      <xdr:row>19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457200</xdr:colOff>
      <xdr:row>19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1409700</xdr:colOff>
      <xdr:row>5</xdr:row>
      <xdr:rowOff>142875</xdr:rowOff>
    </xdr:from>
    <xdr:ext cx="3962400" cy="20002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30</xdr:row>
      <xdr:rowOff>95250</xdr:rowOff>
    </xdr:from>
    <xdr:ext cx="7210425" cy="44958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219075</xdr:colOff>
      <xdr:row>15</xdr:row>
      <xdr:rowOff>152400</xdr:rowOff>
    </xdr:from>
    <xdr:ext cx="4762500" cy="31718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30</xdr:row>
      <xdr:rowOff>95250</xdr:rowOff>
    </xdr:from>
    <xdr:ext cx="7210425" cy="44958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219075</xdr:colOff>
      <xdr:row>15</xdr:row>
      <xdr:rowOff>152400</xdr:rowOff>
    </xdr:from>
    <xdr:ext cx="4762500" cy="31718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24</xdr:row>
      <xdr:rowOff>19050</xdr:rowOff>
    </xdr:from>
    <xdr:ext cx="12677775" cy="95916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2.5"/>
    <col customWidth="1" min="3" max="3" width="27.63"/>
    <col customWidth="1" min="7" max="7" width="15.63"/>
    <col customWidth="1" min="8" max="8" width="13.38"/>
  </cols>
  <sheetData>
    <row r="1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</row>
    <row r="2">
      <c r="A2" s="4" t="s">
        <v>5</v>
      </c>
      <c r="B2" s="5">
        <v>500.0</v>
      </c>
      <c r="C2" s="6">
        <f t="shared" ref="C2:C3" si="1">B2*10^6/2204.62</f>
        <v>226796.4547</v>
      </c>
      <c r="D2" s="3" t="s">
        <v>6</v>
      </c>
      <c r="G2" s="7">
        <f>B3*0.453592*10^6</f>
        <v>170097000</v>
      </c>
      <c r="H2" s="7">
        <f>G2/74.079*1000</f>
        <v>2296156806</v>
      </c>
    </row>
    <row r="3">
      <c r="A3" s="4" t="s">
        <v>7</v>
      </c>
      <c r="B3" s="5">
        <v>375.0</v>
      </c>
      <c r="C3" s="6">
        <f t="shared" si="1"/>
        <v>170097.341</v>
      </c>
      <c r="D3" s="3" t="s">
        <v>6</v>
      </c>
    </row>
    <row r="5">
      <c r="D5" s="3" t="s">
        <v>8</v>
      </c>
    </row>
    <row r="6">
      <c r="D6" s="3" t="s">
        <v>9</v>
      </c>
    </row>
    <row r="7">
      <c r="A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4.38"/>
  </cols>
  <sheetData>
    <row r="1">
      <c r="A1" s="3" t="s">
        <v>10</v>
      </c>
      <c r="B1" s="3">
        <v>0.25</v>
      </c>
      <c r="D1" s="3" t="s">
        <v>11</v>
      </c>
      <c r="E1" s="8" t="s">
        <v>12</v>
      </c>
      <c r="F1" s="3" t="s">
        <v>13</v>
      </c>
      <c r="G1" s="3" t="s">
        <v>14</v>
      </c>
      <c r="H1" s="3" t="s">
        <v>15</v>
      </c>
    </row>
    <row r="2">
      <c r="A2" s="3" t="s">
        <v>16</v>
      </c>
      <c r="B2" s="3">
        <v>0.25</v>
      </c>
      <c r="D2" s="3" t="s">
        <v>17</v>
      </c>
      <c r="E2" s="8">
        <v>1720.0</v>
      </c>
      <c r="F2" s="7">
        <f>'Mass Balance'!C6/1000*E2</f>
        <v>237168750.6</v>
      </c>
      <c r="G2" s="7">
        <f>SUM(F2:F3)</f>
        <v>282781446.3</v>
      </c>
      <c r="H2" s="9">
        <f>G2/10^6</f>
        <v>282.7814463</v>
      </c>
      <c r="I2" s="10" t="s">
        <v>18</v>
      </c>
    </row>
    <row r="3">
      <c r="D3" s="3" t="s">
        <v>19</v>
      </c>
      <c r="E3" s="8">
        <v>620.0</v>
      </c>
      <c r="F3" s="7">
        <f>'Mass Balance'!C2/1000*E3</f>
        <v>45612695.71</v>
      </c>
      <c r="H3" s="9">
        <f>('Copy of Second Method'!F19*2*E3+F4)/10^6</f>
        <v>105.5661904</v>
      </c>
      <c r="I3" s="10" t="s">
        <v>20</v>
      </c>
    </row>
    <row r="4">
      <c r="D4" s="3" t="s">
        <v>21</v>
      </c>
      <c r="E4" s="8">
        <v>205.0</v>
      </c>
      <c r="F4" s="7">
        <f>E4*'Mass Balance'!C7/1000</f>
        <v>13184647.19</v>
      </c>
    </row>
    <row r="6">
      <c r="F6" s="11"/>
    </row>
    <row r="7">
      <c r="D7" s="3" t="s">
        <v>22</v>
      </c>
    </row>
    <row r="8">
      <c r="D8" s="3" t="s">
        <v>23</v>
      </c>
    </row>
    <row r="9">
      <c r="D9" s="3" t="s">
        <v>24</v>
      </c>
    </row>
    <row r="10">
      <c r="D10" s="3" t="s">
        <v>25</v>
      </c>
    </row>
    <row r="11">
      <c r="D11" s="3" t="s">
        <v>26</v>
      </c>
    </row>
    <row r="12">
      <c r="D12" s="3" t="s">
        <v>27</v>
      </c>
    </row>
    <row r="15">
      <c r="D15" s="7">
        <f>1+0.14/12</f>
        <v>1.011666667</v>
      </c>
    </row>
    <row r="16">
      <c r="F16" s="7">
        <f>45612695.7113352*3</f>
        <v>136838087.1</v>
      </c>
    </row>
    <row r="17">
      <c r="E17" s="7">
        <f>0.06*0.14</f>
        <v>0.0084</v>
      </c>
    </row>
    <row r="18">
      <c r="E18" s="7">
        <f>0.8*0.06</f>
        <v>0.048</v>
      </c>
    </row>
    <row r="19">
      <c r="E19" s="7">
        <f>0.048+0.8</f>
        <v>0.848</v>
      </c>
    </row>
    <row r="20">
      <c r="E20" s="7">
        <f>0.0084+0.14</f>
        <v>0.1484</v>
      </c>
    </row>
    <row r="21">
      <c r="E21" s="7">
        <f>0.25/0.75</f>
        <v>0.3333333333</v>
      </c>
    </row>
    <row r="22">
      <c r="E22" s="7">
        <f>-(1.012*E21+0.1484)/(E21/6+1.06)</f>
        <v>-0.4354183267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1.0"/>
    <col customWidth="1" min="3" max="3" width="10.75"/>
    <col customWidth="1" min="4" max="4" width="21.75"/>
    <col customWidth="1" min="7" max="7" width="20.88"/>
    <col customWidth="1" min="8" max="8" width="16.88"/>
    <col customWidth="1" min="12" max="12" width="20.25"/>
    <col customWidth="1" min="13" max="13" width="16.0"/>
    <col customWidth="1" min="15" max="15" width="15.13"/>
    <col customWidth="1" min="16" max="16" width="23.0"/>
    <col customWidth="1" min="20" max="20" width="13.88"/>
    <col customWidth="1" min="21" max="21" width="16.38"/>
    <col customWidth="1" min="25" max="25" width="16.0"/>
    <col customWidth="1" min="26" max="26" width="18.0"/>
  </cols>
  <sheetData>
    <row r="1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L1" s="12" t="s">
        <v>34</v>
      </c>
      <c r="Q1" s="13" t="s">
        <v>35</v>
      </c>
      <c r="V1" s="13" t="s">
        <v>36</v>
      </c>
      <c r="AA1" s="13"/>
      <c r="AB1" s="13" t="s">
        <v>37</v>
      </c>
    </row>
    <row r="2">
      <c r="A2" s="3" t="s">
        <v>19</v>
      </c>
      <c r="B2" s="7">
        <f>'Douglas 1'!H2</f>
        <v>2296156806</v>
      </c>
      <c r="C2" s="7">
        <f>B2*32.04/1000</f>
        <v>73568864.05</v>
      </c>
      <c r="D2" s="7">
        <f>C2*2.20462</f>
        <v>162191389.1</v>
      </c>
      <c r="E2" s="7">
        <f t="shared" ref="E2:F2" si="1">C2/8000</f>
        <v>9196.108006</v>
      </c>
      <c r="F2" s="7">
        <f t="shared" si="1"/>
        <v>20273.92363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38</v>
      </c>
      <c r="R2" s="3" t="s">
        <v>40</v>
      </c>
      <c r="S2" s="3" t="s">
        <v>43</v>
      </c>
      <c r="T2" s="3" t="s">
        <v>44</v>
      </c>
      <c r="U2" s="3" t="s">
        <v>45</v>
      </c>
      <c r="V2" s="3" t="s">
        <v>38</v>
      </c>
      <c r="W2" s="3" t="s">
        <v>40</v>
      </c>
      <c r="X2" s="3" t="s">
        <v>43</v>
      </c>
      <c r="Y2" s="3" t="s">
        <v>46</v>
      </c>
      <c r="Z2" s="3" t="s">
        <v>45</v>
      </c>
      <c r="AA2" s="3"/>
      <c r="AB2" s="3" t="s">
        <v>44</v>
      </c>
      <c r="AC2" s="3" t="s">
        <v>45</v>
      </c>
      <c r="AD2" s="3" t="s">
        <v>46</v>
      </c>
      <c r="AE2" s="3" t="s">
        <v>45</v>
      </c>
    </row>
    <row r="3">
      <c r="A3" s="3" t="s">
        <v>47</v>
      </c>
      <c r="L3" s="3" t="s">
        <v>21</v>
      </c>
      <c r="M3" s="3">
        <v>28.01</v>
      </c>
      <c r="N3" s="7">
        <f>B7*M3/1000/1000</f>
        <v>64315.35212</v>
      </c>
      <c r="O3" s="3">
        <v>205.0</v>
      </c>
      <c r="P3" s="14">
        <f t="shared" ref="P3:P4" si="5">O3*N3/10^6</f>
        <v>13.18464719</v>
      </c>
      <c r="Q3" s="3" t="s">
        <v>19</v>
      </c>
      <c r="R3" s="7">
        <f>N4</f>
        <v>73568.86405</v>
      </c>
      <c r="S3" s="7">
        <f>P4*10^6</f>
        <v>45612695.71</v>
      </c>
      <c r="U3" s="3" t="s">
        <v>48</v>
      </c>
      <c r="V3" s="3" t="s">
        <v>21</v>
      </c>
      <c r="W3" s="7">
        <f t="shared" ref="W3:W4" si="6">N3</f>
        <v>64315.35212</v>
      </c>
      <c r="X3" s="7">
        <f>P3*10^6</f>
        <v>13184647.19</v>
      </c>
      <c r="Z3" s="3" t="s">
        <v>48</v>
      </c>
      <c r="AA3" s="3"/>
      <c r="AB3" s="3">
        <f t="shared" ref="AB3:AC3" si="2">T4</f>
        <v>0</v>
      </c>
      <c r="AC3" s="3">
        <f t="shared" si="2"/>
        <v>58.7973429</v>
      </c>
      <c r="AD3" s="3">
        <f t="shared" ref="AD3:AE3" si="3">Y4</f>
        <v>0</v>
      </c>
      <c r="AE3" s="3">
        <f t="shared" si="3"/>
        <v>58.7973429</v>
      </c>
    </row>
    <row r="4">
      <c r="A4" s="3" t="s">
        <v>49</v>
      </c>
      <c r="B4" s="7">
        <f>B2</f>
        <v>2296156806</v>
      </c>
      <c r="C4" s="7">
        <f>B4*46.07/1000</f>
        <v>105783944</v>
      </c>
      <c r="D4" s="7">
        <f t="shared" ref="D4:D7" si="9">C4*2.20462</f>
        <v>233213398.7</v>
      </c>
      <c r="E4" s="7">
        <f t="shared" ref="E4:F4" si="4">C4/8000</f>
        <v>13222.993</v>
      </c>
      <c r="F4" s="7">
        <f t="shared" si="4"/>
        <v>29151.67484</v>
      </c>
      <c r="L4" s="3" t="s">
        <v>19</v>
      </c>
      <c r="M4" s="3">
        <v>32.04</v>
      </c>
      <c r="N4" s="7">
        <f>B2*M4/1000/1000</f>
        <v>73568.86405</v>
      </c>
      <c r="O4" s="3">
        <v>620.0</v>
      </c>
      <c r="P4" s="14">
        <f t="shared" si="5"/>
        <v>45.61269571</v>
      </c>
      <c r="Q4" s="15" t="s">
        <v>21</v>
      </c>
      <c r="R4" s="7">
        <f>N3</f>
        <v>64315.35212</v>
      </c>
      <c r="S4" s="7">
        <f t="shared" ref="S4:S18" si="11">R4*$O$3</f>
        <v>13184647.19</v>
      </c>
      <c r="T4" s="16">
        <f t="shared" ref="T4:T18" si="12">(R4-$N$3)/$N$3*100</f>
        <v>0</v>
      </c>
      <c r="U4" s="16">
        <f t="shared" ref="U4:U18" si="13">(S4+$S$3)/10^6</f>
        <v>58.7973429</v>
      </c>
      <c r="V4" s="15" t="s">
        <v>19</v>
      </c>
      <c r="W4" s="7">
        <f t="shared" si="6"/>
        <v>73568.86405</v>
      </c>
      <c r="X4" s="7">
        <f t="shared" ref="X4:X18" si="14">W4*$O$4</f>
        <v>45612695.71</v>
      </c>
      <c r="Y4" s="16">
        <f t="shared" ref="Y4:Y18" si="15">(W4-$N$4)/$N$4*100</f>
        <v>0</v>
      </c>
      <c r="Z4" s="16">
        <f t="shared" ref="Z4:Z18" si="16">(X4+$X$3)/10^6</f>
        <v>58.7973429</v>
      </c>
      <c r="AB4" s="3">
        <f t="shared" ref="AB4:AC4" si="7">T5</f>
        <v>1.554838724</v>
      </c>
      <c r="AC4" s="3">
        <f t="shared" si="7"/>
        <v>59.0023429</v>
      </c>
      <c r="AD4" s="3">
        <f t="shared" ref="AD4:AE4" si="8">Y5</f>
        <v>1.359270682</v>
      </c>
      <c r="AE4" s="3">
        <f t="shared" si="8"/>
        <v>59.4173429</v>
      </c>
    </row>
    <row r="5">
      <c r="A5" s="3" t="s">
        <v>50</v>
      </c>
      <c r="B5" s="7">
        <f t="shared" ref="B5:B7" si="19">B4</f>
        <v>2296156806</v>
      </c>
      <c r="C5" s="7">
        <f>B5*18.02/1000</f>
        <v>41376745.64</v>
      </c>
      <c r="D5" s="7">
        <f t="shared" si="9"/>
        <v>91220000.96</v>
      </c>
      <c r="E5" s="7">
        <f t="shared" ref="E5:F5" si="10">C5/8000</f>
        <v>5172.093205</v>
      </c>
      <c r="F5" s="7">
        <f t="shared" si="10"/>
        <v>11402.50012</v>
      </c>
      <c r="L5" s="3" t="s">
        <v>51</v>
      </c>
      <c r="O5" s="17" t="s">
        <v>52</v>
      </c>
      <c r="P5" s="18">
        <f>sum(P3:P4)</f>
        <v>58.7973429</v>
      </c>
      <c r="R5" s="7">
        <f t="shared" ref="R5:R18" si="21">R4+1000</f>
        <v>65315.35212</v>
      </c>
      <c r="S5" s="7">
        <f t="shared" si="11"/>
        <v>13389647.19</v>
      </c>
      <c r="T5" s="7">
        <f t="shared" si="12"/>
        <v>1.554838724</v>
      </c>
      <c r="U5" s="7">
        <f t="shared" si="13"/>
        <v>59.0023429</v>
      </c>
      <c r="W5" s="7">
        <f t="shared" ref="W5:W18" si="22">W4+1000</f>
        <v>74568.86405</v>
      </c>
      <c r="X5" s="7">
        <f t="shared" si="14"/>
        <v>46232695.71</v>
      </c>
      <c r="Y5" s="7">
        <f t="shared" si="15"/>
        <v>1.359270682</v>
      </c>
      <c r="Z5" s="7">
        <f t="shared" si="16"/>
        <v>59.4173429</v>
      </c>
      <c r="AB5" s="3">
        <f t="shared" ref="AB5:AC5" si="17">T6</f>
        <v>3.109677447</v>
      </c>
      <c r="AC5" s="3">
        <f t="shared" si="17"/>
        <v>59.2073429</v>
      </c>
      <c r="AD5" s="3">
        <f t="shared" ref="AD5:AE5" si="18">Y6</f>
        <v>2.718541364</v>
      </c>
      <c r="AE5" s="3">
        <f t="shared" si="18"/>
        <v>60.0373429</v>
      </c>
    </row>
    <row r="6">
      <c r="A6" s="3" t="s">
        <v>17</v>
      </c>
      <c r="B6" s="7">
        <f t="shared" si="19"/>
        <v>2296156806</v>
      </c>
      <c r="C6" s="7">
        <f>B6*60.052/1000</f>
        <v>137888808.5</v>
      </c>
      <c r="D6" s="7">
        <f t="shared" si="9"/>
        <v>303992425</v>
      </c>
      <c r="E6" s="7">
        <f t="shared" ref="E6:F6" si="20">C6/8000</f>
        <v>17236.10106</v>
      </c>
      <c r="F6" s="7">
        <f t="shared" si="20"/>
        <v>37999.05312</v>
      </c>
      <c r="R6" s="7">
        <f t="shared" si="21"/>
        <v>66315.35212</v>
      </c>
      <c r="S6" s="7">
        <f t="shared" si="11"/>
        <v>13594647.19</v>
      </c>
      <c r="T6" s="7">
        <f t="shared" si="12"/>
        <v>3.109677447</v>
      </c>
      <c r="U6" s="7">
        <f t="shared" si="13"/>
        <v>59.2073429</v>
      </c>
      <c r="W6" s="7">
        <f t="shared" si="22"/>
        <v>75568.86405</v>
      </c>
      <c r="X6" s="7">
        <f t="shared" si="14"/>
        <v>46852695.71</v>
      </c>
      <c r="Y6" s="7">
        <f t="shared" si="15"/>
        <v>2.718541364</v>
      </c>
      <c r="Z6" s="7">
        <f t="shared" si="16"/>
        <v>60.0373429</v>
      </c>
      <c r="AB6" s="3">
        <f t="shared" ref="AB6:AC6" si="23">T7</f>
        <v>4.664516171</v>
      </c>
      <c r="AC6" s="3">
        <f t="shared" si="23"/>
        <v>59.4123429</v>
      </c>
      <c r="AD6" s="3">
        <f t="shared" ref="AD6:AE6" si="24">Y7</f>
        <v>4.077812046</v>
      </c>
      <c r="AE6" s="3">
        <f t="shared" si="24"/>
        <v>60.6573429</v>
      </c>
    </row>
    <row r="7">
      <c r="A7" s="3" t="s">
        <v>21</v>
      </c>
      <c r="B7" s="7">
        <f t="shared" si="19"/>
        <v>2296156806</v>
      </c>
      <c r="C7" s="7">
        <f>B7*28.01/1000</f>
        <v>64315352.12</v>
      </c>
      <c r="D7" s="7">
        <f t="shared" si="9"/>
        <v>141790911.6</v>
      </c>
      <c r="E7" s="7">
        <f t="shared" ref="E7:F7" si="25">C7/8000</f>
        <v>8039.419016</v>
      </c>
      <c r="F7" s="7">
        <f t="shared" si="25"/>
        <v>17723.86395</v>
      </c>
      <c r="L7" s="3" t="s">
        <v>53</v>
      </c>
      <c r="R7" s="7">
        <f t="shared" si="21"/>
        <v>67315.35212</v>
      </c>
      <c r="S7" s="7">
        <f t="shared" si="11"/>
        <v>13799647.19</v>
      </c>
      <c r="T7" s="7">
        <f t="shared" si="12"/>
        <v>4.664516171</v>
      </c>
      <c r="U7" s="7">
        <f t="shared" si="13"/>
        <v>59.4123429</v>
      </c>
      <c r="W7" s="7">
        <f t="shared" si="22"/>
        <v>76568.86405</v>
      </c>
      <c r="X7" s="7">
        <f t="shared" si="14"/>
        <v>47472695.71</v>
      </c>
      <c r="Y7" s="7">
        <f t="shared" si="15"/>
        <v>4.077812046</v>
      </c>
      <c r="Z7" s="7">
        <f t="shared" si="16"/>
        <v>60.6573429</v>
      </c>
      <c r="AB7" s="3">
        <f t="shared" ref="AB7:AC7" si="26">T8</f>
        <v>6.219354894</v>
      </c>
      <c r="AC7" s="3">
        <f t="shared" si="26"/>
        <v>59.6173429</v>
      </c>
      <c r="AD7" s="3">
        <f t="shared" ref="AD7:AE7" si="27">Y8</f>
        <v>5.437082727</v>
      </c>
      <c r="AE7" s="3">
        <f t="shared" si="27"/>
        <v>61.2773429</v>
      </c>
    </row>
    <row r="8">
      <c r="A8" s="3" t="s">
        <v>7</v>
      </c>
      <c r="E8" s="7">
        <f>0.6*E9</f>
        <v>12757.275</v>
      </c>
      <c r="R8" s="7">
        <f t="shared" si="21"/>
        <v>68315.35212</v>
      </c>
      <c r="S8" s="7">
        <f t="shared" si="11"/>
        <v>14004647.19</v>
      </c>
      <c r="T8" s="7">
        <f t="shared" si="12"/>
        <v>6.219354894</v>
      </c>
      <c r="U8" s="7">
        <f t="shared" si="13"/>
        <v>59.6173429</v>
      </c>
      <c r="W8" s="7">
        <f t="shared" si="22"/>
        <v>77568.86405</v>
      </c>
      <c r="X8" s="7">
        <f t="shared" si="14"/>
        <v>48092695.71</v>
      </c>
      <c r="Y8" s="7">
        <f t="shared" si="15"/>
        <v>5.437082727</v>
      </c>
      <c r="Z8" s="7">
        <f t="shared" si="16"/>
        <v>61.2773429</v>
      </c>
      <c r="AB8" s="3">
        <f t="shared" ref="AB8:AC8" si="28">T9</f>
        <v>7.774193618</v>
      </c>
      <c r="AC8" s="3">
        <f t="shared" si="28"/>
        <v>59.8223429</v>
      </c>
      <c r="AD8" s="3">
        <f t="shared" ref="AD8:AE8" si="29">Y9</f>
        <v>6.796353409</v>
      </c>
      <c r="AE8" s="3">
        <f t="shared" si="29"/>
        <v>61.8973429</v>
      </c>
    </row>
    <row r="9">
      <c r="A9" s="3" t="s">
        <v>54</v>
      </c>
      <c r="B9" s="7">
        <f>B7</f>
        <v>2296156806</v>
      </c>
      <c r="C9" s="7">
        <v>1.70097E8</v>
      </c>
      <c r="D9" s="7">
        <f>C9*2.20462</f>
        <v>374999248.1</v>
      </c>
      <c r="E9" s="7">
        <f t="shared" ref="E9:F9" si="30">C9/8000</f>
        <v>21262.125</v>
      </c>
      <c r="F9" s="7">
        <f t="shared" si="30"/>
        <v>46874.90602</v>
      </c>
      <c r="R9" s="7">
        <f t="shared" si="21"/>
        <v>69315.35212</v>
      </c>
      <c r="S9" s="7">
        <f t="shared" si="11"/>
        <v>14209647.19</v>
      </c>
      <c r="T9" s="7">
        <f t="shared" si="12"/>
        <v>7.774193618</v>
      </c>
      <c r="U9" s="7">
        <f t="shared" si="13"/>
        <v>59.8223429</v>
      </c>
      <c r="W9" s="7">
        <f t="shared" si="22"/>
        <v>78568.86405</v>
      </c>
      <c r="X9" s="7">
        <f t="shared" si="14"/>
        <v>48712695.71</v>
      </c>
      <c r="Y9" s="7">
        <f t="shared" si="15"/>
        <v>6.796353409</v>
      </c>
      <c r="Z9" s="7">
        <f t="shared" si="16"/>
        <v>61.8973429</v>
      </c>
      <c r="AB9" s="3">
        <f t="shared" ref="AB9:AC9" si="31">T10</f>
        <v>9.329032341</v>
      </c>
      <c r="AC9" s="3">
        <f t="shared" si="31"/>
        <v>60.0273429</v>
      </c>
      <c r="AD9" s="3">
        <f t="shared" ref="AD9:AE9" si="32">Y10</f>
        <v>8.155624091</v>
      </c>
      <c r="AE9" s="3">
        <f t="shared" si="32"/>
        <v>62.5173429</v>
      </c>
    </row>
    <row r="10">
      <c r="A10" s="3" t="s">
        <v>55</v>
      </c>
      <c r="B10" s="3" t="s">
        <v>56</v>
      </c>
      <c r="R10" s="7">
        <f t="shared" si="21"/>
        <v>70315.35212</v>
      </c>
      <c r="S10" s="7">
        <f t="shared" si="11"/>
        <v>14414647.19</v>
      </c>
      <c r="T10" s="7">
        <f t="shared" si="12"/>
        <v>9.329032341</v>
      </c>
      <c r="U10" s="7">
        <f t="shared" si="13"/>
        <v>60.0273429</v>
      </c>
      <c r="W10" s="7">
        <f t="shared" si="22"/>
        <v>79568.86405</v>
      </c>
      <c r="X10" s="7">
        <f t="shared" si="14"/>
        <v>49332695.71</v>
      </c>
      <c r="Y10" s="7">
        <f t="shared" si="15"/>
        <v>8.155624091</v>
      </c>
      <c r="Z10" s="7">
        <f t="shared" si="16"/>
        <v>62.5173429</v>
      </c>
      <c r="AB10" s="3">
        <f t="shared" ref="AB10:AC10" si="33">T11</f>
        <v>10.88387106</v>
      </c>
      <c r="AC10" s="3">
        <f t="shared" si="33"/>
        <v>60.2323429</v>
      </c>
      <c r="AD10" s="3">
        <f t="shared" ref="AD10:AE10" si="34">Y11</f>
        <v>9.514894773</v>
      </c>
      <c r="AE10" s="3">
        <f t="shared" si="34"/>
        <v>63.1373429</v>
      </c>
    </row>
    <row r="11">
      <c r="B11" s="7">
        <f>B9/8000000</f>
        <v>287.0196007</v>
      </c>
      <c r="C11" s="3" t="s">
        <v>57</v>
      </c>
      <c r="R11" s="7">
        <f t="shared" si="21"/>
        <v>71315.35212</v>
      </c>
      <c r="S11" s="7">
        <f t="shared" si="11"/>
        <v>14619647.19</v>
      </c>
      <c r="T11" s="7">
        <f t="shared" si="12"/>
        <v>10.88387106</v>
      </c>
      <c r="U11" s="7">
        <f t="shared" si="13"/>
        <v>60.2323429</v>
      </c>
      <c r="W11" s="7">
        <f t="shared" si="22"/>
        <v>80568.86405</v>
      </c>
      <c r="X11" s="7">
        <f t="shared" si="14"/>
        <v>49952695.71</v>
      </c>
      <c r="Y11" s="7">
        <f t="shared" si="15"/>
        <v>9.514894773</v>
      </c>
      <c r="Z11" s="7">
        <f t="shared" si="16"/>
        <v>63.1373429</v>
      </c>
      <c r="AB11" s="3">
        <f t="shared" ref="AB11:AC11" si="35">T12</f>
        <v>12.43870979</v>
      </c>
      <c r="AC11" s="3">
        <f t="shared" si="35"/>
        <v>60.4373429</v>
      </c>
      <c r="AD11" s="3">
        <f t="shared" ref="AD11:AE11" si="36">Y12</f>
        <v>10.87416545</v>
      </c>
      <c r="AE11" s="3">
        <f t="shared" si="36"/>
        <v>63.7573429</v>
      </c>
    </row>
    <row r="12">
      <c r="R12" s="7">
        <f t="shared" si="21"/>
        <v>72315.35212</v>
      </c>
      <c r="S12" s="7">
        <f t="shared" si="11"/>
        <v>14824647.19</v>
      </c>
      <c r="T12" s="7">
        <f t="shared" si="12"/>
        <v>12.43870979</v>
      </c>
      <c r="U12" s="7">
        <f t="shared" si="13"/>
        <v>60.4373429</v>
      </c>
      <c r="W12" s="7">
        <f t="shared" si="22"/>
        <v>81568.86405</v>
      </c>
      <c r="X12" s="7">
        <f t="shared" si="14"/>
        <v>50572695.71</v>
      </c>
      <c r="Y12" s="7">
        <f t="shared" si="15"/>
        <v>10.87416545</v>
      </c>
      <c r="Z12" s="7">
        <f t="shared" si="16"/>
        <v>63.7573429</v>
      </c>
      <c r="AB12" s="3">
        <f t="shared" ref="AB12:AC12" si="37">T13</f>
        <v>13.99354851</v>
      </c>
      <c r="AC12" s="3">
        <f t="shared" si="37"/>
        <v>60.6423429</v>
      </c>
      <c r="AD12" s="3">
        <f t="shared" ref="AD12:AE12" si="38">Y13</f>
        <v>12.23343614</v>
      </c>
      <c r="AE12" s="3">
        <f t="shared" si="38"/>
        <v>64.3773429</v>
      </c>
    </row>
    <row r="13">
      <c r="R13" s="7">
        <f t="shared" si="21"/>
        <v>73315.35212</v>
      </c>
      <c r="S13" s="7">
        <f t="shared" si="11"/>
        <v>15029647.19</v>
      </c>
      <c r="T13" s="7">
        <f t="shared" si="12"/>
        <v>13.99354851</v>
      </c>
      <c r="U13" s="7">
        <f t="shared" si="13"/>
        <v>60.6423429</v>
      </c>
      <c r="W13" s="7">
        <f t="shared" si="22"/>
        <v>82568.86405</v>
      </c>
      <c r="X13" s="7">
        <f t="shared" si="14"/>
        <v>51192695.71</v>
      </c>
      <c r="Y13" s="7">
        <f t="shared" si="15"/>
        <v>12.23343614</v>
      </c>
      <c r="Z13" s="7">
        <f t="shared" si="16"/>
        <v>64.3773429</v>
      </c>
      <c r="AB13" s="3">
        <f t="shared" ref="AB13:AC13" si="39">T14</f>
        <v>15.54838724</v>
      </c>
      <c r="AC13" s="3">
        <f t="shared" si="39"/>
        <v>60.8473429</v>
      </c>
      <c r="AD13" s="3">
        <f t="shared" ref="AD13:AE13" si="40">Y14</f>
        <v>13.59270682</v>
      </c>
      <c r="AE13" s="3">
        <f t="shared" si="40"/>
        <v>64.9973429</v>
      </c>
    </row>
    <row r="14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  <c r="G14" s="3" t="s">
        <v>38</v>
      </c>
      <c r="R14" s="7">
        <f t="shared" si="21"/>
        <v>74315.35212</v>
      </c>
      <c r="S14" s="7">
        <f t="shared" si="11"/>
        <v>15234647.19</v>
      </c>
      <c r="T14" s="7">
        <f t="shared" si="12"/>
        <v>15.54838724</v>
      </c>
      <c r="U14" s="7">
        <f t="shared" si="13"/>
        <v>60.8473429</v>
      </c>
      <c r="W14" s="7">
        <f t="shared" si="22"/>
        <v>83568.86405</v>
      </c>
      <c r="X14" s="7">
        <f t="shared" si="14"/>
        <v>51812695.71</v>
      </c>
      <c r="Y14" s="7">
        <f t="shared" si="15"/>
        <v>13.59270682</v>
      </c>
      <c r="Z14" s="7">
        <f t="shared" si="16"/>
        <v>64.9973429</v>
      </c>
      <c r="AB14" s="3">
        <f t="shared" ref="AB14:AC14" si="41">T15</f>
        <v>17.10322596</v>
      </c>
      <c r="AC14" s="3">
        <f t="shared" si="41"/>
        <v>61.0523429</v>
      </c>
      <c r="AD14" s="3">
        <f t="shared" ref="AD14:AE14" si="42">Y15</f>
        <v>14.9519775</v>
      </c>
      <c r="AE14" s="3">
        <f t="shared" si="42"/>
        <v>65.6173429</v>
      </c>
    </row>
    <row r="15">
      <c r="G15" s="3" t="s">
        <v>63</v>
      </c>
      <c r="R15" s="7">
        <f t="shared" si="21"/>
        <v>75315.35212</v>
      </c>
      <c r="S15" s="7">
        <f t="shared" si="11"/>
        <v>15439647.19</v>
      </c>
      <c r="T15" s="7">
        <f t="shared" si="12"/>
        <v>17.10322596</v>
      </c>
      <c r="U15" s="7">
        <f t="shared" si="13"/>
        <v>61.0523429</v>
      </c>
      <c r="W15" s="7">
        <f t="shared" si="22"/>
        <v>84568.86405</v>
      </c>
      <c r="X15" s="7">
        <f t="shared" si="14"/>
        <v>52432695.71</v>
      </c>
      <c r="Y15" s="7">
        <f t="shared" si="15"/>
        <v>14.9519775</v>
      </c>
      <c r="Z15" s="7">
        <f t="shared" si="16"/>
        <v>65.6173429</v>
      </c>
      <c r="AB15" s="3">
        <f t="shared" ref="AB15:AC15" si="43">T16</f>
        <v>18.65806468</v>
      </c>
      <c r="AC15" s="3">
        <f t="shared" si="43"/>
        <v>61.2573429</v>
      </c>
      <c r="AD15" s="3">
        <f t="shared" ref="AD15:AE15" si="44">Y16</f>
        <v>16.31124818</v>
      </c>
      <c r="AE15" s="3">
        <f t="shared" si="44"/>
        <v>66.2373429</v>
      </c>
    </row>
    <row r="16">
      <c r="G16" s="3" t="s">
        <v>21</v>
      </c>
      <c r="R16" s="7">
        <f t="shared" si="21"/>
        <v>76315.35212</v>
      </c>
      <c r="S16" s="7">
        <f t="shared" si="11"/>
        <v>15644647.19</v>
      </c>
      <c r="T16" s="7">
        <f t="shared" si="12"/>
        <v>18.65806468</v>
      </c>
      <c r="U16" s="7">
        <f t="shared" si="13"/>
        <v>61.2573429</v>
      </c>
      <c r="W16" s="7">
        <f t="shared" si="22"/>
        <v>85568.86405</v>
      </c>
      <c r="X16" s="7">
        <f t="shared" si="14"/>
        <v>53052695.71</v>
      </c>
      <c r="Y16" s="7">
        <f t="shared" si="15"/>
        <v>16.31124818</v>
      </c>
      <c r="Z16" s="7">
        <f t="shared" si="16"/>
        <v>66.2373429</v>
      </c>
      <c r="AB16" s="3">
        <f t="shared" ref="AB16:AC16" si="45">T17</f>
        <v>20.21290341</v>
      </c>
      <c r="AC16" s="3">
        <f t="shared" si="45"/>
        <v>61.4623429</v>
      </c>
      <c r="AD16" s="3">
        <f t="shared" ref="AD16:AE16" si="46">Y17</f>
        <v>17.67051886</v>
      </c>
      <c r="AE16" s="3">
        <f t="shared" si="46"/>
        <v>66.8573429</v>
      </c>
    </row>
    <row r="17">
      <c r="G17" s="3" t="s">
        <v>19</v>
      </c>
      <c r="R17" s="7">
        <f t="shared" si="21"/>
        <v>77315.35212</v>
      </c>
      <c r="S17" s="7">
        <f t="shared" si="11"/>
        <v>15849647.19</v>
      </c>
      <c r="T17" s="7">
        <f t="shared" si="12"/>
        <v>20.21290341</v>
      </c>
      <c r="U17" s="7">
        <f t="shared" si="13"/>
        <v>61.4623429</v>
      </c>
      <c r="W17" s="7">
        <f t="shared" si="22"/>
        <v>86568.86405</v>
      </c>
      <c r="X17" s="7">
        <f t="shared" si="14"/>
        <v>53672695.71</v>
      </c>
      <c r="Y17" s="7">
        <f t="shared" si="15"/>
        <v>17.67051886</v>
      </c>
      <c r="Z17" s="7">
        <f t="shared" si="16"/>
        <v>66.8573429</v>
      </c>
      <c r="AB17" s="3">
        <f t="shared" ref="AB17:AC17" si="47">T18</f>
        <v>21.76774213</v>
      </c>
      <c r="AC17" s="3">
        <f t="shared" si="47"/>
        <v>61.6673429</v>
      </c>
      <c r="AD17" s="3">
        <f t="shared" ref="AD17:AE17" si="48">Y18</f>
        <v>19.02978955</v>
      </c>
      <c r="AE17" s="3">
        <f t="shared" si="48"/>
        <v>67.4773429</v>
      </c>
    </row>
    <row r="18">
      <c r="G18" s="3" t="s">
        <v>64</v>
      </c>
      <c r="R18" s="7">
        <f t="shared" si="21"/>
        <v>78315.35212</v>
      </c>
      <c r="S18" s="7">
        <f t="shared" si="11"/>
        <v>16054647.19</v>
      </c>
      <c r="T18" s="7">
        <f t="shared" si="12"/>
        <v>21.76774213</v>
      </c>
      <c r="U18" s="7">
        <f t="shared" si="13"/>
        <v>61.6673429</v>
      </c>
      <c r="W18" s="7">
        <f t="shared" si="22"/>
        <v>87568.86405</v>
      </c>
      <c r="X18" s="7">
        <f t="shared" si="14"/>
        <v>54292695.71</v>
      </c>
      <c r="Y18" s="7">
        <f t="shared" si="15"/>
        <v>19.02978955</v>
      </c>
      <c r="Z18" s="7">
        <f t="shared" si="16"/>
        <v>67.4773429</v>
      </c>
    </row>
    <row r="19">
      <c r="G19" s="3" t="s">
        <v>50</v>
      </c>
    </row>
    <row r="23">
      <c r="P23" s="3" t="s">
        <v>65</v>
      </c>
    </row>
    <row r="24">
      <c r="A24" s="12" t="s">
        <v>66</v>
      </c>
      <c r="B24" s="3" t="s">
        <v>67</v>
      </c>
      <c r="D24" s="12" t="s">
        <v>68</v>
      </c>
      <c r="E24" s="3" t="s">
        <v>69</v>
      </c>
      <c r="G24" s="12" t="s">
        <v>70</v>
      </c>
      <c r="H24" s="3" t="s">
        <v>69</v>
      </c>
      <c r="J24" s="12" t="s">
        <v>71</v>
      </c>
      <c r="M24" s="12" t="s">
        <v>72</v>
      </c>
      <c r="P24" s="12" t="s">
        <v>73</v>
      </c>
      <c r="S24" s="3" t="s">
        <v>74</v>
      </c>
    </row>
    <row r="25">
      <c r="A25" s="3" t="s">
        <v>19</v>
      </c>
      <c r="B25" s="3">
        <f>H27/C35*A35</f>
        <v>53.30218152</v>
      </c>
      <c r="D25" s="7">
        <f>H27/C35*B35</f>
        <v>46.59781848</v>
      </c>
      <c r="E25" s="3" t="s">
        <v>75</v>
      </c>
      <c r="G25" s="3" t="s">
        <v>19</v>
      </c>
      <c r="H25" s="3">
        <v>0.1</v>
      </c>
      <c r="J25" s="3" t="s">
        <v>19</v>
      </c>
      <c r="K25" s="7">
        <f>H27/A38*B38</f>
        <v>53.30040631</v>
      </c>
      <c r="M25" s="3" t="s">
        <v>19</v>
      </c>
      <c r="N25" s="7">
        <f t="shared" ref="N25:N26" si="49">K25+H25</f>
        <v>53.40040631</v>
      </c>
      <c r="P25" s="3" t="s">
        <v>19</v>
      </c>
      <c r="Q25" s="7">
        <f>Q31*A35</f>
        <v>21.36016253</v>
      </c>
      <c r="S25" s="3" t="s">
        <v>19</v>
      </c>
    </row>
    <row r="26">
      <c r="A26" s="3" t="s">
        <v>50</v>
      </c>
      <c r="B26" s="3">
        <f>B27-B25</f>
        <v>0.05335553705</v>
      </c>
      <c r="D26" s="7">
        <f>D25/28.01</f>
        <v>1.663613655</v>
      </c>
      <c r="E26" s="3" t="s">
        <v>76</v>
      </c>
      <c r="G26" s="3" t="s">
        <v>50</v>
      </c>
      <c r="H26" s="7">
        <f>B26</f>
        <v>0.05335553705</v>
      </c>
      <c r="J26" s="3" t="s">
        <v>50</v>
      </c>
      <c r="K26" s="7">
        <f>K27-K25</f>
        <v>0.05335376007</v>
      </c>
      <c r="M26" s="3" t="s">
        <v>50</v>
      </c>
      <c r="N26" s="7">
        <f t="shared" si="49"/>
        <v>0.1067092971</v>
      </c>
      <c r="P26" s="3" t="s">
        <v>50</v>
      </c>
      <c r="Q26" s="7">
        <f>Q32*18.02</f>
        <v>18.12684641</v>
      </c>
      <c r="S26" s="3" t="s">
        <v>50</v>
      </c>
    </row>
    <row r="27">
      <c r="A27" s="3" t="s">
        <v>77</v>
      </c>
      <c r="B27" s="3">
        <f>B25/0.999</f>
        <v>53.35553705</v>
      </c>
      <c r="G27" s="3" t="s">
        <v>17</v>
      </c>
      <c r="H27" s="3">
        <v>99.9</v>
      </c>
      <c r="J27" s="3" t="s">
        <v>78</v>
      </c>
      <c r="K27" s="7">
        <f>K25/0.999</f>
        <v>53.35376007</v>
      </c>
      <c r="M27" s="3" t="s">
        <v>17</v>
      </c>
      <c r="N27" s="7">
        <f t="shared" ref="N27:N28" si="50">H27</f>
        <v>99.9</v>
      </c>
      <c r="P27" s="3" t="s">
        <v>79</v>
      </c>
      <c r="Q27" s="7">
        <f>Q33*C35</f>
        <v>39.95866915</v>
      </c>
      <c r="S27" s="3" t="s">
        <v>79</v>
      </c>
    </row>
    <row r="28">
      <c r="A28" s="3" t="s">
        <v>80</v>
      </c>
      <c r="B28" s="7">
        <f>B25/B27</f>
        <v>0.999</v>
      </c>
      <c r="G28" s="3" t="s">
        <v>21</v>
      </c>
      <c r="H28" s="3">
        <v>0.0</v>
      </c>
      <c r="J28" s="3" t="s">
        <v>81</v>
      </c>
      <c r="M28" s="3" t="s">
        <v>21</v>
      </c>
      <c r="N28" s="7">
        <f t="shared" si="50"/>
        <v>0</v>
      </c>
      <c r="P28" s="3" t="s">
        <v>21</v>
      </c>
      <c r="Q28" s="7">
        <f>N28</f>
        <v>0</v>
      </c>
      <c r="S28" s="3" t="s">
        <v>21</v>
      </c>
    </row>
    <row r="29">
      <c r="A29" s="3" t="s">
        <v>82</v>
      </c>
      <c r="B29" s="7">
        <f>B26/B27</f>
        <v>0.001</v>
      </c>
      <c r="G29" s="3" t="s">
        <v>83</v>
      </c>
      <c r="H29" s="7">
        <f>H28+H27+H26+H25</f>
        <v>100.0533555</v>
      </c>
      <c r="J29" s="3" t="s">
        <v>84</v>
      </c>
      <c r="M29" s="3" t="s">
        <v>85</v>
      </c>
      <c r="N29" s="7">
        <f>N25/A35</f>
        <v>1.666679348</v>
      </c>
      <c r="P29" s="3" t="s">
        <v>86</v>
      </c>
      <c r="Q29" s="7">
        <f>Q35*74.072</f>
        <v>74.07256361</v>
      </c>
      <c r="S29" s="3" t="s">
        <v>86</v>
      </c>
    </row>
    <row r="30">
      <c r="A30" s="3" t="s">
        <v>87</v>
      </c>
      <c r="B30" s="7">
        <f>((B25*1000/32.04))/((B25*1000/32.04)+(B26*1000/18.02))</f>
        <v>0.9982233579</v>
      </c>
      <c r="G30" s="3" t="s">
        <v>80</v>
      </c>
      <c r="H30" s="7">
        <f>H25/H29</f>
        <v>0.0009994667292</v>
      </c>
      <c r="M30" s="3" t="s">
        <v>88</v>
      </c>
      <c r="N30" s="7">
        <f>N27/A38</f>
        <v>1.66355825</v>
      </c>
      <c r="P30" s="3" t="s">
        <v>89</v>
      </c>
      <c r="Q30" s="7">
        <f>Q29+Q28+Q27+Q26+Q25</f>
        <v>153.5182417</v>
      </c>
      <c r="S30" s="3" t="s">
        <v>89</v>
      </c>
    </row>
    <row r="31">
      <c r="A31" s="3" t="s">
        <v>90</v>
      </c>
      <c r="B31" s="7">
        <f>1-B30</f>
        <v>0.001776642146</v>
      </c>
      <c r="G31" s="3" t="s">
        <v>82</v>
      </c>
      <c r="H31" s="7">
        <f>H26/H29</f>
        <v>0.000533270841</v>
      </c>
      <c r="M31" s="3" t="s">
        <v>91</v>
      </c>
      <c r="N31" s="7">
        <f>N26/18.02</f>
        <v>0.005921714602</v>
      </c>
      <c r="P31" s="3" t="s">
        <v>85</v>
      </c>
      <c r="Q31" s="7">
        <f>(1-0.6)*N29</f>
        <v>0.6666717393</v>
      </c>
      <c r="S31" s="3" t="s">
        <v>85</v>
      </c>
    </row>
    <row r="32">
      <c r="A32" s="3" t="s">
        <v>85</v>
      </c>
      <c r="B32" s="7">
        <f>B25/32.04</f>
        <v>1.663613655</v>
      </c>
      <c r="G32" s="3" t="s">
        <v>92</v>
      </c>
      <c r="H32" s="7">
        <f>H27/H29</f>
        <v>0.9984672624</v>
      </c>
      <c r="M32" s="3" t="s">
        <v>93</v>
      </c>
      <c r="N32" s="7">
        <f>N28/28.01</f>
        <v>0</v>
      </c>
      <c r="P32" s="3" t="s">
        <v>91</v>
      </c>
      <c r="Q32" s="7">
        <f>0.6*N29+N31</f>
        <v>1.005929323</v>
      </c>
      <c r="S32" s="3" t="s">
        <v>91</v>
      </c>
    </row>
    <row r="33">
      <c r="G33" s="3" t="s">
        <v>94</v>
      </c>
      <c r="H33" s="7">
        <f>H28/H29</f>
        <v>0</v>
      </c>
      <c r="M33" s="3" t="s">
        <v>95</v>
      </c>
      <c r="N33" s="7">
        <f>N32+N31+N30+N29</f>
        <v>3.336159312</v>
      </c>
      <c r="P33" s="3" t="s">
        <v>88</v>
      </c>
      <c r="Q33" s="7">
        <f>N30*(1-0.6)</f>
        <v>0.6654232998</v>
      </c>
      <c r="S33" s="3" t="s">
        <v>88</v>
      </c>
    </row>
    <row r="34">
      <c r="A34" s="3" t="s">
        <v>19</v>
      </c>
      <c r="B34" s="3" t="s">
        <v>21</v>
      </c>
      <c r="C34" s="3" t="s">
        <v>63</v>
      </c>
      <c r="G34" s="3" t="s">
        <v>96</v>
      </c>
      <c r="P34" s="3" t="s">
        <v>93</v>
      </c>
      <c r="Q34" s="7">
        <f>N32</f>
        <v>0</v>
      </c>
      <c r="S34" s="3" t="s">
        <v>93</v>
      </c>
    </row>
    <row r="35">
      <c r="A35" s="3">
        <v>32.04</v>
      </c>
      <c r="B35" s="3">
        <v>28.01</v>
      </c>
      <c r="C35" s="7">
        <f>B35+A35</f>
        <v>60.05</v>
      </c>
      <c r="G35" s="3" t="s">
        <v>90</v>
      </c>
      <c r="P35" s="3" t="s">
        <v>97</v>
      </c>
      <c r="Q35" s="7">
        <f>0.6*N29</f>
        <v>1.000007609</v>
      </c>
      <c r="S35" s="3" t="s">
        <v>97</v>
      </c>
    </row>
    <row r="36">
      <c r="G36" s="3" t="s">
        <v>98</v>
      </c>
      <c r="P36" s="3" t="s">
        <v>95</v>
      </c>
      <c r="Q36" s="7">
        <f>Q35+Q34+Q33+Q32+Q31</f>
        <v>3.338031971</v>
      </c>
      <c r="S36" s="3" t="s">
        <v>95</v>
      </c>
    </row>
    <row r="37">
      <c r="A37" s="3" t="s">
        <v>99</v>
      </c>
      <c r="B37" s="3" t="s">
        <v>100</v>
      </c>
      <c r="C37" s="3" t="s">
        <v>101</v>
      </c>
      <c r="D37" s="3" t="s">
        <v>50</v>
      </c>
      <c r="G37" s="3" t="s">
        <v>102</v>
      </c>
      <c r="P37" s="3" t="s">
        <v>87</v>
      </c>
      <c r="Q37" s="7">
        <f>Q31/Q36</f>
        <v>0.1997199982</v>
      </c>
      <c r="S37" s="3" t="s">
        <v>87</v>
      </c>
    </row>
    <row r="38">
      <c r="A38" s="3">
        <v>60.052</v>
      </c>
      <c r="B38" s="7">
        <f>A35</f>
        <v>32.04</v>
      </c>
      <c r="C38" s="7">
        <f>A38+B38-D38</f>
        <v>74.072</v>
      </c>
      <c r="D38" s="7">
        <f>18.02</f>
        <v>18.02</v>
      </c>
      <c r="P38" s="3" t="s">
        <v>90</v>
      </c>
      <c r="Q38" s="7">
        <f>Q32/Q36</f>
        <v>0.301354011</v>
      </c>
      <c r="S38" s="3" t="s">
        <v>90</v>
      </c>
    </row>
    <row r="39">
      <c r="P39" s="3" t="s">
        <v>103</v>
      </c>
      <c r="Q39" s="7">
        <f>Q33/Q36</f>
        <v>0.1993459935</v>
      </c>
      <c r="S39" s="3" t="s">
        <v>103</v>
      </c>
    </row>
    <row r="40">
      <c r="P40" s="3" t="s">
        <v>102</v>
      </c>
      <c r="Q40" s="7">
        <f>Q34/Q36</f>
        <v>0</v>
      </c>
      <c r="S40" s="3" t="s">
        <v>102</v>
      </c>
    </row>
    <row r="41">
      <c r="P41" s="3" t="s">
        <v>104</v>
      </c>
      <c r="Q41" s="7">
        <f>Q35/Q36</f>
        <v>0.2995799973</v>
      </c>
      <c r="S41" s="3" t="s">
        <v>104</v>
      </c>
    </row>
    <row r="44">
      <c r="B44" s="3" t="s">
        <v>105</v>
      </c>
      <c r="D44" s="3" t="s">
        <v>106</v>
      </c>
    </row>
    <row r="45">
      <c r="A45" s="3" t="s">
        <v>19</v>
      </c>
      <c r="B45" s="7">
        <f>2*B2/1000/8000</f>
        <v>574.0392014</v>
      </c>
      <c r="C45" s="3" t="s">
        <v>19</v>
      </c>
      <c r="D45" s="7">
        <f>B45/2</f>
        <v>287.0196007</v>
      </c>
    </row>
    <row r="46">
      <c r="A46" s="3" t="s">
        <v>21</v>
      </c>
      <c r="B46" s="7">
        <f>B7/1000/8000</f>
        <v>287.0196007</v>
      </c>
      <c r="C46" s="3" t="s">
        <v>17</v>
      </c>
      <c r="D46" s="7">
        <v>287.0196006965537</v>
      </c>
    </row>
    <row r="47">
      <c r="A47" s="3" t="s">
        <v>7</v>
      </c>
      <c r="B47" s="7">
        <f>B9/8000/1000</f>
        <v>287.0196007</v>
      </c>
      <c r="C47" s="3" t="s">
        <v>107</v>
      </c>
    </row>
    <row r="48">
      <c r="A48" s="3" t="s">
        <v>19</v>
      </c>
      <c r="B48" s="7">
        <f>B47/0.999*0.001</f>
        <v>0.2873069076</v>
      </c>
    </row>
    <row r="49">
      <c r="B49" s="7">
        <f>B47+B48</f>
        <v>287.3069076</v>
      </c>
    </row>
    <row r="50">
      <c r="B50" s="7">
        <f>B45/0.999</f>
        <v>574.6138152</v>
      </c>
    </row>
  </sheetData>
  <mergeCells count="5">
    <mergeCell ref="Q1:U1"/>
    <mergeCell ref="V1:Z1"/>
    <mergeCell ref="AB1:AE1"/>
    <mergeCell ref="Q4:Q18"/>
    <mergeCell ref="V4:V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4" max="4" width="16.38"/>
    <col customWidth="1" min="6" max="6" width="16.38"/>
    <col customWidth="1" min="10" max="10" width="16.38"/>
    <col customWidth="1" min="13" max="13" width="16.38"/>
    <col customWidth="1" min="16" max="16" width="16.38"/>
    <col customWidth="1" min="23" max="23" width="14.75"/>
    <col customWidth="1" min="25" max="25" width="16.88"/>
    <col customWidth="1" min="36" max="36" width="14.25"/>
  </cols>
  <sheetData>
    <row r="2">
      <c r="AJ2" s="3" t="s">
        <v>108</v>
      </c>
      <c r="AK2" s="7">
        <f>AH9-Z6</f>
        <v>28.86435945</v>
      </c>
    </row>
    <row r="3">
      <c r="A3" s="3" t="s">
        <v>109</v>
      </c>
      <c r="D3" s="3" t="s">
        <v>110</v>
      </c>
      <c r="G3" s="3" t="s">
        <v>72</v>
      </c>
      <c r="J3" s="3" t="s">
        <v>111</v>
      </c>
      <c r="M3" s="3" t="s">
        <v>112</v>
      </c>
      <c r="P3" s="3" t="s">
        <v>113</v>
      </c>
      <c r="S3" s="3" t="s">
        <v>114</v>
      </c>
      <c r="V3" s="3" t="s">
        <v>115</v>
      </c>
      <c r="Y3" s="3" t="s">
        <v>116</v>
      </c>
      <c r="AB3" s="3" t="s">
        <v>117</v>
      </c>
      <c r="AG3" s="3" t="s">
        <v>111</v>
      </c>
      <c r="AJ3" s="12" t="s">
        <v>118</v>
      </c>
    </row>
    <row r="4">
      <c r="A4" s="3" t="s">
        <v>119</v>
      </c>
      <c r="B4" s="7">
        <f>0.999*B6</f>
        <v>99.9</v>
      </c>
      <c r="C4" s="3" t="s">
        <v>32</v>
      </c>
      <c r="D4" s="3" t="s">
        <v>119</v>
      </c>
      <c r="F4" s="3" t="s">
        <v>32</v>
      </c>
      <c r="G4" s="3" t="s">
        <v>119</v>
      </c>
      <c r="H4" s="7">
        <f t="shared" ref="H4:H11" si="1">B4+E4</f>
        <v>99.9</v>
      </c>
      <c r="I4" s="3" t="s">
        <v>32</v>
      </c>
      <c r="J4" s="3" t="s">
        <v>119</v>
      </c>
      <c r="K4" s="7">
        <f>K8*32.04</f>
        <v>17085.53353</v>
      </c>
      <c r="L4" s="3" t="s">
        <v>120</v>
      </c>
      <c r="M4" s="3" t="s">
        <v>49</v>
      </c>
      <c r="N4" s="7">
        <f>46.07*N8</f>
        <v>69103.78999</v>
      </c>
      <c r="O4" s="3" t="s">
        <v>120</v>
      </c>
      <c r="P4" s="3" t="s">
        <v>49</v>
      </c>
      <c r="S4" s="3" t="s">
        <v>19</v>
      </c>
      <c r="T4" s="7">
        <f>N5</f>
        <v>48.10726575</v>
      </c>
      <c r="U4" s="3" t="s">
        <v>120</v>
      </c>
      <c r="V4" s="3" t="s">
        <v>21</v>
      </c>
      <c r="W4" s="7">
        <f>W5*28.02</f>
        <v>42029.26407</v>
      </c>
      <c r="Y4" s="3" t="s">
        <v>121</v>
      </c>
      <c r="Z4" s="7">
        <f>Z6+Z7+Z8</f>
        <v>34.78808865</v>
      </c>
      <c r="AB4" s="3" t="s">
        <v>85</v>
      </c>
      <c r="AC4" s="7">
        <f>Z6+T7</f>
        <v>20.74438151</v>
      </c>
      <c r="AG4" s="3" t="s">
        <v>122</v>
      </c>
      <c r="AH4" s="7">
        <f>AH9*32.04</f>
        <v>1541.356795</v>
      </c>
      <c r="AJ4" s="3" t="s">
        <v>112</v>
      </c>
      <c r="AK4" s="7">
        <f>AK5+AK6+AK7</f>
        <v>43.52096798</v>
      </c>
      <c r="AL4" s="3" t="s">
        <v>123</v>
      </c>
    </row>
    <row r="5">
      <c r="A5" s="3" t="s">
        <v>124</v>
      </c>
      <c r="B5" s="7">
        <f>0.001*B6</f>
        <v>0.1</v>
      </c>
      <c r="C5" s="3" t="s">
        <v>32</v>
      </c>
      <c r="D5" s="3" t="s">
        <v>124</v>
      </c>
      <c r="F5" s="3" t="s">
        <v>32</v>
      </c>
      <c r="G5" s="3" t="s">
        <v>124</v>
      </c>
      <c r="H5" s="7">
        <f t="shared" si="1"/>
        <v>0.1</v>
      </c>
      <c r="I5" s="3" t="s">
        <v>32</v>
      </c>
      <c r="J5" s="3" t="s">
        <v>124</v>
      </c>
      <c r="K5" s="7">
        <f>K9*18.02</f>
        <v>9709.279467</v>
      </c>
      <c r="L5" s="3" t="s">
        <v>120</v>
      </c>
      <c r="M5" s="3" t="s">
        <v>19</v>
      </c>
      <c r="N5" s="7">
        <f>N7*32.04</f>
        <v>48.10726575</v>
      </c>
      <c r="O5" s="3" t="s">
        <v>120</v>
      </c>
      <c r="P5" s="3" t="s">
        <v>19</v>
      </c>
      <c r="R5" s="3" t="s">
        <v>125</v>
      </c>
      <c r="S5" s="3" t="s">
        <v>49</v>
      </c>
      <c r="T5" s="7">
        <f>N4</f>
        <v>69103.78999</v>
      </c>
      <c r="U5" s="3" t="s">
        <v>120</v>
      </c>
      <c r="V5" s="3" t="s">
        <v>93</v>
      </c>
      <c r="W5" s="7">
        <f>T8</f>
        <v>1499.973735</v>
      </c>
      <c r="X5" s="3" t="s">
        <v>126</v>
      </c>
      <c r="AB5" s="3" t="s">
        <v>127</v>
      </c>
      <c r="AC5" s="7">
        <f>T8+Z8</f>
        <v>1500.51918</v>
      </c>
      <c r="AG5" s="3" t="s">
        <v>128</v>
      </c>
      <c r="AH5" s="7">
        <f>AH10*28.01</f>
        <v>420.1426433</v>
      </c>
      <c r="AJ5" s="3" t="s">
        <v>49</v>
      </c>
      <c r="AK5" s="7">
        <f>AH12-Z8</f>
        <v>14.45429236</v>
      </c>
      <c r="AL5" s="3" t="s">
        <v>123</v>
      </c>
      <c r="AM5" s="3" t="s">
        <v>129</v>
      </c>
    </row>
    <row r="6">
      <c r="A6" s="3" t="s">
        <v>77</v>
      </c>
      <c r="B6" s="3">
        <v>100.0</v>
      </c>
      <c r="C6" s="3" t="s">
        <v>32</v>
      </c>
      <c r="D6" s="3" t="s">
        <v>77</v>
      </c>
      <c r="F6" s="3" t="s">
        <v>32</v>
      </c>
      <c r="G6" s="3" t="s">
        <v>77</v>
      </c>
      <c r="H6" s="7">
        <f t="shared" si="1"/>
        <v>100</v>
      </c>
      <c r="I6" s="3" t="s">
        <v>32</v>
      </c>
      <c r="J6" s="3" t="s">
        <v>49</v>
      </c>
      <c r="K6" s="7">
        <f>46.07*K10</f>
        <v>119078.1046</v>
      </c>
      <c r="L6" s="3" t="s">
        <v>120</v>
      </c>
      <c r="M6" s="3" t="s">
        <v>89</v>
      </c>
      <c r="N6" s="7">
        <f>N5+N4</f>
        <v>69151.89726</v>
      </c>
      <c r="O6" s="3" t="s">
        <v>120</v>
      </c>
      <c r="P6" s="3" t="s">
        <v>50</v>
      </c>
      <c r="S6" s="3" t="s">
        <v>89</v>
      </c>
      <c r="T6" s="7">
        <f t="shared" ref="T6:T9" si="2">N6</f>
        <v>69151.89726</v>
      </c>
      <c r="U6" s="3" t="s">
        <v>120</v>
      </c>
      <c r="Y6" s="3" t="s">
        <v>85</v>
      </c>
      <c r="Z6" s="7">
        <f>0.4*AH9</f>
        <v>19.2429063</v>
      </c>
      <c r="AB6" s="3" t="s">
        <v>93</v>
      </c>
      <c r="AC6" s="7">
        <f>W5+Z7</f>
        <v>1514.973473</v>
      </c>
      <c r="AG6" s="3" t="s">
        <v>130</v>
      </c>
      <c r="AH6" s="7">
        <f>74.07*AH11</f>
        <v>109992.024</v>
      </c>
      <c r="AJ6" s="3" t="s">
        <v>19</v>
      </c>
      <c r="AK6" s="7">
        <f>0.94*AK2</f>
        <v>27.13249788</v>
      </c>
      <c r="AL6" s="3" t="s">
        <v>123</v>
      </c>
      <c r="AM6" s="3" t="s">
        <v>49</v>
      </c>
      <c r="AN6" s="3">
        <v>0.3333</v>
      </c>
      <c r="AO6" s="7">
        <f>AN6/AN7</f>
        <v>144.9130435</v>
      </c>
    </row>
    <row r="7">
      <c r="A7" s="3" t="s">
        <v>85</v>
      </c>
      <c r="B7" s="7">
        <f>B4*1000/32.04</f>
        <v>3117.977528</v>
      </c>
      <c r="C7" s="3" t="s">
        <v>126</v>
      </c>
      <c r="D7" s="3" t="s">
        <v>85</v>
      </c>
      <c r="F7" s="3" t="s">
        <v>126</v>
      </c>
      <c r="G7" s="3" t="s">
        <v>85</v>
      </c>
      <c r="H7" s="7">
        <f t="shared" si="1"/>
        <v>3117.977528</v>
      </c>
      <c r="I7" s="3" t="s">
        <v>126</v>
      </c>
      <c r="J7" s="3" t="s">
        <v>89</v>
      </c>
      <c r="K7" s="7">
        <f>K6+K4+K5</f>
        <v>145872.9176</v>
      </c>
      <c r="L7" s="3" t="s">
        <v>120</v>
      </c>
      <c r="M7" s="3" t="s">
        <v>85</v>
      </c>
      <c r="N7" s="7">
        <f>N9*N11</f>
        <v>1.501475211</v>
      </c>
      <c r="O7" s="3" t="s">
        <v>126</v>
      </c>
      <c r="P7" s="3" t="s">
        <v>89</v>
      </c>
      <c r="S7" s="3" t="s">
        <v>85</v>
      </c>
      <c r="T7" s="7">
        <f t="shared" si="2"/>
        <v>1.501475211</v>
      </c>
      <c r="U7" s="3" t="s">
        <v>126</v>
      </c>
      <c r="Y7" s="3" t="s">
        <v>93</v>
      </c>
      <c r="Z7" s="7">
        <f>AH10</f>
        <v>14.99973735</v>
      </c>
      <c r="AG7" s="3" t="s">
        <v>131</v>
      </c>
      <c r="AH7" s="7">
        <f>46.07*AH12</f>
        <v>691.0378999</v>
      </c>
      <c r="AJ7" s="3" t="s">
        <v>7</v>
      </c>
      <c r="AK7" s="7">
        <f>AK5/AO8</f>
        <v>1.934177735</v>
      </c>
      <c r="AL7" s="3" t="s">
        <v>123</v>
      </c>
      <c r="AM7" s="3" t="s">
        <v>19</v>
      </c>
      <c r="AN7" s="3">
        <v>0.0023</v>
      </c>
    </row>
    <row r="8">
      <c r="A8" s="3" t="s">
        <v>91</v>
      </c>
      <c r="B8" s="7">
        <f>B5*1000/18.02</f>
        <v>5.549389567</v>
      </c>
      <c r="C8" s="3" t="s">
        <v>126</v>
      </c>
      <c r="D8" s="3" t="s">
        <v>91</v>
      </c>
      <c r="F8" s="3" t="s">
        <v>126</v>
      </c>
      <c r="G8" s="3" t="s">
        <v>91</v>
      </c>
      <c r="H8" s="7">
        <f t="shared" si="1"/>
        <v>5.549389567</v>
      </c>
      <c r="I8" s="3" t="s">
        <v>126</v>
      </c>
      <c r="J8" s="3" t="s">
        <v>85</v>
      </c>
      <c r="K8" s="7">
        <f>(1-E27)*H7</f>
        <v>533.2563522</v>
      </c>
      <c r="L8" s="3" t="s">
        <v>126</v>
      </c>
      <c r="M8" s="3" t="s">
        <v>127</v>
      </c>
      <c r="N8" s="7">
        <f>N9*N10</f>
        <v>1499.973735</v>
      </c>
      <c r="O8" s="3" t="s">
        <v>126</v>
      </c>
      <c r="P8" s="3" t="s">
        <v>85</v>
      </c>
      <c r="S8" s="3" t="s">
        <v>127</v>
      </c>
      <c r="T8" s="7">
        <f t="shared" si="2"/>
        <v>1499.973735</v>
      </c>
      <c r="U8" s="3" t="s">
        <v>126</v>
      </c>
      <c r="Y8" s="3" t="s">
        <v>49</v>
      </c>
      <c r="Z8" s="7">
        <f>Z7/27.5</f>
        <v>0.5454449947</v>
      </c>
      <c r="AG8" s="3" t="s">
        <v>77</v>
      </c>
      <c r="AH8" s="7">
        <f>AH7+AH6+AH5+AH4</f>
        <v>112644.5614</v>
      </c>
      <c r="AM8" s="3" t="s">
        <v>86</v>
      </c>
      <c r="AN8" s="3">
        <v>0.0446</v>
      </c>
      <c r="AO8" s="7">
        <f>AN6/AN8</f>
        <v>7.47309417</v>
      </c>
    </row>
    <row r="9">
      <c r="A9" s="3" t="s">
        <v>95</v>
      </c>
      <c r="B9" s="7">
        <f>B8+B7</f>
        <v>3123.526918</v>
      </c>
      <c r="C9" s="3" t="s">
        <v>126</v>
      </c>
      <c r="D9" s="3" t="s">
        <v>95</v>
      </c>
      <c r="F9" s="3" t="s">
        <v>126</v>
      </c>
      <c r="G9" s="3" t="s">
        <v>95</v>
      </c>
      <c r="H9" s="7">
        <f t="shared" si="1"/>
        <v>3123.526918</v>
      </c>
      <c r="I9" s="3" t="s">
        <v>126</v>
      </c>
      <c r="J9" s="3" t="s">
        <v>91</v>
      </c>
      <c r="K9" s="7">
        <f>H8+(1-E27)*H7</f>
        <v>538.8057418</v>
      </c>
      <c r="L9" s="3" t="s">
        <v>126</v>
      </c>
      <c r="M9" s="3" t="s">
        <v>95</v>
      </c>
      <c r="N9" s="3">
        <f>K11*0.4106</f>
        <v>1501.475211</v>
      </c>
      <c r="O9" s="3" t="s">
        <v>126</v>
      </c>
      <c r="P9" s="3" t="s">
        <v>127</v>
      </c>
      <c r="S9" s="3" t="s">
        <v>95</v>
      </c>
      <c r="T9" s="3">
        <f t="shared" si="2"/>
        <v>1501.475211</v>
      </c>
      <c r="U9" s="3" t="s">
        <v>126</v>
      </c>
      <c r="AG9" s="3" t="s">
        <v>19</v>
      </c>
      <c r="AH9" s="7">
        <f>T4</f>
        <v>48.10726575</v>
      </c>
      <c r="AI9" s="7">
        <f>AC4</f>
        <v>20.74438151</v>
      </c>
    </row>
    <row r="10">
      <c r="A10" s="3" t="s">
        <v>96</v>
      </c>
      <c r="B10" s="7">
        <f>B7/B9</f>
        <v>0.9982233579</v>
      </c>
      <c r="D10" s="3" t="s">
        <v>96</v>
      </c>
      <c r="G10" s="3" t="s">
        <v>96</v>
      </c>
      <c r="H10" s="7">
        <f t="shared" si="1"/>
        <v>0.9982233579</v>
      </c>
      <c r="J10" s="3" t="s">
        <v>127</v>
      </c>
      <c r="K10" s="7">
        <f>E27*H7</f>
        <v>2584.721176</v>
      </c>
      <c r="L10" s="3" t="s">
        <v>126</v>
      </c>
      <c r="M10" s="3" t="s">
        <v>132</v>
      </c>
      <c r="N10" s="7">
        <f>0.999</f>
        <v>0.999</v>
      </c>
      <c r="P10" s="3" t="s">
        <v>91</v>
      </c>
      <c r="S10" s="3" t="s">
        <v>132</v>
      </c>
      <c r="T10" s="7">
        <f>0.999</f>
        <v>0.999</v>
      </c>
      <c r="AG10" s="3" t="s">
        <v>21</v>
      </c>
      <c r="AH10" s="7">
        <f>(1-0.99)*W5</f>
        <v>14.99973735</v>
      </c>
      <c r="AI10" s="7">
        <f>AC6-0.99*AC5</f>
        <v>29.45948416</v>
      </c>
    </row>
    <row r="11">
      <c r="A11" s="3" t="s">
        <v>133</v>
      </c>
      <c r="B11" s="7">
        <f>B8/B9</f>
        <v>0.001776642146</v>
      </c>
      <c r="D11" s="3" t="s">
        <v>133</v>
      </c>
      <c r="G11" s="3" t="s">
        <v>133</v>
      </c>
      <c r="H11" s="7">
        <f t="shared" si="1"/>
        <v>0.001776642146</v>
      </c>
      <c r="J11" s="3" t="s">
        <v>95</v>
      </c>
      <c r="K11" s="7">
        <f>K10+K9+K8</f>
        <v>3656.78327</v>
      </c>
      <c r="L11" s="3" t="s">
        <v>126</v>
      </c>
      <c r="M11" s="3" t="s">
        <v>96</v>
      </c>
      <c r="N11" s="7">
        <f>0.001</f>
        <v>0.001</v>
      </c>
      <c r="P11" s="3" t="s">
        <v>95</v>
      </c>
      <c r="Q11" s="3">
        <v>1070.546404</v>
      </c>
      <c r="S11" s="3" t="s">
        <v>96</v>
      </c>
      <c r="T11" s="7">
        <f>0.001</f>
        <v>0.001</v>
      </c>
      <c r="AG11" s="3" t="s">
        <v>7</v>
      </c>
      <c r="AH11" s="7">
        <f>0.99*T8</f>
        <v>1484.973998</v>
      </c>
      <c r="AI11" s="7">
        <f>0.99*AC5</f>
        <v>1485.513989</v>
      </c>
    </row>
    <row r="12">
      <c r="J12" s="3" t="s">
        <v>96</v>
      </c>
      <c r="K12" s="7">
        <f>K8/K11</f>
        <v>0.1458266222</v>
      </c>
      <c r="P12" s="3" t="s">
        <v>132</v>
      </c>
      <c r="Q12" s="3">
        <v>0.001</v>
      </c>
      <c r="AG12" s="3" t="s">
        <v>49</v>
      </c>
      <c r="AH12" s="7">
        <f>(1-0.99)*T8</f>
        <v>14.99973735</v>
      </c>
      <c r="AI12" s="7">
        <f>(1-0.99)*AC5</f>
        <v>15.0051918</v>
      </c>
    </row>
    <row r="13">
      <c r="A13" s="3">
        <f>249.7*1000*8000</f>
        <v>1997600000</v>
      </c>
      <c r="B13" s="7">
        <f>A13/'Douglas 1'!H2</f>
        <v>0.8699754281</v>
      </c>
      <c r="J13" s="3" t="s">
        <v>90</v>
      </c>
      <c r="K13" s="7">
        <f>K9/K11</f>
        <v>0.1473441826</v>
      </c>
      <c r="P13" s="3" t="s">
        <v>96</v>
      </c>
      <c r="Q13" s="3">
        <v>0.2868</v>
      </c>
      <c r="AG13" s="3" t="s">
        <v>95</v>
      </c>
      <c r="AH13" s="7">
        <f t="shared" ref="AH13:AI13" si="3">AH12+AH11+AH10+AH9</f>
        <v>1563.080739</v>
      </c>
      <c r="AI13" s="7">
        <f t="shared" si="3"/>
        <v>1550.723046</v>
      </c>
      <c r="AM13" s="3" t="s">
        <v>113</v>
      </c>
    </row>
    <row r="14">
      <c r="J14" s="3" t="s">
        <v>132</v>
      </c>
      <c r="K14" s="7">
        <f>K10/K11</f>
        <v>0.7068291952</v>
      </c>
      <c r="P14" s="3" t="s">
        <v>90</v>
      </c>
      <c r="Q14" s="7">
        <f>Q13+Q12</f>
        <v>0.2878</v>
      </c>
      <c r="AL14" s="3" t="s">
        <v>7</v>
      </c>
      <c r="AM14" s="7">
        <f>AH11-AK7</f>
        <v>1483.03982</v>
      </c>
      <c r="AN14" s="3" t="s">
        <v>76</v>
      </c>
    </row>
    <row r="15">
      <c r="A15" s="3" t="s">
        <v>134</v>
      </c>
      <c r="C15" s="3" t="s">
        <v>116</v>
      </c>
      <c r="AL15" s="3" t="s">
        <v>19</v>
      </c>
      <c r="AM15" s="7">
        <f>AK2-AK6</f>
        <v>1.731861567</v>
      </c>
      <c r="AN15" s="3" t="s">
        <v>135</v>
      </c>
    </row>
    <row r="16">
      <c r="A16" s="3">
        <v>500.0</v>
      </c>
      <c r="B16" s="3" t="s">
        <v>76</v>
      </c>
      <c r="C16" s="3">
        <v>102.67</v>
      </c>
      <c r="D16" s="3" t="s">
        <v>76</v>
      </c>
      <c r="W16" s="3" t="s">
        <v>136</v>
      </c>
      <c r="X16" s="3">
        <v>278.5</v>
      </c>
      <c r="Y16" s="3" t="s">
        <v>116</v>
      </c>
      <c r="AL16" s="3" t="s">
        <v>77</v>
      </c>
      <c r="AM16" s="7">
        <f>AM15+AM14</f>
        <v>1484.771682</v>
      </c>
      <c r="AN16" s="7">
        <f>AM14/AM16</f>
        <v>0.9988335839</v>
      </c>
    </row>
    <row r="17">
      <c r="A17" s="3">
        <v>0.99</v>
      </c>
      <c r="B17" s="3" t="s">
        <v>19</v>
      </c>
      <c r="C17" s="3">
        <v>3.0E-4</v>
      </c>
      <c r="D17" s="3" t="s">
        <v>49</v>
      </c>
      <c r="W17" s="3" t="s">
        <v>137</v>
      </c>
      <c r="X17" s="7">
        <f>(X16-Z20)/X16</f>
        <v>0.8934364452</v>
      </c>
      <c r="Y17" s="3" t="s">
        <v>138</v>
      </c>
      <c r="Z17" s="7">
        <f>0.0023*52.39</f>
        <v>0.120497</v>
      </c>
    </row>
    <row r="18">
      <c r="A18" s="3">
        <v>0.01</v>
      </c>
      <c r="B18" s="3" t="s">
        <v>50</v>
      </c>
      <c r="C18" s="3">
        <v>0.9897</v>
      </c>
      <c r="D18" s="3" t="s">
        <v>19</v>
      </c>
      <c r="Y18" s="3" t="s">
        <v>139</v>
      </c>
      <c r="Z18" s="7">
        <f>0.6198*52.39+0.5524*566.3</f>
        <v>345.295442</v>
      </c>
    </row>
    <row r="19">
      <c r="C19" s="3">
        <v>0.01</v>
      </c>
      <c r="D19" s="3" t="s">
        <v>50</v>
      </c>
      <c r="Y19" s="3" t="s">
        <v>140</v>
      </c>
      <c r="Z19" s="7">
        <f>0.0446*52.39+0.0259*566.3</f>
        <v>17.003764</v>
      </c>
      <c r="AL19" s="3" t="s">
        <v>7</v>
      </c>
      <c r="AM19" s="7">
        <f>'Mass Balance'!B11</f>
        <v>287.0196007</v>
      </c>
      <c r="AN19" s="3" t="s">
        <v>76</v>
      </c>
    </row>
    <row r="20">
      <c r="Y20" s="3" t="s">
        <v>141</v>
      </c>
      <c r="Z20" s="7">
        <f>566.3*0.0216+52.39*0.333</f>
        <v>29.67795</v>
      </c>
      <c r="AL20" s="3" t="s">
        <v>19</v>
      </c>
      <c r="AM20" s="7">
        <f>0.001*AM19</f>
        <v>0.2870196007</v>
      </c>
      <c r="AN20" s="3" t="s">
        <v>135</v>
      </c>
    </row>
    <row r="21">
      <c r="A21" s="3" t="s">
        <v>77</v>
      </c>
      <c r="F21" s="3" t="s">
        <v>142</v>
      </c>
      <c r="I21" s="3" t="s">
        <v>143</v>
      </c>
      <c r="Y21" s="3" t="s">
        <v>144</v>
      </c>
      <c r="Z21" s="7">
        <f>SUM(Z16:Z20)</f>
        <v>392.097653</v>
      </c>
      <c r="AL21" s="3" t="s">
        <v>77</v>
      </c>
      <c r="AM21" s="7">
        <f>AM20+AM19</f>
        <v>287.3066203</v>
      </c>
      <c r="AN21" s="3">
        <v>0.999</v>
      </c>
    </row>
    <row r="22">
      <c r="D22" s="3" t="s">
        <v>145</v>
      </c>
      <c r="F22" s="3">
        <v>247.5</v>
      </c>
      <c r="G22" s="3" t="s">
        <v>77</v>
      </c>
      <c r="I22" s="3">
        <v>355.17</v>
      </c>
      <c r="J22" s="3" t="s">
        <v>146</v>
      </c>
      <c r="AM22" s="7">
        <f>AM19/AM21</f>
        <v>0.999000999</v>
      </c>
    </row>
    <row r="23">
      <c r="A23" s="3" t="s">
        <v>19</v>
      </c>
      <c r="B23" s="7">
        <f>A17*A16+C18*C16</f>
        <v>596.612499</v>
      </c>
      <c r="D23" s="7">
        <f>B23/2</f>
        <v>298.3062495</v>
      </c>
      <c r="F23" s="3">
        <v>0.999</v>
      </c>
      <c r="G23" s="3" t="s">
        <v>49</v>
      </c>
      <c r="I23" s="3">
        <v>1.0E-4</v>
      </c>
      <c r="J23" s="3" t="s">
        <v>49</v>
      </c>
      <c r="Y23" s="3" t="s">
        <v>87</v>
      </c>
      <c r="Z23" s="7">
        <f>Z17/Z21</f>
        <v>0.0003073137497</v>
      </c>
    </row>
    <row r="24">
      <c r="A24" s="3" t="s">
        <v>50</v>
      </c>
      <c r="B24" s="7">
        <f>A18*A16+C19*C16</f>
        <v>6.0267</v>
      </c>
      <c r="D24" s="7">
        <f>B23/2</f>
        <v>298.3062495</v>
      </c>
      <c r="F24" s="3">
        <v>0.001</v>
      </c>
      <c r="G24" s="3" t="s">
        <v>19</v>
      </c>
      <c r="I24" s="3">
        <v>0.2868</v>
      </c>
      <c r="J24" s="3" t="s">
        <v>19</v>
      </c>
      <c r="Y24" s="3" t="s">
        <v>102</v>
      </c>
      <c r="Z24" s="7">
        <f>Z18/Z21</f>
        <v>0.8806363398</v>
      </c>
    </row>
    <row r="25">
      <c r="A25" s="3" t="s">
        <v>49</v>
      </c>
      <c r="B25" s="7">
        <f>C17*C16</f>
        <v>0.030801</v>
      </c>
      <c r="I25" s="3">
        <v>0.7131</v>
      </c>
      <c r="J25" s="3" t="s">
        <v>50</v>
      </c>
      <c r="Y25" s="3" t="s">
        <v>132</v>
      </c>
      <c r="Z25" s="7">
        <f>Z20/Z21</f>
        <v>0.07569020057</v>
      </c>
    </row>
    <row r="26">
      <c r="A26" s="3" t="s">
        <v>147</v>
      </c>
      <c r="B26" s="7">
        <f>B25+B23+B24</f>
        <v>602.67</v>
      </c>
      <c r="F26" s="3" t="s">
        <v>148</v>
      </c>
      <c r="Y26" s="3" t="s">
        <v>104</v>
      </c>
      <c r="Z26" s="7">
        <f>Z19/Z21</f>
        <v>0.04336614583</v>
      </c>
    </row>
    <row r="27">
      <c r="A27" s="3" t="s">
        <v>87</v>
      </c>
      <c r="B27" s="7">
        <f>B23/B26</f>
        <v>0.9899488924</v>
      </c>
      <c r="E27" s="7">
        <f>F27/D23</f>
        <v>0.8289736384</v>
      </c>
      <c r="F27" s="7">
        <f>F23*F22+I23*I22</f>
        <v>247.288017</v>
      </c>
    </row>
    <row r="28">
      <c r="A28" s="3" t="s">
        <v>90</v>
      </c>
      <c r="B28" s="7">
        <f>B24/B26</f>
        <v>0.01</v>
      </c>
    </row>
    <row r="29">
      <c r="A29" s="3" t="s">
        <v>132</v>
      </c>
      <c r="B29" s="7">
        <f>B25/B26</f>
        <v>0.00005110757131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5.25"/>
    <col customWidth="1" min="4" max="4" width="16.38"/>
    <col customWidth="1" min="6" max="6" width="16.38"/>
    <col customWidth="1" min="10" max="10" width="16.38"/>
    <col customWidth="1" min="13" max="13" width="16.38"/>
    <col customWidth="1" min="16" max="16" width="16.38"/>
    <col customWidth="1" min="23" max="23" width="14.75"/>
    <col customWidth="1" min="25" max="25" width="16.88"/>
    <col customWidth="1" min="28" max="28" width="16.38"/>
    <col customWidth="1" min="37" max="37" width="14.25"/>
  </cols>
  <sheetData>
    <row r="2">
      <c r="G2" s="12" t="s">
        <v>149</v>
      </c>
      <c r="M2" s="3" t="s">
        <v>150</v>
      </c>
      <c r="AC2" s="12" t="s">
        <v>151</v>
      </c>
      <c r="AK2" s="3" t="s">
        <v>108</v>
      </c>
      <c r="AL2" s="7">
        <f>AI9-Z6</f>
        <v>0</v>
      </c>
    </row>
    <row r="3">
      <c r="A3" s="3" t="s">
        <v>109</v>
      </c>
      <c r="D3" s="3" t="s">
        <v>110</v>
      </c>
      <c r="G3" s="3" t="s">
        <v>72</v>
      </c>
      <c r="J3" s="3" t="s">
        <v>111</v>
      </c>
      <c r="M3" s="3" t="s">
        <v>112</v>
      </c>
      <c r="P3" s="3" t="s">
        <v>113</v>
      </c>
      <c r="S3" s="3" t="s">
        <v>114</v>
      </c>
      <c r="V3" s="3" t="s">
        <v>115</v>
      </c>
      <c r="Y3" s="3" t="s">
        <v>116</v>
      </c>
      <c r="AB3" s="3" t="s">
        <v>117</v>
      </c>
      <c r="AE3" s="3" t="s">
        <v>111</v>
      </c>
      <c r="AG3" s="3"/>
      <c r="AH3" s="19"/>
      <c r="AI3" s="20"/>
      <c r="AK3" s="12" t="s">
        <v>118</v>
      </c>
    </row>
    <row r="4">
      <c r="A4" s="3" t="s">
        <v>119</v>
      </c>
      <c r="B4" s="7">
        <f>B7*32.04</f>
        <v>9312.655567</v>
      </c>
      <c r="C4" s="3" t="s">
        <v>32</v>
      </c>
      <c r="D4" s="3" t="s">
        <v>119</v>
      </c>
      <c r="F4" s="3" t="s">
        <v>32</v>
      </c>
      <c r="G4" s="3" t="s">
        <v>119</v>
      </c>
      <c r="H4" s="7">
        <f t="shared" ref="H4:H6" si="1">B4+E4</f>
        <v>9312.655567</v>
      </c>
      <c r="I4" s="3" t="s">
        <v>32</v>
      </c>
      <c r="J4" s="3" t="s">
        <v>119</v>
      </c>
      <c r="K4" s="7">
        <f>K8*32.04</f>
        <v>1918.985556</v>
      </c>
      <c r="L4" s="3" t="s">
        <v>120</v>
      </c>
      <c r="M4" s="3" t="s">
        <v>49</v>
      </c>
      <c r="N4" s="7">
        <f>46.07*N8</f>
        <v>13368.89311</v>
      </c>
      <c r="O4" s="3" t="s">
        <v>120</v>
      </c>
      <c r="P4" s="3" t="s">
        <v>49</v>
      </c>
      <c r="S4" s="3" t="s">
        <v>19</v>
      </c>
      <c r="T4" s="7">
        <f>N5</f>
        <v>9.30688308</v>
      </c>
      <c r="U4" s="3" t="s">
        <v>120</v>
      </c>
      <c r="V4" s="3" t="s">
        <v>21</v>
      </c>
      <c r="W4" s="7">
        <f>W5*28.02</f>
        <v>7455.930515</v>
      </c>
      <c r="Y4" s="3" t="s">
        <v>121</v>
      </c>
      <c r="Z4" s="7">
        <f>Z7+Z8</f>
        <v>352.8733005</v>
      </c>
      <c r="AB4" s="3" t="s">
        <v>85</v>
      </c>
      <c r="AC4" s="7">
        <f>AC9*AC10</f>
        <v>0.910031348</v>
      </c>
      <c r="AE4" s="3" t="s">
        <v>85</v>
      </c>
      <c r="AF4" s="7">
        <f>AC4</f>
        <v>0.910031348</v>
      </c>
      <c r="AG4" s="3"/>
      <c r="AH4" s="19"/>
      <c r="AI4" s="20"/>
      <c r="AK4" s="3" t="s">
        <v>112</v>
      </c>
      <c r="AL4" s="7">
        <f>AL5+AL6+AL7</f>
        <v>3.263391936</v>
      </c>
      <c r="AM4" s="3" t="s">
        <v>123</v>
      </c>
    </row>
    <row r="5">
      <c r="A5" s="3" t="s">
        <v>124</v>
      </c>
      <c r="B5" s="7">
        <f>B8*18.02</f>
        <v>9.321977543</v>
      </c>
      <c r="C5" s="3" t="s">
        <v>32</v>
      </c>
      <c r="D5" s="3" t="s">
        <v>124</v>
      </c>
      <c r="F5" s="3" t="s">
        <v>32</v>
      </c>
      <c r="G5" s="3" t="s">
        <v>124</v>
      </c>
      <c r="H5" s="7">
        <f t="shared" si="1"/>
        <v>9.321977543</v>
      </c>
      <c r="I5" s="3" t="s">
        <v>32</v>
      </c>
      <c r="J5" s="3" t="s">
        <v>124</v>
      </c>
      <c r="K5" s="7">
        <f>K9*18.02</f>
        <v>1090.511282</v>
      </c>
      <c r="L5" s="3" t="s">
        <v>120</v>
      </c>
      <c r="M5" s="3" t="s">
        <v>19</v>
      </c>
      <c r="N5" s="7">
        <f>N7*32.04</f>
        <v>9.30688308</v>
      </c>
      <c r="O5" s="3" t="s">
        <v>120</v>
      </c>
      <c r="P5" s="3" t="s">
        <v>19</v>
      </c>
      <c r="R5" s="3" t="s">
        <v>125</v>
      </c>
      <c r="S5" s="3" t="s">
        <v>49</v>
      </c>
      <c r="T5" s="7">
        <f>N4</f>
        <v>13368.89311</v>
      </c>
      <c r="U5" s="3" t="s">
        <v>120</v>
      </c>
      <c r="V5" s="3" t="s">
        <v>93</v>
      </c>
      <c r="W5" s="7">
        <f>AC6-Z7</f>
        <v>266.0931661</v>
      </c>
      <c r="X5" s="3" t="s">
        <v>126</v>
      </c>
      <c r="AB5" s="3" t="s">
        <v>127</v>
      </c>
      <c r="AC5" s="12">
        <v>290.3</v>
      </c>
      <c r="AD5" s="7">
        <f>AC5</f>
        <v>290.3</v>
      </c>
      <c r="AE5" s="3" t="s">
        <v>93</v>
      </c>
      <c r="AF5" s="7">
        <f>(AC6-0.99*AC5)</f>
        <v>331.4243166</v>
      </c>
      <c r="AG5" s="3"/>
      <c r="AH5" s="19"/>
      <c r="AI5" s="20"/>
      <c r="AK5" s="3" t="s">
        <v>49</v>
      </c>
      <c r="AL5" s="7">
        <f>0.95*AF7</f>
        <v>2.75785</v>
      </c>
      <c r="AM5" s="3" t="s">
        <v>123</v>
      </c>
      <c r="AN5" s="3" t="s">
        <v>152</v>
      </c>
    </row>
    <row r="6">
      <c r="A6" s="3" t="s">
        <v>77</v>
      </c>
      <c r="B6" s="3">
        <v>100.0</v>
      </c>
      <c r="C6" s="3" t="s">
        <v>32</v>
      </c>
      <c r="D6" s="3" t="s">
        <v>77</v>
      </c>
      <c r="F6" s="3" t="s">
        <v>32</v>
      </c>
      <c r="G6" s="3" t="s">
        <v>77</v>
      </c>
      <c r="H6" s="7">
        <f t="shared" si="1"/>
        <v>100</v>
      </c>
      <c r="I6" s="3" t="s">
        <v>32</v>
      </c>
      <c r="J6" s="3" t="s">
        <v>49</v>
      </c>
      <c r="K6" s="7">
        <f>46.07*K10</f>
        <v>13374.4236</v>
      </c>
      <c r="L6" s="3" t="s">
        <v>120</v>
      </c>
      <c r="M6" s="3" t="s">
        <v>89</v>
      </c>
      <c r="N6" s="7">
        <f>N5+N4</f>
        <v>13378.2</v>
      </c>
      <c r="O6" s="3" t="s">
        <v>120</v>
      </c>
      <c r="P6" s="3" t="s">
        <v>50</v>
      </c>
      <c r="S6" s="3" t="s">
        <v>89</v>
      </c>
      <c r="T6" s="7">
        <f t="shared" ref="T6:T9" si="2">N6</f>
        <v>13378.2</v>
      </c>
      <c r="U6" s="3" t="s">
        <v>120</v>
      </c>
      <c r="AB6" s="3" t="s">
        <v>93</v>
      </c>
      <c r="AC6" s="7">
        <f>0.68*AC10</f>
        <v>618.8213166</v>
      </c>
      <c r="AE6" s="3" t="s">
        <v>153</v>
      </c>
      <c r="AF6" s="7">
        <f>0.99*AC5</f>
        <v>287.397</v>
      </c>
      <c r="AG6" s="3"/>
      <c r="AH6" s="19"/>
      <c r="AI6" s="20"/>
      <c r="AK6" s="3" t="s">
        <v>19</v>
      </c>
      <c r="AL6" s="7">
        <f>0.15*AF4</f>
        <v>0.1365047022</v>
      </c>
      <c r="AM6" s="3" t="s">
        <v>123</v>
      </c>
      <c r="AN6" s="3" t="s">
        <v>49</v>
      </c>
      <c r="AO6" s="3">
        <v>0.3333</v>
      </c>
      <c r="AP6" s="7">
        <f>AO6/AO7</f>
        <v>144.9130435</v>
      </c>
    </row>
    <row r="7">
      <c r="A7" s="3" t="s">
        <v>85</v>
      </c>
      <c r="B7" s="7">
        <f>H7-E7</f>
        <v>290.657165</v>
      </c>
      <c r="C7" s="3" t="s">
        <v>126</v>
      </c>
      <c r="D7" s="3" t="s">
        <v>85</v>
      </c>
      <c r="E7" s="7">
        <f>Q25</f>
        <v>59.54283498</v>
      </c>
      <c r="F7" s="3" t="s">
        <v>126</v>
      </c>
      <c r="G7" s="3" t="s">
        <v>85</v>
      </c>
      <c r="H7" s="12">
        <v>350.2</v>
      </c>
      <c r="I7" s="3" t="s">
        <v>126</v>
      </c>
      <c r="J7" s="3" t="s">
        <v>89</v>
      </c>
      <c r="K7" s="7">
        <f>K6+K4+K5</f>
        <v>16383.92043</v>
      </c>
      <c r="L7" s="3" t="s">
        <v>120</v>
      </c>
      <c r="M7" s="3" t="s">
        <v>85</v>
      </c>
      <c r="N7" s="7">
        <f>N9*N11</f>
        <v>0.290477</v>
      </c>
      <c r="O7" s="3" t="s">
        <v>126</v>
      </c>
      <c r="P7" s="3" t="s">
        <v>89</v>
      </c>
      <c r="S7" s="3" t="s">
        <v>85</v>
      </c>
      <c r="T7" s="7">
        <f t="shared" si="2"/>
        <v>0.290477</v>
      </c>
      <c r="U7" s="3" t="s">
        <v>126</v>
      </c>
      <c r="Y7" s="3" t="s">
        <v>93</v>
      </c>
      <c r="Z7" s="21">
        <f>0.57*AC6</f>
        <v>352.7281505</v>
      </c>
      <c r="AB7" s="3" t="s">
        <v>154</v>
      </c>
      <c r="AC7" s="3">
        <v>0.68</v>
      </c>
      <c r="AE7" s="3" t="s">
        <v>127</v>
      </c>
      <c r="AF7" s="7">
        <f>0.01*AC5</f>
        <v>2.903</v>
      </c>
      <c r="AG7" s="3"/>
      <c r="AH7" s="19"/>
      <c r="AI7" s="20"/>
      <c r="AK7" s="3" t="s">
        <v>7</v>
      </c>
      <c r="AL7" s="7">
        <f>AL5/AP8</f>
        <v>0.3690372337</v>
      </c>
      <c r="AM7" s="3" t="s">
        <v>123</v>
      </c>
      <c r="AN7" s="3" t="s">
        <v>19</v>
      </c>
      <c r="AO7" s="3">
        <v>0.0023</v>
      </c>
    </row>
    <row r="8">
      <c r="A8" s="3" t="s">
        <v>91</v>
      </c>
      <c r="B8" s="7">
        <f>B9*B11</f>
        <v>0.5173128492</v>
      </c>
      <c r="C8" s="3" t="s">
        <v>126</v>
      </c>
      <c r="D8" s="3" t="s">
        <v>91</v>
      </c>
      <c r="E8" s="3">
        <f>H8-B8</f>
        <v>0.1059746432</v>
      </c>
      <c r="F8" s="3" t="s">
        <v>126</v>
      </c>
      <c r="G8" s="3" t="s">
        <v>91</v>
      </c>
      <c r="H8" s="3">
        <f>H11*H9</f>
        <v>0.6232874924</v>
      </c>
      <c r="I8" s="3" t="s">
        <v>126</v>
      </c>
      <c r="J8" s="3" t="s">
        <v>85</v>
      </c>
      <c r="K8" s="7">
        <f>(1-E27)*H7</f>
        <v>59.89343184</v>
      </c>
      <c r="L8" s="3" t="s">
        <v>126</v>
      </c>
      <c r="M8" s="3" t="s">
        <v>127</v>
      </c>
      <c r="N8" s="7">
        <f>N9*N10</f>
        <v>290.186523</v>
      </c>
      <c r="O8" s="3" t="s">
        <v>126</v>
      </c>
      <c r="P8" s="3" t="s">
        <v>85</v>
      </c>
      <c r="Q8" s="7">
        <f>K8-N7</f>
        <v>59.60295484</v>
      </c>
      <c r="S8" s="3" t="s">
        <v>127</v>
      </c>
      <c r="T8" s="7">
        <f t="shared" si="2"/>
        <v>290.186523</v>
      </c>
      <c r="U8" s="3" t="s">
        <v>126</v>
      </c>
      <c r="V8" s="3" t="s">
        <v>155</v>
      </c>
      <c r="Y8" s="3" t="s">
        <v>49</v>
      </c>
      <c r="Z8" s="21">
        <f>AF7-AL5</f>
        <v>0.14515</v>
      </c>
      <c r="AB8" s="3" t="s">
        <v>132</v>
      </c>
      <c r="AC8" s="3">
        <v>0.319</v>
      </c>
      <c r="AE8" s="3" t="s">
        <v>156</v>
      </c>
      <c r="AF8" s="7">
        <f>AF7+AF6+AF5+AF4</f>
        <v>622.634348</v>
      </c>
      <c r="AG8" s="3"/>
      <c r="AH8" s="19"/>
      <c r="AI8" s="20"/>
      <c r="AL8" s="7">
        <f>AL5/AL4</f>
        <v>0.8450869691</v>
      </c>
      <c r="AN8" s="3" t="s">
        <v>86</v>
      </c>
      <c r="AO8" s="3">
        <v>0.0446</v>
      </c>
      <c r="AP8" s="7">
        <f>AO6/AO8</f>
        <v>7.47309417</v>
      </c>
    </row>
    <row r="9">
      <c r="A9" s="3" t="s">
        <v>95</v>
      </c>
      <c r="B9" s="7">
        <f>B7/B10</f>
        <v>291.1744779</v>
      </c>
      <c r="C9" s="3" t="s">
        <v>126</v>
      </c>
      <c r="D9" s="3" t="s">
        <v>127</v>
      </c>
      <c r="E9" s="3">
        <v>0.0</v>
      </c>
      <c r="F9" s="3" t="s">
        <v>126</v>
      </c>
      <c r="G9" s="3" t="s">
        <v>95</v>
      </c>
      <c r="H9" s="3">
        <f>H7/H10</f>
        <v>350.8232875</v>
      </c>
      <c r="I9" s="3" t="s">
        <v>126</v>
      </c>
      <c r="J9" s="3" t="s">
        <v>91</v>
      </c>
      <c r="K9" s="7">
        <f>H8+(1-E27)*H7</f>
        <v>60.51671933</v>
      </c>
      <c r="L9" s="3" t="s">
        <v>126</v>
      </c>
      <c r="M9" s="3" t="s">
        <v>95</v>
      </c>
      <c r="N9" s="12">
        <v>290.477</v>
      </c>
      <c r="O9" s="3" t="s">
        <v>126</v>
      </c>
      <c r="P9" s="3" t="s">
        <v>127</v>
      </c>
      <c r="Q9" s="7">
        <f>K10-N8</f>
        <v>0.1200451613</v>
      </c>
      <c r="S9" s="3" t="s">
        <v>95</v>
      </c>
      <c r="T9" s="3">
        <f t="shared" si="2"/>
        <v>290.477</v>
      </c>
      <c r="U9" s="3" t="s">
        <v>126</v>
      </c>
      <c r="V9" s="3" t="s">
        <v>19</v>
      </c>
      <c r="W9" s="7">
        <f>W13*W11</f>
        <v>0.2904452953</v>
      </c>
      <c r="Z9" s="7">
        <f>Z7/Z4</f>
        <v>0.9995886626</v>
      </c>
      <c r="AB9" s="3" t="s">
        <v>96</v>
      </c>
      <c r="AC9" s="3">
        <v>0.001</v>
      </c>
      <c r="AG9" s="3"/>
      <c r="AH9" s="19"/>
      <c r="AI9" s="20"/>
      <c r="AL9" s="7">
        <f t="shared" ref="AL9:AL10" si="3">AL6/AL4</f>
        <v>0.04182908608</v>
      </c>
    </row>
    <row r="10">
      <c r="A10" s="3" t="s">
        <v>96</v>
      </c>
      <c r="B10" s="3">
        <v>0.9982233579</v>
      </c>
      <c r="D10" s="3" t="s">
        <v>95</v>
      </c>
      <c r="E10" s="7">
        <f>SUM(E6:E8)</f>
        <v>59.64880962</v>
      </c>
      <c r="G10" s="3" t="s">
        <v>96</v>
      </c>
      <c r="H10" s="3">
        <v>0.9982233577</v>
      </c>
      <c r="J10" s="3" t="s">
        <v>127</v>
      </c>
      <c r="K10" s="7">
        <f>E27*H7</f>
        <v>290.3065682</v>
      </c>
      <c r="L10" s="3" t="s">
        <v>126</v>
      </c>
      <c r="M10" s="3" t="s">
        <v>132</v>
      </c>
      <c r="N10" s="7">
        <f>0.999</f>
        <v>0.999</v>
      </c>
      <c r="P10" s="3" t="s">
        <v>91</v>
      </c>
      <c r="Q10" s="3">
        <f>K9</f>
        <v>60.51671933</v>
      </c>
      <c r="S10" s="3" t="s">
        <v>132</v>
      </c>
      <c r="T10" s="7">
        <f>0.999</f>
        <v>0.999</v>
      </c>
      <c r="V10" s="3" t="s">
        <v>49</v>
      </c>
      <c r="W10" s="7">
        <f>AC5-Z8</f>
        <v>290.15485</v>
      </c>
      <c r="AB10" s="3" t="s">
        <v>77</v>
      </c>
      <c r="AC10" s="7">
        <f>AC5/AC8</f>
        <v>910.031348</v>
      </c>
      <c r="AF10" s="7">
        <f>AF5/27.5</f>
        <v>12.05179333</v>
      </c>
      <c r="AG10" s="3"/>
      <c r="AH10" s="19"/>
      <c r="AI10" s="20">
        <f>AN19+AN20+AL4</f>
        <v>290.5700122</v>
      </c>
      <c r="AL10" s="7">
        <f t="shared" si="3"/>
        <v>0.1338133813</v>
      </c>
    </row>
    <row r="11">
      <c r="A11" s="3" t="s">
        <v>133</v>
      </c>
      <c r="B11" s="3">
        <v>0.001776642146</v>
      </c>
      <c r="D11" s="3" t="s">
        <v>96</v>
      </c>
      <c r="E11" s="7">
        <f>E7/E10</f>
        <v>0.9982233569</v>
      </c>
      <c r="G11" s="3" t="s">
        <v>133</v>
      </c>
      <c r="H11" s="3">
        <v>0.0017766423</v>
      </c>
      <c r="J11" s="3" t="s">
        <v>95</v>
      </c>
      <c r="K11" s="9">
        <f>K10+K9+K8</f>
        <v>410.7167193</v>
      </c>
      <c r="L11" s="3" t="s">
        <v>126</v>
      </c>
      <c r="M11" s="3" t="s">
        <v>96</v>
      </c>
      <c r="N11" s="7">
        <f>0.001</f>
        <v>0.001</v>
      </c>
      <c r="P11" s="3" t="s">
        <v>95</v>
      </c>
      <c r="Q11" s="12">
        <f>K11-N9</f>
        <v>120.2397193</v>
      </c>
      <c r="S11" s="3" t="s">
        <v>96</v>
      </c>
      <c r="T11" s="7">
        <f>0.001</f>
        <v>0.001</v>
      </c>
      <c r="V11" s="3" t="s">
        <v>77</v>
      </c>
      <c r="W11" s="7">
        <f>W10/W12</f>
        <v>290.4452953</v>
      </c>
      <c r="AE11" s="7">
        <f>AF5/AF8</f>
        <v>0.5322936611</v>
      </c>
      <c r="AG11" s="3"/>
      <c r="AH11" s="19"/>
      <c r="AI11" s="20">
        <f>AL5/AI10</f>
        <v>0.009491172123</v>
      </c>
    </row>
    <row r="12">
      <c r="D12" s="3" t="s">
        <v>133</v>
      </c>
      <c r="J12" s="3" t="s">
        <v>96</v>
      </c>
      <c r="K12" s="7">
        <f>K8/K11</f>
        <v>0.1458266221</v>
      </c>
      <c r="P12" s="3" t="s">
        <v>132</v>
      </c>
      <c r="Q12" s="7">
        <f>Q9/Q11</f>
        <v>0.0009983819151</v>
      </c>
      <c r="V12" s="3" t="s">
        <v>157</v>
      </c>
      <c r="W12" s="3">
        <v>0.999</v>
      </c>
      <c r="Y12" s="7">
        <f>W5*8000*28.01</f>
        <v>59626156.67</v>
      </c>
      <c r="Z12" s="3" t="s">
        <v>158</v>
      </c>
      <c r="AE12" s="7">
        <f>AF6/AF8</f>
        <v>0.461582309</v>
      </c>
      <c r="AG12" s="3"/>
      <c r="AH12" s="19"/>
      <c r="AI12" s="20">
        <f>(AN20+AL6)/AI10</f>
        <v>0.001457563703</v>
      </c>
    </row>
    <row r="13">
      <c r="A13" s="3">
        <f>249.7*1000*8000</f>
        <v>1997600000</v>
      </c>
      <c r="B13" s="7">
        <f>A13/'Douglas 1'!H2</f>
        <v>0.8699754281</v>
      </c>
      <c r="F13" s="7">
        <v>0.9982233578536567</v>
      </c>
      <c r="H13" s="3">
        <v>0.9982233577</v>
      </c>
      <c r="J13" s="3" t="s">
        <v>90</v>
      </c>
      <c r="K13" s="7">
        <f>K9/K11</f>
        <v>0.1473441827</v>
      </c>
      <c r="P13" s="3" t="s">
        <v>96</v>
      </c>
      <c r="Q13" s="7">
        <f>Q8/Q11</f>
        <v>0.4957010476</v>
      </c>
      <c r="V13" s="3" t="s">
        <v>96</v>
      </c>
      <c r="W13" s="3">
        <v>0.001</v>
      </c>
      <c r="Y13" s="7">
        <f>Y12/1000</f>
        <v>59626.15667</v>
      </c>
      <c r="Z13" s="3" t="s">
        <v>159</v>
      </c>
      <c r="AE13" s="7">
        <f>AF7/AF8</f>
        <v>0.004662447566</v>
      </c>
      <c r="AG13" s="3"/>
      <c r="AH13" s="19"/>
      <c r="AI13" s="20"/>
      <c r="AN13" s="3" t="s">
        <v>113</v>
      </c>
    </row>
    <row r="14">
      <c r="F14" s="7">
        <v>0.001776642146343411</v>
      </c>
      <c r="H14" s="7">
        <f>1-H13</f>
        <v>0.0017766423</v>
      </c>
      <c r="J14" s="3" t="s">
        <v>132</v>
      </c>
      <c r="K14" s="7">
        <f>K10/K11</f>
        <v>0.7068291952</v>
      </c>
      <c r="P14" s="3" t="s">
        <v>90</v>
      </c>
      <c r="Q14" s="7">
        <f>Q10/Q11</f>
        <v>0.5033005705</v>
      </c>
      <c r="Z14" s="7">
        <f>Y13*2</f>
        <v>119252.3133</v>
      </c>
      <c r="AE14" s="7">
        <f>AF4/AF8</f>
        <v>0.001461582309</v>
      </c>
      <c r="AM14" s="3" t="s">
        <v>7</v>
      </c>
      <c r="AN14" s="7">
        <f>AF6-AL7</f>
        <v>287.0279628</v>
      </c>
      <c r="AO14" s="3" t="s">
        <v>76</v>
      </c>
    </row>
    <row r="15">
      <c r="A15" s="3" t="s">
        <v>134</v>
      </c>
      <c r="C15" s="3" t="s">
        <v>116</v>
      </c>
      <c r="AM15" s="3" t="s">
        <v>19</v>
      </c>
      <c r="AN15" s="7">
        <f>AF4-AL6-Z9</f>
        <v>-0.2260620168</v>
      </c>
      <c r="AO15" s="3" t="s">
        <v>135</v>
      </c>
    </row>
    <row r="16">
      <c r="A16" s="3">
        <v>500.0</v>
      </c>
      <c r="B16" s="3" t="s">
        <v>76</v>
      </c>
      <c r="C16" s="3">
        <v>102.67</v>
      </c>
      <c r="D16" s="3" t="s">
        <v>76</v>
      </c>
      <c r="P16" s="3" t="s">
        <v>124</v>
      </c>
      <c r="W16" s="3" t="s">
        <v>136</v>
      </c>
      <c r="X16" s="3">
        <v>278.5</v>
      </c>
      <c r="Y16" s="3" t="s">
        <v>116</v>
      </c>
      <c r="AM16" s="3" t="s">
        <v>77</v>
      </c>
      <c r="AN16" s="7">
        <f>AN15+AN14</f>
        <v>286.8019007</v>
      </c>
      <c r="AO16" s="7">
        <f>AN14/AN16</f>
        <v>1.000788217</v>
      </c>
    </row>
    <row r="17">
      <c r="A17" s="3">
        <v>0.99</v>
      </c>
      <c r="B17" s="3" t="s">
        <v>19</v>
      </c>
      <c r="C17" s="3">
        <v>3.0E-4</v>
      </c>
      <c r="D17" s="3" t="s">
        <v>49</v>
      </c>
      <c r="P17" s="3" t="s">
        <v>85</v>
      </c>
      <c r="Q17" s="7">
        <f>Q21*Q19</f>
        <v>0.06011985967</v>
      </c>
      <c r="W17" s="3" t="s">
        <v>137</v>
      </c>
      <c r="X17" s="7">
        <f>(X16-Z20)/X16</f>
        <v>0.8934364452</v>
      </c>
      <c r="Y17" s="3" t="s">
        <v>138</v>
      </c>
      <c r="Z17" s="7">
        <f>0.0023*52.39</f>
        <v>0.120497</v>
      </c>
    </row>
    <row r="18">
      <c r="A18" s="3">
        <v>0.01</v>
      </c>
      <c r="B18" s="3" t="s">
        <v>50</v>
      </c>
      <c r="C18" s="3">
        <v>0.9897</v>
      </c>
      <c r="D18" s="3" t="s">
        <v>19</v>
      </c>
      <c r="E18" s="3" t="s">
        <v>30</v>
      </c>
      <c r="F18" s="7">
        <f>B7*8000*32.04</f>
        <v>74501244.54</v>
      </c>
      <c r="P18" s="3" t="s">
        <v>91</v>
      </c>
      <c r="Q18" s="7">
        <f>Q19*Q20</f>
        <v>60.05973981</v>
      </c>
      <c r="Y18" s="3" t="s">
        <v>139</v>
      </c>
      <c r="Z18" s="7">
        <f>0.6198*52.39+0.5524*566.3</f>
        <v>345.295442</v>
      </c>
    </row>
    <row r="19">
      <c r="C19" s="3">
        <v>0.01</v>
      </c>
      <c r="D19" s="3" t="s">
        <v>50</v>
      </c>
      <c r="E19" s="10" t="s">
        <v>160</v>
      </c>
      <c r="F19" s="9">
        <f>F18/1000</f>
        <v>74501.24454</v>
      </c>
      <c r="G19" s="7">
        <f>F19*2</f>
        <v>149002.4891</v>
      </c>
      <c r="P19" s="3" t="s">
        <v>77</v>
      </c>
      <c r="Q19" s="7">
        <f>Q11/2</f>
        <v>60.11985967</v>
      </c>
      <c r="R19" s="12" t="s">
        <v>161</v>
      </c>
      <c r="Y19" s="3" t="s">
        <v>140</v>
      </c>
      <c r="Z19" s="7">
        <f>0.0446*52.39+0.0259*566.3</f>
        <v>17.003764</v>
      </c>
      <c r="AM19" s="3" t="s">
        <v>7</v>
      </c>
      <c r="AN19" s="7">
        <f>'Mass Balance'!B11</f>
        <v>287.0196007</v>
      </c>
      <c r="AO19" s="3" t="s">
        <v>76</v>
      </c>
    </row>
    <row r="20">
      <c r="P20" s="3" t="s">
        <v>90</v>
      </c>
      <c r="Q20" s="3">
        <v>0.999</v>
      </c>
      <c r="Y20" s="3" t="s">
        <v>141</v>
      </c>
      <c r="Z20" s="7">
        <f>566.3*0.0216+52.39*0.333</f>
        <v>29.67795</v>
      </c>
      <c r="AM20" s="3" t="s">
        <v>19</v>
      </c>
      <c r="AN20" s="7">
        <f>0.001*AN19</f>
        <v>0.2870196007</v>
      </c>
      <c r="AO20" s="3" t="s">
        <v>135</v>
      </c>
    </row>
    <row r="21">
      <c r="A21" s="3" t="s">
        <v>77</v>
      </c>
      <c r="F21" s="3" t="s">
        <v>162</v>
      </c>
      <c r="I21" s="3" t="s">
        <v>163</v>
      </c>
      <c r="P21" s="3" t="s">
        <v>96</v>
      </c>
      <c r="Q21" s="3">
        <v>0.001</v>
      </c>
      <c r="Y21" s="3" t="s">
        <v>144</v>
      </c>
      <c r="Z21" s="7">
        <f>SUM(Z16:Z20)</f>
        <v>392.097653</v>
      </c>
      <c r="AM21" s="3" t="s">
        <v>77</v>
      </c>
      <c r="AN21" s="7">
        <f>AN20+AN19</f>
        <v>287.3066203</v>
      </c>
      <c r="AO21" s="3">
        <v>0.999</v>
      </c>
    </row>
    <row r="22">
      <c r="D22" s="3" t="s">
        <v>145</v>
      </c>
      <c r="F22" s="3">
        <v>247.5</v>
      </c>
      <c r="G22" s="3" t="s">
        <v>77</v>
      </c>
      <c r="I22" s="3">
        <v>355.17</v>
      </c>
      <c r="J22" s="3" t="s">
        <v>146</v>
      </c>
      <c r="AN22" s="7">
        <f>AN19/AN21</f>
        <v>0.999000999</v>
      </c>
    </row>
    <row r="23">
      <c r="A23" s="3" t="s">
        <v>19</v>
      </c>
      <c r="B23" s="7">
        <f>A17*A16+C18*C16</f>
        <v>596.612499</v>
      </c>
      <c r="D23" s="7">
        <f>B23/2</f>
        <v>298.3062495</v>
      </c>
      <c r="F23" s="3">
        <v>0.999</v>
      </c>
      <c r="G23" s="3" t="s">
        <v>49</v>
      </c>
      <c r="I23" s="3">
        <v>1.0E-4</v>
      </c>
      <c r="J23" s="3" t="s">
        <v>49</v>
      </c>
      <c r="P23" s="3" t="s">
        <v>164</v>
      </c>
      <c r="Y23" s="3" t="s">
        <v>87</v>
      </c>
      <c r="Z23" s="7">
        <f>Z17/Z21</f>
        <v>0.0003073137497</v>
      </c>
    </row>
    <row r="24">
      <c r="A24" s="3" t="s">
        <v>50</v>
      </c>
      <c r="B24" s="7">
        <f>A18*A16+C19*C16</f>
        <v>6.0267</v>
      </c>
      <c r="D24" s="7">
        <f>B23/2</f>
        <v>298.3062495</v>
      </c>
      <c r="F24" s="3">
        <v>0.001</v>
      </c>
      <c r="G24" s="3" t="s">
        <v>19</v>
      </c>
      <c r="I24" s="3">
        <v>0.2868</v>
      </c>
      <c r="J24" s="3" t="s">
        <v>19</v>
      </c>
      <c r="P24" s="3" t="s">
        <v>49</v>
      </c>
      <c r="Q24" s="21">
        <f>Q9</f>
        <v>0.1200451613</v>
      </c>
      <c r="R24" s="12" t="s">
        <v>165</v>
      </c>
      <c r="Y24" s="3" t="s">
        <v>102</v>
      </c>
      <c r="Z24" s="7">
        <f>Z18/Z21</f>
        <v>0.8806363398</v>
      </c>
    </row>
    <row r="25">
      <c r="A25" s="3" t="s">
        <v>49</v>
      </c>
      <c r="B25" s="7">
        <f>C17*C16</f>
        <v>0.030801</v>
      </c>
      <c r="I25" s="3">
        <v>0.7131</v>
      </c>
      <c r="J25" s="3" t="s">
        <v>50</v>
      </c>
      <c r="P25" s="3" t="s">
        <v>19</v>
      </c>
      <c r="Q25" s="7">
        <f>Q8-Q17</f>
        <v>59.54283498</v>
      </c>
      <c r="Y25" s="3" t="s">
        <v>132</v>
      </c>
      <c r="Z25" s="7">
        <f>Z20/Z21</f>
        <v>0.07569020057</v>
      </c>
    </row>
    <row r="26">
      <c r="A26" s="3" t="s">
        <v>147</v>
      </c>
      <c r="B26" s="7">
        <f>B25+B23+B24</f>
        <v>602.67</v>
      </c>
      <c r="F26" s="3" t="s">
        <v>148</v>
      </c>
      <c r="P26" s="3" t="s">
        <v>50</v>
      </c>
      <c r="Q26" s="21">
        <f>Q10-Q18</f>
        <v>0.4569795252</v>
      </c>
      <c r="R26" s="12" t="s">
        <v>165</v>
      </c>
      <c r="Y26" s="3" t="s">
        <v>104</v>
      </c>
      <c r="Z26" s="7">
        <f>Z19/Z21</f>
        <v>0.04336614583</v>
      </c>
    </row>
    <row r="27">
      <c r="A27" s="3" t="s">
        <v>87</v>
      </c>
      <c r="B27" s="7">
        <f>B23/B26</f>
        <v>0.9899488924</v>
      </c>
      <c r="E27" s="7">
        <f>F27/D23</f>
        <v>0.8289736384</v>
      </c>
      <c r="F27" s="7">
        <f>F23*F22+I23*I22</f>
        <v>247.288017</v>
      </c>
      <c r="P27" s="3" t="s">
        <v>77</v>
      </c>
      <c r="Q27" s="7">
        <f>Q26+Q25+Q24</f>
        <v>60.11985967</v>
      </c>
    </row>
    <row r="28">
      <c r="A28" s="3" t="s">
        <v>90</v>
      </c>
      <c r="B28" s="7">
        <f>B24/B26</f>
        <v>0.01</v>
      </c>
      <c r="P28" s="3" t="s">
        <v>127</v>
      </c>
      <c r="Q28" s="7">
        <f>Q24/Q27</f>
        <v>0.00199676383</v>
      </c>
    </row>
    <row r="29">
      <c r="A29" s="3" t="s">
        <v>132</v>
      </c>
      <c r="B29" s="7">
        <f>B25/B26</f>
        <v>0.00005110757131</v>
      </c>
      <c r="P29" s="3" t="s">
        <v>85</v>
      </c>
      <c r="Q29" s="7">
        <f>Q25/Q27</f>
        <v>0.9904020953</v>
      </c>
    </row>
    <row r="30">
      <c r="P30" s="3" t="s">
        <v>91</v>
      </c>
      <c r="Q30" s="7">
        <f>Q26/Q27</f>
        <v>0.007601140917</v>
      </c>
    </row>
    <row r="39">
      <c r="R39" s="3" t="s">
        <v>166</v>
      </c>
    </row>
    <row r="40">
      <c r="R40" s="3" t="s">
        <v>167</v>
      </c>
      <c r="T40" s="3" t="s">
        <v>168</v>
      </c>
      <c r="W40" s="3" t="s">
        <v>169</v>
      </c>
    </row>
    <row r="41">
      <c r="R41" s="3">
        <v>262.0</v>
      </c>
      <c r="T41" s="3">
        <v>52.39</v>
      </c>
      <c r="W41" s="3">
        <v>566.3</v>
      </c>
    </row>
    <row r="42">
      <c r="Q42" s="3" t="s">
        <v>21</v>
      </c>
      <c r="R42" s="3">
        <v>0.98</v>
      </c>
      <c r="T42" s="3">
        <v>0.6198</v>
      </c>
      <c r="U42" s="3" t="s">
        <v>21</v>
      </c>
      <c r="W42" s="3">
        <v>0.4</v>
      </c>
      <c r="X42" s="3" t="s">
        <v>170</v>
      </c>
    </row>
    <row r="43">
      <c r="Q43" s="3" t="s">
        <v>170</v>
      </c>
      <c r="R43" s="3">
        <v>0.2</v>
      </c>
      <c r="T43" s="3">
        <v>0.0023</v>
      </c>
      <c r="U43" s="3" t="s">
        <v>19</v>
      </c>
      <c r="W43" s="3">
        <v>0.5524</v>
      </c>
      <c r="X43" s="3" t="s">
        <v>21</v>
      </c>
      <c r="Y43" s="7">
        <f>W41*W43+T41*T42</f>
        <v>345.295442</v>
      </c>
    </row>
    <row r="44">
      <c r="T44" s="3">
        <v>0.3333</v>
      </c>
      <c r="U44" s="3" t="s">
        <v>49</v>
      </c>
      <c r="W44" s="3">
        <v>0.0216</v>
      </c>
      <c r="X44" s="3" t="s">
        <v>49</v>
      </c>
    </row>
    <row r="45">
      <c r="T45" s="3">
        <v>0.0446</v>
      </c>
      <c r="U45" s="3" t="s">
        <v>171</v>
      </c>
      <c r="W45" s="3">
        <v>0.0259</v>
      </c>
      <c r="X45" s="3" t="s">
        <v>86</v>
      </c>
    </row>
    <row r="47">
      <c r="W47" s="7">
        <f>W45*W41+T45*T41</f>
        <v>17.003764</v>
      </c>
      <c r="X47" s="3" t="s">
        <v>86</v>
      </c>
    </row>
    <row r="48">
      <c r="S48" s="3">
        <v>250.0</v>
      </c>
      <c r="W48" s="7">
        <f>S48*S49+W44*W41</f>
        <v>261.98208</v>
      </c>
      <c r="X48" s="3" t="s">
        <v>49</v>
      </c>
    </row>
    <row r="49">
      <c r="S49" s="3">
        <v>0.999</v>
      </c>
      <c r="W49" s="7">
        <f>W43*W41+T42*T41+R42*R41</f>
        <v>602.055442</v>
      </c>
      <c r="X49" s="3" t="s">
        <v>21</v>
      </c>
      <c r="Y49" s="7">
        <f>Y43/W49</f>
        <v>0.5735276486</v>
      </c>
    </row>
    <row r="50">
      <c r="S50" s="3">
        <v>0.001</v>
      </c>
      <c r="X50" s="3" t="s">
        <v>170</v>
      </c>
    </row>
    <row r="51">
      <c r="W51" s="7">
        <f>S50*S48</f>
        <v>0.25</v>
      </c>
      <c r="X51" s="3" t="s">
        <v>19</v>
      </c>
    </row>
    <row r="52">
      <c r="W52" s="7">
        <f>W51+W50+W49+W48+W47</f>
        <v>881.291286</v>
      </c>
      <c r="X52" s="3" t="s">
        <v>77</v>
      </c>
    </row>
    <row r="53">
      <c r="W53" s="7">
        <f>W47/W52</f>
        <v>0.01929414743</v>
      </c>
    </row>
    <row r="54">
      <c r="W54" s="7">
        <f>W48/W52</f>
        <v>0.2972707028</v>
      </c>
    </row>
    <row r="55">
      <c r="W55" s="7">
        <f>W49/W52</f>
        <v>0.6831514751</v>
      </c>
      <c r="X55" s="12" t="s">
        <v>172</v>
      </c>
      <c r="Y55" s="7">
        <f>W55+W54</f>
        <v>0.9804221779</v>
      </c>
    </row>
    <row r="56">
      <c r="W56" s="7">
        <f>W51/W52</f>
        <v>0.0002836746533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3" width="21.13"/>
    <col customWidth="1" min="4" max="4" width="24.13"/>
    <col customWidth="1" min="5" max="5" width="24.75"/>
    <col customWidth="1" min="7" max="7" width="24.75"/>
  </cols>
  <sheetData>
    <row r="1"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3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3" t="s">
        <v>183</v>
      </c>
      <c r="M1" s="3" t="s">
        <v>184</v>
      </c>
      <c r="N1" s="3" t="s">
        <v>185</v>
      </c>
      <c r="O1" s="3" t="s">
        <v>186</v>
      </c>
      <c r="P1" s="3" t="s">
        <v>187</v>
      </c>
      <c r="Q1" s="3" t="s">
        <v>188</v>
      </c>
    </row>
    <row r="2">
      <c r="A2" s="3" t="s">
        <v>189</v>
      </c>
      <c r="B2" s="7">
        <f t="shared" ref="B2:D2" si="1">SUM(B3,B4,B5,B6)</f>
        <v>777.0963652</v>
      </c>
      <c r="C2" s="7">
        <f t="shared" si="1"/>
        <v>1000</v>
      </c>
      <c r="D2" s="7">
        <f t="shared" si="1"/>
        <v>1000</v>
      </c>
      <c r="E2" s="7">
        <f t="shared" ref="E2:F2" si="2">D2</f>
        <v>1000</v>
      </c>
      <c r="F2" s="7">
        <f t="shared" si="2"/>
        <v>1000</v>
      </c>
      <c r="G2" s="22">
        <v>600.0</v>
      </c>
      <c r="H2" s="22">
        <v>400.0</v>
      </c>
      <c r="I2" s="7">
        <f t="shared" ref="I2:I10" si="4">G2:G10</f>
        <v>600</v>
      </c>
      <c r="J2" s="22">
        <v>480.0</v>
      </c>
      <c r="K2" s="22">
        <v>120.0</v>
      </c>
      <c r="L2" s="7">
        <f t="shared" ref="L2:L10" si="5">J2</f>
        <v>480</v>
      </c>
      <c r="M2" s="22">
        <v>91.2</v>
      </c>
      <c r="N2" s="22">
        <v>388.8</v>
      </c>
      <c r="O2" s="7">
        <f t="shared" ref="O2:O10" si="6">N2</f>
        <v>388.8</v>
      </c>
      <c r="P2" s="22">
        <v>167.184</v>
      </c>
      <c r="Q2" s="22">
        <v>221.616</v>
      </c>
    </row>
    <row r="3">
      <c r="A3" s="3" t="s">
        <v>88</v>
      </c>
      <c r="B3" s="3">
        <f>C3-H3</f>
        <v>351.4056421</v>
      </c>
      <c r="C3" s="3">
        <v>500.0</v>
      </c>
      <c r="D3" s="7">
        <f t="shared" ref="D3:D4" si="7">0.3*C3</f>
        <v>150</v>
      </c>
      <c r="E3" s="7">
        <f t="shared" ref="E3:F3" si="3">D3</f>
        <v>150</v>
      </c>
      <c r="F3" s="7">
        <f t="shared" si="3"/>
        <v>150</v>
      </c>
      <c r="G3" s="3">
        <f t="shared" ref="G3:G6" si="9">$G$2*G7</f>
        <v>1.405642077</v>
      </c>
      <c r="H3" s="7">
        <f t="shared" ref="H3:H6" si="10">$H$2*H7</f>
        <v>148.5943579</v>
      </c>
      <c r="I3" s="7">
        <f t="shared" si="4"/>
        <v>1.405642077</v>
      </c>
      <c r="J3" s="7">
        <f t="shared" ref="J3:J6" si="11">J7*$J$2</f>
        <v>0.000001700742421</v>
      </c>
      <c r="K3" s="7">
        <f t="shared" ref="K3:K6" si="12">$K$2*K7</f>
        <v>1.405640376</v>
      </c>
      <c r="L3" s="7">
        <f t="shared" si="5"/>
        <v>0.000001700742421</v>
      </c>
      <c r="M3" s="7">
        <f>M2*M7</f>
        <v>0</v>
      </c>
      <c r="N3" s="7">
        <f>N7*N2</f>
        <v>0.000001700737505</v>
      </c>
      <c r="O3" s="7">
        <f t="shared" si="6"/>
        <v>0.000001700737505</v>
      </c>
      <c r="P3" s="3">
        <v>0.0</v>
      </c>
      <c r="Q3" s="3">
        <v>0.0</v>
      </c>
    </row>
    <row r="4">
      <c r="A4" s="3" t="s">
        <v>85</v>
      </c>
      <c r="B4" s="3">
        <f>C4-N4</f>
        <v>425.6907231</v>
      </c>
      <c r="C4" s="3">
        <v>500.0</v>
      </c>
      <c r="D4" s="7">
        <f t="shared" si="7"/>
        <v>150</v>
      </c>
      <c r="E4" s="7">
        <f t="shared" ref="E4:F4" si="8">D4</f>
        <v>150</v>
      </c>
      <c r="F4" s="7">
        <f t="shared" si="8"/>
        <v>150</v>
      </c>
      <c r="G4" s="3">
        <f t="shared" si="9"/>
        <v>149.9999797</v>
      </c>
      <c r="H4" s="7">
        <f t="shared" si="10"/>
        <v>0.00002032435097</v>
      </c>
      <c r="I4" s="7">
        <f t="shared" si="4"/>
        <v>149.9999797</v>
      </c>
      <c r="J4" s="7">
        <f t="shared" si="11"/>
        <v>132.3492696</v>
      </c>
      <c r="K4" s="7">
        <f t="shared" si="12"/>
        <v>17.65071005</v>
      </c>
      <c r="L4" s="7">
        <f t="shared" si="5"/>
        <v>132.3492696</v>
      </c>
      <c r="M4" s="7">
        <f t="shared" ref="M4:N4" si="13">M8*M2</f>
        <v>58.03999277</v>
      </c>
      <c r="N4" s="7">
        <f t="shared" si="13"/>
        <v>74.30927686</v>
      </c>
      <c r="O4" s="7">
        <f t="shared" si="6"/>
        <v>74.30927686</v>
      </c>
      <c r="P4" s="7">
        <f t="shared" ref="P4:Q4" si="14">P8*P2</f>
        <v>74.30427971</v>
      </c>
      <c r="Q4" s="7">
        <f t="shared" si="14"/>
        <v>0.004999071092</v>
      </c>
    </row>
    <row r="5">
      <c r="A5" s="3" t="s">
        <v>97</v>
      </c>
      <c r="B5" s="3">
        <v>0.0</v>
      </c>
      <c r="C5" s="3">
        <v>0.0</v>
      </c>
      <c r="D5" s="7">
        <f>0.7*C3</f>
        <v>350</v>
      </c>
      <c r="E5" s="7">
        <f t="shared" ref="E5:F5" si="15">D5</f>
        <v>350</v>
      </c>
      <c r="F5" s="7">
        <f t="shared" si="15"/>
        <v>350</v>
      </c>
      <c r="G5" s="3">
        <f t="shared" si="9"/>
        <v>350</v>
      </c>
      <c r="H5" s="7">
        <f t="shared" si="10"/>
        <v>0</v>
      </c>
      <c r="I5" s="7">
        <f t="shared" si="4"/>
        <v>350</v>
      </c>
      <c r="J5" s="7">
        <f t="shared" si="11"/>
        <v>340.8258116</v>
      </c>
      <c r="K5" s="23">
        <f t="shared" si="12"/>
        <v>9.174188407</v>
      </c>
      <c r="L5" s="7">
        <f t="shared" si="5"/>
        <v>340.8258116</v>
      </c>
      <c r="M5" s="7">
        <f t="shared" ref="M5:N5" si="16">M9*M2</f>
        <v>32.97827202</v>
      </c>
      <c r="N5" s="7">
        <f t="shared" si="16"/>
        <v>307.8475396</v>
      </c>
      <c r="O5" s="7">
        <f t="shared" si="6"/>
        <v>307.8475396</v>
      </c>
      <c r="P5" s="7">
        <f t="shared" ref="P5:Q5" si="17">P9*P2</f>
        <v>89.38485664</v>
      </c>
      <c r="Q5" s="7">
        <f t="shared" si="17"/>
        <v>218.462681</v>
      </c>
    </row>
    <row r="6">
      <c r="A6" s="3" t="s">
        <v>91</v>
      </c>
      <c r="B6" s="3">
        <v>0.0</v>
      </c>
      <c r="C6" s="3">
        <v>0.0</v>
      </c>
      <c r="D6" s="7">
        <f>0.7*C3</f>
        <v>350</v>
      </c>
      <c r="E6" s="7">
        <f t="shared" ref="E6:F6" si="18">D6</f>
        <v>350</v>
      </c>
      <c r="F6" s="7">
        <f t="shared" si="18"/>
        <v>350</v>
      </c>
      <c r="G6" s="3">
        <f t="shared" si="9"/>
        <v>98.59437825</v>
      </c>
      <c r="H6" s="7">
        <f t="shared" si="10"/>
        <v>251.4056218</v>
      </c>
      <c r="I6" s="7">
        <f t="shared" si="4"/>
        <v>98.59437825</v>
      </c>
      <c r="J6" s="7">
        <f t="shared" si="11"/>
        <v>6.824917076</v>
      </c>
      <c r="K6" s="7">
        <f t="shared" si="12"/>
        <v>91.76946117</v>
      </c>
      <c r="L6" s="7">
        <f t="shared" si="5"/>
        <v>6.824917076</v>
      </c>
      <c r="M6" s="7">
        <f t="shared" ref="M6:N6" si="19">M10*M2</f>
        <v>0.181735209</v>
      </c>
      <c r="N6" s="7">
        <f t="shared" si="19"/>
        <v>6.643181867</v>
      </c>
      <c r="O6" s="7">
        <f t="shared" si="6"/>
        <v>6.643181867</v>
      </c>
      <c r="P6" s="3">
        <v>0.0</v>
      </c>
      <c r="Q6" s="3">
        <v>0.0</v>
      </c>
    </row>
    <row r="7">
      <c r="A7" s="3" t="s">
        <v>190</v>
      </c>
      <c r="B7" s="7">
        <f t="shared" ref="B7:D7" si="20">B3/B2</f>
        <v>0.4522034304</v>
      </c>
      <c r="C7" s="7">
        <f t="shared" si="20"/>
        <v>0.5</v>
      </c>
      <c r="D7" s="7">
        <f t="shared" si="20"/>
        <v>0.15</v>
      </c>
      <c r="E7" s="7">
        <f t="shared" ref="E7:F7" si="21">D7</f>
        <v>0.15</v>
      </c>
      <c r="F7" s="7">
        <f t="shared" si="21"/>
        <v>0.15</v>
      </c>
      <c r="G7" s="24">
        <v>0.00234273679423007</v>
      </c>
      <c r="H7" s="24">
        <v>0.371485894808743</v>
      </c>
      <c r="I7" s="7">
        <f t="shared" si="4"/>
        <v>0.002342736794</v>
      </c>
      <c r="J7" s="3">
        <v>3.54321337744577E-9</v>
      </c>
      <c r="K7" s="3">
        <v>0.0117136697983024</v>
      </c>
      <c r="L7" s="7">
        <f t="shared" si="5"/>
        <v>0.000000003543213377</v>
      </c>
      <c r="M7" s="3">
        <v>5.39008385019419E-14</v>
      </c>
      <c r="N7" s="3">
        <v>4.37432485960392E-9</v>
      </c>
      <c r="O7" s="7">
        <f t="shared" si="6"/>
        <v>0.00000000437432486</v>
      </c>
      <c r="P7" s="3">
        <v>7.00999680970483E-13</v>
      </c>
      <c r="Q7" s="3">
        <v>7.67372516551654E-9</v>
      </c>
    </row>
    <row r="8">
      <c r="A8" s="3" t="s">
        <v>191</v>
      </c>
      <c r="B8" s="7">
        <f t="shared" ref="B8:D8" si="22">B4/B2</f>
        <v>0.5477965696</v>
      </c>
      <c r="C8" s="7">
        <f t="shared" si="22"/>
        <v>0.5</v>
      </c>
      <c r="D8" s="7">
        <f t="shared" si="22"/>
        <v>0.15</v>
      </c>
      <c r="E8" s="7">
        <f t="shared" ref="E8:F8" si="23">D8</f>
        <v>0.15</v>
      </c>
      <c r="F8" s="7">
        <f t="shared" si="23"/>
        <v>0.15</v>
      </c>
      <c r="G8" s="24">
        <v>0.249999966126042</v>
      </c>
      <c r="H8" s="24">
        <v>5.08108774142107E-8</v>
      </c>
      <c r="I8" s="7">
        <f t="shared" si="4"/>
        <v>0.2499999661</v>
      </c>
      <c r="J8" s="3">
        <v>0.275727645063134</v>
      </c>
      <c r="K8" s="3">
        <v>0.147089250377614</v>
      </c>
      <c r="L8" s="7">
        <f t="shared" si="5"/>
        <v>0.2757276451</v>
      </c>
      <c r="M8" s="3">
        <v>0.636403429524458</v>
      </c>
      <c r="N8" s="24">
        <v>0.191124683276825</v>
      </c>
      <c r="O8" s="7">
        <f t="shared" si="6"/>
        <v>0.1911246833</v>
      </c>
      <c r="P8" s="24">
        <v>0.444446117511361</v>
      </c>
      <c r="Q8" s="3">
        <v>2.25573563815061E-5</v>
      </c>
    </row>
    <row r="9">
      <c r="A9" s="3" t="s">
        <v>192</v>
      </c>
      <c r="B9" s="7">
        <f t="shared" ref="B9:C9" si="24">B5/B3</f>
        <v>0</v>
      </c>
      <c r="C9" s="7">
        <f t="shared" si="24"/>
        <v>0</v>
      </c>
      <c r="D9" s="7">
        <f>D5/D2</f>
        <v>0.35</v>
      </c>
      <c r="E9" s="7">
        <f t="shared" ref="E9:F9" si="25">D9</f>
        <v>0.35</v>
      </c>
      <c r="F9" s="7">
        <f t="shared" si="25"/>
        <v>0.35</v>
      </c>
      <c r="G9" s="24">
        <v>0.583333333333193</v>
      </c>
      <c r="H9" s="24">
        <v>7.13045043585719E-14</v>
      </c>
      <c r="I9" s="7">
        <f t="shared" si="4"/>
        <v>0.5833333333</v>
      </c>
      <c r="J9" s="3">
        <v>0.710053774152562</v>
      </c>
      <c r="K9" s="25">
        <v>0.07645157005542</v>
      </c>
      <c r="L9" s="7">
        <f t="shared" si="5"/>
        <v>0.7100537742</v>
      </c>
      <c r="M9" s="24">
        <v>0.361603859850746</v>
      </c>
      <c r="N9" s="24">
        <v>0.79178893923482</v>
      </c>
      <c r="O9" s="7">
        <f t="shared" si="6"/>
        <v>0.7917889392</v>
      </c>
      <c r="P9" s="3">
        <v>0.534649587510754</v>
      </c>
      <c r="Q9" s="3">
        <v>0.985771248393775</v>
      </c>
    </row>
    <row r="10">
      <c r="A10" s="3" t="s">
        <v>193</v>
      </c>
      <c r="B10" s="7">
        <f t="shared" ref="B10:C10" si="26">B6/B4</f>
        <v>0</v>
      </c>
      <c r="C10" s="7">
        <f t="shared" si="26"/>
        <v>0</v>
      </c>
      <c r="D10" s="7">
        <f>D6/D2</f>
        <v>0.35</v>
      </c>
      <c r="E10" s="7">
        <f t="shared" ref="E10:F10" si="27">D10</f>
        <v>0.35</v>
      </c>
      <c r="F10" s="7">
        <f t="shared" si="27"/>
        <v>0.35</v>
      </c>
      <c r="G10" s="24">
        <v>0.164323963746535</v>
      </c>
      <c r="H10" s="3">
        <v>0.628514054380308</v>
      </c>
      <c r="I10" s="7">
        <f t="shared" si="4"/>
        <v>0.1643239637</v>
      </c>
      <c r="J10" s="3">
        <v>0.0142185772410906</v>
      </c>
      <c r="K10" s="3">
        <v>0.764745509768664</v>
      </c>
      <c r="L10" s="7">
        <f t="shared" si="5"/>
        <v>0.01421857724</v>
      </c>
      <c r="M10" s="3">
        <v>0.00199271062474276</v>
      </c>
      <c r="N10" s="24">
        <v>0.0170863731140301</v>
      </c>
      <c r="O10" s="7">
        <f t="shared" si="6"/>
        <v>0.01708637311</v>
      </c>
      <c r="P10" s="3">
        <v>0.020904294977183</v>
      </c>
      <c r="Q10" s="3">
        <v>0.0142061865761189</v>
      </c>
    </row>
    <row r="11">
      <c r="G11" s="7">
        <f>SUM(G7:G10)</f>
        <v>1</v>
      </c>
      <c r="I11" s="7">
        <f>I10+I9+I8+I7</f>
        <v>1</v>
      </c>
    </row>
    <row r="14">
      <c r="F14" s="3" t="s">
        <v>194</v>
      </c>
      <c r="G14" s="3" t="s">
        <v>195</v>
      </c>
      <c r="I14" s="7">
        <f>I5/I2</f>
        <v>0.5833333333</v>
      </c>
    </row>
    <row r="15">
      <c r="E15" s="3" t="s">
        <v>19</v>
      </c>
      <c r="F15" s="3">
        <v>0.249999966126042</v>
      </c>
      <c r="G15" s="25">
        <v>5.08108774142107E-8</v>
      </c>
      <c r="J15" s="3" t="s">
        <v>196</v>
      </c>
      <c r="K15" s="3">
        <v>0.275727645063134</v>
      </c>
      <c r="L15" s="3">
        <v>0.147089250377614</v>
      </c>
      <c r="N15" s="3" t="s">
        <v>196</v>
      </c>
      <c r="O15" s="3">
        <v>0.636403429524458</v>
      </c>
      <c r="P15" s="3">
        <v>0.191124683276825</v>
      </c>
      <c r="R15" s="3" t="s">
        <v>196</v>
      </c>
      <c r="S15" s="3">
        <v>0.444446117511361</v>
      </c>
      <c r="T15" s="25">
        <v>2.25573563815061E-5</v>
      </c>
    </row>
    <row r="16">
      <c r="A16" s="3" t="s">
        <v>197</v>
      </c>
      <c r="E16" s="3" t="s">
        <v>124</v>
      </c>
      <c r="F16" s="3">
        <v>0.164323963746535</v>
      </c>
      <c r="G16" s="3">
        <v>0.628514054380308</v>
      </c>
      <c r="J16" s="3" t="s">
        <v>124</v>
      </c>
      <c r="K16" s="3">
        <v>0.0142185772410906</v>
      </c>
      <c r="L16" s="3">
        <v>0.764745509768664</v>
      </c>
      <c r="N16" s="3" t="s">
        <v>124</v>
      </c>
      <c r="O16" s="3">
        <v>0.00199271062474276</v>
      </c>
      <c r="P16" s="3">
        <v>0.0170863731140301</v>
      </c>
      <c r="R16" s="3" t="s">
        <v>124</v>
      </c>
      <c r="S16" s="3">
        <v>0.020904294977183</v>
      </c>
      <c r="T16" s="3">
        <v>0.0142061865761189</v>
      </c>
    </row>
    <row r="17">
      <c r="A17" s="3" t="s">
        <v>19</v>
      </c>
      <c r="B17" s="3"/>
      <c r="C17" s="3">
        <v>64.7</v>
      </c>
      <c r="E17" s="3" t="s">
        <v>198</v>
      </c>
      <c r="F17" s="3">
        <v>0.00234273679423007</v>
      </c>
      <c r="G17" s="3">
        <v>0.371485894808743</v>
      </c>
      <c r="J17" s="3" t="s">
        <v>199</v>
      </c>
      <c r="K17" s="25">
        <v>3.54321337744577E-9</v>
      </c>
      <c r="L17" s="3">
        <v>0.0117136697983024</v>
      </c>
      <c r="N17" s="3" t="s">
        <v>199</v>
      </c>
      <c r="O17" s="25">
        <v>5.39008385019419E-14</v>
      </c>
      <c r="P17" s="25">
        <v>4.37432485960392E-9</v>
      </c>
      <c r="R17" s="3" t="s">
        <v>199</v>
      </c>
      <c r="S17" s="25">
        <v>7.00999680970483E-13</v>
      </c>
      <c r="T17" s="25">
        <v>7.67372516551654E-9</v>
      </c>
    </row>
    <row r="18">
      <c r="A18" s="3" t="s">
        <v>17</v>
      </c>
      <c r="B18" s="3"/>
      <c r="C18" s="3">
        <v>118.0</v>
      </c>
      <c r="E18" s="3" t="s">
        <v>86</v>
      </c>
      <c r="F18" s="3">
        <v>0.583333333333193</v>
      </c>
      <c r="G18" s="25">
        <v>7.13045043585719E-14</v>
      </c>
      <c r="J18" s="3" t="s">
        <v>7</v>
      </c>
      <c r="K18" s="3">
        <v>0.710053774152562</v>
      </c>
      <c r="L18" s="3">
        <v>0.07645157005542</v>
      </c>
      <c r="N18" s="3" t="s">
        <v>7</v>
      </c>
      <c r="O18" s="3">
        <v>0.361603859850746</v>
      </c>
      <c r="P18" s="3">
        <v>0.79178893923482</v>
      </c>
      <c r="R18" s="3" t="s">
        <v>7</v>
      </c>
      <c r="S18" s="3">
        <v>0.534649587510754</v>
      </c>
      <c r="T18" s="3">
        <v>0.985771248393775</v>
      </c>
    </row>
    <row r="19">
      <c r="A19" s="3" t="s">
        <v>50</v>
      </c>
      <c r="B19" s="3"/>
      <c r="C19" s="3">
        <v>100.0</v>
      </c>
    </row>
    <row r="20">
      <c r="A20" s="3" t="s">
        <v>7</v>
      </c>
      <c r="B20" s="3"/>
      <c r="C20" s="3">
        <v>57.1</v>
      </c>
      <c r="E20" s="3" t="s">
        <v>200</v>
      </c>
      <c r="F20" s="24">
        <v>0.00234273679423007</v>
      </c>
      <c r="G20" s="24">
        <v>0.371485894808743</v>
      </c>
      <c r="J20" s="3" t="s">
        <v>199</v>
      </c>
      <c r="K20" s="24">
        <v>3.54321337744577E-9</v>
      </c>
      <c r="L20" s="24">
        <v>0.0117136697983024</v>
      </c>
      <c r="N20" s="3" t="s">
        <v>199</v>
      </c>
      <c r="O20" s="24">
        <v>5.39008385019419E-14</v>
      </c>
      <c r="P20" s="24">
        <v>4.37432485960392E-9</v>
      </c>
      <c r="R20" s="3" t="s">
        <v>199</v>
      </c>
      <c r="S20" s="24">
        <v>7.00999680970483E-13</v>
      </c>
      <c r="T20" s="24">
        <v>7.67372516551654E-9</v>
      </c>
    </row>
    <row r="21">
      <c r="E21" s="3" t="s">
        <v>19</v>
      </c>
      <c r="F21" s="24">
        <v>0.249999966126042</v>
      </c>
      <c r="G21" s="24">
        <v>5.08108774142107E-8</v>
      </c>
      <c r="J21" s="3" t="s">
        <v>19</v>
      </c>
      <c r="K21" s="24">
        <v>0.275727645063134</v>
      </c>
      <c r="L21" s="24">
        <v>0.147089250377614</v>
      </c>
      <c r="N21" s="3" t="s">
        <v>19</v>
      </c>
      <c r="O21" s="24">
        <v>0.636403429524458</v>
      </c>
      <c r="P21" s="24">
        <v>0.191124683276825</v>
      </c>
      <c r="R21" s="3" t="s">
        <v>19</v>
      </c>
      <c r="S21" s="24">
        <v>0.444446117511361</v>
      </c>
      <c r="T21" s="24">
        <v>2.25573563815061E-5</v>
      </c>
    </row>
    <row r="22">
      <c r="E22" s="3" t="s">
        <v>86</v>
      </c>
      <c r="F22" s="24">
        <v>0.583333333333193</v>
      </c>
      <c r="G22" s="24">
        <v>7.13045043585719E-14</v>
      </c>
      <c r="J22" s="3" t="s">
        <v>86</v>
      </c>
      <c r="K22" s="24">
        <v>0.710053774152562</v>
      </c>
      <c r="L22" s="24">
        <v>0.07645157005542</v>
      </c>
      <c r="N22" s="3" t="s">
        <v>86</v>
      </c>
      <c r="O22" s="24">
        <v>0.361603859850746</v>
      </c>
      <c r="P22" s="24">
        <v>0.79178893923482</v>
      </c>
      <c r="R22" s="3" t="s">
        <v>86</v>
      </c>
      <c r="S22" s="24">
        <v>0.534649587510754</v>
      </c>
      <c r="T22" s="24">
        <v>0.985771248393775</v>
      </c>
    </row>
    <row r="23">
      <c r="E23" s="3" t="s">
        <v>50</v>
      </c>
      <c r="F23" s="24">
        <v>0.164323963746535</v>
      </c>
      <c r="G23" s="24">
        <v>0.628514054380308</v>
      </c>
      <c r="J23" s="3" t="s">
        <v>201</v>
      </c>
      <c r="K23" s="24">
        <v>0.0142185772410906</v>
      </c>
      <c r="L23" s="24">
        <v>0.764745509768664</v>
      </c>
      <c r="N23" s="3" t="s">
        <v>201</v>
      </c>
      <c r="O23" s="24">
        <v>0.00199271062474276</v>
      </c>
      <c r="P23" s="24">
        <v>0.0170863731140301</v>
      </c>
      <c r="R23" s="3" t="s">
        <v>201</v>
      </c>
      <c r="S23" s="24">
        <v>0.020904294977183</v>
      </c>
      <c r="T23" s="24">
        <v>0.0142061865761189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5.75"/>
    <col customWidth="1" min="3" max="3" width="19.0"/>
    <col customWidth="1" min="6" max="6" width="25.0"/>
    <col customWidth="1" min="10" max="10" width="15.75"/>
    <col customWidth="1" min="11" max="11" width="18.5"/>
  </cols>
  <sheetData>
    <row r="1">
      <c r="B1" s="3" t="s">
        <v>202</v>
      </c>
      <c r="C1" s="3" t="s">
        <v>203</v>
      </c>
      <c r="D1" s="3" t="s">
        <v>204</v>
      </c>
      <c r="E1" s="3" t="s">
        <v>178</v>
      </c>
      <c r="F1" s="3" t="s">
        <v>179</v>
      </c>
      <c r="G1" s="3" t="s">
        <v>205</v>
      </c>
      <c r="H1" s="8" t="s">
        <v>206</v>
      </c>
      <c r="I1" s="3" t="s">
        <v>182</v>
      </c>
      <c r="J1" s="3" t="s">
        <v>207</v>
      </c>
      <c r="K1" s="3" t="s">
        <v>208</v>
      </c>
      <c r="L1" s="3" t="s">
        <v>183</v>
      </c>
      <c r="M1" s="8" t="s">
        <v>209</v>
      </c>
      <c r="N1" s="3" t="s">
        <v>185</v>
      </c>
      <c r="O1" s="3" t="s">
        <v>186</v>
      </c>
      <c r="P1" s="3" t="s">
        <v>187</v>
      </c>
      <c r="Q1" s="3" t="s">
        <v>188</v>
      </c>
    </row>
    <row r="2">
      <c r="A2" s="3" t="s">
        <v>189</v>
      </c>
      <c r="B2" s="3">
        <v>1000.0</v>
      </c>
      <c r="C2" s="7">
        <f>SUM(C3:C7)</f>
        <v>1000</v>
      </c>
      <c r="D2" s="7">
        <f t="shared" ref="D2:D5" si="3">C2</f>
        <v>1000</v>
      </c>
      <c r="E2" s="26">
        <v>448.52</v>
      </c>
      <c r="F2" s="26">
        <v>551.479</v>
      </c>
      <c r="G2" s="7">
        <f t="shared" ref="G2:G12" si="4">F2</f>
        <v>551.479</v>
      </c>
      <c r="H2" s="26">
        <v>91.73470408</v>
      </c>
      <c r="I2" s="26">
        <v>459.7442959</v>
      </c>
      <c r="J2" s="7">
        <f t="shared" ref="J2:K2" si="1">J3+J4+J5+J6+J7</f>
        <v>892.5548</v>
      </c>
      <c r="K2" s="7">
        <f t="shared" si="1"/>
        <v>492.92348</v>
      </c>
      <c r="L2" s="7">
        <f>K2</f>
        <v>492.92348</v>
      </c>
      <c r="M2" s="27">
        <f t="shared" ref="M2:N2" si="2">M3+M4+M5+M6+M7</f>
        <v>88.80696</v>
      </c>
      <c r="N2" s="27">
        <f t="shared" si="2"/>
        <v>404.11652</v>
      </c>
      <c r="O2" s="7">
        <f t="shared" ref="O2:O8" si="6">N2</f>
        <v>404.11652</v>
      </c>
      <c r="P2" s="26">
        <v>400.027258</v>
      </c>
      <c r="Q2" s="26">
        <v>4.089262</v>
      </c>
    </row>
    <row r="3">
      <c r="A3" s="3" t="s">
        <v>85</v>
      </c>
      <c r="B3" s="3">
        <f>B2*B8</f>
        <v>999</v>
      </c>
      <c r="C3" s="7">
        <f>0.1*B3</f>
        <v>99.9</v>
      </c>
      <c r="D3" s="7">
        <f t="shared" si="3"/>
        <v>99.9</v>
      </c>
      <c r="E3" s="28">
        <f>E8*E2</f>
        <v>4.4852</v>
      </c>
      <c r="F3" s="7">
        <f t="shared" ref="F3:F4" si="7">D3-E3</f>
        <v>95.4148</v>
      </c>
      <c r="G3" s="7">
        <f t="shared" si="4"/>
        <v>95.4148</v>
      </c>
      <c r="H3" s="7">
        <f>H8*H2</f>
        <v>90.81735704</v>
      </c>
      <c r="I3" s="7">
        <f>G3-H3</f>
        <v>4.597442961</v>
      </c>
      <c r="J3" s="7">
        <f t="shared" ref="J3:J4" si="8">E3</f>
        <v>4.4852</v>
      </c>
      <c r="K3" s="7">
        <f t="shared" ref="K3:L3" si="5">J3</f>
        <v>4.4852</v>
      </c>
      <c r="L3" s="7">
        <f t="shared" si="5"/>
        <v>4.4852</v>
      </c>
      <c r="M3" s="3">
        <v>0.0</v>
      </c>
      <c r="N3" s="7">
        <f>L3</f>
        <v>4.4852</v>
      </c>
      <c r="O3" s="7">
        <f t="shared" si="6"/>
        <v>4.4852</v>
      </c>
      <c r="P3" s="7">
        <f>P8*P2</f>
        <v>0.400027258</v>
      </c>
      <c r="Q3" s="7">
        <f>O3-P3</f>
        <v>4.085172742</v>
      </c>
    </row>
    <row r="4">
      <c r="A4" s="3" t="s">
        <v>210</v>
      </c>
      <c r="B4" s="3">
        <f>B9*B2</f>
        <v>0</v>
      </c>
      <c r="C4" s="7">
        <f>0.9*B3/2</f>
        <v>449.55</v>
      </c>
      <c r="D4" s="7">
        <f t="shared" si="3"/>
        <v>449.55</v>
      </c>
      <c r="E4" s="28">
        <f>E9*E2</f>
        <v>444.0348</v>
      </c>
      <c r="F4" s="7">
        <f t="shared" si="7"/>
        <v>5.5152</v>
      </c>
      <c r="G4" s="7">
        <f t="shared" si="4"/>
        <v>5.5152</v>
      </c>
      <c r="H4" s="3">
        <v>0.0</v>
      </c>
      <c r="I4" s="7">
        <f>G4</f>
        <v>5.5152</v>
      </c>
      <c r="J4" s="7">
        <f t="shared" si="8"/>
        <v>444.0348</v>
      </c>
      <c r="K4" s="7">
        <f>0.1*J4</f>
        <v>44.40348</v>
      </c>
      <c r="L4" s="7">
        <f t="shared" ref="L4:M4" si="9">K4</f>
        <v>44.40348</v>
      </c>
      <c r="M4" s="7">
        <f t="shared" si="9"/>
        <v>44.40348</v>
      </c>
      <c r="N4" s="3">
        <v>0.0</v>
      </c>
      <c r="O4" s="7">
        <f t="shared" si="6"/>
        <v>0</v>
      </c>
      <c r="P4" s="3">
        <v>0.0</v>
      </c>
      <c r="Q4" s="3">
        <v>0.0</v>
      </c>
    </row>
    <row r="5">
      <c r="A5" s="3" t="s">
        <v>211</v>
      </c>
      <c r="B5" s="3">
        <f>B10*B2</f>
        <v>1</v>
      </c>
      <c r="C5" s="7">
        <f>(0.9*B3/2)+B5</f>
        <v>450.55</v>
      </c>
      <c r="D5" s="7">
        <f t="shared" si="3"/>
        <v>450.55</v>
      </c>
      <c r="E5" s="3">
        <v>0.0</v>
      </c>
      <c r="F5" s="7">
        <f>D5</f>
        <v>450.55</v>
      </c>
      <c r="G5" s="7">
        <f t="shared" si="4"/>
        <v>450.55</v>
      </c>
      <c r="H5" s="7">
        <f>H10*H2</f>
        <v>0.9173470408</v>
      </c>
      <c r="I5" s="7">
        <f>G5-H5</f>
        <v>449.632653</v>
      </c>
      <c r="J5" s="3">
        <v>0.0</v>
      </c>
      <c r="K5" s="7">
        <f t="shared" ref="K5:L5" si="10">J5</f>
        <v>0</v>
      </c>
      <c r="L5" s="7">
        <f t="shared" si="10"/>
        <v>0</v>
      </c>
      <c r="M5" s="3">
        <v>0.0</v>
      </c>
      <c r="N5" s="3">
        <v>0.0</v>
      </c>
      <c r="O5" s="7">
        <f t="shared" si="6"/>
        <v>0</v>
      </c>
      <c r="P5" s="3">
        <v>0.0</v>
      </c>
      <c r="Q5" s="3">
        <v>0.0</v>
      </c>
    </row>
    <row r="6">
      <c r="A6" s="3" t="s">
        <v>212</v>
      </c>
      <c r="B6" s="3">
        <f>B11*B2</f>
        <v>0</v>
      </c>
      <c r="C6" s="7">
        <f t="shared" ref="C6:D6" si="11">B6</f>
        <v>0</v>
      </c>
      <c r="D6" s="7">
        <f t="shared" si="11"/>
        <v>0</v>
      </c>
      <c r="E6" s="3">
        <v>0.0</v>
      </c>
      <c r="F6" s="3">
        <v>0.0</v>
      </c>
      <c r="G6" s="7">
        <f t="shared" si="4"/>
        <v>0</v>
      </c>
      <c r="H6" s="3">
        <v>0.0</v>
      </c>
      <c r="I6" s="3">
        <v>0.0</v>
      </c>
      <c r="J6" s="7">
        <f>J4</f>
        <v>444.0348</v>
      </c>
      <c r="K6" s="7">
        <f>0.1*J6</f>
        <v>44.40348</v>
      </c>
      <c r="L6" s="7">
        <f t="shared" ref="L6:M6" si="12">K6</f>
        <v>44.40348</v>
      </c>
      <c r="M6" s="7">
        <f t="shared" si="12"/>
        <v>44.40348</v>
      </c>
      <c r="N6" s="3">
        <v>0.0</v>
      </c>
      <c r="O6" s="7">
        <f t="shared" si="6"/>
        <v>0</v>
      </c>
      <c r="P6" s="3">
        <v>0.0</v>
      </c>
      <c r="Q6" s="3">
        <v>0.0</v>
      </c>
    </row>
    <row r="7">
      <c r="A7" s="3" t="s">
        <v>213</v>
      </c>
      <c r="B7" s="3">
        <f>B12*B2</f>
        <v>0</v>
      </c>
      <c r="C7" s="7">
        <f t="shared" ref="C7:D7" si="13">B7</f>
        <v>0</v>
      </c>
      <c r="D7" s="7">
        <f t="shared" si="13"/>
        <v>0</v>
      </c>
      <c r="E7" s="3">
        <v>0.0</v>
      </c>
      <c r="F7" s="3">
        <v>0.0</v>
      </c>
      <c r="G7" s="7">
        <f t="shared" si="4"/>
        <v>0</v>
      </c>
      <c r="H7" s="3">
        <v>0.0</v>
      </c>
      <c r="I7" s="3">
        <v>0.0</v>
      </c>
      <c r="J7" s="3">
        <v>0.0</v>
      </c>
      <c r="K7" s="7">
        <f>0.9*J6</f>
        <v>399.63132</v>
      </c>
      <c r="L7" s="7">
        <f t="shared" ref="L7:L12" si="14">K7</f>
        <v>399.63132</v>
      </c>
      <c r="M7" s="3">
        <v>0.0</v>
      </c>
      <c r="N7" s="7">
        <f>L7</f>
        <v>399.63132</v>
      </c>
      <c r="O7" s="7">
        <f t="shared" si="6"/>
        <v>399.63132</v>
      </c>
      <c r="P7" s="29">
        <f>P12*P2</f>
        <v>399.6272307</v>
      </c>
      <c r="Q7" s="7">
        <f>O7-P7</f>
        <v>0.004089258</v>
      </c>
    </row>
    <row r="8">
      <c r="A8" s="3" t="s">
        <v>191</v>
      </c>
      <c r="B8" s="3">
        <v>0.999</v>
      </c>
      <c r="C8" s="7">
        <f>C3/C2</f>
        <v>0.0999</v>
      </c>
      <c r="D8" s="7">
        <f t="shared" ref="D8:D12" si="15">C8</f>
        <v>0.0999</v>
      </c>
      <c r="E8" s="3">
        <v>0.01</v>
      </c>
      <c r="F8" s="7">
        <f>F3/F2</f>
        <v>0.1730161983</v>
      </c>
      <c r="G8" s="7">
        <f t="shared" si="4"/>
        <v>0.1730161983</v>
      </c>
      <c r="H8" s="3">
        <v>0.99</v>
      </c>
      <c r="I8" s="3">
        <v>0.01</v>
      </c>
      <c r="J8" s="7">
        <f>J3/J2</f>
        <v>0.005025125628</v>
      </c>
      <c r="K8" s="7">
        <f t="shared" ref="K8:K12" si="17">K3/K$2</f>
        <v>0.009099181074</v>
      </c>
      <c r="L8" s="7">
        <f t="shared" si="14"/>
        <v>0.009099181074</v>
      </c>
      <c r="M8" s="7">
        <f>M3/M2</f>
        <v>0</v>
      </c>
      <c r="N8" s="7">
        <f t="shared" ref="N8:N12" si="18">N3/N$2</f>
        <v>0.01109877913</v>
      </c>
      <c r="O8" s="7">
        <f t="shared" si="6"/>
        <v>0.01109877913</v>
      </c>
      <c r="P8" s="3">
        <v>0.001</v>
      </c>
      <c r="Q8" s="3">
        <v>0.999</v>
      </c>
    </row>
    <row r="9">
      <c r="A9" s="3" t="s">
        <v>214</v>
      </c>
      <c r="B9" s="3">
        <v>0.0</v>
      </c>
      <c r="C9" s="7">
        <f>C4/C2</f>
        <v>0.44955</v>
      </c>
      <c r="D9" s="7">
        <f t="shared" si="15"/>
        <v>0.44955</v>
      </c>
      <c r="E9" s="3">
        <v>0.99</v>
      </c>
      <c r="F9" s="3">
        <v>0.01</v>
      </c>
      <c r="G9" s="7">
        <f t="shared" si="4"/>
        <v>0.01</v>
      </c>
      <c r="H9" s="3">
        <v>0.0</v>
      </c>
      <c r="I9" s="7">
        <f t="shared" ref="I9:J9" si="16">I4/I2</f>
        <v>0.01199623367</v>
      </c>
      <c r="J9" s="7">
        <f t="shared" si="16"/>
        <v>0.4974874372</v>
      </c>
      <c r="K9" s="7">
        <f t="shared" si="17"/>
        <v>0.09008189263</v>
      </c>
      <c r="L9" s="7">
        <f t="shared" si="14"/>
        <v>0.09008189263</v>
      </c>
      <c r="M9" s="7">
        <f>M4/M2</f>
        <v>0.5</v>
      </c>
      <c r="N9" s="7">
        <f t="shared" si="18"/>
        <v>0</v>
      </c>
      <c r="O9" s="3">
        <v>0.0</v>
      </c>
      <c r="P9" s="3">
        <v>0.0</v>
      </c>
      <c r="Q9" s="3">
        <v>0.0</v>
      </c>
    </row>
    <row r="10">
      <c r="A10" s="3" t="s">
        <v>193</v>
      </c>
      <c r="B10" s="3">
        <v>0.001</v>
      </c>
      <c r="C10" s="7">
        <f>C5/C2</f>
        <v>0.45055</v>
      </c>
      <c r="D10" s="7">
        <f t="shared" si="15"/>
        <v>0.45055</v>
      </c>
      <c r="E10" s="3">
        <v>0.0</v>
      </c>
      <c r="F10" s="7">
        <f>F5/F2</f>
        <v>0.8169848716</v>
      </c>
      <c r="G10" s="7">
        <f t="shared" si="4"/>
        <v>0.8169848716</v>
      </c>
      <c r="H10" s="3">
        <v>0.01</v>
      </c>
      <c r="I10" s="7">
        <f t="shared" ref="I10:J10" si="19">I5/I2</f>
        <v>0.9780059415</v>
      </c>
      <c r="J10" s="7">
        <f t="shared" si="19"/>
        <v>0</v>
      </c>
      <c r="K10" s="7">
        <f t="shared" si="17"/>
        <v>0</v>
      </c>
      <c r="L10" s="7">
        <f t="shared" si="14"/>
        <v>0</v>
      </c>
      <c r="M10" s="7">
        <f>M5/M2</f>
        <v>0</v>
      </c>
      <c r="N10" s="7">
        <f t="shared" si="18"/>
        <v>0</v>
      </c>
      <c r="O10" s="7">
        <f t="shared" ref="O10:O12" si="20">N10</f>
        <v>0</v>
      </c>
      <c r="P10" s="3">
        <v>0.0</v>
      </c>
      <c r="Q10" s="3">
        <v>0.0</v>
      </c>
    </row>
    <row r="11">
      <c r="A11" s="3" t="s">
        <v>215</v>
      </c>
      <c r="B11" s="3">
        <v>0.0</v>
      </c>
      <c r="C11" s="7">
        <f>C6/C2</f>
        <v>0</v>
      </c>
      <c r="D11" s="7">
        <f t="shared" si="15"/>
        <v>0</v>
      </c>
      <c r="E11" s="3">
        <v>0.0</v>
      </c>
      <c r="F11" s="7">
        <f>F6/F2</f>
        <v>0</v>
      </c>
      <c r="G11" s="7">
        <f t="shared" si="4"/>
        <v>0</v>
      </c>
      <c r="H11" s="3">
        <v>0.0</v>
      </c>
      <c r="I11" s="3">
        <v>0.0</v>
      </c>
      <c r="J11" s="7">
        <f>J6/J2</f>
        <v>0.4974874372</v>
      </c>
      <c r="K11" s="7">
        <f t="shared" si="17"/>
        <v>0.09008189263</v>
      </c>
      <c r="L11" s="7">
        <f t="shared" si="14"/>
        <v>0.09008189263</v>
      </c>
      <c r="M11" s="7">
        <f>M6/M2</f>
        <v>0.5</v>
      </c>
      <c r="N11" s="7">
        <f t="shared" si="18"/>
        <v>0</v>
      </c>
      <c r="O11" s="7">
        <f t="shared" si="20"/>
        <v>0</v>
      </c>
      <c r="P11" s="3">
        <v>0.0</v>
      </c>
      <c r="Q11" s="3">
        <v>0.0</v>
      </c>
    </row>
    <row r="12">
      <c r="A12" s="3" t="s">
        <v>216</v>
      </c>
      <c r="B12" s="3">
        <v>0.0</v>
      </c>
      <c r="C12" s="7">
        <f>C7/C2</f>
        <v>0</v>
      </c>
      <c r="D12" s="7">
        <f t="shared" si="15"/>
        <v>0</v>
      </c>
      <c r="E12" s="3">
        <v>0.0</v>
      </c>
      <c r="F12" s="7">
        <f>F7/F2</f>
        <v>0</v>
      </c>
      <c r="G12" s="7">
        <f t="shared" si="4"/>
        <v>0</v>
      </c>
      <c r="H12" s="3">
        <v>0.0</v>
      </c>
      <c r="I12" s="3">
        <v>0.0</v>
      </c>
      <c r="J12" s="7">
        <f>J7/J2</f>
        <v>0</v>
      </c>
      <c r="K12" s="7">
        <f t="shared" si="17"/>
        <v>0.8107370337</v>
      </c>
      <c r="L12" s="7">
        <f t="shared" si="14"/>
        <v>0.8107370337</v>
      </c>
      <c r="M12" s="7">
        <f>M8/M2</f>
        <v>0</v>
      </c>
      <c r="N12" s="7">
        <f t="shared" si="18"/>
        <v>0.9889012209</v>
      </c>
      <c r="O12" s="7">
        <f t="shared" si="20"/>
        <v>0.9889012209</v>
      </c>
      <c r="P12" s="3">
        <v>0.999</v>
      </c>
      <c r="Q12" s="3">
        <v>0.001</v>
      </c>
    </row>
    <row r="14">
      <c r="A14" s="3" t="s">
        <v>197</v>
      </c>
      <c r="M14" s="3" t="s">
        <v>173</v>
      </c>
    </row>
    <row r="15">
      <c r="A15" s="3" t="s">
        <v>19</v>
      </c>
      <c r="B15" s="3"/>
      <c r="C15" s="3">
        <v>64.7</v>
      </c>
      <c r="E15" s="27"/>
      <c r="F15" s="3" t="s">
        <v>217</v>
      </c>
      <c r="H15" s="3" t="s">
        <v>60</v>
      </c>
      <c r="M15" s="7">
        <f>J6-M6</f>
        <v>399.63132</v>
      </c>
      <c r="N15" s="12" t="s">
        <v>93</v>
      </c>
    </row>
    <row r="16">
      <c r="A16" s="3" t="s">
        <v>49</v>
      </c>
      <c r="C16" s="3">
        <v>-24.0</v>
      </c>
      <c r="E16" s="28"/>
      <c r="F16" s="3" t="s">
        <v>218</v>
      </c>
      <c r="H16" s="7">
        <f>B3-H3</f>
        <v>908.182643</v>
      </c>
      <c r="I16" s="12" t="s">
        <v>85</v>
      </c>
    </row>
    <row r="17">
      <c r="A17" s="3" t="s">
        <v>50</v>
      </c>
      <c r="B17" s="3"/>
      <c r="C17" s="3">
        <v>100.0</v>
      </c>
      <c r="E17" s="16"/>
      <c r="F17" s="3" t="s">
        <v>219</v>
      </c>
    </row>
    <row r="18">
      <c r="A18" s="3" t="s">
        <v>7</v>
      </c>
      <c r="B18" s="3"/>
      <c r="C18" s="3">
        <v>57.1</v>
      </c>
      <c r="E18" s="29"/>
      <c r="F18" s="3" t="s">
        <v>0</v>
      </c>
    </row>
    <row r="19">
      <c r="A19" s="3" t="s">
        <v>21</v>
      </c>
      <c r="C19" s="3">
        <v>-191.5</v>
      </c>
    </row>
    <row r="22">
      <c r="H22" s="7">
        <f>H2/G2</f>
        <v>0.1663430594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5.75"/>
    <col customWidth="1" min="3" max="3" width="19.0"/>
    <col customWidth="1" min="6" max="6" width="25.0"/>
    <col customWidth="1" min="10" max="10" width="15.75"/>
    <col customWidth="1" min="11" max="11" width="18.5"/>
  </cols>
  <sheetData>
    <row r="1">
      <c r="B1" s="3" t="s">
        <v>202</v>
      </c>
      <c r="C1" s="3" t="s">
        <v>203</v>
      </c>
      <c r="D1" s="3" t="s">
        <v>204</v>
      </c>
      <c r="E1" s="3" t="s">
        <v>178</v>
      </c>
      <c r="F1" s="3" t="s">
        <v>179</v>
      </c>
      <c r="G1" s="3" t="s">
        <v>205</v>
      </c>
      <c r="H1" s="8" t="s">
        <v>206</v>
      </c>
      <c r="I1" s="3" t="s">
        <v>182</v>
      </c>
      <c r="J1" s="3" t="s">
        <v>207</v>
      </c>
      <c r="K1" s="3" t="s">
        <v>208</v>
      </c>
      <c r="L1" s="3" t="s">
        <v>183</v>
      </c>
      <c r="M1" s="8" t="s">
        <v>209</v>
      </c>
      <c r="N1" s="3" t="s">
        <v>185</v>
      </c>
      <c r="O1" s="3" t="s">
        <v>186</v>
      </c>
      <c r="P1" s="3" t="s">
        <v>187</v>
      </c>
      <c r="Q1" s="3" t="s">
        <v>188</v>
      </c>
    </row>
    <row r="2">
      <c r="A2" s="3" t="s">
        <v>189</v>
      </c>
      <c r="B2" s="3">
        <v>1000.0</v>
      </c>
      <c r="C2" s="7">
        <f>SUM(C3:C7)</f>
        <v>1000</v>
      </c>
      <c r="D2" s="7">
        <f t="shared" ref="D2:D5" si="3">C2</f>
        <v>1000</v>
      </c>
      <c r="E2" s="26">
        <v>448.52</v>
      </c>
      <c r="F2" s="26">
        <v>551.479</v>
      </c>
      <c r="G2" s="7">
        <f t="shared" ref="G2:G7" si="4">F2</f>
        <v>551.479</v>
      </c>
      <c r="H2" s="26">
        <v>91.73470408</v>
      </c>
      <c r="I2" s="26">
        <v>459.7442959</v>
      </c>
      <c r="J2" s="7">
        <f t="shared" ref="J2:K2" si="1">J3+J4+J5+J6+J7+J8+J9</f>
        <v>1341.052261</v>
      </c>
      <c r="K2" s="20">
        <f t="shared" si="1"/>
        <v>944.9910704</v>
      </c>
      <c r="L2" s="7">
        <f t="shared" ref="L2:L4" si="5">K2</f>
        <v>944.9910704</v>
      </c>
      <c r="M2" s="27">
        <f t="shared" ref="M2:N2" si="2">M3+M4+M5+M6+M7</f>
        <v>532.3954939</v>
      </c>
      <c r="N2" s="27">
        <f t="shared" si="2"/>
        <v>408.1329152</v>
      </c>
      <c r="O2" s="7">
        <f t="shared" ref="O2:O7" si="6">N2</f>
        <v>408.1329152</v>
      </c>
      <c r="P2" s="26">
        <v>400.027258</v>
      </c>
      <c r="Q2" s="26">
        <v>4.089262</v>
      </c>
    </row>
    <row r="3">
      <c r="A3" s="3" t="s">
        <v>85</v>
      </c>
      <c r="B3" s="3">
        <f>B2*B12</f>
        <v>999</v>
      </c>
      <c r="C3" s="7">
        <f>0.1*B3</f>
        <v>99.9</v>
      </c>
      <c r="D3" s="7">
        <f t="shared" si="3"/>
        <v>99.9</v>
      </c>
      <c r="E3" s="28">
        <f>E12*E2</f>
        <v>4.4852</v>
      </c>
      <c r="F3" s="7">
        <f t="shared" ref="F3:F4" si="7">D3-E3</f>
        <v>95.4148</v>
      </c>
      <c r="G3" s="7">
        <f t="shared" si="4"/>
        <v>95.4148</v>
      </c>
      <c r="H3" s="7">
        <f>H12*H2</f>
        <v>90.81735704</v>
      </c>
      <c r="I3" s="7">
        <f>G3-H3</f>
        <v>4.597442961</v>
      </c>
      <c r="J3" s="7">
        <f t="shared" ref="J3:J4" si="8">E3</f>
        <v>4.4852</v>
      </c>
      <c r="K3" s="20">
        <f>J3+K9</f>
        <v>8.501595176</v>
      </c>
      <c r="L3" s="7">
        <f t="shared" si="5"/>
        <v>8.501595176</v>
      </c>
      <c r="M3" s="3">
        <v>0.0</v>
      </c>
      <c r="N3" s="7">
        <f>L3</f>
        <v>8.501595176</v>
      </c>
      <c r="O3" s="7">
        <f t="shared" si="6"/>
        <v>8.501595176</v>
      </c>
      <c r="P3" s="7">
        <f>P12*P2</f>
        <v>0.400027258</v>
      </c>
      <c r="Q3" s="7">
        <f>O3-P3</f>
        <v>8.101567918</v>
      </c>
    </row>
    <row r="4">
      <c r="A4" s="3" t="s">
        <v>210</v>
      </c>
      <c r="B4" s="3">
        <f>B13*B2</f>
        <v>0</v>
      </c>
      <c r="C4" s="7">
        <f>0.9*B3/2</f>
        <v>449.55</v>
      </c>
      <c r="D4" s="7">
        <f t="shared" si="3"/>
        <v>449.55</v>
      </c>
      <c r="E4" s="28">
        <f>E13*E2</f>
        <v>444.0348</v>
      </c>
      <c r="F4" s="7">
        <f t="shared" si="7"/>
        <v>5.5152</v>
      </c>
      <c r="G4" s="7">
        <f t="shared" si="4"/>
        <v>5.5152</v>
      </c>
      <c r="H4" s="3">
        <v>0.0</v>
      </c>
      <c r="I4" s="7">
        <f>G4</f>
        <v>5.5152</v>
      </c>
      <c r="J4" s="7">
        <f t="shared" si="8"/>
        <v>444.0348</v>
      </c>
      <c r="K4" s="20">
        <f>0.1*J4-K8</f>
        <v>43.95721387</v>
      </c>
      <c r="L4" s="7">
        <f t="shared" si="5"/>
        <v>43.95721387</v>
      </c>
      <c r="M4" s="7">
        <f>L4</f>
        <v>43.95721387</v>
      </c>
      <c r="N4" s="3">
        <v>0.0</v>
      </c>
      <c r="O4" s="7">
        <f t="shared" si="6"/>
        <v>0</v>
      </c>
      <c r="P4" s="3">
        <v>0.0</v>
      </c>
      <c r="Q4" s="3">
        <v>0.0</v>
      </c>
    </row>
    <row r="5">
      <c r="A5" s="3" t="s">
        <v>211</v>
      </c>
      <c r="B5" s="3">
        <f>B14*B2</f>
        <v>1</v>
      </c>
      <c r="C5" s="7">
        <f>(0.9*B3/2)+B5</f>
        <v>450.55</v>
      </c>
      <c r="D5" s="7">
        <f t="shared" si="3"/>
        <v>450.55</v>
      </c>
      <c r="E5" s="3">
        <v>0.0</v>
      </c>
      <c r="F5" s="7">
        <f>D5</f>
        <v>450.55</v>
      </c>
      <c r="G5" s="7">
        <f t="shared" si="4"/>
        <v>450.55</v>
      </c>
      <c r="H5" s="7">
        <f>H14*H2</f>
        <v>0.9173470408</v>
      </c>
      <c r="I5" s="7">
        <f>G5-H5</f>
        <v>449.632653</v>
      </c>
      <c r="J5" s="3">
        <v>0.0</v>
      </c>
      <c r="K5" s="20">
        <f t="shared" ref="K5:L5" si="9">J5</f>
        <v>0</v>
      </c>
      <c r="L5" s="7">
        <f t="shared" si="9"/>
        <v>0</v>
      </c>
      <c r="M5" s="3">
        <v>0.0</v>
      </c>
      <c r="N5" s="3">
        <v>0.0</v>
      </c>
      <c r="O5" s="7">
        <f t="shared" si="6"/>
        <v>0</v>
      </c>
      <c r="P5" s="3">
        <v>0.0</v>
      </c>
      <c r="Q5" s="3">
        <v>0.0</v>
      </c>
    </row>
    <row r="6">
      <c r="A6" s="3" t="s">
        <v>212</v>
      </c>
      <c r="B6" s="3">
        <f>B15*B2</f>
        <v>0</v>
      </c>
      <c r="C6" s="7">
        <f t="shared" ref="C6:D6" si="10">B6</f>
        <v>0</v>
      </c>
      <c r="D6" s="7">
        <f t="shared" si="10"/>
        <v>0</v>
      </c>
      <c r="E6" s="3">
        <v>0.0</v>
      </c>
      <c r="F6" s="3">
        <v>0.0</v>
      </c>
      <c r="G6" s="7">
        <f t="shared" si="4"/>
        <v>0</v>
      </c>
      <c r="H6" s="3">
        <v>0.0</v>
      </c>
      <c r="I6" s="3">
        <v>0.0</v>
      </c>
      <c r="J6" s="7">
        <f>J4*2</f>
        <v>888.0696</v>
      </c>
      <c r="K6" s="20">
        <f>J6-J4*0.9</f>
        <v>488.43828</v>
      </c>
      <c r="L6" s="7">
        <f t="shared" ref="L6:M6" si="11">K6</f>
        <v>488.43828</v>
      </c>
      <c r="M6" s="7">
        <f t="shared" si="11"/>
        <v>488.43828</v>
      </c>
      <c r="N6" s="3">
        <v>0.0</v>
      </c>
      <c r="O6" s="7">
        <f t="shared" si="6"/>
        <v>0</v>
      </c>
      <c r="P6" s="3">
        <v>0.0</v>
      </c>
      <c r="Q6" s="3">
        <v>0.0</v>
      </c>
    </row>
    <row r="7">
      <c r="A7" s="3" t="s">
        <v>213</v>
      </c>
      <c r="B7" s="3">
        <f>B16*B2</f>
        <v>0</v>
      </c>
      <c r="C7" s="7">
        <f t="shared" ref="C7:D7" si="12">B7</f>
        <v>0</v>
      </c>
      <c r="D7" s="7">
        <f t="shared" si="12"/>
        <v>0</v>
      </c>
      <c r="E7" s="3">
        <v>0.0</v>
      </c>
      <c r="F7" s="3">
        <v>0.0</v>
      </c>
      <c r="G7" s="7">
        <f t="shared" si="4"/>
        <v>0</v>
      </c>
      <c r="H7" s="3">
        <v>0.0</v>
      </c>
      <c r="I7" s="3">
        <v>0.0</v>
      </c>
      <c r="J7" s="3">
        <v>0.0</v>
      </c>
      <c r="K7" s="20">
        <f>0.9*J4</f>
        <v>399.63132</v>
      </c>
      <c r="L7" s="7">
        <f t="shared" ref="L7:L9" si="13">K7</f>
        <v>399.63132</v>
      </c>
      <c r="M7" s="3">
        <v>0.0</v>
      </c>
      <c r="N7" s="7">
        <f>L7</f>
        <v>399.63132</v>
      </c>
      <c r="O7" s="7">
        <f t="shared" si="6"/>
        <v>399.63132</v>
      </c>
      <c r="P7" s="29">
        <f>P16*P2</f>
        <v>399.6272307</v>
      </c>
      <c r="Q7" s="7">
        <f>O7-P7</f>
        <v>0.004089258</v>
      </c>
    </row>
    <row r="8">
      <c r="A8" s="3" t="s">
        <v>220</v>
      </c>
      <c r="J8" s="7">
        <f>J6*0.5/99.5</f>
        <v>4.462661307</v>
      </c>
      <c r="K8" s="20">
        <f>0.1*J8</f>
        <v>0.4462661307</v>
      </c>
      <c r="L8" s="7">
        <f t="shared" si="13"/>
        <v>0.4462661307</v>
      </c>
    </row>
    <row r="9">
      <c r="A9" s="3" t="s">
        <v>221</v>
      </c>
      <c r="J9" s="3">
        <v>0.0</v>
      </c>
      <c r="K9" s="20">
        <f>0.9*J8</f>
        <v>4.016395176</v>
      </c>
      <c r="L9" s="7">
        <f t="shared" si="13"/>
        <v>4.016395176</v>
      </c>
    </row>
    <row r="12">
      <c r="A12" s="3" t="s">
        <v>191</v>
      </c>
      <c r="B12" s="3">
        <v>0.999</v>
      </c>
      <c r="C12" s="7">
        <f>C3/C2</f>
        <v>0.0999</v>
      </c>
      <c r="D12" s="7">
        <f t="shared" ref="D12:D16" si="14">C12</f>
        <v>0.0999</v>
      </c>
      <c r="E12" s="3">
        <v>0.01</v>
      </c>
      <c r="F12" s="7">
        <f>F3/F2</f>
        <v>0.1730161983</v>
      </c>
      <c r="G12" s="7">
        <f t="shared" ref="G12:G16" si="15">F12</f>
        <v>0.1730161983</v>
      </c>
      <c r="H12" s="3">
        <v>0.99</v>
      </c>
      <c r="I12" s="3">
        <v>0.01</v>
      </c>
      <c r="J12" s="7">
        <f>J3/J2</f>
        <v>0.003344537815</v>
      </c>
      <c r="K12" s="7">
        <f t="shared" ref="K12:K16" si="17">K3/K$2</f>
        <v>0.008996482023</v>
      </c>
      <c r="L12" s="7">
        <f t="shared" ref="L12:L16" si="18">K12</f>
        <v>0.008996482023</v>
      </c>
      <c r="M12" s="7">
        <f>M3/M2</f>
        <v>0</v>
      </c>
      <c r="N12" s="7">
        <f t="shared" ref="N12:N16" si="19">N3/N$2</f>
        <v>0.02083045709</v>
      </c>
      <c r="O12" s="7">
        <f>N12</f>
        <v>0.02083045709</v>
      </c>
      <c r="P12" s="3">
        <v>0.001</v>
      </c>
      <c r="Q12" s="3">
        <v>0.999</v>
      </c>
    </row>
    <row r="13">
      <c r="A13" s="3" t="s">
        <v>214</v>
      </c>
      <c r="B13" s="3">
        <v>0.0</v>
      </c>
      <c r="C13" s="7">
        <f>C4/C2</f>
        <v>0.44955</v>
      </c>
      <c r="D13" s="7">
        <f t="shared" si="14"/>
        <v>0.44955</v>
      </c>
      <c r="E13" s="3">
        <v>0.99</v>
      </c>
      <c r="F13" s="3">
        <v>0.01</v>
      </c>
      <c r="G13" s="7">
        <f t="shared" si="15"/>
        <v>0.01</v>
      </c>
      <c r="H13" s="3">
        <v>0.0</v>
      </c>
      <c r="I13" s="7">
        <f t="shared" ref="I13:J13" si="16">I4/I2</f>
        <v>0.01199623367</v>
      </c>
      <c r="J13" s="7">
        <f t="shared" si="16"/>
        <v>0.3311092437</v>
      </c>
      <c r="K13" s="7">
        <f t="shared" si="17"/>
        <v>0.04651600978</v>
      </c>
      <c r="L13" s="7">
        <f t="shared" si="18"/>
        <v>0.04651600978</v>
      </c>
      <c r="M13" s="7">
        <f>M4/M2</f>
        <v>0.08256496228</v>
      </c>
      <c r="N13" s="7">
        <f t="shared" si="19"/>
        <v>0</v>
      </c>
      <c r="O13" s="3">
        <v>0.0</v>
      </c>
      <c r="P13" s="3">
        <v>0.0</v>
      </c>
      <c r="Q13" s="3">
        <v>0.0</v>
      </c>
    </row>
    <row r="14">
      <c r="A14" s="3" t="s">
        <v>193</v>
      </c>
      <c r="B14" s="3">
        <v>0.001</v>
      </c>
      <c r="C14" s="7">
        <f>C5/C2</f>
        <v>0.45055</v>
      </c>
      <c r="D14" s="7">
        <f t="shared" si="14"/>
        <v>0.45055</v>
      </c>
      <c r="E14" s="3">
        <v>0.0</v>
      </c>
      <c r="F14" s="7">
        <f>F5/F2</f>
        <v>0.8169848716</v>
      </c>
      <c r="G14" s="7">
        <f t="shared" si="15"/>
        <v>0.8169848716</v>
      </c>
      <c r="H14" s="3">
        <v>0.01</v>
      </c>
      <c r="I14" s="7">
        <f t="shared" ref="I14:J14" si="20">I5/I2</f>
        <v>0.9780059415</v>
      </c>
      <c r="J14" s="7">
        <f t="shared" si="20"/>
        <v>0</v>
      </c>
      <c r="K14" s="7">
        <f t="shared" si="17"/>
        <v>0</v>
      </c>
      <c r="L14" s="7">
        <f t="shared" si="18"/>
        <v>0</v>
      </c>
      <c r="M14" s="7">
        <f>M5/M2</f>
        <v>0</v>
      </c>
      <c r="N14" s="7">
        <f t="shared" si="19"/>
        <v>0</v>
      </c>
      <c r="O14" s="7">
        <f t="shared" ref="O14:O16" si="21">N14</f>
        <v>0</v>
      </c>
      <c r="P14" s="3">
        <v>0.0</v>
      </c>
      <c r="Q14" s="3">
        <v>0.0</v>
      </c>
    </row>
    <row r="15">
      <c r="A15" s="3" t="s">
        <v>215</v>
      </c>
      <c r="B15" s="3">
        <v>0.0</v>
      </c>
      <c r="C15" s="7">
        <f>C6/C2</f>
        <v>0</v>
      </c>
      <c r="D15" s="7">
        <f t="shared" si="14"/>
        <v>0</v>
      </c>
      <c r="E15" s="3">
        <v>0.0</v>
      </c>
      <c r="F15" s="7">
        <f>F6/F2</f>
        <v>0</v>
      </c>
      <c r="G15" s="7">
        <f t="shared" si="15"/>
        <v>0</v>
      </c>
      <c r="H15" s="3">
        <v>0.0</v>
      </c>
      <c r="I15" s="3">
        <v>0.0</v>
      </c>
      <c r="J15" s="7">
        <f>J6/J2</f>
        <v>0.6622184874</v>
      </c>
      <c r="K15" s="7">
        <f t="shared" si="17"/>
        <v>0.5168707889</v>
      </c>
      <c r="L15" s="7">
        <f t="shared" si="18"/>
        <v>0.5168707889</v>
      </c>
      <c r="M15" s="7">
        <f>M6/M2</f>
        <v>0.9174350377</v>
      </c>
      <c r="N15" s="7">
        <f t="shared" si="19"/>
        <v>0</v>
      </c>
      <c r="O15" s="7">
        <f t="shared" si="21"/>
        <v>0</v>
      </c>
      <c r="P15" s="3">
        <v>0.0</v>
      </c>
      <c r="Q15" s="3">
        <v>0.0</v>
      </c>
    </row>
    <row r="16">
      <c r="A16" s="3" t="s">
        <v>216</v>
      </c>
      <c r="B16" s="3">
        <v>0.0</v>
      </c>
      <c r="C16" s="7">
        <f>C7/C2</f>
        <v>0</v>
      </c>
      <c r="D16" s="7">
        <f t="shared" si="14"/>
        <v>0</v>
      </c>
      <c r="E16" s="3">
        <v>0.0</v>
      </c>
      <c r="F16" s="7">
        <f>F7/F2</f>
        <v>0</v>
      </c>
      <c r="G16" s="7">
        <f t="shared" si="15"/>
        <v>0</v>
      </c>
      <c r="H16" s="3">
        <v>0.0</v>
      </c>
      <c r="I16" s="3">
        <v>0.0</v>
      </c>
      <c r="J16" s="7">
        <f>J7/J2</f>
        <v>0</v>
      </c>
      <c r="K16" s="7">
        <f t="shared" si="17"/>
        <v>0.4228942818</v>
      </c>
      <c r="L16" s="7">
        <f t="shared" si="18"/>
        <v>0.4228942818</v>
      </c>
      <c r="M16" s="7">
        <f>M12/M2</f>
        <v>0</v>
      </c>
      <c r="N16" s="7">
        <f t="shared" si="19"/>
        <v>0.9791695429</v>
      </c>
      <c r="O16" s="7">
        <f t="shared" si="21"/>
        <v>0.9791695429</v>
      </c>
      <c r="P16" s="3">
        <v>0.999</v>
      </c>
      <c r="Q16" s="3">
        <v>0.001</v>
      </c>
    </row>
    <row r="17">
      <c r="A17" s="3" t="s">
        <v>222</v>
      </c>
      <c r="J17" s="7">
        <f t="shared" ref="J17:K17" si="22">J8/J2</f>
        <v>0.003327731092</v>
      </c>
      <c r="K17" s="7">
        <f t="shared" si="22"/>
        <v>0.0004722437541</v>
      </c>
    </row>
    <row r="18">
      <c r="A18" s="3" t="s">
        <v>223</v>
      </c>
      <c r="J18" s="7">
        <f t="shared" ref="J18:K18" si="23">J9/J2</f>
        <v>0</v>
      </c>
      <c r="K18" s="7">
        <f t="shared" si="23"/>
        <v>0.004250193787</v>
      </c>
      <c r="M18" s="3" t="s">
        <v>173</v>
      </c>
    </row>
    <row r="19">
      <c r="M19" s="7">
        <f>J6-M6</f>
        <v>399.63132</v>
      </c>
      <c r="N19" s="12" t="s">
        <v>93</v>
      </c>
    </row>
    <row r="20">
      <c r="A20" s="3" t="s">
        <v>197</v>
      </c>
    </row>
    <row r="21">
      <c r="A21" s="3" t="s">
        <v>19</v>
      </c>
      <c r="B21" s="3"/>
      <c r="C21" s="3">
        <v>64.7</v>
      </c>
      <c r="E21" s="27"/>
      <c r="F21" s="3" t="s">
        <v>217</v>
      </c>
      <c r="H21" s="3" t="s">
        <v>60</v>
      </c>
    </row>
    <row r="22">
      <c r="A22" s="3" t="s">
        <v>49</v>
      </c>
      <c r="C22" s="3">
        <v>-24.0</v>
      </c>
      <c r="E22" s="28"/>
      <c r="F22" s="3" t="s">
        <v>218</v>
      </c>
      <c r="H22" s="7">
        <f>B3-H3</f>
        <v>908.182643</v>
      </c>
      <c r="I22" s="12" t="s">
        <v>85</v>
      </c>
    </row>
    <row r="23">
      <c r="A23" s="3" t="s">
        <v>50</v>
      </c>
      <c r="B23" s="3"/>
      <c r="C23" s="3">
        <v>100.0</v>
      </c>
      <c r="E23" s="16"/>
      <c r="F23" s="3" t="s">
        <v>219</v>
      </c>
    </row>
    <row r="24">
      <c r="A24" s="3" t="s">
        <v>7</v>
      </c>
      <c r="B24" s="3"/>
      <c r="C24" s="3">
        <v>57.1</v>
      </c>
      <c r="E24" s="29"/>
      <c r="F24" s="3" t="s">
        <v>0</v>
      </c>
    </row>
    <row r="25">
      <c r="A25" s="3" t="s">
        <v>21</v>
      </c>
      <c r="C25" s="3">
        <v>-191.5</v>
      </c>
      <c r="J25" s="3" t="s">
        <v>119</v>
      </c>
      <c r="K25" s="7">
        <v>0.008996482022538907</v>
      </c>
      <c r="M25" s="3" t="s">
        <v>119</v>
      </c>
      <c r="N25" s="7">
        <f>K25</f>
        <v>0.008996482023</v>
      </c>
    </row>
    <row r="26">
      <c r="J26" s="3" t="s">
        <v>49</v>
      </c>
      <c r="K26" s="7">
        <v>0.04651600977878482</v>
      </c>
      <c r="M26" s="3" t="s">
        <v>224</v>
      </c>
      <c r="N26" s="7">
        <f>K31</f>
        <v>0.004250193787</v>
      </c>
    </row>
    <row r="27">
      <c r="J27" s="3" t="s">
        <v>124</v>
      </c>
      <c r="K27" s="7">
        <v>0.0</v>
      </c>
      <c r="M27" s="3" t="s">
        <v>21</v>
      </c>
      <c r="N27" s="7">
        <f>K28</f>
        <v>0.5168707889</v>
      </c>
    </row>
    <row r="28">
      <c r="H28" s="7">
        <f>H2/G2</f>
        <v>0.1663430594</v>
      </c>
      <c r="J28" s="3" t="s">
        <v>21</v>
      </c>
      <c r="K28" s="7">
        <v>0.5168707888617257</v>
      </c>
      <c r="M28" s="3" t="s">
        <v>170</v>
      </c>
      <c r="N28" s="7">
        <f>K30</f>
        <v>0.0004722437541</v>
      </c>
    </row>
    <row r="29">
      <c r="J29" s="3" t="s">
        <v>86</v>
      </c>
      <c r="K29" s="7">
        <v>0.4228942817959573</v>
      </c>
      <c r="M29" s="3" t="s">
        <v>49</v>
      </c>
      <c r="N29" s="7">
        <f>K26</f>
        <v>0.04651600978</v>
      </c>
    </row>
    <row r="30">
      <c r="J30" s="3" t="s">
        <v>170</v>
      </c>
      <c r="K30" s="7">
        <v>4.7224375409933816E-4</v>
      </c>
      <c r="M30" s="3" t="s">
        <v>86</v>
      </c>
      <c r="N30" s="7">
        <f>K29</f>
        <v>0.4228942818</v>
      </c>
    </row>
    <row r="31">
      <c r="J31" s="3" t="s">
        <v>224</v>
      </c>
      <c r="K31" s="7">
        <v>0.004250193786894043</v>
      </c>
    </row>
  </sheetData>
  <drawing r:id="rId1"/>
</worksheet>
</file>