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zing Carbonylation" sheetId="1" r:id="rId4"/>
    <sheet state="visible" name="Sizing Esterification" sheetId="2" r:id="rId5"/>
    <sheet state="visible" name="VGA Carbonylation - H modernite" sheetId="3" r:id="rId6"/>
    <sheet state="visible" name="VGA Esterification" sheetId="4" r:id="rId7"/>
    <sheet state="visible" name="COM Carbonylation Hmodern" sheetId="5" r:id="rId8"/>
    <sheet state="visible" name="COM Esterification" sheetId="6" r:id="rId9"/>
    <sheet state="visible" name="Flash Tank Info for COM" sheetId="7" r:id="rId10"/>
    <sheet state="visible" name="NROI" sheetId="8" r:id="rId11"/>
    <sheet state="visible" name="NPV and IRR" sheetId="9" r:id="rId12"/>
    <sheet state="visible" name="FINAL COMPARISON VALUES" sheetId="10" r:id="rId13"/>
  </sheets>
  <definedNames>
    <definedName localSheetId="5" name="ppd">'COM Esterification'!$B$6</definedName>
    <definedName localSheetId="5" name="PROD">'COM Esterification'!$B$6</definedName>
    <definedName name="PROD">'COM Carbonylation Hmodern'!$B$6</definedName>
    <definedName name="ppd">'COM Carbonylation Hmodern'!$B$6</definedName>
  </definedNames>
  <calcPr/>
  <extLst>
    <ext uri="GoogleSheetsCustomDataVersion1">
      <go:sheetsCustomData xmlns:go="http://customooxmlschemas.google.com/" r:id="rId14" roundtripDataSignature="AMtx7mivu4FT7oo47vX7YKhk8ZgyDAFNsw=="/>
    </ext>
  </extLst>
</workbook>
</file>

<file path=xl/sharedStrings.xml><?xml version="1.0" encoding="utf-8"?>
<sst xmlns="http://schemas.openxmlformats.org/spreadsheetml/2006/main" count="2030" uniqueCount="402">
  <si>
    <t>Dehydration Process</t>
  </si>
  <si>
    <t>Actual Carbonylation</t>
  </si>
  <si>
    <t>C1 (first Vertical Pressure Vessel)</t>
  </si>
  <si>
    <t>C (Vertical Pressure Vessel)</t>
  </si>
  <si>
    <t>Things</t>
  </si>
  <si>
    <t>Quantity</t>
  </si>
  <si>
    <t>Unit</t>
  </si>
  <si>
    <t>N_T</t>
  </si>
  <si>
    <t>pc</t>
  </si>
  <si>
    <t>Reflux/feed</t>
  </si>
  <si>
    <t>Constant</t>
  </si>
  <si>
    <t>Internal Diameter</t>
  </si>
  <si>
    <t>m</t>
  </si>
  <si>
    <t>F_NT</t>
  </si>
  <si>
    <t>Length of column</t>
  </si>
  <si>
    <t>ft</t>
  </si>
  <si>
    <t>F_TT</t>
  </si>
  <si>
    <t>Constant - sieve tray</t>
  </si>
  <si>
    <t>Inflow rate</t>
  </si>
  <si>
    <t>kmol/hr</t>
  </si>
  <si>
    <t>F_TM</t>
  </si>
  <si>
    <t>Constant - carbon steel</t>
  </si>
  <si>
    <t>HOW TO SCALE UP?</t>
  </si>
  <si>
    <t>D_i</t>
  </si>
  <si>
    <t>C_BT</t>
  </si>
  <si>
    <t>$</t>
  </si>
  <si>
    <t>C_T</t>
  </si>
  <si>
    <t>C_PL</t>
  </si>
  <si>
    <t>F_M</t>
  </si>
  <si>
    <t>Density of metal</t>
  </si>
  <si>
    <t>lb/ft^3</t>
  </si>
  <si>
    <t>t_s</t>
  </si>
  <si>
    <t>W</t>
  </si>
  <si>
    <t>lb</t>
  </si>
  <si>
    <t>C_V</t>
  </si>
  <si>
    <t>C_P</t>
  </si>
  <si>
    <t>F_BM</t>
  </si>
  <si>
    <t>Constant - Vertical P. Vessel</t>
  </si>
  <si>
    <t>C_BM</t>
  </si>
  <si>
    <t>C2 (second Vertical Pressure Vessel)</t>
  </si>
  <si>
    <t>Reboiler</t>
  </si>
  <si>
    <t>Heat Transfer Duty</t>
  </si>
  <si>
    <t>Gcal/hr</t>
  </si>
  <si>
    <t>BTU/hr</t>
  </si>
  <si>
    <t xml:space="preserve">Design Flux </t>
  </si>
  <si>
    <t>BTU/hr/ft^2 (phase change)</t>
  </si>
  <si>
    <t>Area of reactor</t>
  </si>
  <si>
    <t>ft^2</t>
  </si>
  <si>
    <t>C_B</t>
  </si>
  <si>
    <t>Constant - Gas compressors</t>
  </si>
  <si>
    <t>Pressure</t>
  </si>
  <si>
    <t>psi</t>
  </si>
  <si>
    <t>F_P</t>
  </si>
  <si>
    <t>F_L</t>
  </si>
  <si>
    <t>Condenser</t>
  </si>
  <si>
    <t>Reboiler First</t>
  </si>
  <si>
    <t>Flash Tank</t>
  </si>
  <si>
    <t xml:space="preserve">Flow rate </t>
  </si>
  <si>
    <t>xMeOH</t>
  </si>
  <si>
    <t>constant</t>
  </si>
  <si>
    <t>MW_meoh</t>
  </si>
  <si>
    <t>g/mol</t>
  </si>
  <si>
    <t>xDME</t>
  </si>
  <si>
    <t>MW_dme</t>
  </si>
  <si>
    <t>xH2O</t>
  </si>
  <si>
    <t>MW_h2o</t>
  </si>
  <si>
    <t>xCO</t>
  </si>
  <si>
    <t>MW_co</t>
  </si>
  <si>
    <t>xMeOAc</t>
  </si>
  <si>
    <t>MW_meoac</t>
  </si>
  <si>
    <t>Reboiler Second</t>
  </si>
  <si>
    <t>xH2</t>
  </si>
  <si>
    <t>MW_h2</t>
  </si>
  <si>
    <t>xCh4</t>
  </si>
  <si>
    <t>MW_ch4</t>
  </si>
  <si>
    <t>m^3/hr</t>
  </si>
  <si>
    <t>rho_meoh</t>
  </si>
  <si>
    <t>g/m^3</t>
  </si>
  <si>
    <t>Volume</t>
  </si>
  <si>
    <t>m^3</t>
  </si>
  <si>
    <t>rho_dme</t>
  </si>
  <si>
    <t xml:space="preserve">Diameter </t>
  </si>
  <si>
    <t>rho_h2o</t>
  </si>
  <si>
    <t>Diameter</t>
  </si>
  <si>
    <t>rho_co</t>
  </si>
  <si>
    <t>Length</t>
  </si>
  <si>
    <t>rho_meoac</t>
  </si>
  <si>
    <t>rho_h2</t>
  </si>
  <si>
    <t>rho_ch4</t>
  </si>
  <si>
    <t>Condenser First</t>
  </si>
  <si>
    <t>Heater</t>
  </si>
  <si>
    <t>Heat duty</t>
  </si>
  <si>
    <t>constant - Cr-Mo alloy steel</t>
  </si>
  <si>
    <t>psig</t>
  </si>
  <si>
    <t>Table 16.20 constant</t>
  </si>
  <si>
    <t>heater, field-fabricated constant</t>
  </si>
  <si>
    <t>Compressor</t>
  </si>
  <si>
    <t>Condenser Second</t>
  </si>
  <si>
    <t>F_D</t>
  </si>
  <si>
    <t>drive factor (gas turbine)</t>
  </si>
  <si>
    <t>stainless steel</t>
  </si>
  <si>
    <t>P_C</t>
  </si>
  <si>
    <t>consumed power (hp)</t>
  </si>
  <si>
    <t>centrifugal compressor</t>
  </si>
  <si>
    <t>Reactor (as fixed-head HEX)</t>
  </si>
  <si>
    <t>Catalyst mass</t>
  </si>
  <si>
    <t>kg</t>
  </si>
  <si>
    <t>Only one type of catalyst used for carbonylation process</t>
  </si>
  <si>
    <t>Cat price</t>
  </si>
  <si>
    <t>$/kg (H-modernite)</t>
  </si>
  <si>
    <t>Catalyst cost</t>
  </si>
  <si>
    <t>Heater (into first column)</t>
  </si>
  <si>
    <t>Constant - Shell &amp; Tube HEX</t>
  </si>
  <si>
    <t>TOTAL C_BM COMBINED ($)</t>
  </si>
  <si>
    <t>Heater (into second column)</t>
  </si>
  <si>
    <t>HEX ($)</t>
  </si>
  <si>
    <t>$ (H-modernite)</t>
  </si>
  <si>
    <t>Reboiler 1</t>
  </si>
  <si>
    <t>C1 (Vertical Pressure Vessel)</t>
  </si>
  <si>
    <t>Condenser 1</t>
  </si>
  <si>
    <t>Reboiler 2</t>
  </si>
  <si>
    <t>C2 (Vertical Pressure Vessel)</t>
  </si>
  <si>
    <t>Condenser 2</t>
  </si>
  <si>
    <t>Reboiler 3</t>
  </si>
  <si>
    <t>C3 (Vertical Pressure Vessel)</t>
  </si>
  <si>
    <t>Condenser 3</t>
  </si>
  <si>
    <t>C4 (Vertical Pressure Vessel)</t>
  </si>
  <si>
    <t>Reboiler 4</t>
  </si>
  <si>
    <t>Condenser 4</t>
  </si>
  <si>
    <t>Heater 1</t>
  </si>
  <si>
    <t>Actual HEX</t>
  </si>
  <si>
    <t>Heater 2</t>
  </si>
  <si>
    <t xml:space="preserve">THE COST </t>
  </si>
  <si>
    <t>INFORMAL VENTURE GUIDANCE APPRAISAL  -E5</t>
  </si>
  <si>
    <r>
      <rPr>
        <rFont val="&quot;arial mt&quot;, Arial"/>
        <b/>
        <color theme="1"/>
        <sz val="16.0"/>
      </rPr>
      <t>FOR USE with C</t>
    </r>
    <r>
      <rPr>
        <rFont val="Arial MT"/>
        <b/>
        <color theme="1"/>
        <sz val="16.0"/>
        <vertAlign val="subscript"/>
      </rPr>
      <t>BM</t>
    </r>
    <r>
      <rPr>
        <rFont val="Arial MT"/>
        <b/>
        <color theme="1"/>
        <sz val="16.0"/>
      </rPr>
      <t xml:space="preserve"> (Bare-Module Cost) ESTIMATED per SEIDER, SEADER et al. )</t>
    </r>
  </si>
  <si>
    <t>See Table 16.10 for Relationship Between Equipment Purchase Price and Bare-module Cost</t>
  </si>
  <si>
    <t>TITLE:</t>
  </si>
  <si>
    <t>Project Cost Estimation</t>
  </si>
  <si>
    <t>SBU:</t>
  </si>
  <si>
    <t>CHEMICALS</t>
  </si>
  <si>
    <t>CASE:</t>
  </si>
  <si>
    <t>Cumene Level 1</t>
  </si>
  <si>
    <t xml:space="preserve">ACCT:  </t>
  </si>
  <si>
    <t>SCOPE:</t>
  </si>
  <si>
    <t>PROCESS ENGINEER</t>
  </si>
  <si>
    <t>SITE:</t>
  </si>
  <si>
    <t>US GULF COAST</t>
  </si>
  <si>
    <t>ESTIMATOR:</t>
  </si>
  <si>
    <t>Team T</t>
  </si>
  <si>
    <t>DATE:</t>
  </si>
  <si>
    <t>FILE:</t>
  </si>
  <si>
    <t>VGA Calculator</t>
  </si>
  <si>
    <t>RANGE</t>
  </si>
  <si>
    <t>OF %</t>
  </si>
  <si>
    <t>$M</t>
  </si>
  <si>
    <t>ENGINEERED EQUIPMENT</t>
  </si>
  <si>
    <t>MISC EQUIPMENT</t>
  </si>
  <si>
    <t>0-15</t>
  </si>
  <si>
    <t>SUBTOTAL A</t>
  </si>
  <si>
    <t>FIELD MTL / LABOR / INSUL</t>
  </si>
  <si>
    <t>10-40</t>
  </si>
  <si>
    <t>FIELD ERECTED EQUIPMENT  (STORAGE TANKS)</t>
  </si>
  <si>
    <t>EQUIP FDNS,SUPPORTS,PLATFORMS</t>
  </si>
  <si>
    <t>INSTALLED EQUIPMENT - Subtotal B</t>
  </si>
  <si>
    <t>FACTORED PIPING</t>
  </si>
  <si>
    <t>10-200</t>
  </si>
  <si>
    <t>FACTORED INSTRUMENTS</t>
  </si>
  <si>
    <t>10-75</t>
  </si>
  <si>
    <t>FACTORED ELECTRICAL</t>
  </si>
  <si>
    <t>5-30</t>
  </si>
  <si>
    <t>IDENTIFIED PIPING  (OSOH/UG LINES,JACKETED PIPE)</t>
  </si>
  <si>
    <t>IDENTIFIED INSTRUMENTS  (ANALYZERS,DCS)</t>
  </si>
  <si>
    <t>IDENTIFIED ELECTRICAL  (TRACING,SUBSTATIONS)</t>
  </si>
  <si>
    <t>SUBTOTAL C</t>
  </si>
  <si>
    <t>SPECIAL PROCESS ITEMS  (PACKAGED UNITS)</t>
  </si>
  <si>
    <t>PACKING (INCLUDES CATALYST)</t>
  </si>
  <si>
    <t>PUT CAT COST HERE, DIVIDE 2</t>
  </si>
  <si>
    <t>OTHER  (T/C-T/T LOADING,PIPE BRIDGES)</t>
  </si>
  <si>
    <t>BUILDINGS,STRUCTURES</t>
  </si>
  <si>
    <t>SUBTOTAL D</t>
  </si>
  <si>
    <t>IDENTIFIED  P G &amp; S</t>
  </si>
  <si>
    <t>FACTORED  P G &amp; S</t>
  </si>
  <si>
    <t>0-40</t>
  </si>
  <si>
    <t>IDENTIFIED  D &amp; R</t>
  </si>
  <si>
    <t>FACTORED  D &amp; R</t>
  </si>
  <si>
    <t>0-10</t>
  </si>
  <si>
    <t>OTHER</t>
  </si>
  <si>
    <t>SUBTOTAL E</t>
  </si>
  <si>
    <t>PROJECT  CONTINGENCY</t>
  </si>
  <si>
    <t>15-30</t>
  </si>
  <si>
    <t>PROCESS CONTINGENCY</t>
  </si>
  <si>
    <t>0-25</t>
  </si>
  <si>
    <t>SUBTOTAL F</t>
  </si>
  <si>
    <t>LABOR / MATERIAL SPLIT</t>
  </si>
  <si>
    <t>15-60</t>
  </si>
  <si>
    <t>WORKING CONDITIONS</t>
  </si>
  <si>
    <t>FREIGHT, QA, PROCUREMENT</t>
  </si>
  <si>
    <t>3-8</t>
  </si>
  <si>
    <t>SALES TAX</t>
  </si>
  <si>
    <t>0-6.5</t>
  </si>
  <si>
    <t>CONTRACTOR LABOR DISTRIBUTIVES</t>
  </si>
  <si>
    <t>40-60</t>
  </si>
  <si>
    <t>NET TOTAL</t>
  </si>
  <si>
    <t>ABNORMAL PREMIUM TIME</t>
  </si>
  <si>
    <t>MINOR CHANGES</t>
  </si>
  <si>
    <t>0-5</t>
  </si>
  <si>
    <t>SUBTOTAL</t>
  </si>
  <si>
    <t>SEIDER, SEADER, et al., 4th Ed.</t>
  </si>
  <si>
    <t xml:space="preserve"> CCI</t>
  </si>
  <si>
    <t>AUTH</t>
  </si>
  <si>
    <t>2Q22</t>
  </si>
  <si>
    <t>M/C</t>
  </si>
  <si>
    <t>4Q23</t>
  </si>
  <si>
    <t>MPC</t>
  </si>
  <si>
    <t>3Q23</t>
  </si>
  <si>
    <t>PROJECTED</t>
  </si>
  <si>
    <t>ESCALATION</t>
  </si>
  <si>
    <t>DIRECT TOTAL</t>
  </si>
  <si>
    <t>ENGG &amp; HOME OFFICE</t>
  </si>
  <si>
    <t>14-25</t>
  </si>
  <si>
    <t>FIELD INDIRECTS</t>
  </si>
  <si>
    <t>2-10</t>
  </si>
  <si>
    <t>SPARES &amp; PORTABLES</t>
  </si>
  <si>
    <t>( IDENTIFIED,W/FRT,ESC,CONT)</t>
  </si>
  <si>
    <t>PROJECT LEVEL ALLOWANCES</t>
  </si>
  <si>
    <t>(W/ESC)</t>
  </si>
  <si>
    <t>PROJECT TOTAL</t>
  </si>
  <si>
    <r>
      <rPr>
        <rFont val="&quot;arial mt&quot;, Arial"/>
        <b/>
        <color theme="1"/>
        <sz val="16.0"/>
      </rPr>
      <t>FOR USE with C</t>
    </r>
    <r>
      <rPr>
        <rFont val="Arial MT"/>
        <b/>
        <color theme="1"/>
        <sz val="16.0"/>
        <vertAlign val="subscript"/>
      </rPr>
      <t>BM</t>
    </r>
    <r>
      <rPr>
        <rFont val="Arial MT"/>
        <b/>
        <color theme="1"/>
        <sz val="16.0"/>
      </rPr>
      <t xml:space="preserve"> (Bare-Module Cost) ESTIMATED per SEIDER, SEADER et al. )</t>
    </r>
  </si>
  <si>
    <t>PUT CAT COST HERE</t>
  </si>
  <si>
    <t>Operating Cost Sheet</t>
  </si>
  <si>
    <t>(fill in the yellow boxes)</t>
  </si>
  <si>
    <t>Capacity</t>
  </si>
  <si>
    <t>MM kg/yr</t>
  </si>
  <si>
    <t>Production</t>
  </si>
  <si>
    <t>Op rate:</t>
  </si>
  <si>
    <t>Perm. Investment</t>
  </si>
  <si>
    <t>MM</t>
  </si>
  <si>
    <t>Catalyst* &amp; Spares</t>
  </si>
  <si>
    <t>(*if not already included in Perm. Investment)</t>
  </si>
  <si>
    <t>30 Day Raws Inventory</t>
  </si>
  <si>
    <t>(Working Capital)</t>
  </si>
  <si>
    <t>30 Day Product Inventory</t>
  </si>
  <si>
    <t>Total Investment</t>
  </si>
  <si>
    <t>QPU</t>
  </si>
  <si>
    <t>Price</t>
  </si>
  <si>
    <t>$MM/yr</t>
  </si>
  <si>
    <t>$/kg</t>
  </si>
  <si>
    <t>Ingredients:</t>
  </si>
  <si>
    <t>units/kg</t>
  </si>
  <si>
    <t>$/unit</t>
  </si>
  <si>
    <t>Units for the QPU</t>
  </si>
  <si>
    <t>MeOH</t>
  </si>
  <si>
    <t>699.3 kmol/hr MeOH fresh flow rate</t>
  </si>
  <si>
    <t>kg of ing/kg of MeOAc</t>
  </si>
  <si>
    <t xml:space="preserve">CO </t>
  </si>
  <si>
    <t>597 kmol/hr CO fresh flow rate</t>
  </si>
  <si>
    <t>Catalyst &amp; Chemicals</t>
  </si>
  <si>
    <t>use catalyst cost from sizing, divide 2 since lifetime</t>
  </si>
  <si>
    <t>kg of cat/kg of MeOAc</t>
  </si>
  <si>
    <t>Total Ingredients</t>
  </si>
  <si>
    <t>Credits:</t>
  </si>
  <si>
    <t>Byproduct</t>
  </si>
  <si>
    <t>Waste Fuel</t>
  </si>
  <si>
    <t>$/MM Btu</t>
  </si>
  <si>
    <t>Btu/kg</t>
  </si>
  <si>
    <t>changed the formula (F20) myself so the units make sense</t>
  </si>
  <si>
    <t>Total credits:</t>
  </si>
  <si>
    <t>Utilities:</t>
  </si>
  <si>
    <t>Ori. #</t>
  </si>
  <si>
    <t>Original Units</t>
  </si>
  <si>
    <t>Steam - 41 barg</t>
  </si>
  <si>
    <t>price per thousand lbs</t>
  </si>
  <si>
    <t>klb/hr</t>
  </si>
  <si>
    <t>lb of steam/kg of cumene</t>
  </si>
  <si>
    <t>Electricity</t>
  </si>
  <si>
    <t>price per kW-hr</t>
  </si>
  <si>
    <t>kW</t>
  </si>
  <si>
    <t>kW/kg of cumene</t>
  </si>
  <si>
    <t>refrigerant</t>
  </si>
  <si>
    <t>73.2959 $/hr</t>
  </si>
  <si>
    <t>Cooling Water</t>
  </si>
  <si>
    <t>price per thousand gallons</t>
  </si>
  <si>
    <t>MMGal/hr</t>
  </si>
  <si>
    <t>gal of water/kg of cumene</t>
  </si>
  <si>
    <t>Total Utilities</t>
  </si>
  <si>
    <t>Waste Treatment</t>
  </si>
  <si>
    <t>IGNORE WASTE TREATMENT</t>
  </si>
  <si>
    <t xml:space="preserve">Notes: change steam price </t>
  </si>
  <si>
    <t>Gaseous Waste</t>
  </si>
  <si>
    <t>for other barg values</t>
  </si>
  <si>
    <t>Liquid Waste</t>
  </si>
  <si>
    <t>ignore for now</t>
  </si>
  <si>
    <t>Solid Waste</t>
  </si>
  <si>
    <t>Total Waste Treatment</t>
  </si>
  <si>
    <t>Total Variable Cost</t>
  </si>
  <si>
    <t>Fixed Costs:</t>
  </si>
  <si>
    <t>Operators</t>
  </si>
  <si>
    <t>/hr</t>
  </si>
  <si>
    <t>(# operators = operators/shift, base on guidance in Seider &amp; Seader)</t>
  </si>
  <si>
    <t>always 3 operators</t>
  </si>
  <si>
    <t xml:space="preserve">  Other employ costs</t>
  </si>
  <si>
    <t>Unit Supervision</t>
  </si>
  <si>
    <t>Plant Overheads</t>
  </si>
  <si>
    <t>Maintenance</t>
  </si>
  <si>
    <t>Taxes &amp; Insur.</t>
  </si>
  <si>
    <t>(this is property tax, not tax on gross earnings)</t>
  </si>
  <si>
    <t>Depreciation</t>
  </si>
  <si>
    <t>(apparently using straight line method)</t>
  </si>
  <si>
    <t>Total Fixed Costs</t>
  </si>
  <si>
    <t>Total Cash Cost</t>
  </si>
  <si>
    <t>(COM - Depreciation)</t>
  </si>
  <si>
    <t>Total Cost of Manufacture</t>
  </si>
  <si>
    <t>(COM)</t>
  </si>
  <si>
    <t>Business Overhead</t>
  </si>
  <si>
    <t>of costs</t>
  </si>
  <si>
    <t>Total Cost of Sales</t>
  </si>
  <si>
    <t>Tax Rate on Earnings</t>
  </si>
  <si>
    <t>NROI</t>
  </si>
  <si>
    <t>(based on Total Investment, i.e., including Working Capital)</t>
  </si>
  <si>
    <t>Cost &amp; Rtn:</t>
  </si>
  <si>
    <t>Return</t>
  </si>
  <si>
    <t>Capacity Used</t>
  </si>
  <si>
    <t>MM $</t>
  </si>
  <si>
    <t>Desired Return</t>
  </si>
  <si>
    <t>desired</t>
  </si>
  <si>
    <t>(required selling price to achieve 25% NROI)</t>
  </si>
  <si>
    <t>Return at Selling Price</t>
  </si>
  <si>
    <t>achieved</t>
  </si>
  <si>
    <t>(actual NROI based on actual selling price)</t>
  </si>
  <si>
    <t>$0.6/lb of cumene, selling price</t>
  </si>
  <si>
    <t>Net Cash Flow</t>
  </si>
  <si>
    <t>of revenue</t>
  </si>
  <si>
    <t>(1-t)*(Revenue - Cost of Sales)+Depreciation</t>
  </si>
  <si>
    <t>NROI ALREADY CALCULATED FOR US HERE!!!</t>
  </si>
  <si>
    <t>Variable Margin</t>
  </si>
  <si>
    <t>(Revenue - Variable Cost)</t>
  </si>
  <si>
    <t>HOAc</t>
  </si>
  <si>
    <t>Before HI</t>
  </si>
  <si>
    <t>Type of chemicals</t>
  </si>
  <si>
    <t>Mole fractions (bottoms second column)</t>
  </si>
  <si>
    <r>
      <rPr>
        <rFont val="Calibri"/>
        <b/>
        <color theme="1"/>
        <sz val="10.0"/>
      </rPr>
      <t>Flow Rates (</t>
    </r>
    <r>
      <rPr>
        <rFont val="Calibri"/>
        <b/>
        <color theme="1"/>
        <sz val="10.0"/>
      </rPr>
      <t>bottoms second column</t>
    </r>
    <r>
      <rPr>
        <rFont val="Calibri"/>
        <b/>
        <color theme="1"/>
        <sz val="10.0"/>
      </rPr>
      <t>) (kmol/hr)</t>
    </r>
  </si>
  <si>
    <t>Mole fraction (distillate column 3)</t>
  </si>
  <si>
    <t>Flow rates (distillate column 3) (kmol/hr)</t>
  </si>
  <si>
    <t>Combined flow rate (kmol/hr)</t>
  </si>
  <si>
    <t>New mole frac</t>
  </si>
  <si>
    <t>H comb (kJ/mol)</t>
  </si>
  <si>
    <t>kJ/hr</t>
  </si>
  <si>
    <t>BTU/yr</t>
  </si>
  <si>
    <t>Water</t>
  </si>
  <si>
    <t>Methanol</t>
  </si>
  <si>
    <t>Methyl acetate</t>
  </si>
  <si>
    <t>Dimethyl ether</t>
  </si>
  <si>
    <t>Carbon monoxide</t>
  </si>
  <si>
    <t>UNITY</t>
  </si>
  <si>
    <t>-</t>
  </si>
  <si>
    <t>Flow Rates (distillate last column) (kmol/hr)</t>
  </si>
  <si>
    <t>Acetic acid</t>
  </si>
  <si>
    <t>methanol</t>
  </si>
  <si>
    <t>methyl acetate</t>
  </si>
  <si>
    <t>water</t>
  </si>
  <si>
    <t>get the total flow rates from aspen</t>
  </si>
  <si>
    <t>combine C and E cells</t>
  </si>
  <si>
    <t>find new mol frac</t>
  </si>
  <si>
    <t>1BTU = 1.05506 kJ</t>
  </si>
  <si>
    <t>After HI</t>
  </si>
  <si>
    <t xml:space="preserve">Mole fractions </t>
  </si>
  <si>
    <t>Flow Rates (kmol/hr)</t>
  </si>
  <si>
    <t>Mole fraction (B2)</t>
  </si>
  <si>
    <t>Flow rates (B2) (kmol/hr)</t>
  </si>
  <si>
    <t>Propylene</t>
  </si>
  <si>
    <t>Benzene</t>
  </si>
  <si>
    <t>Propane</t>
  </si>
  <si>
    <t>Cumene</t>
  </si>
  <si>
    <t>PDIB</t>
  </si>
  <si>
    <t>Type of Cost/Investment</t>
  </si>
  <si>
    <t>∆</t>
  </si>
  <si>
    <t>Revenue ($MM)</t>
  </si>
  <si>
    <t>Cost of Sales ($MM)</t>
  </si>
  <si>
    <t>FI + WC ($MM)</t>
  </si>
  <si>
    <t>NROI (%)</t>
  </si>
  <si>
    <t>NROI directly obtained from COM Sheets</t>
  </si>
  <si>
    <t>NROI = (1-t)(R-COS)/(FI+WC)</t>
  </si>
  <si>
    <t>USE EXCEL SHEETS FROM LAPTOP, EASIER TO USE SOLVER</t>
  </si>
  <si>
    <t>From COM</t>
  </si>
  <si>
    <t>VGA ($MM)</t>
  </si>
  <si>
    <t>Price $/kg (25% NROI)</t>
  </si>
  <si>
    <t>IRR (%)</t>
  </si>
  <si>
    <t>NROI for $0.6/lb CU (%)</t>
  </si>
  <si>
    <t>NPV</t>
  </si>
  <si>
    <t>use graphs</t>
  </si>
  <si>
    <t>Ingredient Cost ($MM)</t>
  </si>
  <si>
    <t>Utilities Cost ($MM)</t>
  </si>
  <si>
    <t>Route</t>
  </si>
  <si>
    <t>Carbonylation</t>
  </si>
  <si>
    <t>Esterification</t>
  </si>
  <si>
    <t>VGA ($MM/yr)</t>
  </si>
  <si>
    <t>COM ($MM/yr)</t>
  </si>
  <si>
    <t>Transfer Price (25% NROI) ($/tonnes)</t>
  </si>
  <si>
    <t>Transfer Price (25% IRR) ($/tonnes)</t>
  </si>
  <si>
    <t>Actual NROI (%)</t>
  </si>
  <si>
    <t>Revenue ($MM/yr) (350MMppy MeOAc)</t>
  </si>
  <si>
    <t>NPC ($$MM/yr)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</si>
</sst>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#,##0.0000"/>
    <numFmt numFmtId="165" formatCode="m/d/yyyy"/>
    <numFmt numFmtId="166" formatCode="mm/dd/yy_)"/>
    <numFmt numFmtId="167" formatCode="0_)"/>
    <numFmt numFmtId="168" formatCode="&quot;$&quot;#,##0.000_);[Red]\(&quot;$&quot;#,##0.000\)"/>
    <numFmt numFmtId="169" formatCode="&quot;$&quot;#,##0_);[Red]\(&quot;$&quot;#,##0\)"/>
    <numFmt numFmtId="170" formatCode="&quot;$&quot;#,##0_);\(&quot;$&quot;#,##0\)"/>
    <numFmt numFmtId="171" formatCode="#,##0.000"/>
    <numFmt numFmtId="172" formatCode="&quot;$&quot;#,##0.0_);[Red]\(&quot;$&quot;#,##0.0\)"/>
    <numFmt numFmtId="173" formatCode="&quot;$&quot;#,##0.00_);[Red]\(&quot;$&quot;#,##0.00\)"/>
    <numFmt numFmtId="174" formatCode="&quot;$&quot;#,##0.00_);\(&quot;$&quot;#,##0.00\)"/>
    <numFmt numFmtId="175" formatCode="_(&quot;$&quot;* #,##0.000_);_(&quot;$&quot;* \(#,##0.000\);_(&quot;$&quot;* &quot;-&quot;??_);_(@_)"/>
    <numFmt numFmtId="176" formatCode="#,##0.0"/>
  </numFmts>
  <fonts count="66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>
      <b/>
      <sz val="12.0"/>
      <color theme="1"/>
      <name val="Calibri"/>
    </font>
    <font/>
    <font>
      <sz val="12.0"/>
      <color theme="1"/>
      <name val="Calibri"/>
    </font>
    <font>
      <sz val="24.0"/>
      <color theme="1"/>
      <name val="Arial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sz val="11.0"/>
      <color rgb="FF000000"/>
      <name val="Inconsolata"/>
    </font>
    <font>
      <b/>
      <sz val="18.0"/>
      <color theme="1"/>
      <name val="Calibri"/>
    </font>
    <font>
      <b/>
      <sz val="20.0"/>
      <color theme="1"/>
      <name val="Calibri"/>
    </font>
    <font>
      <b/>
      <sz val="14.0"/>
      <color theme="1"/>
      <name val="Arial"/>
      <scheme val="minor"/>
    </font>
    <font>
      <b/>
      <sz val="16.0"/>
      <color rgb="FF000000"/>
      <name val="Arial"/>
    </font>
    <font>
      <b/>
      <sz val="12.0"/>
      <color theme="1"/>
      <name val="Arial"/>
    </font>
    <font>
      <sz val="12.0"/>
      <color theme="1"/>
      <name val="Arial"/>
    </font>
    <font>
      <sz val="11.0"/>
      <color theme="1"/>
      <name val="Arial"/>
    </font>
    <font>
      <sz val="10.0"/>
      <color theme="1"/>
      <name val="Courier"/>
    </font>
    <font>
      <sz val="10.0"/>
      <color rgb="FF000000"/>
      <name val="Arial"/>
    </font>
    <font>
      <b/>
      <sz val="14.0"/>
      <color theme="1"/>
      <name val="Courier"/>
    </font>
    <font>
      <b/>
      <u/>
      <sz val="10.0"/>
      <color theme="1"/>
      <name val="Courier"/>
    </font>
    <font>
      <b/>
      <u/>
      <sz val="10.0"/>
      <color theme="1"/>
      <name val="Courier"/>
    </font>
    <font>
      <b/>
      <u/>
      <sz val="10.0"/>
      <color theme="1"/>
      <name val="Courier"/>
    </font>
    <font>
      <b/>
      <sz val="10.0"/>
      <color theme="1"/>
      <name val="Courier"/>
    </font>
    <font>
      <u/>
      <sz val="10.0"/>
      <color theme="1"/>
      <name val="Courier"/>
    </font>
    <font>
      <u/>
      <sz val="10.0"/>
      <color theme="1"/>
      <name val="Courier"/>
    </font>
    <font>
      <u/>
      <sz val="10.0"/>
      <color theme="1"/>
      <name val="Courier"/>
    </font>
    <font>
      <b/>
      <i/>
      <sz val="10.0"/>
      <color theme="1"/>
      <name val="Courier"/>
    </font>
    <font>
      <u/>
      <sz val="10.0"/>
      <color theme="1"/>
      <name val="Courier"/>
    </font>
    <font>
      <u/>
      <sz val="10.0"/>
      <color theme="1"/>
      <name val="Courier"/>
    </font>
    <font>
      <u/>
      <sz val="10.0"/>
      <color theme="1"/>
      <name val="Courier"/>
    </font>
    <font>
      <b/>
      <u/>
      <sz val="10.0"/>
      <color theme="1"/>
      <name val="Courier"/>
    </font>
    <font>
      <u/>
      <sz val="10.0"/>
      <color rgb="FF000000"/>
      <name val="Courier"/>
    </font>
    <font>
      <u/>
      <sz val="10.0"/>
      <color rgb="FF000000"/>
      <name val="Courier"/>
    </font>
    <font>
      <u/>
      <sz val="10.0"/>
      <color rgb="FF000000"/>
      <name val="Courier"/>
    </font>
    <font>
      <u/>
      <sz val="10.0"/>
      <color rgb="FF000000"/>
      <name val="Courier"/>
    </font>
    <font>
      <u/>
      <sz val="10.0"/>
      <color rgb="FF000000"/>
      <name val="Courier"/>
    </font>
    <font>
      <u/>
      <sz val="10.0"/>
      <color rgb="FF000000"/>
      <name val="Courier"/>
    </font>
    <font>
      <u/>
      <sz val="10.0"/>
      <color rgb="FF000000"/>
      <name val="Courier"/>
    </font>
    <font>
      <i/>
      <sz val="10.0"/>
      <color theme="1"/>
      <name val="Courier"/>
    </font>
    <font>
      <u/>
      <sz val="10.0"/>
      <color theme="1"/>
      <name val="Courier"/>
    </font>
    <font>
      <u/>
      <sz val="10.0"/>
      <color theme="1"/>
      <name val="Courier"/>
    </font>
    <font>
      <i/>
      <u/>
      <sz val="10.0"/>
      <color theme="1"/>
      <name val="Courier"/>
    </font>
    <font>
      <u/>
      <sz val="10.0"/>
      <color theme="1"/>
      <name val="Courier"/>
    </font>
    <font>
      <i/>
      <u/>
      <sz val="10.0"/>
      <color theme="1"/>
      <name val="Courier"/>
    </font>
    <font>
      <i/>
      <u/>
      <sz val="10.0"/>
      <color theme="1"/>
      <name val="Courier"/>
    </font>
    <font>
      <b/>
      <sz val="15.0"/>
      <color theme="1"/>
      <name val="Courier"/>
    </font>
    <font>
      <sz val="10.0"/>
      <color rgb="FF000000"/>
      <name val="Courier"/>
    </font>
    <font>
      <u/>
      <sz val="10.0"/>
      <color theme="1"/>
      <name val="Courier"/>
    </font>
    <font>
      <u/>
      <sz val="10.0"/>
      <color theme="1"/>
      <name val="Courier"/>
    </font>
    <font>
      <b/>
      <u/>
      <sz val="10.0"/>
      <color theme="1"/>
      <name val="Courier"/>
    </font>
    <font>
      <b/>
      <u/>
      <sz val="10.0"/>
      <color theme="1"/>
      <name val="Courier"/>
    </font>
    <font>
      <b/>
      <u/>
      <sz val="10.0"/>
      <color theme="1"/>
      <name val="Courier"/>
    </font>
    <font>
      <b/>
      <sz val="12.0"/>
      <color theme="1"/>
      <name val="Courier"/>
    </font>
    <font>
      <b/>
      <i/>
      <sz val="10.0"/>
      <color rgb="FF0000FF"/>
      <name val="Courier"/>
    </font>
    <font>
      <b/>
      <sz val="10.0"/>
      <color theme="1"/>
      <name val="Arial"/>
    </font>
    <font>
      <u/>
      <sz val="10.0"/>
      <color theme="1"/>
      <name val="Courier"/>
    </font>
    <font>
      <u/>
      <sz val="10.0"/>
      <color theme="1"/>
      <name val="Courier"/>
    </font>
    <font>
      <sz val="10.0"/>
      <color theme="1"/>
      <name val="Calibri"/>
    </font>
    <font>
      <b/>
      <sz val="10.0"/>
      <color theme="1"/>
      <name val="Calibri"/>
    </font>
    <font>
      <b/>
      <sz val="12.0"/>
      <color theme="1"/>
      <name val="Times New Roman"/>
    </font>
    <font>
      <sz val="12.0"/>
      <color theme="1"/>
      <name val="Times New Roman"/>
    </font>
    <font>
      <sz val="10.0"/>
      <color theme="1"/>
      <name val="Times New Roman"/>
    </font>
    <font>
      <b/>
      <sz val="20.0"/>
      <color theme="1"/>
      <name val="Times New Roman"/>
    </font>
    <font>
      <b/>
      <sz val="2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61D6FF"/>
        <bgColor rgb="FF61D6FF"/>
      </patternFill>
    </fill>
    <fill>
      <patternFill patternType="solid">
        <fgColor theme="0"/>
        <bgColor theme="0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1" fillId="2" fontId="3" numFmtId="4" xfId="0" applyAlignment="1" applyBorder="1" applyFont="1" applyNumberForma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0" fillId="0" fontId="3" numFmtId="4" xfId="0" applyAlignment="1" applyFont="1" applyNumberFormat="1">
      <alignment horizontal="center" readingOrder="0" vertical="center"/>
    </xf>
    <xf borderId="4" fillId="0" fontId="3" numFmtId="4" xfId="0" applyAlignment="1" applyBorder="1" applyFont="1" applyNumberFormat="1">
      <alignment horizontal="center" vertical="center"/>
    </xf>
    <xf borderId="0" fillId="0" fontId="3" numFmtId="4" xfId="0" applyAlignment="1" applyFont="1" applyNumberFormat="1">
      <alignment horizontal="center" vertical="center"/>
    </xf>
    <xf borderId="4" fillId="0" fontId="5" numFmtId="4" xfId="0" applyAlignment="1" applyBorder="1" applyFont="1" applyNumberFormat="1">
      <alignment horizontal="center" vertical="center"/>
    </xf>
    <xf borderId="4" fillId="0" fontId="5" numFmtId="4" xfId="0" applyAlignment="1" applyBorder="1" applyFont="1" applyNumberFormat="1">
      <alignment horizontal="center" readingOrder="0" vertical="center"/>
    </xf>
    <xf borderId="0" fillId="0" fontId="5" numFmtId="4" xfId="0" applyAlignment="1" applyFont="1" applyNumberFormat="1">
      <alignment horizontal="center" vertical="center"/>
    </xf>
    <xf borderId="5" fillId="0" fontId="5" numFmtId="4" xfId="0" applyAlignment="1" applyBorder="1" applyFont="1" applyNumberFormat="1">
      <alignment horizontal="center" vertical="center"/>
    </xf>
    <xf borderId="6" fillId="0" fontId="4" numFmtId="0" xfId="0" applyBorder="1" applyFont="1"/>
    <xf borderId="4" fillId="3" fontId="5" numFmtId="4" xfId="0" applyAlignment="1" applyBorder="1" applyFill="1" applyFont="1" applyNumberFormat="1">
      <alignment horizontal="center" vertical="center"/>
    </xf>
    <xf borderId="7" fillId="0" fontId="6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0" fillId="0" fontId="6" numFmtId="0" xfId="0" applyAlignment="1" applyFont="1">
      <alignment readingOrder="0" vertical="center"/>
    </xf>
    <xf borderId="4" fillId="0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readingOrder="0" vertical="center"/>
    </xf>
    <xf borderId="10" fillId="0" fontId="4" numFmtId="0" xfId="0" applyBorder="1" applyFont="1"/>
    <xf borderId="11" fillId="0" fontId="4" numFmtId="0" xfId="0" applyBorder="1" applyFont="1"/>
    <xf borderId="4" fillId="0" fontId="5" numFmtId="3" xfId="0" applyAlignment="1" applyBorder="1" applyFont="1" applyNumberFormat="1">
      <alignment horizontal="center" vertical="center"/>
    </xf>
    <xf borderId="4" fillId="0" fontId="5" numFmtId="164" xfId="0" applyAlignment="1" applyBorder="1" applyFont="1" applyNumberFormat="1">
      <alignment horizontal="center" vertical="center"/>
    </xf>
    <xf borderId="4" fillId="4" fontId="3" numFmtId="4" xfId="0" applyAlignment="1" applyBorder="1" applyFill="1" applyFont="1" applyNumberFormat="1">
      <alignment horizontal="center" vertical="center"/>
    </xf>
    <xf borderId="4" fillId="4" fontId="3" numFmtId="3" xfId="0" applyAlignment="1" applyBorder="1" applyFont="1" applyNumberFormat="1">
      <alignment horizontal="center" vertic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7" fillId="0" fontId="1" numFmtId="0" xfId="0" applyAlignment="1" applyBorder="1" applyFont="1">
      <alignment horizontal="center" vertical="center"/>
    </xf>
    <xf borderId="15" fillId="0" fontId="4" numFmtId="0" xfId="0" applyBorder="1" applyFont="1"/>
    <xf borderId="7" fillId="0" fontId="1" numFmtId="0" xfId="0" applyAlignment="1" applyBorder="1" applyFont="1">
      <alignment vertical="center"/>
    </xf>
    <xf borderId="1" fillId="2" fontId="3" numFmtId="4" xfId="0" applyAlignment="1" applyBorder="1" applyFont="1" applyNumberFormat="1">
      <alignment horizontal="center" vertical="center"/>
    </xf>
    <xf borderId="4" fillId="0" fontId="8" numFmtId="4" xfId="0" applyAlignment="1" applyBorder="1" applyFont="1" applyNumberFormat="1">
      <alignment horizontal="center" vertical="bottom"/>
    </xf>
    <xf borderId="4" fillId="0" fontId="5" numFmtId="164" xfId="0" applyAlignment="1" applyBorder="1" applyFont="1" applyNumberFormat="1">
      <alignment horizontal="center" readingOrder="0" vertical="center"/>
    </xf>
    <xf borderId="4" fillId="0" fontId="7" numFmtId="4" xfId="0" applyAlignment="1" applyBorder="1" applyFont="1" applyNumberFormat="1">
      <alignment horizontal="center" readingOrder="0" vertical="center"/>
    </xf>
    <xf borderId="4" fillId="0" fontId="7" numFmtId="3" xfId="0" applyAlignment="1" applyBorder="1" applyFont="1" applyNumberFormat="1">
      <alignment horizontal="center" vertical="center"/>
    </xf>
    <xf borderId="5" fillId="0" fontId="7" numFmtId="0" xfId="0" applyAlignment="1" applyBorder="1" applyFont="1">
      <alignment horizontal="center" vertical="center"/>
    </xf>
    <xf borderId="4" fillId="0" fontId="7" numFmtId="3" xfId="0" applyAlignment="1" applyBorder="1" applyFont="1" applyNumberFormat="1">
      <alignment horizontal="center" readingOrder="0" vertical="center"/>
    </xf>
    <xf borderId="4" fillId="0" fontId="5" numFmtId="3" xfId="0" applyAlignment="1" applyBorder="1" applyFont="1" applyNumberFormat="1">
      <alignment horizontal="center" readingOrder="0" vertical="center"/>
    </xf>
    <xf borderId="4" fillId="0" fontId="9" numFmtId="3" xfId="0" applyAlignment="1" applyBorder="1" applyFont="1" applyNumberFormat="1">
      <alignment horizontal="center" readingOrder="0"/>
    </xf>
    <xf borderId="0" fillId="0" fontId="9" numFmtId="0" xfId="0" applyAlignment="1" applyFont="1">
      <alignment horizontal="center"/>
    </xf>
    <xf borderId="0" fillId="3" fontId="10" numFmtId="4" xfId="0" applyAlignment="1" applyFont="1" applyNumberFormat="1">
      <alignment horizontal="center"/>
    </xf>
    <xf borderId="0" fillId="3" fontId="10" numFmtId="4" xfId="0" applyAlignment="1" applyFont="1" applyNumberFormat="1">
      <alignment horizontal="center" readingOrder="0"/>
    </xf>
    <xf borderId="4" fillId="2" fontId="3" numFmtId="4" xfId="0" applyAlignment="1" applyBorder="1" applyFont="1" applyNumberFormat="1">
      <alignment horizontal="center" vertical="center"/>
    </xf>
    <xf borderId="7" fillId="0" fontId="11" numFmtId="4" xfId="0" applyAlignment="1" applyBorder="1" applyFont="1" applyNumberFormat="1">
      <alignment horizontal="center" readingOrder="0" shrinkToFit="0" vertical="center" wrapText="1"/>
    </xf>
    <xf borderId="0" fillId="3" fontId="10" numFmtId="4" xfId="0" applyAlignment="1" applyFont="1" applyNumberFormat="1">
      <alignment horizontal="left"/>
    </xf>
    <xf borderId="7" fillId="5" fontId="12" numFmtId="4" xfId="0" applyAlignment="1" applyBorder="1" applyFill="1" applyFont="1" applyNumberFormat="1">
      <alignment horizontal="center" readingOrder="0" vertical="center"/>
    </xf>
    <xf borderId="7" fillId="5" fontId="12" numFmtId="3" xfId="0" applyAlignment="1" applyBorder="1" applyFont="1" applyNumberFormat="1">
      <alignment horizontal="center" vertical="center"/>
    </xf>
    <xf borderId="0" fillId="0" fontId="13" numFmtId="0" xfId="0" applyAlignment="1" applyFont="1">
      <alignment readingOrder="0"/>
    </xf>
    <xf borderId="7" fillId="0" fontId="3" numFmtId="4" xfId="0" applyAlignment="1" applyBorder="1" applyFont="1" applyNumberFormat="1">
      <alignment horizontal="center" vertical="center"/>
    </xf>
    <xf borderId="4" fillId="0" fontId="9" numFmtId="0" xfId="0" applyAlignment="1" applyBorder="1" applyFont="1">
      <alignment horizontal="center" readingOrder="0"/>
    </xf>
    <xf borderId="4" fillId="4" fontId="3" numFmtId="4" xfId="0" applyAlignment="1" applyBorder="1" applyFont="1" applyNumberFormat="1">
      <alignment horizontal="center" readingOrder="0" vertical="center"/>
    </xf>
    <xf borderId="0" fillId="0" fontId="9" numFmtId="0" xfId="0" applyAlignment="1" applyFont="1">
      <alignment readingOrder="0"/>
    </xf>
    <xf borderId="0" fillId="0" fontId="2" numFmtId="0" xfId="0" applyFont="1"/>
    <xf borderId="0" fillId="0" fontId="7" numFmtId="0" xfId="0" applyFont="1"/>
    <xf borderId="0" fillId="0" fontId="14" numFmtId="0" xfId="0" applyFont="1"/>
    <xf borderId="0" fillId="0" fontId="15" numFmtId="0" xfId="0" applyFont="1"/>
    <xf borderId="16" fillId="6" fontId="15" numFmtId="0" xfId="0" applyBorder="1" applyFill="1" applyFont="1"/>
    <xf borderId="16" fillId="6" fontId="7" numFmtId="0" xfId="0" applyBorder="1" applyFont="1"/>
    <xf borderId="16" fillId="6" fontId="15" numFmtId="0" xfId="0" applyAlignment="1" applyBorder="1" applyFont="1">
      <alignment horizontal="right"/>
    </xf>
    <xf borderId="16" fillId="6" fontId="3" numFmtId="165" xfId="0" applyAlignment="1" applyBorder="1" applyFont="1" applyNumberFormat="1">
      <alignment horizontal="center"/>
    </xf>
    <xf borderId="16" fillId="6" fontId="7" numFmtId="166" xfId="0" applyBorder="1" applyFont="1" applyNumberFormat="1"/>
    <xf borderId="0" fillId="0" fontId="15" numFmtId="0" xfId="0" applyAlignment="1" applyFont="1">
      <alignment horizontal="center"/>
    </xf>
    <xf borderId="0" fillId="0" fontId="15" numFmtId="0" xfId="0" applyAlignment="1" applyFont="1">
      <alignment horizontal="right"/>
    </xf>
    <xf borderId="0" fillId="0" fontId="5" numFmtId="0" xfId="0" applyFont="1"/>
    <xf borderId="16" fillId="6" fontId="16" numFmtId="167" xfId="0" applyAlignment="1" applyBorder="1" applyFont="1" applyNumberFormat="1">
      <alignment horizontal="right"/>
    </xf>
    <xf borderId="16" fillId="6" fontId="16" numFmtId="9" xfId="0" applyAlignment="1" applyBorder="1" applyFont="1" applyNumberFormat="1">
      <alignment horizontal="right"/>
    </xf>
    <xf borderId="0" fillId="0" fontId="16" numFmtId="9" xfId="0" applyAlignment="1" applyFont="1" applyNumberFormat="1">
      <alignment horizontal="center"/>
    </xf>
    <xf borderId="16" fillId="7" fontId="16" numFmtId="167" xfId="0" applyAlignment="1" applyBorder="1" applyFill="1" applyFont="1" applyNumberFormat="1">
      <alignment horizontal="right"/>
    </xf>
    <xf borderId="16" fillId="7" fontId="16" numFmtId="9" xfId="0" applyAlignment="1" applyBorder="1" applyFont="1" applyNumberFormat="1">
      <alignment horizontal="right"/>
    </xf>
    <xf borderId="16" fillId="6" fontId="7" numFmtId="167" xfId="0" applyBorder="1" applyFont="1" applyNumberFormat="1"/>
    <xf borderId="0" fillId="0" fontId="3" numFmtId="0" xfId="0" applyAlignment="1" applyFont="1">
      <alignment readingOrder="0"/>
    </xf>
    <xf borderId="0" fillId="0" fontId="7" numFmtId="167" xfId="0" applyFont="1" applyNumberFormat="1"/>
    <xf borderId="16" fillId="6" fontId="16" numFmtId="0" xfId="0" applyAlignment="1" applyBorder="1" applyFont="1">
      <alignment horizontal="right"/>
    </xf>
    <xf borderId="0" fillId="0" fontId="17" numFmtId="0" xfId="0" applyAlignment="1" applyFont="1">
      <alignment horizontal="right"/>
    </xf>
    <xf borderId="16" fillId="6" fontId="15" numFmtId="16" xfId="0" applyBorder="1" applyFont="1" applyNumberFormat="1"/>
    <xf borderId="0" fillId="0" fontId="7" numFmtId="9" xfId="0" applyFont="1" applyNumberFormat="1"/>
    <xf borderId="16" fillId="7" fontId="15" numFmtId="4" xfId="0" applyAlignment="1" applyBorder="1" applyFont="1" applyNumberFormat="1">
      <alignment horizontal="right"/>
    </xf>
    <xf borderId="0" fillId="0" fontId="3" numFmtId="0" xfId="0" applyFont="1"/>
    <xf borderId="0" fillId="0" fontId="18" numFmtId="0" xfId="0" applyFont="1"/>
    <xf borderId="0" fillId="0" fontId="19" numFmtId="168" xfId="0" applyFont="1" applyNumberFormat="1"/>
    <xf borderId="0" fillId="0" fontId="20" numFmtId="0" xfId="0" applyAlignment="1" applyFont="1">
      <alignment horizontal="center"/>
    </xf>
    <xf borderId="1" fillId="6" fontId="18" numFmtId="0" xfId="0" applyAlignment="1" applyBorder="1" applyFont="1">
      <alignment horizontal="center"/>
    </xf>
    <xf borderId="0" fillId="0" fontId="21" numFmtId="0" xfId="0" applyAlignment="1" applyFont="1">
      <alignment horizontal="right"/>
    </xf>
    <xf borderId="0" fillId="0" fontId="22" numFmtId="0" xfId="0" applyFont="1"/>
    <xf borderId="0" fillId="0" fontId="23" numFmtId="168" xfId="0" applyFont="1" applyNumberFormat="1"/>
    <xf borderId="0" fillId="0" fontId="18" numFmtId="0" xfId="0" applyAlignment="1" applyFont="1">
      <alignment horizontal="left"/>
    </xf>
    <xf borderId="0" fillId="0" fontId="18" numFmtId="1" xfId="0" applyFont="1" applyNumberFormat="1"/>
    <xf borderId="4" fillId="6" fontId="18" numFmtId="1" xfId="0" applyAlignment="1" applyBorder="1" applyFont="1" applyNumberFormat="1">
      <alignment readingOrder="0"/>
    </xf>
    <xf borderId="4" fillId="6" fontId="18" numFmtId="9" xfId="0" applyAlignment="1" applyBorder="1" applyFont="1" applyNumberFormat="1">
      <alignment horizontal="left"/>
    </xf>
    <xf borderId="4" fillId="6" fontId="18" numFmtId="1" xfId="0" applyBorder="1" applyFont="1" applyNumberFormat="1"/>
    <xf borderId="4" fillId="6" fontId="18" numFmtId="169" xfId="0" applyBorder="1" applyFont="1" applyNumberFormat="1"/>
    <xf borderId="0" fillId="0" fontId="24" numFmtId="0" xfId="0" applyFont="1"/>
    <xf borderId="0" fillId="0" fontId="18" numFmtId="169" xfId="0" applyFont="1" applyNumberFormat="1"/>
    <xf borderId="0" fillId="0" fontId="18" numFmtId="0" xfId="0" applyAlignment="1" applyFont="1">
      <alignment shrinkToFit="0" wrapText="1"/>
    </xf>
    <xf borderId="0" fillId="0" fontId="25" numFmtId="0" xfId="0" applyAlignment="1" applyFont="1">
      <alignment horizontal="left"/>
    </xf>
    <xf borderId="0" fillId="0" fontId="26" numFmtId="170" xfId="0" applyFont="1" applyNumberFormat="1"/>
    <xf borderId="0" fillId="0" fontId="27" numFmtId="169" xfId="0" applyAlignment="1" applyFont="1" applyNumberFormat="1">
      <alignment horizontal="right"/>
    </xf>
    <xf borderId="0" fillId="0" fontId="24" numFmtId="0" xfId="0" applyAlignment="1" applyFont="1">
      <alignment horizontal="right"/>
    </xf>
    <xf borderId="0" fillId="0" fontId="24" numFmtId="168" xfId="0" applyAlignment="1" applyFont="1" applyNumberFormat="1">
      <alignment horizontal="right"/>
    </xf>
    <xf borderId="0" fillId="0" fontId="24" numFmtId="0" xfId="0" applyAlignment="1" applyFont="1">
      <alignment horizontal="left"/>
    </xf>
    <xf borderId="0" fillId="0" fontId="18" numFmtId="0" xfId="0" applyAlignment="1" applyFont="1">
      <alignment horizontal="right"/>
    </xf>
    <xf borderId="4" fillId="2" fontId="24" numFmtId="0" xfId="0" applyAlignment="1" applyBorder="1" applyFont="1">
      <alignment horizontal="center"/>
    </xf>
    <xf borderId="0" fillId="0" fontId="18" numFmtId="0" xfId="0" applyAlignment="1" applyFont="1">
      <alignment readingOrder="0"/>
    </xf>
    <xf borderId="4" fillId="6" fontId="18" numFmtId="171" xfId="0" applyAlignment="1" applyBorder="1" applyFont="1" applyNumberFormat="1">
      <alignment horizontal="right"/>
    </xf>
    <xf borderId="4" fillId="6" fontId="18" numFmtId="168" xfId="0" applyAlignment="1" applyBorder="1" applyFont="1" applyNumberFormat="1">
      <alignment horizontal="right"/>
    </xf>
    <xf borderId="0" fillId="0" fontId="19" numFmtId="172" xfId="0" applyFont="1" applyNumberFormat="1"/>
    <xf borderId="16" fillId="5" fontId="24" numFmtId="0" xfId="0" applyAlignment="1" applyBorder="1" applyFont="1">
      <alignment readingOrder="0"/>
    </xf>
    <xf borderId="16" fillId="5" fontId="18" numFmtId="0" xfId="0" applyBorder="1" applyFont="1"/>
    <xf borderId="4" fillId="3" fontId="18" numFmtId="0" xfId="0" applyAlignment="1" applyBorder="1" applyFont="1">
      <alignment horizontal="center" readingOrder="0"/>
    </xf>
    <xf borderId="16" fillId="5" fontId="28" numFmtId="0" xfId="0" applyAlignment="1" applyBorder="1" applyFont="1">
      <alignment readingOrder="0"/>
    </xf>
    <xf borderId="16" fillId="5" fontId="28" numFmtId="0" xfId="0" applyBorder="1" applyFont="1"/>
    <xf borderId="0" fillId="0" fontId="29" numFmtId="0" xfId="0" applyFont="1"/>
    <xf borderId="4" fillId="6" fontId="18" numFmtId="173" xfId="0" applyAlignment="1" applyBorder="1" applyFont="1" applyNumberFormat="1">
      <alignment horizontal="right" readingOrder="0"/>
    </xf>
    <xf borderId="0" fillId="0" fontId="30" numFmtId="172" xfId="0" applyFont="1" applyNumberFormat="1"/>
    <xf borderId="0" fillId="0" fontId="31" numFmtId="168" xfId="0" applyFont="1" applyNumberFormat="1"/>
    <xf borderId="16" fillId="5" fontId="32" numFmtId="0" xfId="0" applyBorder="1" applyFont="1"/>
    <xf borderId="0" fillId="0" fontId="28" numFmtId="0" xfId="0" applyAlignment="1" applyFont="1">
      <alignment horizontal="left"/>
    </xf>
    <xf borderId="0" fillId="0" fontId="28" numFmtId="171" xfId="0" applyFont="1" applyNumberFormat="1"/>
    <xf borderId="0" fillId="0" fontId="28" numFmtId="168" xfId="0" applyFont="1" applyNumberFormat="1"/>
    <xf borderId="0" fillId="0" fontId="28" numFmtId="0" xfId="0" applyFont="1"/>
    <xf borderId="0" fillId="0" fontId="28" numFmtId="172" xfId="0" applyFont="1" applyNumberFormat="1"/>
    <xf borderId="0" fillId="0" fontId="19" numFmtId="171" xfId="0" applyFont="1" applyNumberFormat="1"/>
    <xf borderId="4" fillId="6" fontId="19" numFmtId="171" xfId="0" applyBorder="1" applyFont="1" applyNumberFormat="1"/>
    <xf borderId="4" fillId="6" fontId="19" numFmtId="168" xfId="0" applyBorder="1" applyFont="1" applyNumberFormat="1"/>
    <xf borderId="0" fillId="0" fontId="33" numFmtId="0" xfId="0" applyFont="1"/>
    <xf borderId="4" fillId="6" fontId="34" numFmtId="171" xfId="0" applyBorder="1" applyFont="1" applyNumberFormat="1"/>
    <xf borderId="4" fillId="6" fontId="35" numFmtId="168" xfId="0" applyBorder="1" applyFont="1" applyNumberFormat="1"/>
    <xf borderId="0" fillId="0" fontId="36" numFmtId="168" xfId="0" applyAlignment="1" applyFont="1" applyNumberFormat="1">
      <alignment horizontal="left"/>
    </xf>
    <xf borderId="0" fillId="0" fontId="37" numFmtId="172" xfId="0" applyFont="1" applyNumberFormat="1"/>
    <xf borderId="0" fillId="0" fontId="38" numFmtId="168" xfId="0" applyFont="1" applyNumberFormat="1"/>
    <xf borderId="4" fillId="6" fontId="39" numFmtId="3" xfId="0" applyBorder="1" applyFont="1" applyNumberFormat="1"/>
    <xf borderId="16" fillId="8" fontId="28" numFmtId="0" xfId="0" applyBorder="1" applyFill="1" applyFont="1"/>
    <xf borderId="0" fillId="0" fontId="40" numFmtId="0" xfId="0" applyFont="1"/>
    <xf borderId="0" fillId="0" fontId="40" numFmtId="171" xfId="0" applyFont="1" applyNumberFormat="1"/>
    <xf borderId="0" fillId="0" fontId="40" numFmtId="168" xfId="0" applyFont="1" applyNumberFormat="1"/>
    <xf borderId="0" fillId="0" fontId="40" numFmtId="172" xfId="0" applyFont="1" applyNumberFormat="1"/>
    <xf borderId="0" fillId="0" fontId="24" numFmtId="0" xfId="0" applyAlignment="1" applyFont="1">
      <alignment horizontal="center"/>
    </xf>
    <xf borderId="4" fillId="6" fontId="18" numFmtId="174" xfId="0" applyAlignment="1" applyBorder="1" applyFont="1" applyNumberFormat="1">
      <alignment horizontal="center"/>
    </xf>
    <xf borderId="0" fillId="0" fontId="18" numFmtId="0" xfId="0" applyAlignment="1" applyFont="1">
      <alignment horizontal="center" readingOrder="0"/>
    </xf>
    <xf borderId="0" fillId="0" fontId="18" numFmtId="0" xfId="0" applyAlignment="1" applyFont="1">
      <alignment horizontal="center"/>
    </xf>
    <xf borderId="4" fillId="0" fontId="18" numFmtId="171" xfId="0" applyAlignment="1" applyBorder="1" applyFont="1" applyNumberFormat="1">
      <alignment horizontal="center"/>
    </xf>
    <xf borderId="4" fillId="6" fontId="18" numFmtId="175" xfId="0" applyAlignment="1" applyBorder="1" applyFont="1" applyNumberFormat="1">
      <alignment horizontal="center"/>
    </xf>
    <xf borderId="0" fillId="0" fontId="41" numFmtId="0" xfId="0" applyAlignment="1" applyFont="1">
      <alignment horizontal="left" readingOrder="0"/>
    </xf>
    <xf borderId="4" fillId="6" fontId="42" numFmtId="175" xfId="0" applyAlignment="1" applyBorder="1" applyFont="1" applyNumberFormat="1">
      <alignment horizontal="center"/>
    </xf>
    <xf borderId="0" fillId="0" fontId="43" numFmtId="0" xfId="0" applyFont="1"/>
    <xf borderId="0" fillId="0" fontId="44" numFmtId="0" xfId="0" applyAlignment="1" applyFont="1">
      <alignment readingOrder="0"/>
    </xf>
    <xf borderId="0" fillId="0" fontId="45" numFmtId="0" xfId="0" applyAlignment="1" applyFont="1">
      <alignment horizontal="center" readingOrder="0"/>
    </xf>
    <xf borderId="4" fillId="0" fontId="18" numFmtId="176" xfId="0" applyAlignment="1" applyBorder="1" applyFont="1" applyNumberFormat="1">
      <alignment horizontal="center"/>
    </xf>
    <xf borderId="0" fillId="0" fontId="46" numFmtId="0" xfId="0" applyAlignment="1" applyFont="1">
      <alignment horizontal="center"/>
    </xf>
    <xf borderId="0" fillId="0" fontId="40" numFmtId="0" xfId="0" applyAlignment="1" applyFont="1">
      <alignment horizontal="left"/>
    </xf>
    <xf borderId="7" fillId="2" fontId="47" numFmtId="0" xfId="0" applyAlignment="1" applyBorder="1" applyFont="1">
      <alignment horizontal="center" vertical="center"/>
    </xf>
    <xf borderId="16" fillId="3" fontId="48" numFmtId="0" xfId="0" applyAlignment="1" applyBorder="1" applyFont="1">
      <alignment horizontal="left"/>
    </xf>
    <xf borderId="4" fillId="6" fontId="49" numFmtId="171" xfId="0" applyBorder="1" applyFont="1" applyNumberFormat="1"/>
    <xf borderId="4" fillId="6" fontId="50" numFmtId="168" xfId="0" applyBorder="1" applyFont="1" applyNumberFormat="1"/>
    <xf borderId="4" fillId="6" fontId="18" numFmtId="0" xfId="0" applyAlignment="1" applyBorder="1" applyFont="1">
      <alignment readingOrder="0"/>
    </xf>
    <xf borderId="16" fillId="9" fontId="1" numFmtId="169" xfId="0" applyBorder="1" applyFill="1" applyFont="1" applyNumberFormat="1"/>
    <xf quotePrefix="1" borderId="0" fillId="0" fontId="18" numFmtId="0" xfId="0" applyFont="1"/>
    <xf borderId="16" fillId="9" fontId="18" numFmtId="9" xfId="0" applyBorder="1" applyFont="1" applyNumberFormat="1"/>
    <xf borderId="0" fillId="0" fontId="24" numFmtId="172" xfId="0" applyFont="1" applyNumberFormat="1"/>
    <xf borderId="0" fillId="0" fontId="24" numFmtId="168" xfId="0" applyFont="1" applyNumberFormat="1"/>
    <xf borderId="16" fillId="9" fontId="19" numFmtId="9" xfId="0" applyBorder="1" applyFont="1" applyNumberFormat="1"/>
    <xf borderId="0" fillId="0" fontId="19" numFmtId="9" xfId="0" applyFont="1" applyNumberFormat="1"/>
    <xf borderId="16" fillId="6" fontId="18" numFmtId="9" xfId="0" applyBorder="1" applyFont="1" applyNumberFormat="1"/>
    <xf borderId="0" fillId="0" fontId="18" numFmtId="9" xfId="0" applyFont="1" applyNumberFormat="1"/>
    <xf borderId="0" fillId="0" fontId="51" numFmtId="0" xfId="0" applyAlignment="1" applyFont="1">
      <alignment horizontal="left"/>
    </xf>
    <xf borderId="0" fillId="0" fontId="52" numFmtId="172" xfId="0" applyAlignment="1" applyFont="1" applyNumberFormat="1">
      <alignment horizontal="right"/>
    </xf>
    <xf borderId="0" fillId="0" fontId="53" numFmtId="168" xfId="0" applyAlignment="1" applyFont="1" applyNumberFormat="1">
      <alignment horizontal="right"/>
    </xf>
    <xf borderId="0" fillId="0" fontId="54" numFmtId="0" xfId="0" applyFont="1"/>
    <xf borderId="0" fillId="0" fontId="54" numFmtId="9" xfId="0" applyFont="1" applyNumberFormat="1"/>
    <xf borderId="0" fillId="0" fontId="54" numFmtId="0" xfId="0" applyAlignment="1" applyFont="1">
      <alignment horizontal="right"/>
    </xf>
    <xf borderId="0" fillId="0" fontId="54" numFmtId="172" xfId="0" applyFont="1" applyNumberFormat="1"/>
    <xf borderId="0" fillId="0" fontId="54" numFmtId="168" xfId="0" applyFont="1" applyNumberFormat="1"/>
    <xf borderId="0" fillId="0" fontId="55" numFmtId="0" xfId="0" applyAlignment="1" applyFont="1">
      <alignment horizontal="left" shrinkToFit="0" wrapText="1"/>
    </xf>
    <xf borderId="0" fillId="0" fontId="55" numFmtId="9" xfId="0" applyFont="1" applyNumberFormat="1"/>
    <xf borderId="0" fillId="0" fontId="55" numFmtId="0" xfId="0" applyFont="1"/>
    <xf borderId="0" fillId="0" fontId="55" numFmtId="172" xfId="0" applyFont="1" applyNumberFormat="1"/>
    <xf borderId="4" fillId="6" fontId="55" numFmtId="168" xfId="0" applyAlignment="1" applyBorder="1" applyFont="1" applyNumberFormat="1">
      <alignment readingOrder="0"/>
    </xf>
    <xf borderId="0" fillId="0" fontId="18" numFmtId="172" xfId="0" applyFont="1" applyNumberFormat="1"/>
    <xf borderId="16" fillId="5" fontId="24" numFmtId="0" xfId="0" applyBorder="1" applyFont="1"/>
    <xf borderId="0" fillId="0" fontId="56" numFmtId="0" xfId="0" applyFont="1"/>
    <xf borderId="0" fillId="0" fontId="18" numFmtId="2" xfId="0" applyFont="1" applyNumberFormat="1"/>
    <xf borderId="4" fillId="6" fontId="57" numFmtId="168" xfId="0" applyAlignment="1" applyBorder="1" applyFont="1" applyNumberFormat="1">
      <alignment readingOrder="0"/>
    </xf>
    <xf borderId="4" fillId="6" fontId="18" numFmtId="174" xfId="0" applyBorder="1" applyFont="1" applyNumberFormat="1"/>
    <xf borderId="4" fillId="6" fontId="18" numFmtId="175" xfId="0" applyBorder="1" applyFont="1" applyNumberFormat="1"/>
    <xf borderId="4" fillId="6" fontId="58" numFmtId="175" xfId="0" applyBorder="1" applyFont="1" applyNumberFormat="1"/>
    <xf borderId="1" fillId="2" fontId="12" numFmtId="0" xfId="0" applyAlignment="1" applyBorder="1" applyFont="1">
      <alignment horizontal="center"/>
    </xf>
    <xf borderId="0" fillId="0" fontId="59" numFmtId="0" xfId="0" applyAlignment="1" applyFont="1">
      <alignment horizontal="center"/>
    </xf>
    <xf borderId="0" fillId="0" fontId="1" numFmtId="0" xfId="0" applyAlignment="1" applyFont="1">
      <alignment horizontal="center"/>
    </xf>
    <xf borderId="4" fillId="2" fontId="60" numFmtId="0" xfId="0" applyAlignment="1" applyBorder="1" applyFont="1">
      <alignment horizontal="center"/>
    </xf>
    <xf borderId="4" fillId="2" fontId="60" numFmtId="0" xfId="0" applyAlignment="1" applyBorder="1" applyFont="1">
      <alignment horizontal="center" readingOrder="0"/>
    </xf>
    <xf borderId="4" fillId="0" fontId="59" numFmtId="0" xfId="0" applyAlignment="1" applyBorder="1" applyFont="1">
      <alignment horizontal="center" readingOrder="0"/>
    </xf>
    <xf borderId="4" fillId="0" fontId="59" numFmtId="2" xfId="0" applyAlignment="1" applyBorder="1" applyFont="1" applyNumberFormat="1">
      <alignment horizontal="center" readingOrder="0"/>
    </xf>
    <xf borderId="4" fillId="0" fontId="59" numFmtId="2" xfId="0" applyAlignment="1" applyBorder="1" applyFont="1" applyNumberFormat="1">
      <alignment horizontal="center"/>
    </xf>
    <xf borderId="4" fillId="0" fontId="1" numFmtId="2" xfId="0" applyAlignment="1" applyBorder="1" applyFont="1" applyNumberFormat="1">
      <alignment horizontal="center"/>
    </xf>
    <xf borderId="4" fillId="0" fontId="59" numFmtId="3" xfId="0" applyAlignment="1" applyBorder="1" applyFont="1" applyNumberFormat="1">
      <alignment horizontal="center"/>
    </xf>
    <xf borderId="4" fillId="0" fontId="1" numFmtId="2" xfId="0" applyAlignment="1" applyBorder="1" applyFont="1" applyNumberFormat="1">
      <alignment horizontal="center" readingOrder="0"/>
    </xf>
    <xf borderId="4" fillId="6" fontId="60" numFmtId="4" xfId="0" applyAlignment="1" applyBorder="1" applyFont="1" applyNumberFormat="1">
      <alignment horizontal="center"/>
    </xf>
    <xf borderId="4" fillId="6" fontId="60" numFmtId="2" xfId="0" applyAlignment="1" applyBorder="1" applyFont="1" applyNumberFormat="1">
      <alignment horizontal="center"/>
    </xf>
    <xf borderId="4" fillId="6" fontId="60" numFmtId="3" xfId="0" applyAlignment="1" applyBorder="1" applyFont="1" applyNumberFormat="1">
      <alignment horizontal="center"/>
    </xf>
    <xf borderId="0" fillId="0" fontId="59" numFmtId="11" xfId="0" applyAlignment="1" applyFont="1" applyNumberFormat="1">
      <alignment horizontal="center"/>
    </xf>
    <xf borderId="0" fillId="0" fontId="8" numFmtId="2" xfId="0" applyAlignment="1" applyFont="1" applyNumberFormat="1">
      <alignment horizontal="right" vertical="bottom"/>
    </xf>
    <xf borderId="4" fillId="0" fontId="59" numFmtId="0" xfId="0" applyAlignment="1" applyBorder="1" applyFont="1">
      <alignment horizontal="center"/>
    </xf>
    <xf borderId="4" fillId="6" fontId="60" numFmtId="0" xfId="0" applyAlignment="1" applyBorder="1" applyFont="1">
      <alignment horizontal="center"/>
    </xf>
    <xf borderId="4" fillId="2" fontId="61" numFmtId="0" xfId="0" applyAlignment="1" applyBorder="1" applyFont="1">
      <alignment horizontal="center"/>
    </xf>
    <xf borderId="4" fillId="0" fontId="61" numFmtId="4" xfId="0" applyAlignment="1" applyBorder="1" applyFont="1" applyNumberFormat="1">
      <alignment horizontal="center"/>
    </xf>
    <xf borderId="4" fillId="0" fontId="62" numFmtId="4" xfId="0" applyAlignment="1" applyBorder="1" applyFont="1" applyNumberFormat="1">
      <alignment horizontal="center"/>
    </xf>
    <xf borderId="4" fillId="0" fontId="62" numFmtId="2" xfId="0" applyAlignment="1" applyBorder="1" applyFont="1" applyNumberFormat="1">
      <alignment horizontal="center"/>
    </xf>
    <xf borderId="0" fillId="0" fontId="59" numFmtId="0" xfId="0" applyFont="1"/>
    <xf borderId="0" fillId="0" fontId="63" numFmtId="0" xfId="0" applyAlignment="1" applyFont="1">
      <alignment horizontal="right"/>
    </xf>
    <xf borderId="0" fillId="0" fontId="64" numFmtId="0" xfId="0" applyFont="1"/>
    <xf borderId="17" fillId="10" fontId="65" numFmtId="0" xfId="0" applyAlignment="1" applyBorder="1" applyFill="1" applyFont="1">
      <alignment horizontal="center"/>
    </xf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4" fillId="2" fontId="56" numFmtId="0" xfId="0" applyAlignment="1" applyBorder="1" applyFont="1">
      <alignment horizontal="center"/>
    </xf>
    <xf borderId="1" fillId="2" fontId="56" numFmtId="0" xfId="0" applyAlignment="1" applyBorder="1" applyFont="1">
      <alignment horizontal="center"/>
    </xf>
    <xf borderId="4" fillId="0" fontId="56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1" numFmtId="4" xfId="0" applyAlignment="1" applyBorder="1" applyFont="1" applyNumberFormat="1">
      <alignment horizontal="center"/>
    </xf>
    <xf borderId="4" fillId="0" fontId="1" numFmtId="168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4" fillId="2" fontId="3" numFmtId="0" xfId="0" applyAlignment="1" applyBorder="1" applyFont="1">
      <alignment horizontal="center" readingOrder="0"/>
    </xf>
    <xf borderId="4" fillId="0" fontId="5" numFmtId="0" xfId="0" applyAlignment="1" applyBorder="1" applyFont="1">
      <alignment readingOrder="0"/>
    </xf>
    <xf borderId="4" fillId="0" fontId="5" numFmtId="1" xfId="0" applyAlignment="1" applyBorder="1" applyFont="1" applyNumberFormat="1">
      <alignment horizontal="center"/>
    </xf>
    <xf borderId="4" fillId="0" fontId="5" numFmtId="1" xfId="0" applyAlignment="1" applyBorder="1" applyFont="1" applyNumberFormat="1">
      <alignment horizontal="center" readingOrder="0"/>
    </xf>
    <xf borderId="4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4.38"/>
    <col customWidth="1" min="4" max="4" width="37.25"/>
    <col customWidth="1" min="5" max="5" width="23.25"/>
    <col customWidth="1" min="7" max="7" width="19.0"/>
    <col customWidth="1" min="9" max="9" width="19.13"/>
    <col customWidth="1" min="11" max="11" width="23.0"/>
    <col customWidth="1" min="12" max="12" width="26.5"/>
    <col customWidth="1" min="14" max="14" width="24.88"/>
  </cols>
  <sheetData>
    <row r="1" ht="15.75" customHeight="1">
      <c r="A1" s="1"/>
      <c r="B1" s="2" t="s">
        <v>0</v>
      </c>
      <c r="H1" s="3"/>
      <c r="I1" s="2" t="s">
        <v>1</v>
      </c>
      <c r="O1" s="1"/>
    </row>
    <row r="2" ht="15.75" customHeight="1">
      <c r="A2" s="1"/>
      <c r="B2" s="4" t="s">
        <v>2</v>
      </c>
      <c r="C2" s="5"/>
      <c r="D2" s="5"/>
      <c r="E2" s="5"/>
      <c r="F2" s="5"/>
      <c r="G2" s="6"/>
      <c r="H2" s="7"/>
      <c r="I2" s="4" t="s">
        <v>3</v>
      </c>
      <c r="J2" s="5"/>
      <c r="K2" s="5"/>
      <c r="L2" s="5"/>
      <c r="M2" s="5"/>
      <c r="N2" s="6"/>
      <c r="O2" s="1"/>
    </row>
    <row r="3" ht="15.75" customHeight="1">
      <c r="A3" s="1"/>
      <c r="B3" s="8" t="s">
        <v>4</v>
      </c>
      <c r="C3" s="8" t="s">
        <v>5</v>
      </c>
      <c r="D3" s="8" t="s">
        <v>6</v>
      </c>
      <c r="E3" s="8" t="s">
        <v>4</v>
      </c>
      <c r="F3" s="8" t="s">
        <v>5</v>
      </c>
      <c r="G3" s="8" t="s">
        <v>6</v>
      </c>
      <c r="H3" s="9"/>
      <c r="I3" s="8" t="s">
        <v>4</v>
      </c>
      <c r="J3" s="8" t="s">
        <v>5</v>
      </c>
      <c r="K3" s="8" t="s">
        <v>6</v>
      </c>
      <c r="L3" s="8" t="s">
        <v>4</v>
      </c>
      <c r="M3" s="8" t="s">
        <v>5</v>
      </c>
      <c r="N3" s="8" t="s">
        <v>6</v>
      </c>
      <c r="O3" s="1"/>
    </row>
    <row r="4" ht="15.75" customHeight="1">
      <c r="A4" s="1"/>
      <c r="B4" s="10" t="s">
        <v>7</v>
      </c>
      <c r="C4" s="11">
        <v>15.0</v>
      </c>
      <c r="D4" s="10" t="s">
        <v>8</v>
      </c>
      <c r="E4" s="10" t="s">
        <v>7</v>
      </c>
      <c r="F4" s="10">
        <v>11.0</v>
      </c>
      <c r="G4" s="10" t="s">
        <v>8</v>
      </c>
      <c r="H4" s="12"/>
      <c r="I4" s="10" t="s">
        <v>7</v>
      </c>
      <c r="J4" s="11">
        <v>15.0</v>
      </c>
      <c r="K4" s="10" t="s">
        <v>8</v>
      </c>
      <c r="L4" s="10" t="s">
        <v>7</v>
      </c>
      <c r="M4" s="10">
        <v>11.0</v>
      </c>
      <c r="N4" s="10" t="s">
        <v>8</v>
      </c>
      <c r="O4" s="1"/>
    </row>
    <row r="5" ht="15.75" customHeight="1">
      <c r="A5" s="1"/>
      <c r="B5" s="10" t="s">
        <v>9</v>
      </c>
      <c r="C5" s="10">
        <v>0.25</v>
      </c>
      <c r="D5" s="13" t="s">
        <v>10</v>
      </c>
      <c r="E5" s="10" t="s">
        <v>11</v>
      </c>
      <c r="F5" s="10">
        <v>1.36</v>
      </c>
      <c r="G5" s="10" t="s">
        <v>12</v>
      </c>
      <c r="H5" s="12"/>
      <c r="I5" s="10" t="s">
        <v>9</v>
      </c>
      <c r="J5" s="10">
        <v>0.25</v>
      </c>
      <c r="K5" s="13" t="s">
        <v>10</v>
      </c>
      <c r="L5" s="10" t="s">
        <v>11</v>
      </c>
      <c r="M5" s="10">
        <v>1.36</v>
      </c>
      <c r="N5" s="10" t="s">
        <v>12</v>
      </c>
      <c r="O5" s="1"/>
    </row>
    <row r="6" ht="15.75" customHeight="1">
      <c r="A6" s="1"/>
      <c r="B6" s="10" t="s">
        <v>13</v>
      </c>
      <c r="C6" s="10">
        <f>2.25/1.0414^C4</f>
        <v>1.224387587</v>
      </c>
      <c r="D6" s="14"/>
      <c r="E6" s="10" t="s">
        <v>14</v>
      </c>
      <c r="F6" s="10">
        <f>F4*2+15</f>
        <v>37</v>
      </c>
      <c r="G6" s="10" t="s">
        <v>15</v>
      </c>
      <c r="H6" s="12"/>
      <c r="I6" s="10" t="s">
        <v>13</v>
      </c>
      <c r="J6" s="10">
        <f>2.25/1.0414^J4</f>
        <v>1.224387587</v>
      </c>
      <c r="K6" s="14"/>
      <c r="L6" s="10" t="s">
        <v>14</v>
      </c>
      <c r="M6" s="10">
        <f>M4*2+15</f>
        <v>37</v>
      </c>
      <c r="N6" s="10" t="s">
        <v>15</v>
      </c>
      <c r="O6" s="1"/>
    </row>
    <row r="7" ht="15.75" customHeight="1">
      <c r="A7" s="1"/>
      <c r="B7" s="10" t="s">
        <v>16</v>
      </c>
      <c r="C7" s="10">
        <v>1.0</v>
      </c>
      <c r="D7" s="10" t="s">
        <v>17</v>
      </c>
      <c r="E7" s="10" t="s">
        <v>18</v>
      </c>
      <c r="F7" s="11">
        <v>1000.0</v>
      </c>
      <c r="G7" s="10" t="s">
        <v>19</v>
      </c>
      <c r="H7" s="12"/>
      <c r="I7" s="10" t="s">
        <v>16</v>
      </c>
      <c r="J7" s="10">
        <v>1.0</v>
      </c>
      <c r="K7" s="10" t="s">
        <v>17</v>
      </c>
      <c r="L7" s="10" t="s">
        <v>18</v>
      </c>
      <c r="M7" s="10">
        <v>202.6</v>
      </c>
      <c r="N7" s="10" t="s">
        <v>19</v>
      </c>
      <c r="O7" s="1"/>
    </row>
    <row r="8" ht="15.75" customHeight="1">
      <c r="A8" s="1"/>
      <c r="B8" s="15" t="s">
        <v>20</v>
      </c>
      <c r="C8" s="15">
        <v>1.0</v>
      </c>
      <c r="D8" s="15" t="s">
        <v>21</v>
      </c>
      <c r="E8" s="16" t="s">
        <v>22</v>
      </c>
      <c r="F8" s="17"/>
      <c r="G8" s="18"/>
      <c r="H8" s="19"/>
      <c r="I8" s="15" t="s">
        <v>20</v>
      </c>
      <c r="J8" s="15">
        <v>1.0</v>
      </c>
      <c r="K8" s="15" t="s">
        <v>21</v>
      </c>
      <c r="L8" s="16" t="s">
        <v>22</v>
      </c>
      <c r="M8" s="17"/>
      <c r="N8" s="18"/>
      <c r="O8" s="1"/>
    </row>
    <row r="9" ht="15.75" customHeight="1">
      <c r="A9" s="1"/>
      <c r="B9" s="20" t="s">
        <v>18</v>
      </c>
      <c r="C9" s="21">
        <v>1100.0</v>
      </c>
      <c r="D9" s="20" t="s">
        <v>19</v>
      </c>
      <c r="E9" s="22"/>
      <c r="G9" s="23"/>
      <c r="H9" s="19"/>
      <c r="I9" s="20" t="s">
        <v>18</v>
      </c>
      <c r="J9" s="21">
        <v>359.028</v>
      </c>
      <c r="K9" s="20" t="s">
        <v>19</v>
      </c>
      <c r="L9" s="22"/>
      <c r="N9" s="23"/>
      <c r="O9" s="1"/>
    </row>
    <row r="10" ht="15.75" customHeight="1">
      <c r="A10" s="1"/>
      <c r="B10" s="10" t="s">
        <v>23</v>
      </c>
      <c r="C10" s="10">
        <f>F5*C9/F7*3.28</f>
        <v>4.90688</v>
      </c>
      <c r="D10" s="10" t="s">
        <v>15</v>
      </c>
      <c r="E10" s="22"/>
      <c r="G10" s="23"/>
      <c r="H10" s="19"/>
      <c r="I10" s="10" t="s">
        <v>23</v>
      </c>
      <c r="J10" s="10">
        <f>M5*J9/M7*3.28</f>
        <v>7.90499557</v>
      </c>
      <c r="K10" s="10" t="s">
        <v>15</v>
      </c>
      <c r="L10" s="22"/>
      <c r="N10" s="23"/>
      <c r="O10" s="1"/>
    </row>
    <row r="11" ht="15.75" customHeight="1">
      <c r="A11" s="1"/>
      <c r="B11" s="10" t="s">
        <v>24</v>
      </c>
      <c r="C11" s="24">
        <f>468*EXP(0.1482*C10)</f>
        <v>968.4219702</v>
      </c>
      <c r="D11" s="10" t="s">
        <v>25</v>
      </c>
      <c r="E11" s="22"/>
      <c r="G11" s="23"/>
      <c r="H11" s="19"/>
      <c r="I11" s="10" t="s">
        <v>24</v>
      </c>
      <c r="J11" s="24">
        <f>468*EXP(0.1482*J10)</f>
        <v>1510.186813</v>
      </c>
      <c r="K11" s="10" t="s">
        <v>25</v>
      </c>
      <c r="L11" s="22"/>
      <c r="N11" s="23"/>
      <c r="O11" s="1"/>
    </row>
    <row r="12" ht="15.75" customHeight="1">
      <c r="A12" s="1"/>
      <c r="B12" s="10" t="s">
        <v>26</v>
      </c>
      <c r="C12" s="24">
        <f>C4*C6*C7*C8*C11</f>
        <v>17785.85759</v>
      </c>
      <c r="D12" s="10" t="s">
        <v>25</v>
      </c>
      <c r="E12" s="22"/>
      <c r="G12" s="23"/>
      <c r="H12" s="19"/>
      <c r="I12" s="10" t="s">
        <v>26</v>
      </c>
      <c r="J12" s="24">
        <f>J4*J6*J7*J8*J11</f>
        <v>27735.80982</v>
      </c>
      <c r="K12" s="10" t="s">
        <v>25</v>
      </c>
      <c r="L12" s="22"/>
      <c r="N12" s="23"/>
      <c r="O12" s="1"/>
    </row>
    <row r="13" ht="15.75" customHeight="1">
      <c r="A13" s="1"/>
      <c r="B13" s="10" t="s">
        <v>14</v>
      </c>
      <c r="C13" s="10">
        <f>C4*2+15</f>
        <v>45</v>
      </c>
      <c r="D13" s="10" t="s">
        <v>15</v>
      </c>
      <c r="E13" s="22"/>
      <c r="G13" s="23"/>
      <c r="H13" s="19"/>
      <c r="I13" s="10" t="s">
        <v>14</v>
      </c>
      <c r="J13" s="10">
        <f>J4*2+15</f>
        <v>45</v>
      </c>
      <c r="K13" s="10" t="s">
        <v>15</v>
      </c>
      <c r="L13" s="22"/>
      <c r="N13" s="23"/>
      <c r="O13" s="1"/>
    </row>
    <row r="14" ht="15.75" customHeight="1">
      <c r="A14" s="1"/>
      <c r="B14" s="10" t="s">
        <v>27</v>
      </c>
      <c r="C14" s="24">
        <f>341*(C10^0.63316)*(C13^0.80161)</f>
        <v>19741.33111</v>
      </c>
      <c r="D14" s="10" t="s">
        <v>25</v>
      </c>
      <c r="E14" s="22"/>
      <c r="G14" s="23"/>
      <c r="H14" s="19"/>
      <c r="I14" s="10" t="s">
        <v>27</v>
      </c>
      <c r="J14" s="24">
        <f>341*(J10^0.63316)*(J13^0.80161)</f>
        <v>26699.39735</v>
      </c>
      <c r="K14" s="10" t="s">
        <v>25</v>
      </c>
      <c r="L14" s="22"/>
      <c r="N14" s="23"/>
      <c r="O14" s="1"/>
    </row>
    <row r="15" ht="15.75" customHeight="1">
      <c r="A15" s="1"/>
      <c r="B15" s="10" t="s">
        <v>28</v>
      </c>
      <c r="C15" s="10">
        <v>1.0</v>
      </c>
      <c r="D15" s="15" t="s">
        <v>21</v>
      </c>
      <c r="E15" s="22"/>
      <c r="G15" s="23"/>
      <c r="H15" s="19"/>
      <c r="I15" s="10" t="s">
        <v>28</v>
      </c>
      <c r="J15" s="10">
        <v>1.0</v>
      </c>
      <c r="K15" s="15" t="s">
        <v>21</v>
      </c>
      <c r="L15" s="22"/>
      <c r="N15" s="23"/>
      <c r="O15" s="1"/>
    </row>
    <row r="16" ht="15.75" customHeight="1">
      <c r="A16" s="1"/>
      <c r="B16" s="10" t="s">
        <v>29</v>
      </c>
      <c r="C16" s="10">
        <v>490.0</v>
      </c>
      <c r="D16" s="10" t="s">
        <v>30</v>
      </c>
      <c r="E16" s="22"/>
      <c r="G16" s="23"/>
      <c r="H16" s="19"/>
      <c r="I16" s="10" t="s">
        <v>29</v>
      </c>
      <c r="J16" s="10">
        <v>490.0</v>
      </c>
      <c r="K16" s="10" t="s">
        <v>30</v>
      </c>
      <c r="L16" s="22"/>
      <c r="N16" s="23"/>
      <c r="O16" s="1"/>
    </row>
    <row r="17" ht="15.75" customHeight="1">
      <c r="A17" s="1"/>
      <c r="B17" s="10" t="s">
        <v>31</v>
      </c>
      <c r="C17" s="25">
        <v>0.1043</v>
      </c>
      <c r="D17" s="10" t="s">
        <v>15</v>
      </c>
      <c r="E17" s="22"/>
      <c r="G17" s="23"/>
      <c r="H17" s="19"/>
      <c r="I17" s="10" t="s">
        <v>31</v>
      </c>
      <c r="J17" s="25">
        <v>0.1043</v>
      </c>
      <c r="K17" s="10" t="s">
        <v>15</v>
      </c>
      <c r="L17" s="22"/>
      <c r="N17" s="23"/>
      <c r="O17" s="1"/>
    </row>
    <row r="18" ht="15.75" customHeight="1">
      <c r="A18" s="1"/>
      <c r="B18" s="10" t="s">
        <v>32</v>
      </c>
      <c r="C18" s="10">
        <f>C16*C17*PI()*(C10+C17)*(C13+0.8*C10)</f>
        <v>39364.57547</v>
      </c>
      <c r="D18" s="10" t="s">
        <v>33</v>
      </c>
      <c r="E18" s="22"/>
      <c r="G18" s="23"/>
      <c r="H18" s="19"/>
      <c r="I18" s="10" t="s">
        <v>32</v>
      </c>
      <c r="J18" s="10">
        <f>J16*J17*PI()*(J10+J17)*(J13+0.8*J10)</f>
        <v>66000.16911</v>
      </c>
      <c r="K18" s="10" t="s">
        <v>33</v>
      </c>
      <c r="L18" s="22"/>
      <c r="N18" s="23"/>
      <c r="O18" s="1"/>
    </row>
    <row r="19" ht="15.75" customHeight="1">
      <c r="A19" s="1"/>
      <c r="B19" s="10" t="s">
        <v>34</v>
      </c>
      <c r="C19" s="24">
        <f>EXP(7.139+0.18255*LN(C18)+0.02297*(LN(C18))^2)</f>
        <v>113774.5013</v>
      </c>
      <c r="D19" s="10" t="s">
        <v>25</v>
      </c>
      <c r="E19" s="22"/>
      <c r="G19" s="23"/>
      <c r="H19" s="19"/>
      <c r="I19" s="10" t="s">
        <v>34</v>
      </c>
      <c r="J19" s="24">
        <f>EXP(7.139+0.18255*LN(J18)+0.02297*(LN(J18))^2)</f>
        <v>161724.1054</v>
      </c>
      <c r="K19" s="10" t="s">
        <v>25</v>
      </c>
      <c r="L19" s="22"/>
      <c r="N19" s="23"/>
      <c r="O19" s="1"/>
    </row>
    <row r="20" ht="15.75" customHeight="1">
      <c r="A20" s="1"/>
      <c r="B20" s="10" t="s">
        <v>35</v>
      </c>
      <c r="C20" s="24">
        <f>C15*C19+C14+C12</f>
        <v>151301.69</v>
      </c>
      <c r="D20" s="10" t="s">
        <v>25</v>
      </c>
      <c r="E20" s="22"/>
      <c r="G20" s="23"/>
      <c r="H20" s="19"/>
      <c r="I20" s="10" t="s">
        <v>35</v>
      </c>
      <c r="J20" s="24">
        <f>J15*J19+J14+J12</f>
        <v>216159.3125</v>
      </c>
      <c r="K20" s="10" t="s">
        <v>25</v>
      </c>
      <c r="L20" s="22"/>
      <c r="N20" s="23"/>
      <c r="O20" s="1"/>
    </row>
    <row r="21" ht="15.75" customHeight="1">
      <c r="A21" s="1"/>
      <c r="B21" s="10" t="s">
        <v>36</v>
      </c>
      <c r="C21" s="10">
        <v>4.16</v>
      </c>
      <c r="D21" s="10" t="s">
        <v>37</v>
      </c>
      <c r="E21" s="22"/>
      <c r="G21" s="23"/>
      <c r="H21" s="19"/>
      <c r="I21" s="10" t="s">
        <v>36</v>
      </c>
      <c r="J21" s="10">
        <v>4.16</v>
      </c>
      <c r="K21" s="10" t="s">
        <v>37</v>
      </c>
      <c r="L21" s="22"/>
      <c r="N21" s="23"/>
      <c r="O21" s="1"/>
    </row>
    <row r="22" ht="15.75" customHeight="1">
      <c r="A22" s="1"/>
      <c r="B22" s="26" t="s">
        <v>38</v>
      </c>
      <c r="C22" s="27">
        <f>C20*C21</f>
        <v>629415.0304</v>
      </c>
      <c r="D22" s="26" t="s">
        <v>25</v>
      </c>
      <c r="E22" s="28"/>
      <c r="F22" s="29"/>
      <c r="G22" s="30"/>
      <c r="H22" s="19"/>
      <c r="I22" s="26" t="s">
        <v>38</v>
      </c>
      <c r="J22" s="27">
        <f>J20*J21</f>
        <v>899222.7402</v>
      </c>
      <c r="K22" s="26" t="s">
        <v>25</v>
      </c>
      <c r="L22" s="28"/>
      <c r="M22" s="29"/>
      <c r="N22" s="30"/>
      <c r="O22" s="1"/>
    </row>
    <row r="23" ht="15.75" customHeight="1">
      <c r="A23" s="1"/>
      <c r="B23" s="4" t="s">
        <v>39</v>
      </c>
      <c r="C23" s="5"/>
      <c r="D23" s="5"/>
      <c r="E23" s="5"/>
      <c r="F23" s="5"/>
      <c r="G23" s="6"/>
      <c r="H23" s="7"/>
      <c r="I23" s="4" t="s">
        <v>40</v>
      </c>
      <c r="J23" s="5"/>
      <c r="K23" s="5"/>
      <c r="L23" s="5"/>
      <c r="M23" s="5"/>
      <c r="N23" s="6"/>
      <c r="O23" s="1"/>
    </row>
    <row r="24" ht="15.75" customHeight="1">
      <c r="A24" s="1"/>
      <c r="B24" s="8" t="s">
        <v>4</v>
      </c>
      <c r="C24" s="8" t="s">
        <v>5</v>
      </c>
      <c r="D24" s="8" t="s">
        <v>6</v>
      </c>
      <c r="E24" s="8" t="s">
        <v>4</v>
      </c>
      <c r="F24" s="8" t="s">
        <v>5</v>
      </c>
      <c r="G24" s="8" t="s">
        <v>6</v>
      </c>
      <c r="H24" s="9"/>
      <c r="I24" s="8" t="s">
        <v>4</v>
      </c>
      <c r="J24" s="8" t="s">
        <v>5</v>
      </c>
      <c r="K24" s="8" t="s">
        <v>6</v>
      </c>
      <c r="L24" s="8" t="s">
        <v>4</v>
      </c>
      <c r="M24" s="8" t="s">
        <v>5</v>
      </c>
      <c r="N24" s="8" t="s">
        <v>6</v>
      </c>
      <c r="O24" s="1"/>
    </row>
    <row r="25" ht="15.75" customHeight="1">
      <c r="A25" s="1"/>
      <c r="B25" s="10" t="s">
        <v>7</v>
      </c>
      <c r="C25" s="11">
        <v>15.0</v>
      </c>
      <c r="D25" s="10" t="s">
        <v>8</v>
      </c>
      <c r="E25" s="10" t="s">
        <v>7</v>
      </c>
      <c r="F25" s="10">
        <v>11.0</v>
      </c>
      <c r="G25" s="10" t="s">
        <v>8</v>
      </c>
      <c r="H25" s="12"/>
      <c r="I25" s="10" t="s">
        <v>41</v>
      </c>
      <c r="J25" s="11">
        <v>3.0663</v>
      </c>
      <c r="K25" s="10" t="s">
        <v>42</v>
      </c>
      <c r="L25" s="31"/>
      <c r="M25" s="17"/>
      <c r="N25" s="18"/>
      <c r="O25" s="1"/>
    </row>
    <row r="26" ht="15.75" customHeight="1">
      <c r="A26" s="1"/>
      <c r="B26" s="10" t="s">
        <v>9</v>
      </c>
      <c r="C26" s="10">
        <v>0.25</v>
      </c>
      <c r="D26" s="13" t="s">
        <v>10</v>
      </c>
      <c r="E26" s="10" t="s">
        <v>11</v>
      </c>
      <c r="F26" s="10">
        <v>1.36</v>
      </c>
      <c r="G26" s="10" t="s">
        <v>12</v>
      </c>
      <c r="H26" s="12"/>
      <c r="I26" s="10" t="s">
        <v>41</v>
      </c>
      <c r="J26" s="24">
        <f>J25*3968320.722</f>
        <v>12168061.83</v>
      </c>
      <c r="K26" s="10" t="s">
        <v>43</v>
      </c>
      <c r="L26" s="22"/>
      <c r="N26" s="23"/>
      <c r="O26" s="1"/>
    </row>
    <row r="27" ht="15.75" customHeight="1">
      <c r="A27" s="1"/>
      <c r="B27" s="10" t="s">
        <v>13</v>
      </c>
      <c r="C27" s="10">
        <f>2.25/1.0414^C25</f>
        <v>1.224387587</v>
      </c>
      <c r="D27" s="14"/>
      <c r="E27" s="10" t="s">
        <v>14</v>
      </c>
      <c r="F27" s="10">
        <f>F25*2+15</f>
        <v>37</v>
      </c>
      <c r="G27" s="10" t="s">
        <v>15</v>
      </c>
      <c r="H27" s="12"/>
      <c r="I27" s="10" t="s">
        <v>44</v>
      </c>
      <c r="J27" s="10">
        <v>10000.0</v>
      </c>
      <c r="K27" s="10" t="s">
        <v>45</v>
      </c>
      <c r="L27" s="22"/>
      <c r="N27" s="23"/>
      <c r="O27" s="1"/>
    </row>
    <row r="28" ht="15.75" customHeight="1">
      <c r="A28" s="1"/>
      <c r="B28" s="10" t="s">
        <v>16</v>
      </c>
      <c r="C28" s="10">
        <v>1.0</v>
      </c>
      <c r="D28" s="10" t="s">
        <v>17</v>
      </c>
      <c r="E28" s="10" t="s">
        <v>18</v>
      </c>
      <c r="F28" s="11">
        <v>500.0</v>
      </c>
      <c r="G28" s="10" t="s">
        <v>19</v>
      </c>
      <c r="H28" s="12"/>
      <c r="I28" s="10" t="s">
        <v>46</v>
      </c>
      <c r="J28" s="10">
        <f>J26/J27</f>
        <v>1216.806183</v>
      </c>
      <c r="K28" s="10" t="s">
        <v>47</v>
      </c>
      <c r="L28" s="22"/>
      <c r="N28" s="23"/>
      <c r="O28" s="1"/>
    </row>
    <row r="29" ht="15.75" customHeight="1">
      <c r="A29" s="1"/>
      <c r="B29" s="15" t="s">
        <v>20</v>
      </c>
      <c r="C29" s="15">
        <v>1.0</v>
      </c>
      <c r="D29" s="15" t="s">
        <v>21</v>
      </c>
      <c r="E29" s="16" t="s">
        <v>22</v>
      </c>
      <c r="F29" s="17"/>
      <c r="G29" s="18"/>
      <c r="H29" s="19"/>
      <c r="I29" s="10" t="s">
        <v>48</v>
      </c>
      <c r="J29" s="24">
        <f>EXP(11.4185-0.9228*LN(J28)+0.09861*(LN(J28))^2)</f>
        <v>18759.47556</v>
      </c>
      <c r="K29" s="10" t="s">
        <v>25</v>
      </c>
      <c r="L29" s="22"/>
      <c r="N29" s="23"/>
      <c r="O29" s="1"/>
    </row>
    <row r="30" ht="15.75" customHeight="1">
      <c r="A30" s="1"/>
      <c r="B30" s="20" t="s">
        <v>18</v>
      </c>
      <c r="C30" s="21">
        <v>607.732</v>
      </c>
      <c r="D30" s="20" t="s">
        <v>19</v>
      </c>
      <c r="E30" s="22"/>
      <c r="G30" s="23"/>
      <c r="H30" s="19"/>
      <c r="I30" s="10" t="s">
        <v>36</v>
      </c>
      <c r="J30" s="10">
        <v>2.15</v>
      </c>
      <c r="K30" s="10" t="s">
        <v>49</v>
      </c>
      <c r="L30" s="22"/>
      <c r="N30" s="23"/>
      <c r="O30" s="1"/>
    </row>
    <row r="31" ht="15.75" customHeight="1">
      <c r="A31" s="1"/>
      <c r="B31" s="10" t="s">
        <v>23</v>
      </c>
      <c r="C31" s="10">
        <f>F26*C30/F28*3.28</f>
        <v>5.421941811</v>
      </c>
      <c r="D31" s="10" t="s">
        <v>15</v>
      </c>
      <c r="E31" s="22"/>
      <c r="G31" s="23"/>
      <c r="H31" s="19"/>
      <c r="I31" s="10" t="s">
        <v>50</v>
      </c>
      <c r="J31" s="10">
        <f>9*14.5038</f>
        <v>130.5342</v>
      </c>
      <c r="K31" s="10" t="s">
        <v>51</v>
      </c>
      <c r="L31" s="22"/>
      <c r="N31" s="23"/>
      <c r="O31" s="1"/>
    </row>
    <row r="32" ht="15.75" customHeight="1">
      <c r="A32" s="1"/>
      <c r="B32" s="10" t="s">
        <v>24</v>
      </c>
      <c r="C32" s="24">
        <f>468*EXP(0.1482*C31)</f>
        <v>1045.238191</v>
      </c>
      <c r="D32" s="10" t="s">
        <v>25</v>
      </c>
      <c r="E32" s="22"/>
      <c r="G32" s="23"/>
      <c r="H32" s="19"/>
      <c r="I32" s="10" t="s">
        <v>52</v>
      </c>
      <c r="J32" s="10">
        <f>0.9803+0.018*(J31/100)+0.0017*(J31/100)^2</f>
        <v>1.006692816</v>
      </c>
      <c r="K32" s="13" t="s">
        <v>10</v>
      </c>
      <c r="L32" s="22"/>
      <c r="N32" s="23"/>
      <c r="O32" s="1"/>
    </row>
    <row r="33" ht="15.75" customHeight="1">
      <c r="A33" s="1"/>
      <c r="B33" s="10" t="s">
        <v>26</v>
      </c>
      <c r="C33" s="24">
        <f>C25*C27*C28*C29*C32</f>
        <v>19196.65</v>
      </c>
      <c r="D33" s="10" t="s">
        <v>25</v>
      </c>
      <c r="E33" s="22"/>
      <c r="G33" s="23"/>
      <c r="H33" s="19"/>
      <c r="I33" s="10" t="s">
        <v>28</v>
      </c>
      <c r="J33" s="10">
        <v>1.0</v>
      </c>
      <c r="K33" s="32"/>
      <c r="L33" s="22"/>
      <c r="N33" s="23"/>
      <c r="O33" s="1"/>
    </row>
    <row r="34" ht="15.75" customHeight="1">
      <c r="A34" s="1"/>
      <c r="B34" s="10" t="s">
        <v>14</v>
      </c>
      <c r="C34" s="10">
        <f>C25*2+15</f>
        <v>45</v>
      </c>
      <c r="D34" s="10" t="s">
        <v>15</v>
      </c>
      <c r="E34" s="22"/>
      <c r="G34" s="23"/>
      <c r="H34" s="19"/>
      <c r="I34" s="10" t="s">
        <v>53</v>
      </c>
      <c r="J34" s="10">
        <v>1.0</v>
      </c>
      <c r="K34" s="14"/>
      <c r="L34" s="22"/>
      <c r="N34" s="23"/>
      <c r="O34" s="1"/>
    </row>
    <row r="35" ht="15.75" customHeight="1">
      <c r="A35" s="1"/>
      <c r="B35" s="10" t="s">
        <v>27</v>
      </c>
      <c r="C35" s="24">
        <f>341*(C31^0.63316)*(C34^0.80161)</f>
        <v>21029.2386</v>
      </c>
      <c r="D35" s="10" t="s">
        <v>25</v>
      </c>
      <c r="E35" s="22"/>
      <c r="G35" s="23"/>
      <c r="H35" s="19"/>
      <c r="I35" s="26" t="s">
        <v>38</v>
      </c>
      <c r="J35" s="27">
        <f>J34*J33*J32*J30*J29</f>
        <v>40602.81296</v>
      </c>
      <c r="K35" s="26" t="s">
        <v>25</v>
      </c>
      <c r="L35" s="28"/>
      <c r="M35" s="29"/>
      <c r="N35" s="30"/>
      <c r="O35" s="1"/>
    </row>
    <row r="36" ht="15.75" customHeight="1">
      <c r="A36" s="1"/>
      <c r="B36" s="10" t="s">
        <v>28</v>
      </c>
      <c r="C36" s="10">
        <v>1.0</v>
      </c>
      <c r="D36" s="15" t="s">
        <v>21</v>
      </c>
      <c r="E36" s="22"/>
      <c r="G36" s="23"/>
      <c r="H36" s="19"/>
      <c r="I36" s="4" t="s">
        <v>54</v>
      </c>
      <c r="J36" s="5"/>
      <c r="K36" s="5"/>
      <c r="L36" s="5"/>
      <c r="M36" s="5"/>
      <c r="N36" s="6"/>
      <c r="O36" s="1"/>
    </row>
    <row r="37" ht="15.75" customHeight="1">
      <c r="A37" s="1"/>
      <c r="B37" s="10" t="s">
        <v>29</v>
      </c>
      <c r="C37" s="10">
        <v>490.0</v>
      </c>
      <c r="D37" s="10" t="s">
        <v>30</v>
      </c>
      <c r="E37" s="22"/>
      <c r="G37" s="23"/>
      <c r="H37" s="19"/>
      <c r="I37" s="8" t="s">
        <v>4</v>
      </c>
      <c r="J37" s="8" t="s">
        <v>5</v>
      </c>
      <c r="K37" s="8" t="s">
        <v>6</v>
      </c>
      <c r="L37" s="8" t="s">
        <v>4</v>
      </c>
      <c r="M37" s="8" t="s">
        <v>5</v>
      </c>
      <c r="N37" s="8" t="s">
        <v>6</v>
      </c>
      <c r="O37" s="1"/>
    </row>
    <row r="38" ht="15.75" customHeight="1">
      <c r="A38" s="1"/>
      <c r="B38" s="10" t="s">
        <v>31</v>
      </c>
      <c r="C38" s="25">
        <v>0.1043</v>
      </c>
      <c r="D38" s="10" t="s">
        <v>15</v>
      </c>
      <c r="E38" s="22"/>
      <c r="G38" s="23"/>
      <c r="H38" s="19"/>
      <c r="I38" s="10" t="s">
        <v>41</v>
      </c>
      <c r="J38" s="11">
        <v>-1.85474</v>
      </c>
      <c r="K38" s="10" t="s">
        <v>42</v>
      </c>
      <c r="L38" s="31"/>
      <c r="M38" s="17"/>
      <c r="N38" s="18"/>
      <c r="O38" s="1"/>
    </row>
    <row r="39" ht="15.75" customHeight="1">
      <c r="A39" s="1"/>
      <c r="B39" s="10" t="s">
        <v>32</v>
      </c>
      <c r="C39" s="10">
        <f>C37*C38*PI()*(C31+C38)*(C34+0.8*C31)</f>
        <v>43776.16931</v>
      </c>
      <c r="D39" s="10" t="s">
        <v>33</v>
      </c>
      <c r="E39" s="22"/>
      <c r="G39" s="23"/>
      <c r="H39" s="19"/>
      <c r="I39" s="10" t="s">
        <v>41</v>
      </c>
      <c r="J39" s="24">
        <f>ABS(J38*3968320.722)</f>
        <v>7360203.176</v>
      </c>
      <c r="K39" s="10" t="s">
        <v>43</v>
      </c>
      <c r="L39" s="22"/>
      <c r="N39" s="23"/>
      <c r="O39" s="1"/>
    </row>
    <row r="40" ht="15.75" customHeight="1">
      <c r="A40" s="1"/>
      <c r="B40" s="10" t="s">
        <v>34</v>
      </c>
      <c r="C40" s="24">
        <f>EXP(7.139+0.18255*LN(C39)+0.02297*(LN(C39))^2)</f>
        <v>122180.6903</v>
      </c>
      <c r="D40" s="10" t="s">
        <v>25</v>
      </c>
      <c r="E40" s="22"/>
      <c r="G40" s="23"/>
      <c r="H40" s="19"/>
      <c r="I40" s="10" t="s">
        <v>44</v>
      </c>
      <c r="J40" s="10">
        <v>10000.0</v>
      </c>
      <c r="K40" s="10" t="s">
        <v>45</v>
      </c>
      <c r="L40" s="22"/>
      <c r="N40" s="23"/>
      <c r="O40" s="1"/>
    </row>
    <row r="41" ht="15.75" customHeight="1">
      <c r="A41" s="1"/>
      <c r="B41" s="10" t="s">
        <v>35</v>
      </c>
      <c r="C41" s="24">
        <f>C36*C40+C35+C33</f>
        <v>162406.5789</v>
      </c>
      <c r="D41" s="10" t="s">
        <v>25</v>
      </c>
      <c r="E41" s="22"/>
      <c r="G41" s="23"/>
      <c r="H41" s="19"/>
      <c r="I41" s="10" t="s">
        <v>46</v>
      </c>
      <c r="J41" s="10">
        <f>J39/J40</f>
        <v>736.0203176</v>
      </c>
      <c r="K41" s="10" t="s">
        <v>47</v>
      </c>
      <c r="L41" s="22"/>
      <c r="N41" s="23"/>
      <c r="O41" s="1"/>
    </row>
    <row r="42" ht="15.75" customHeight="1">
      <c r="A42" s="1"/>
      <c r="B42" s="10" t="s">
        <v>36</v>
      </c>
      <c r="C42" s="10">
        <v>4.16</v>
      </c>
      <c r="D42" s="10" t="s">
        <v>37</v>
      </c>
      <c r="E42" s="22"/>
      <c r="G42" s="23"/>
      <c r="H42" s="19"/>
      <c r="I42" s="10" t="s">
        <v>48</v>
      </c>
      <c r="J42" s="10">
        <f>EXP(11.4185-0.9228*LN(J41)+0.09861*(LN(J41))^2)</f>
        <v>15122.64014</v>
      </c>
      <c r="K42" s="10" t="s">
        <v>25</v>
      </c>
      <c r="L42" s="22"/>
      <c r="N42" s="23"/>
      <c r="O42" s="1"/>
    </row>
    <row r="43" ht="15.75" customHeight="1">
      <c r="A43" s="1"/>
      <c r="B43" s="26" t="s">
        <v>38</v>
      </c>
      <c r="C43" s="27">
        <f>C41*C42</f>
        <v>675611.3681</v>
      </c>
      <c r="D43" s="26" t="s">
        <v>25</v>
      </c>
      <c r="E43" s="28"/>
      <c r="F43" s="29"/>
      <c r="G43" s="30"/>
      <c r="H43" s="19"/>
      <c r="I43" s="10" t="s">
        <v>36</v>
      </c>
      <c r="J43" s="10">
        <v>2.15</v>
      </c>
      <c r="K43" s="10" t="s">
        <v>49</v>
      </c>
      <c r="L43" s="22"/>
      <c r="N43" s="23"/>
      <c r="O43" s="1"/>
    </row>
    <row r="44" ht="15.75" customHeight="1">
      <c r="A44" s="1"/>
      <c r="B44" s="4" t="s">
        <v>55</v>
      </c>
      <c r="C44" s="5"/>
      <c r="D44" s="5"/>
      <c r="E44" s="5"/>
      <c r="F44" s="5"/>
      <c r="G44" s="6"/>
      <c r="I44" s="10" t="s">
        <v>50</v>
      </c>
      <c r="J44" s="10">
        <f>9*14.5038</f>
        <v>130.5342</v>
      </c>
      <c r="K44" s="10" t="s">
        <v>51</v>
      </c>
      <c r="L44" s="22"/>
      <c r="N44" s="23"/>
      <c r="O44" s="1"/>
    </row>
    <row r="45" ht="15.75" customHeight="1">
      <c r="A45" s="1"/>
      <c r="B45" s="8" t="s">
        <v>4</v>
      </c>
      <c r="C45" s="8" t="s">
        <v>5</v>
      </c>
      <c r="D45" s="8" t="s">
        <v>6</v>
      </c>
      <c r="E45" s="8" t="s">
        <v>4</v>
      </c>
      <c r="F45" s="8" t="s">
        <v>5</v>
      </c>
      <c r="G45" s="8" t="s">
        <v>6</v>
      </c>
      <c r="I45" s="10" t="s">
        <v>52</v>
      </c>
      <c r="J45" s="10">
        <f>0.9803+0.018*(J44/100)+0.0017*(J44/100)^2</f>
        <v>1.006692816</v>
      </c>
      <c r="K45" s="13" t="s">
        <v>10</v>
      </c>
      <c r="L45" s="22"/>
      <c r="N45" s="23"/>
      <c r="O45" s="1"/>
    </row>
    <row r="46" ht="15.75" customHeight="1">
      <c r="A46" s="1"/>
      <c r="B46" s="10" t="s">
        <v>41</v>
      </c>
      <c r="C46" s="11">
        <v>9.82563</v>
      </c>
      <c r="D46" s="10" t="s">
        <v>42</v>
      </c>
      <c r="E46" s="33"/>
      <c r="F46" s="17"/>
      <c r="G46" s="18"/>
      <c r="I46" s="10" t="s">
        <v>28</v>
      </c>
      <c r="J46" s="10">
        <v>1.0</v>
      </c>
      <c r="K46" s="32"/>
      <c r="L46" s="22"/>
      <c r="N46" s="23"/>
      <c r="O46" s="1"/>
    </row>
    <row r="47" ht="15.75" customHeight="1">
      <c r="A47" s="1"/>
      <c r="B47" s="10" t="s">
        <v>41</v>
      </c>
      <c r="C47" s="24">
        <f>C46*3968320.722</f>
        <v>38991251.14</v>
      </c>
      <c r="D47" s="10" t="s">
        <v>43</v>
      </c>
      <c r="E47" s="22"/>
      <c r="G47" s="23"/>
      <c r="I47" s="10" t="s">
        <v>53</v>
      </c>
      <c r="J47" s="10">
        <v>1.0</v>
      </c>
      <c r="K47" s="14"/>
      <c r="L47" s="22"/>
      <c r="N47" s="23"/>
      <c r="O47" s="1"/>
    </row>
    <row r="48" ht="15.75" customHeight="1">
      <c r="A48" s="1"/>
      <c r="B48" s="10" t="s">
        <v>44</v>
      </c>
      <c r="C48" s="10">
        <v>10000.0</v>
      </c>
      <c r="D48" s="10" t="s">
        <v>45</v>
      </c>
      <c r="E48" s="22"/>
      <c r="G48" s="23"/>
      <c r="I48" s="26" t="s">
        <v>38</v>
      </c>
      <c r="J48" s="27">
        <f>J47*J46*J45*J43*J42</f>
        <v>32731.28437</v>
      </c>
      <c r="K48" s="26" t="s">
        <v>25</v>
      </c>
      <c r="L48" s="28"/>
      <c r="M48" s="29"/>
      <c r="N48" s="30"/>
      <c r="O48" s="1"/>
    </row>
    <row r="49" ht="15.75" customHeight="1">
      <c r="A49" s="1"/>
      <c r="B49" s="10" t="s">
        <v>46</v>
      </c>
      <c r="C49" s="10">
        <f>C47/C48</f>
        <v>3899.125114</v>
      </c>
      <c r="D49" s="10" t="s">
        <v>47</v>
      </c>
      <c r="E49" s="22"/>
      <c r="G49" s="23"/>
      <c r="I49" s="34" t="s">
        <v>56</v>
      </c>
      <c r="J49" s="5"/>
      <c r="K49" s="5"/>
      <c r="L49" s="5"/>
      <c r="M49" s="5"/>
      <c r="N49" s="6"/>
      <c r="O49" s="1"/>
    </row>
    <row r="50" ht="15.75" customHeight="1">
      <c r="A50" s="1"/>
      <c r="B50" s="10" t="s">
        <v>48</v>
      </c>
      <c r="C50" s="24">
        <f>EXP(11.4185-0.9228*LN(C49)+0.09861*(LN(C49))^2)</f>
        <v>37425.63101</v>
      </c>
      <c r="D50" s="10" t="s">
        <v>25</v>
      </c>
      <c r="E50" s="22"/>
      <c r="G50" s="23"/>
      <c r="I50" s="8" t="s">
        <v>4</v>
      </c>
      <c r="J50" s="8" t="s">
        <v>5</v>
      </c>
      <c r="K50" s="8" t="s">
        <v>6</v>
      </c>
      <c r="L50" s="8" t="s">
        <v>4</v>
      </c>
      <c r="M50" s="8" t="s">
        <v>5</v>
      </c>
      <c r="N50" s="8" t="s">
        <v>6</v>
      </c>
      <c r="O50" s="1"/>
    </row>
    <row r="51" ht="15.75" customHeight="1">
      <c r="A51" s="1"/>
      <c r="B51" s="10" t="s">
        <v>36</v>
      </c>
      <c r="C51" s="10">
        <v>2.15</v>
      </c>
      <c r="D51" s="10" t="s">
        <v>49</v>
      </c>
      <c r="E51" s="22"/>
      <c r="G51" s="23"/>
      <c r="I51" s="10" t="s">
        <v>57</v>
      </c>
      <c r="J51" s="11">
        <v>1043.16</v>
      </c>
      <c r="K51" s="10" t="s">
        <v>19</v>
      </c>
      <c r="L51" s="10" t="s">
        <v>11</v>
      </c>
      <c r="M51" s="10">
        <v>1.26</v>
      </c>
      <c r="N51" s="10" t="s">
        <v>12</v>
      </c>
      <c r="O51" s="1"/>
    </row>
    <row r="52" ht="15.75" customHeight="1">
      <c r="A52" s="1"/>
      <c r="B52" s="10" t="s">
        <v>50</v>
      </c>
      <c r="C52" s="10">
        <f>1.75*14.5038</f>
        <v>25.38165</v>
      </c>
      <c r="D52" s="10" t="s">
        <v>51</v>
      </c>
      <c r="E52" s="22"/>
      <c r="G52" s="23"/>
      <c r="I52" s="35" t="s">
        <v>58</v>
      </c>
      <c r="J52" s="36">
        <v>0.00426845519</v>
      </c>
      <c r="K52" s="13" t="s">
        <v>59</v>
      </c>
      <c r="L52" s="11" t="s">
        <v>60</v>
      </c>
      <c r="M52" s="11">
        <v>32.04</v>
      </c>
      <c r="N52" s="13" t="s">
        <v>61</v>
      </c>
      <c r="O52" s="1"/>
    </row>
    <row r="53" ht="15.75" customHeight="1">
      <c r="A53" s="1"/>
      <c r="B53" s="10" t="s">
        <v>52</v>
      </c>
      <c r="C53" s="10">
        <f>0.9803+0.018*(C52/100)+0.0017*(C52/100)^2</f>
        <v>0.9849782158</v>
      </c>
      <c r="D53" s="13" t="s">
        <v>10</v>
      </c>
      <c r="E53" s="22"/>
      <c r="G53" s="23"/>
      <c r="I53" s="35" t="s">
        <v>62</v>
      </c>
      <c r="J53" s="36">
        <v>0.04718994461</v>
      </c>
      <c r="K53" s="32"/>
      <c r="L53" s="11" t="s">
        <v>63</v>
      </c>
      <c r="M53" s="11">
        <v>46.07</v>
      </c>
      <c r="N53" s="32"/>
      <c r="O53" s="1"/>
    </row>
    <row r="54" ht="15.75" customHeight="1">
      <c r="A54" s="1"/>
      <c r="B54" s="10" t="s">
        <v>28</v>
      </c>
      <c r="C54" s="10">
        <v>1.0</v>
      </c>
      <c r="D54" s="32"/>
      <c r="E54" s="22"/>
      <c r="G54" s="23"/>
      <c r="I54" s="35" t="s">
        <v>64</v>
      </c>
      <c r="J54" s="36">
        <v>0.0</v>
      </c>
      <c r="K54" s="32"/>
      <c r="L54" s="11" t="s">
        <v>65</v>
      </c>
      <c r="M54" s="11">
        <v>18.02</v>
      </c>
      <c r="N54" s="32"/>
      <c r="O54" s="1"/>
    </row>
    <row r="55" ht="15.75" customHeight="1">
      <c r="A55" s="1"/>
      <c r="B55" s="10" t="s">
        <v>53</v>
      </c>
      <c r="C55" s="10">
        <v>1.0</v>
      </c>
      <c r="D55" s="14"/>
      <c r="E55" s="22"/>
      <c r="G55" s="23"/>
      <c r="I55" s="35" t="s">
        <v>66</v>
      </c>
      <c r="J55" s="36">
        <v>0.5190893907</v>
      </c>
      <c r="K55" s="32"/>
      <c r="L55" s="11" t="s">
        <v>67</v>
      </c>
      <c r="M55" s="11">
        <v>28.0</v>
      </c>
      <c r="N55" s="32"/>
      <c r="O55" s="1"/>
    </row>
    <row r="56" ht="15.75" customHeight="1">
      <c r="A56" s="1"/>
      <c r="B56" s="26" t="s">
        <v>38</v>
      </c>
      <c r="C56" s="27">
        <f>C55*C54*C53*C51*C50</f>
        <v>79256.37721</v>
      </c>
      <c r="D56" s="26" t="s">
        <v>25</v>
      </c>
      <c r="E56" s="28"/>
      <c r="F56" s="29"/>
      <c r="G56" s="30"/>
      <c r="I56" s="35" t="s">
        <v>68</v>
      </c>
      <c r="J56" s="36">
        <v>0.4247095015</v>
      </c>
      <c r="K56" s="32"/>
      <c r="L56" s="11" t="s">
        <v>69</v>
      </c>
      <c r="M56" s="11">
        <v>74.08</v>
      </c>
      <c r="N56" s="32"/>
      <c r="O56" s="1"/>
    </row>
    <row r="57" ht="15.75" customHeight="1">
      <c r="A57" s="1"/>
      <c r="B57" s="4" t="s">
        <v>70</v>
      </c>
      <c r="C57" s="5"/>
      <c r="D57" s="5"/>
      <c r="E57" s="5"/>
      <c r="F57" s="5"/>
      <c r="G57" s="6"/>
      <c r="I57" s="35" t="s">
        <v>71</v>
      </c>
      <c r="J57" s="36">
        <v>4.742708001E-4</v>
      </c>
      <c r="K57" s="32"/>
      <c r="L57" s="21" t="s">
        <v>72</v>
      </c>
      <c r="M57" s="37">
        <v>2.0</v>
      </c>
      <c r="N57" s="32"/>
      <c r="O57" s="1"/>
    </row>
    <row r="58" ht="15.75" customHeight="1">
      <c r="A58" s="1"/>
      <c r="B58" s="8" t="s">
        <v>4</v>
      </c>
      <c r="C58" s="8" t="s">
        <v>5</v>
      </c>
      <c r="D58" s="8" t="s">
        <v>6</v>
      </c>
      <c r="E58" s="8" t="s">
        <v>4</v>
      </c>
      <c r="F58" s="8" t="s">
        <v>5</v>
      </c>
      <c r="G58" s="8" t="s">
        <v>6</v>
      </c>
      <c r="I58" s="35" t="s">
        <v>73</v>
      </c>
      <c r="J58" s="36">
        <v>0.004268437201</v>
      </c>
      <c r="K58" s="14"/>
      <c r="L58" s="21" t="s">
        <v>74</v>
      </c>
      <c r="M58" s="37">
        <v>16.0</v>
      </c>
      <c r="N58" s="14"/>
      <c r="O58" s="1"/>
    </row>
    <row r="59" ht="15.75" customHeight="1">
      <c r="A59" s="1"/>
      <c r="B59" s="10" t="s">
        <v>41</v>
      </c>
      <c r="C59" s="11">
        <v>1.62924</v>
      </c>
      <c r="D59" s="10" t="s">
        <v>42</v>
      </c>
      <c r="E59" s="33"/>
      <c r="F59" s="17"/>
      <c r="G59" s="18"/>
      <c r="I59" s="10" t="s">
        <v>57</v>
      </c>
      <c r="J59" s="10">
        <f>J51*1000*(J52*M52+J53*M53+J54*M54+J55*M55+J56*M56+J57*M57+J58*M58)/(J52*M59+J53*M60+J54*M61+J55*M62+J56*M63+J57*M64+J58*M65)</f>
        <v>126.1927233</v>
      </c>
      <c r="K59" s="10" t="s">
        <v>75</v>
      </c>
      <c r="L59" s="21" t="s">
        <v>76</v>
      </c>
      <c r="M59" s="38">
        <f>792*1000</f>
        <v>792000</v>
      </c>
      <c r="N59" s="39" t="s">
        <v>77</v>
      </c>
      <c r="O59" s="1"/>
    </row>
    <row r="60" ht="15.75" customHeight="1">
      <c r="A60" s="1"/>
      <c r="B60" s="10" t="s">
        <v>41</v>
      </c>
      <c r="C60" s="24">
        <f>C59*3968320.722</f>
        <v>6465346.853</v>
      </c>
      <c r="D60" s="10" t="s">
        <v>43</v>
      </c>
      <c r="E60" s="22"/>
      <c r="G60" s="23"/>
      <c r="I60" s="10" t="s">
        <v>78</v>
      </c>
      <c r="J60" s="10">
        <f>J59/60*5*2</f>
        <v>21.03212054</v>
      </c>
      <c r="K60" s="10" t="s">
        <v>79</v>
      </c>
      <c r="L60" s="21" t="s">
        <v>80</v>
      </c>
      <c r="M60" s="40">
        <v>2110.0</v>
      </c>
      <c r="N60" s="32"/>
      <c r="O60" s="1"/>
    </row>
    <row r="61" ht="15.75" customHeight="1">
      <c r="A61" s="1"/>
      <c r="B61" s="10" t="s">
        <v>44</v>
      </c>
      <c r="C61" s="10">
        <v>10000.0</v>
      </c>
      <c r="D61" s="10" t="s">
        <v>45</v>
      </c>
      <c r="E61" s="22"/>
      <c r="G61" s="23"/>
      <c r="I61" s="10" t="s">
        <v>81</v>
      </c>
      <c r="J61" s="10">
        <f>(4*J60/2.5/PI())^(1/3)</f>
        <v>2.204369486</v>
      </c>
      <c r="K61" s="10" t="s">
        <v>12</v>
      </c>
      <c r="L61" s="21" t="s">
        <v>82</v>
      </c>
      <c r="M61" s="40">
        <v>997000.0</v>
      </c>
      <c r="N61" s="32"/>
      <c r="O61" s="1"/>
    </row>
    <row r="62" ht="15.75" customHeight="1">
      <c r="A62" s="1"/>
      <c r="B62" s="10" t="s">
        <v>46</v>
      </c>
      <c r="C62" s="10">
        <f>C60/C61</f>
        <v>646.5346853</v>
      </c>
      <c r="D62" s="10" t="s">
        <v>47</v>
      </c>
      <c r="E62" s="22"/>
      <c r="G62" s="23"/>
      <c r="I62" s="10" t="s">
        <v>83</v>
      </c>
      <c r="J62" s="10">
        <f>3.28*J61</f>
        <v>7.230331915</v>
      </c>
      <c r="K62" s="10" t="s">
        <v>15</v>
      </c>
      <c r="L62" s="11" t="s">
        <v>84</v>
      </c>
      <c r="M62" s="41">
        <v>1140.0</v>
      </c>
      <c r="N62" s="32"/>
      <c r="O62" s="1"/>
    </row>
    <row r="63" ht="15.75" customHeight="1">
      <c r="A63" s="1"/>
      <c r="B63" s="10" t="s">
        <v>48</v>
      </c>
      <c r="C63" s="24">
        <f>EXP(11.4185-0.9228*LN(C62)+0.09861*(LN(C62))^2)</f>
        <v>14421.30974</v>
      </c>
      <c r="D63" s="10" t="s">
        <v>25</v>
      </c>
      <c r="E63" s="22"/>
      <c r="G63" s="23"/>
      <c r="I63" s="10" t="s">
        <v>85</v>
      </c>
      <c r="J63" s="10">
        <f>J62*2.5</f>
        <v>18.07582979</v>
      </c>
      <c r="K63" s="10" t="s">
        <v>15</v>
      </c>
      <c r="L63" s="21" t="s">
        <v>86</v>
      </c>
      <c r="M63" s="40">
        <v>932000.0</v>
      </c>
      <c r="N63" s="32"/>
      <c r="O63" s="1"/>
    </row>
    <row r="64" ht="15.75" customHeight="1">
      <c r="A64" s="1"/>
      <c r="B64" s="10" t="s">
        <v>36</v>
      </c>
      <c r="C64" s="10">
        <v>2.15</v>
      </c>
      <c r="D64" s="10" t="s">
        <v>49</v>
      </c>
      <c r="E64" s="22"/>
      <c r="G64" s="23"/>
      <c r="I64" s="10" t="s">
        <v>27</v>
      </c>
      <c r="J64" s="24">
        <f>341*J62^(0.63316)*J63^(0.80161)</f>
        <v>12146.2308</v>
      </c>
      <c r="K64" s="10" t="s">
        <v>25</v>
      </c>
      <c r="L64" s="21" t="s">
        <v>87</v>
      </c>
      <c r="M64" s="42">
        <v>83.75</v>
      </c>
      <c r="N64" s="32"/>
      <c r="O64" s="1"/>
    </row>
    <row r="65" ht="15.75" customHeight="1">
      <c r="A65" s="1"/>
      <c r="B65" s="10" t="s">
        <v>50</v>
      </c>
      <c r="C65" s="10">
        <f>1*14.5038</f>
        <v>14.5038</v>
      </c>
      <c r="D65" s="10" t="s">
        <v>51</v>
      </c>
      <c r="E65" s="22"/>
      <c r="G65" s="23"/>
      <c r="I65" s="10" t="s">
        <v>29</v>
      </c>
      <c r="J65" s="10">
        <v>490.0</v>
      </c>
      <c r="K65" s="10" t="s">
        <v>30</v>
      </c>
      <c r="L65" s="21" t="s">
        <v>88</v>
      </c>
      <c r="M65" s="42">
        <v>657.0</v>
      </c>
      <c r="N65" s="14"/>
      <c r="O65" s="1"/>
    </row>
    <row r="66" ht="15.75" customHeight="1">
      <c r="A66" s="1"/>
      <c r="B66" s="10" t="s">
        <v>52</v>
      </c>
      <c r="C66" s="10">
        <f>0.9803+0.018*(C65/100)+0.0017*(C65/100)^2</f>
        <v>0.9829464452</v>
      </c>
      <c r="D66" s="13" t="s">
        <v>10</v>
      </c>
      <c r="E66" s="22"/>
      <c r="G66" s="23"/>
      <c r="I66" s="10" t="s">
        <v>31</v>
      </c>
      <c r="J66" s="10">
        <v>0.014</v>
      </c>
      <c r="K66" s="10" t="s">
        <v>15</v>
      </c>
      <c r="L66" s="43"/>
      <c r="N66" s="23"/>
      <c r="O66" s="1"/>
    </row>
    <row r="67" ht="15.75" customHeight="1">
      <c r="A67" s="1"/>
      <c r="B67" s="10" t="s">
        <v>28</v>
      </c>
      <c r="C67" s="10">
        <v>1.0</v>
      </c>
      <c r="D67" s="32"/>
      <c r="E67" s="22"/>
      <c r="G67" s="23"/>
      <c r="I67" s="10" t="s">
        <v>32</v>
      </c>
      <c r="J67" s="10">
        <f>J65*J66*PI()*(J62+J66)*(J63+0.8*J62)</f>
        <v>3725.156329</v>
      </c>
      <c r="K67" s="10" t="s">
        <v>33</v>
      </c>
      <c r="N67" s="23"/>
      <c r="O67" s="1"/>
    </row>
    <row r="68" ht="15.75" customHeight="1">
      <c r="A68" s="1"/>
      <c r="B68" s="10" t="s">
        <v>53</v>
      </c>
      <c r="C68" s="10">
        <v>1.0</v>
      </c>
      <c r="D68" s="14"/>
      <c r="E68" s="22"/>
      <c r="G68" s="23"/>
      <c r="I68" s="10" t="s">
        <v>34</v>
      </c>
      <c r="J68" s="24">
        <f>EXP(5.6336+0.4599*LN(J67)+0.00582*(LN(J67))^2)</f>
        <v>18193.45828</v>
      </c>
      <c r="K68" s="10" t="s">
        <v>25</v>
      </c>
      <c r="N68" s="23"/>
      <c r="O68" s="1"/>
    </row>
    <row r="69" ht="15.75" customHeight="1">
      <c r="A69" s="1"/>
      <c r="B69" s="26" t="s">
        <v>38</v>
      </c>
      <c r="C69" s="27">
        <f>C68*C67*C66*C64*C63</f>
        <v>30477.05655</v>
      </c>
      <c r="D69" s="26" t="s">
        <v>25</v>
      </c>
      <c r="E69" s="28"/>
      <c r="F69" s="29"/>
      <c r="G69" s="30"/>
      <c r="I69" s="10" t="s">
        <v>35</v>
      </c>
      <c r="J69" s="24">
        <f>J68+J64</f>
        <v>30339.68908</v>
      </c>
      <c r="K69" s="10" t="s">
        <v>25</v>
      </c>
      <c r="N69" s="23"/>
      <c r="O69" s="1"/>
    </row>
    <row r="70" ht="15.75" customHeight="1">
      <c r="A70" s="1"/>
      <c r="B70" s="4" t="s">
        <v>89</v>
      </c>
      <c r="C70" s="5"/>
      <c r="D70" s="5"/>
      <c r="E70" s="5"/>
      <c r="F70" s="5"/>
      <c r="G70" s="6"/>
      <c r="I70" s="10" t="s">
        <v>36</v>
      </c>
      <c r="J70" s="10">
        <v>4.16</v>
      </c>
      <c r="K70" s="10" t="s">
        <v>37</v>
      </c>
      <c r="N70" s="23"/>
      <c r="O70" s="1"/>
    </row>
    <row r="71" ht="15.75" customHeight="1">
      <c r="A71" s="1"/>
      <c r="B71" s="8" t="s">
        <v>4</v>
      </c>
      <c r="C71" s="8" t="s">
        <v>5</v>
      </c>
      <c r="D71" s="8" t="s">
        <v>6</v>
      </c>
      <c r="E71" s="8" t="s">
        <v>4</v>
      </c>
      <c r="F71" s="8" t="s">
        <v>5</v>
      </c>
      <c r="G71" s="8" t="s">
        <v>6</v>
      </c>
      <c r="I71" s="26" t="s">
        <v>38</v>
      </c>
      <c r="J71" s="27">
        <f>J70*J69</f>
        <v>126213.1066</v>
      </c>
      <c r="K71" s="26" t="s">
        <v>25</v>
      </c>
      <c r="L71" s="29"/>
      <c r="M71" s="29"/>
      <c r="N71" s="30"/>
      <c r="O71" s="1"/>
    </row>
    <row r="72" ht="15.75" customHeight="1">
      <c r="A72" s="1"/>
      <c r="B72" s="10" t="s">
        <v>41</v>
      </c>
      <c r="C72" s="11">
        <v>-11.7119</v>
      </c>
      <c r="D72" s="10" t="s">
        <v>42</v>
      </c>
      <c r="E72" s="33"/>
      <c r="F72" s="17"/>
      <c r="G72" s="18"/>
      <c r="I72" s="4" t="s">
        <v>90</v>
      </c>
      <c r="J72" s="5"/>
      <c r="K72" s="5"/>
      <c r="L72" s="5"/>
      <c r="M72" s="5"/>
      <c r="N72" s="6"/>
      <c r="O72" s="1"/>
    </row>
    <row r="73" ht="15.75" customHeight="1">
      <c r="A73" s="1"/>
      <c r="B73" s="10" t="s">
        <v>41</v>
      </c>
      <c r="C73" s="24">
        <f>ABS(C72*3968320.722)</f>
        <v>46476575.46</v>
      </c>
      <c r="D73" s="10" t="s">
        <v>43</v>
      </c>
      <c r="E73" s="22"/>
      <c r="G73" s="23"/>
      <c r="I73" s="11" t="s">
        <v>91</v>
      </c>
      <c r="J73" s="11">
        <v>0.906875</v>
      </c>
      <c r="K73" s="11" t="s">
        <v>42</v>
      </c>
      <c r="L73" s="31"/>
      <c r="M73" s="17"/>
      <c r="N73" s="18"/>
      <c r="O73" s="1"/>
    </row>
    <row r="74" ht="15.75" customHeight="1">
      <c r="A74" s="1"/>
      <c r="B74" s="10" t="s">
        <v>44</v>
      </c>
      <c r="C74" s="10">
        <v>10000.0</v>
      </c>
      <c r="D74" s="10" t="s">
        <v>45</v>
      </c>
      <c r="E74" s="22"/>
      <c r="G74" s="23"/>
      <c r="I74" s="11" t="s">
        <v>91</v>
      </c>
      <c r="J74" s="44">
        <f>ABS(J73*3968320.722)</f>
        <v>3598770.855</v>
      </c>
      <c r="K74" s="11" t="s">
        <v>43</v>
      </c>
      <c r="L74" s="22"/>
      <c r="N74" s="23"/>
      <c r="O74" s="1"/>
    </row>
    <row r="75" ht="15.75" customHeight="1">
      <c r="A75" s="1"/>
      <c r="B75" s="10" t="s">
        <v>46</v>
      </c>
      <c r="C75" s="10">
        <f>C73/C74</f>
        <v>4647.657546</v>
      </c>
      <c r="D75" s="10" t="s">
        <v>47</v>
      </c>
      <c r="E75" s="22"/>
      <c r="G75" s="23"/>
      <c r="I75" s="11" t="s">
        <v>48</v>
      </c>
      <c r="J75" s="10">
        <f>exp(-0.15241+0.785*ln(J74))</f>
        <v>120334.5175</v>
      </c>
      <c r="K75" s="10"/>
      <c r="L75" s="22"/>
      <c r="N75" s="23"/>
      <c r="O75" s="1"/>
    </row>
    <row r="76" ht="15.75" customHeight="1">
      <c r="A76" s="1"/>
      <c r="B76" s="10" t="s">
        <v>48</v>
      </c>
      <c r="C76" s="10">
        <f>EXP(11.4185-0.9228*LN(C75)+0.09861*(LN(C75))^2)</f>
        <v>42508.94908</v>
      </c>
      <c r="D76" s="10" t="s">
        <v>25</v>
      </c>
      <c r="E76" s="22"/>
      <c r="G76" s="23"/>
      <c r="I76" s="11" t="s">
        <v>28</v>
      </c>
      <c r="J76" s="11">
        <v>1.4</v>
      </c>
      <c r="K76" s="11" t="s">
        <v>92</v>
      </c>
      <c r="L76" s="22"/>
      <c r="N76" s="23"/>
      <c r="O76" s="1"/>
    </row>
    <row r="77" ht="15.75" customHeight="1">
      <c r="A77" s="1"/>
      <c r="B77" s="10" t="s">
        <v>36</v>
      </c>
      <c r="C77" s="10">
        <v>2.15</v>
      </c>
      <c r="D77" s="10" t="s">
        <v>49</v>
      </c>
      <c r="E77" s="22"/>
      <c r="G77" s="23"/>
      <c r="I77" s="11" t="s">
        <v>50</v>
      </c>
      <c r="J77" s="11">
        <f>15*14.5038</f>
        <v>217.557</v>
      </c>
      <c r="K77" s="11" t="s">
        <v>93</v>
      </c>
      <c r="L77" s="22"/>
      <c r="N77" s="23"/>
      <c r="O77" s="1"/>
    </row>
    <row r="78" ht="15.75" customHeight="1">
      <c r="A78" s="1"/>
      <c r="B78" s="10" t="s">
        <v>50</v>
      </c>
      <c r="C78" s="10">
        <f>1.75*14.5038</f>
        <v>25.38165</v>
      </c>
      <c r="D78" s="10" t="s">
        <v>51</v>
      </c>
      <c r="E78" s="22"/>
      <c r="G78" s="23"/>
      <c r="I78" s="11" t="s">
        <v>52</v>
      </c>
      <c r="J78" s="10">
        <f>0.986-0.0035*J77/500+0.0175*(J77/500)^2</f>
        <v>0.9877902744</v>
      </c>
      <c r="K78" s="10" t="s">
        <v>94</v>
      </c>
      <c r="L78" s="22"/>
      <c r="N78" s="23"/>
      <c r="O78" s="1"/>
    </row>
    <row r="79" ht="15.75" customHeight="1">
      <c r="A79" s="1"/>
      <c r="B79" s="10" t="s">
        <v>52</v>
      </c>
      <c r="C79" s="10">
        <f>0.9803+0.018*(C78/100)+0.0017*(C78/100)^2</f>
        <v>0.9849782158</v>
      </c>
      <c r="D79" s="13" t="s">
        <v>10</v>
      </c>
      <c r="E79" s="22"/>
      <c r="G79" s="23"/>
      <c r="I79" s="11" t="s">
        <v>35</v>
      </c>
      <c r="J79" s="10">
        <f>J78*J76*J75</f>
        <v>166411.3724</v>
      </c>
      <c r="K79" s="10" t="s">
        <v>25</v>
      </c>
      <c r="L79" s="22"/>
      <c r="N79" s="23"/>
      <c r="O79" s="1"/>
    </row>
    <row r="80" ht="15.75" customHeight="1">
      <c r="A80" s="1"/>
      <c r="B80" s="10" t="s">
        <v>28</v>
      </c>
      <c r="C80" s="10">
        <v>1.0</v>
      </c>
      <c r="D80" s="32"/>
      <c r="E80" s="22"/>
      <c r="G80" s="23"/>
      <c r="I80" s="11" t="s">
        <v>36</v>
      </c>
      <c r="J80" s="11">
        <v>1.86</v>
      </c>
      <c r="K80" s="11" t="s">
        <v>95</v>
      </c>
      <c r="L80" s="22"/>
      <c r="N80" s="23"/>
      <c r="O80" s="1"/>
    </row>
    <row r="81" ht="15.75" customHeight="1">
      <c r="A81" s="1"/>
      <c r="B81" s="10" t="s">
        <v>53</v>
      </c>
      <c r="C81" s="10">
        <v>1.0</v>
      </c>
      <c r="D81" s="14"/>
      <c r="E81" s="22"/>
      <c r="G81" s="23"/>
      <c r="I81" s="26" t="s">
        <v>38</v>
      </c>
      <c r="J81" s="27">
        <f>J80*J79</f>
        <v>309525.1527</v>
      </c>
      <c r="K81" s="26" t="s">
        <v>25</v>
      </c>
      <c r="L81" s="28"/>
      <c r="M81" s="29"/>
      <c r="N81" s="30"/>
      <c r="O81" s="1"/>
    </row>
    <row r="82" ht="15.75" customHeight="1">
      <c r="A82" s="1"/>
      <c r="B82" s="26" t="s">
        <v>38</v>
      </c>
      <c r="C82" s="27">
        <f>C81*C80*C79*C77*C76</f>
        <v>90021.33597</v>
      </c>
      <c r="D82" s="26" t="s">
        <v>25</v>
      </c>
      <c r="E82" s="28"/>
      <c r="F82" s="29"/>
      <c r="G82" s="30"/>
      <c r="I82" s="4" t="s">
        <v>96</v>
      </c>
      <c r="J82" s="5"/>
      <c r="K82" s="5"/>
      <c r="L82" s="5"/>
      <c r="M82" s="5"/>
      <c r="N82" s="6"/>
      <c r="O82" s="1"/>
    </row>
    <row r="83" ht="15.75" customHeight="1">
      <c r="A83" s="1"/>
      <c r="B83" s="4" t="s">
        <v>97</v>
      </c>
      <c r="C83" s="5"/>
      <c r="D83" s="5"/>
      <c r="E83" s="5"/>
      <c r="F83" s="5"/>
      <c r="G83" s="6"/>
      <c r="I83" s="11" t="s">
        <v>98</v>
      </c>
      <c r="J83" s="11">
        <v>1.25</v>
      </c>
      <c r="K83" s="11" t="s">
        <v>99</v>
      </c>
      <c r="L83" s="31"/>
      <c r="M83" s="17"/>
      <c r="N83" s="18"/>
      <c r="O83" s="1"/>
    </row>
    <row r="84" ht="15.75" customHeight="1">
      <c r="A84" s="1"/>
      <c r="B84" s="8" t="s">
        <v>4</v>
      </c>
      <c r="C84" s="8" t="s">
        <v>5</v>
      </c>
      <c r="D84" s="8" t="s">
        <v>6</v>
      </c>
      <c r="E84" s="8" t="s">
        <v>4</v>
      </c>
      <c r="F84" s="8" t="s">
        <v>5</v>
      </c>
      <c r="G84" s="8" t="s">
        <v>6</v>
      </c>
      <c r="I84" s="11" t="s">
        <v>28</v>
      </c>
      <c r="J84" s="45">
        <v>2.5</v>
      </c>
      <c r="K84" s="11" t="s">
        <v>100</v>
      </c>
      <c r="L84" s="22"/>
      <c r="N84" s="23"/>
      <c r="O84" s="1"/>
    </row>
    <row r="85" ht="15.75" customHeight="1">
      <c r="A85" s="1"/>
      <c r="B85" s="10" t="s">
        <v>41</v>
      </c>
      <c r="C85" s="11">
        <v>-1.46451</v>
      </c>
      <c r="D85" s="10" t="s">
        <v>42</v>
      </c>
      <c r="E85" s="33"/>
      <c r="F85" s="17"/>
      <c r="G85" s="18"/>
      <c r="I85" s="11" t="s">
        <v>101</v>
      </c>
      <c r="J85" s="11">
        <v>600.0</v>
      </c>
      <c r="K85" s="11" t="s">
        <v>102</v>
      </c>
      <c r="L85" s="22"/>
      <c r="N85" s="23"/>
      <c r="O85" s="1"/>
    </row>
    <row r="86" ht="15.75" customHeight="1">
      <c r="A86" s="1"/>
      <c r="B86" s="10" t="s">
        <v>41</v>
      </c>
      <c r="C86" s="24">
        <f>ABS(C85*3968320.722)</f>
        <v>5811645.381</v>
      </c>
      <c r="D86" s="10" t="s">
        <v>43</v>
      </c>
      <c r="E86" s="22"/>
      <c r="G86" s="23"/>
      <c r="I86" s="11" t="s">
        <v>48</v>
      </c>
      <c r="J86" s="11">
        <f>EXP(8.2496+0.7243*LN(J85))</f>
        <v>393523.533</v>
      </c>
      <c r="K86" s="11" t="s">
        <v>103</v>
      </c>
      <c r="L86" s="22"/>
      <c r="N86" s="23"/>
      <c r="O86" s="1"/>
    </row>
    <row r="87" ht="15.75" customHeight="1">
      <c r="A87" s="1"/>
      <c r="B87" s="10" t="s">
        <v>44</v>
      </c>
      <c r="C87" s="10">
        <v>10000.0</v>
      </c>
      <c r="D87" s="11">
        <v>1043.16</v>
      </c>
      <c r="E87" s="22"/>
      <c r="G87" s="23"/>
      <c r="I87" s="11" t="s">
        <v>35</v>
      </c>
      <c r="J87" s="11">
        <f>J86*J83*J84</f>
        <v>1229761.041</v>
      </c>
      <c r="K87" s="11"/>
      <c r="L87" s="22"/>
      <c r="N87" s="23"/>
      <c r="O87" s="1"/>
    </row>
    <row r="88" ht="15.75" customHeight="1">
      <c r="A88" s="1"/>
      <c r="B88" s="10" t="s">
        <v>46</v>
      </c>
      <c r="C88" s="10">
        <f>C86/C87</f>
        <v>581.1645381</v>
      </c>
      <c r="D88" s="10" t="s">
        <v>47</v>
      </c>
      <c r="E88" s="22"/>
      <c r="G88" s="23"/>
      <c r="I88" s="11" t="s">
        <v>36</v>
      </c>
      <c r="J88" s="11">
        <v>2.15</v>
      </c>
      <c r="K88" s="11" t="s">
        <v>59</v>
      </c>
      <c r="L88" s="22"/>
      <c r="N88" s="23"/>
      <c r="O88" s="1"/>
    </row>
    <row r="89" ht="15.75" customHeight="1">
      <c r="A89" s="1"/>
      <c r="B89" s="10" t="s">
        <v>48</v>
      </c>
      <c r="C89" s="24">
        <f>EXP(11.4185-0.9228*LN(C88)+0.09861*(LN(C88))^2)</f>
        <v>13903.53487</v>
      </c>
      <c r="D89" s="10" t="s">
        <v>25</v>
      </c>
      <c r="E89" s="22"/>
      <c r="G89" s="23"/>
      <c r="I89" s="26" t="s">
        <v>38</v>
      </c>
      <c r="J89" s="27">
        <f>J88*J87</f>
        <v>2643986.237</v>
      </c>
      <c r="K89" s="26" t="s">
        <v>25</v>
      </c>
      <c r="L89" s="28"/>
      <c r="M89" s="29"/>
      <c r="N89" s="30"/>
      <c r="O89" s="1"/>
    </row>
    <row r="90" ht="15.75" customHeight="1">
      <c r="A90" s="1"/>
      <c r="B90" s="10" t="s">
        <v>36</v>
      </c>
      <c r="C90" s="10">
        <v>2.15</v>
      </c>
      <c r="D90" s="10" t="s">
        <v>49</v>
      </c>
      <c r="E90" s="22"/>
      <c r="G90" s="23"/>
      <c r="I90" s="34" t="s">
        <v>104</v>
      </c>
      <c r="J90" s="5"/>
      <c r="K90" s="5"/>
      <c r="L90" s="5"/>
      <c r="M90" s="5"/>
      <c r="N90" s="6"/>
      <c r="O90" s="1"/>
    </row>
    <row r="91" ht="15.75" customHeight="1">
      <c r="A91" s="1"/>
      <c r="B91" s="10" t="s">
        <v>50</v>
      </c>
      <c r="C91" s="15">
        <f>1*14.5038</f>
        <v>14.5038</v>
      </c>
      <c r="D91" s="10" t="s">
        <v>51</v>
      </c>
      <c r="E91" s="22"/>
      <c r="G91" s="23"/>
      <c r="I91" s="46" t="s">
        <v>4</v>
      </c>
      <c r="J91" s="46" t="s">
        <v>5</v>
      </c>
      <c r="K91" s="46" t="s">
        <v>6</v>
      </c>
      <c r="L91" s="46" t="s">
        <v>4</v>
      </c>
      <c r="M91" s="46" t="s">
        <v>5</v>
      </c>
      <c r="N91" s="46" t="s">
        <v>6</v>
      </c>
      <c r="O91" s="1"/>
    </row>
    <row r="92" ht="15.75" customHeight="1">
      <c r="A92" s="1"/>
      <c r="B92" s="10" t="s">
        <v>52</v>
      </c>
      <c r="C92" s="15">
        <f>0.9803+0.018*(C91/100)+0.0017*(C91/100)^2</f>
        <v>0.9829464452</v>
      </c>
      <c r="D92" s="13" t="s">
        <v>10</v>
      </c>
      <c r="E92" s="22"/>
      <c r="G92" s="23"/>
      <c r="I92" s="11" t="s">
        <v>105</v>
      </c>
      <c r="J92" s="41">
        <v>5000.0</v>
      </c>
      <c r="K92" s="11" t="s">
        <v>106</v>
      </c>
      <c r="L92" s="47" t="s">
        <v>107</v>
      </c>
      <c r="M92" s="17"/>
      <c r="N92" s="18"/>
      <c r="O92" s="1"/>
    </row>
    <row r="93" ht="15.75" customHeight="1">
      <c r="A93" s="1"/>
      <c r="B93" s="10" t="s">
        <v>28</v>
      </c>
      <c r="C93" s="15">
        <v>1.0</v>
      </c>
      <c r="D93" s="32"/>
      <c r="E93" s="22"/>
      <c r="G93" s="23"/>
      <c r="I93" s="11" t="s">
        <v>108</v>
      </c>
      <c r="J93" s="41">
        <v>70.0</v>
      </c>
      <c r="K93" s="11" t="s">
        <v>109</v>
      </c>
      <c r="L93" s="22"/>
      <c r="N93" s="23"/>
      <c r="O93" s="1"/>
    </row>
    <row r="94" ht="15.75" customHeight="1">
      <c r="A94" s="1"/>
      <c r="B94" s="10" t="s">
        <v>53</v>
      </c>
      <c r="C94" s="15">
        <v>1.0</v>
      </c>
      <c r="D94" s="14"/>
      <c r="E94" s="22"/>
      <c r="G94" s="23"/>
      <c r="I94" s="26" t="s">
        <v>110</v>
      </c>
      <c r="J94" s="27">
        <f>J92*J93</f>
        <v>350000</v>
      </c>
      <c r="K94" s="26" t="s">
        <v>25</v>
      </c>
      <c r="L94" s="22"/>
      <c r="N94" s="23"/>
      <c r="O94" s="1"/>
    </row>
    <row r="95" ht="15.75" customHeight="1">
      <c r="A95" s="1"/>
      <c r="B95" s="26" t="s">
        <v>38</v>
      </c>
      <c r="C95" s="27">
        <f>C94*C93*C92*C90*C89</f>
        <v>29382.82489</v>
      </c>
      <c r="D95" s="26" t="s">
        <v>25</v>
      </c>
      <c r="E95" s="28"/>
      <c r="F95" s="29"/>
      <c r="G95" s="30"/>
      <c r="I95" s="11" t="s">
        <v>46</v>
      </c>
      <c r="J95" s="41">
        <v>17416.05701</v>
      </c>
      <c r="K95" s="11" t="s">
        <v>47</v>
      </c>
      <c r="L95" s="22"/>
      <c r="N95" s="23"/>
      <c r="O95" s="1"/>
    </row>
    <row r="96" ht="15.75" customHeight="1">
      <c r="A96" s="1"/>
      <c r="B96" s="4" t="s">
        <v>111</v>
      </c>
      <c r="C96" s="5"/>
      <c r="D96" s="5"/>
      <c r="E96" s="5"/>
      <c r="F96" s="5"/>
      <c r="G96" s="6"/>
      <c r="H96" s="1"/>
      <c r="I96" s="11" t="s">
        <v>50</v>
      </c>
      <c r="J96" s="24">
        <f>10*14.5038</f>
        <v>145.038</v>
      </c>
      <c r="K96" s="11" t="s">
        <v>51</v>
      </c>
      <c r="L96" s="22"/>
      <c r="N96" s="23"/>
      <c r="O96" s="1"/>
    </row>
    <row r="97" ht="15.75" customHeight="1">
      <c r="A97" s="1"/>
      <c r="B97" s="11" t="s">
        <v>91</v>
      </c>
      <c r="C97" s="11">
        <v>-5.51994</v>
      </c>
      <c r="D97" s="11" t="s">
        <v>42</v>
      </c>
      <c r="E97" s="33"/>
      <c r="F97" s="17"/>
      <c r="G97" s="18"/>
      <c r="H97" s="7"/>
      <c r="I97" s="10" t="s">
        <v>48</v>
      </c>
      <c r="J97" s="24">
        <f>EXP(11.4185-0.9228*LN(J95)+0.09861*(LN(J95))^2)</f>
        <v>134656.8632</v>
      </c>
      <c r="K97" s="10" t="s">
        <v>25</v>
      </c>
      <c r="L97" s="22"/>
      <c r="N97" s="23"/>
      <c r="O97" s="1"/>
    </row>
    <row r="98" ht="15.75" customHeight="1">
      <c r="A98" s="1"/>
      <c r="B98" s="11" t="s">
        <v>91</v>
      </c>
      <c r="C98" s="48">
        <f>ABS(C97*3968320.722)</f>
        <v>21904892.29</v>
      </c>
      <c r="D98" s="11" t="s">
        <v>43</v>
      </c>
      <c r="E98" s="22"/>
      <c r="G98" s="23"/>
      <c r="H98" s="9"/>
      <c r="I98" s="10" t="s">
        <v>36</v>
      </c>
      <c r="J98" s="10">
        <v>3.17</v>
      </c>
      <c r="K98" s="10" t="s">
        <v>112</v>
      </c>
      <c r="L98" s="22"/>
      <c r="N98" s="23"/>
      <c r="O98" s="1"/>
    </row>
    <row r="99" ht="15.75" customHeight="1">
      <c r="A99" s="1"/>
      <c r="B99" s="11" t="s">
        <v>48</v>
      </c>
      <c r="C99" s="10">
        <f>exp(-0.15241+0.785*ln(C98))</f>
        <v>496745.5197</v>
      </c>
      <c r="D99" s="10"/>
      <c r="E99" s="22"/>
      <c r="G99" s="23"/>
      <c r="H99" s="1"/>
      <c r="I99" s="10" t="s">
        <v>52</v>
      </c>
      <c r="J99" s="10">
        <f>0.9803+0.018*(J96/100)+0.0017*(J96/100)^2</f>
        <v>1.009982964</v>
      </c>
      <c r="K99" s="13" t="s">
        <v>10</v>
      </c>
      <c r="L99" s="22"/>
      <c r="N99" s="23"/>
      <c r="O99" s="1"/>
    </row>
    <row r="100" ht="15.75" customHeight="1">
      <c r="A100" s="1"/>
      <c r="B100" s="11" t="s">
        <v>28</v>
      </c>
      <c r="C100" s="11">
        <v>1.4</v>
      </c>
      <c r="D100" s="11" t="s">
        <v>92</v>
      </c>
      <c r="E100" s="22"/>
      <c r="G100" s="23"/>
      <c r="H100" s="1"/>
      <c r="I100" s="10" t="s">
        <v>28</v>
      </c>
      <c r="J100" s="10">
        <v>1.0</v>
      </c>
      <c r="K100" s="32"/>
      <c r="L100" s="22"/>
      <c r="N100" s="23"/>
      <c r="O100" s="1"/>
    </row>
    <row r="101" ht="15.75" customHeight="1">
      <c r="A101" s="1"/>
      <c r="B101" s="11" t="s">
        <v>50</v>
      </c>
      <c r="C101" s="11">
        <v>145.038</v>
      </c>
      <c r="D101" s="11" t="s">
        <v>93</v>
      </c>
      <c r="E101" s="22"/>
      <c r="G101" s="23"/>
      <c r="H101" s="1"/>
      <c r="I101" s="10" t="s">
        <v>53</v>
      </c>
      <c r="J101" s="10">
        <v>1.0</v>
      </c>
      <c r="K101" s="14"/>
      <c r="L101" s="22"/>
      <c r="N101" s="23"/>
      <c r="O101" s="1"/>
    </row>
    <row r="102" ht="15.75" customHeight="1">
      <c r="A102" s="1"/>
      <c r="B102" s="11" t="s">
        <v>52</v>
      </c>
      <c r="C102" s="10">
        <f>0.986-0.0035*C101/500+0.0175*(C101/500)^2</f>
        <v>0.9864572555</v>
      </c>
      <c r="D102" s="10" t="s">
        <v>94</v>
      </c>
      <c r="E102" s="22"/>
      <c r="G102" s="23"/>
      <c r="H102" s="1"/>
      <c r="I102" s="26" t="s">
        <v>38</v>
      </c>
      <c r="J102" s="27">
        <f>J98*J99*J100*J101*J97</f>
        <v>431123.6066</v>
      </c>
      <c r="K102" s="26" t="s">
        <v>25</v>
      </c>
      <c r="L102" s="28"/>
      <c r="M102" s="29"/>
      <c r="N102" s="30"/>
      <c r="O102" s="1"/>
    </row>
    <row r="103" ht="15.75" customHeight="1">
      <c r="A103" s="1"/>
      <c r="B103" s="11" t="s">
        <v>35</v>
      </c>
      <c r="C103" s="10">
        <f>C102*C100*C99</f>
        <v>686025.5108</v>
      </c>
      <c r="D103" s="10" t="s">
        <v>25</v>
      </c>
      <c r="E103" s="22"/>
      <c r="G103" s="23"/>
      <c r="H103" s="1"/>
      <c r="I103" s="49" t="s">
        <v>113</v>
      </c>
      <c r="J103" s="17"/>
      <c r="K103" s="18"/>
      <c r="L103" s="50">
        <f>C22+C43+C56+C69+C82+C95+C105+C115+C130+J22+J35+J48+J71+J81+J89+J102+L107</f>
        <v>8544051.405</v>
      </c>
      <c r="M103" s="17"/>
      <c r="N103" s="18"/>
      <c r="O103" s="1"/>
    </row>
    <row r="104" ht="15.75" customHeight="1">
      <c r="A104" s="1"/>
      <c r="B104" s="11" t="s">
        <v>36</v>
      </c>
      <c r="C104" s="11">
        <v>1.86</v>
      </c>
      <c r="D104" s="11" t="s">
        <v>95</v>
      </c>
      <c r="E104" s="22"/>
      <c r="G104" s="23"/>
      <c r="H104" s="1"/>
      <c r="I104" s="28"/>
      <c r="J104" s="29"/>
      <c r="K104" s="30"/>
      <c r="L104" s="28"/>
      <c r="M104" s="29"/>
      <c r="N104" s="30"/>
      <c r="O104" s="1"/>
    </row>
    <row r="105" ht="15.75" customHeight="1">
      <c r="A105" s="1"/>
      <c r="B105" s="26" t="s">
        <v>38</v>
      </c>
      <c r="C105" s="27">
        <f>C104*C103</f>
        <v>1276007.45</v>
      </c>
      <c r="D105" s="26" t="s">
        <v>25</v>
      </c>
      <c r="E105" s="28"/>
      <c r="F105" s="29"/>
      <c r="G105" s="30"/>
      <c r="H105" s="1"/>
      <c r="N105" s="1"/>
      <c r="O105" s="1"/>
    </row>
    <row r="106" ht="15.75" customHeight="1">
      <c r="A106" s="1"/>
      <c r="B106" s="4" t="s">
        <v>114</v>
      </c>
      <c r="C106" s="5"/>
      <c r="D106" s="5"/>
      <c r="E106" s="5"/>
      <c r="F106" s="5"/>
      <c r="G106" s="6"/>
      <c r="H106" s="1"/>
      <c r="N106" s="1"/>
      <c r="O106" s="1"/>
    </row>
    <row r="107" ht="15.75" customHeight="1">
      <c r="A107" s="1"/>
      <c r="B107" s="11" t="s">
        <v>91</v>
      </c>
      <c r="C107" s="11">
        <v>-0.544139</v>
      </c>
      <c r="D107" s="11" t="s">
        <v>42</v>
      </c>
      <c r="E107" s="33"/>
      <c r="F107" s="17"/>
      <c r="G107" s="18"/>
      <c r="H107" s="1"/>
      <c r="K107" s="51" t="s">
        <v>115</v>
      </c>
      <c r="L107" s="51">
        <v>115000.0</v>
      </c>
      <c r="N107" s="1"/>
      <c r="O107" s="1"/>
    </row>
    <row r="108" ht="15.75" customHeight="1">
      <c r="A108" s="1"/>
      <c r="B108" s="11" t="s">
        <v>91</v>
      </c>
      <c r="C108" s="48">
        <f>ABS(C107*3968320.722)</f>
        <v>2159318.069</v>
      </c>
      <c r="D108" s="11" t="s">
        <v>43</v>
      </c>
      <c r="E108" s="22"/>
      <c r="G108" s="23"/>
      <c r="H108" s="1"/>
      <c r="N108" s="1"/>
      <c r="O108" s="1"/>
    </row>
    <row r="109" ht="15.75" customHeight="1">
      <c r="A109" s="1"/>
      <c r="B109" s="11" t="s">
        <v>48</v>
      </c>
      <c r="C109" s="10">
        <f>exp(-0.15241+0.785*ln(C108))</f>
        <v>80583.79645</v>
      </c>
      <c r="D109" s="10"/>
      <c r="E109" s="22"/>
      <c r="G109" s="23"/>
      <c r="H109" s="1"/>
      <c r="N109" s="1"/>
      <c r="O109" s="1"/>
    </row>
    <row r="110" ht="15.75" customHeight="1">
      <c r="A110" s="1"/>
      <c r="B110" s="11" t="s">
        <v>28</v>
      </c>
      <c r="C110" s="11">
        <v>1.4</v>
      </c>
      <c r="D110" s="11" t="s">
        <v>92</v>
      </c>
      <c r="E110" s="22"/>
      <c r="G110" s="23"/>
      <c r="H110" s="7"/>
      <c r="N110" s="1"/>
      <c r="O110" s="1"/>
    </row>
    <row r="111" ht="15.75" customHeight="1">
      <c r="A111" s="1"/>
      <c r="B111" s="11" t="s">
        <v>50</v>
      </c>
      <c r="C111" s="11">
        <v>43.5113</v>
      </c>
      <c r="D111" s="11" t="s">
        <v>93</v>
      </c>
      <c r="E111" s="22"/>
      <c r="G111" s="23"/>
      <c r="H111" s="9"/>
      <c r="N111" s="1"/>
      <c r="O111" s="1"/>
    </row>
    <row r="112" ht="15.75" customHeight="1">
      <c r="A112" s="1"/>
      <c r="B112" s="11" t="s">
        <v>52</v>
      </c>
      <c r="C112" s="10">
        <f>0.986-0.0035*C111/500+0.0175*(C111/500)^2</f>
        <v>0.9858279472</v>
      </c>
      <c r="D112" s="10" t="s">
        <v>94</v>
      </c>
      <c r="E112" s="22"/>
      <c r="G112" s="23"/>
      <c r="H112" s="1"/>
      <c r="N112" s="1"/>
      <c r="O112" s="1"/>
    </row>
    <row r="113" ht="15.75" customHeight="1">
      <c r="A113" s="1"/>
      <c r="B113" s="11" t="s">
        <v>35</v>
      </c>
      <c r="C113" s="10">
        <f>C112*C110*C109</f>
        <v>111218.4621</v>
      </c>
      <c r="D113" s="10" t="s">
        <v>25</v>
      </c>
      <c r="E113" s="22"/>
      <c r="G113" s="23"/>
      <c r="H113" s="1"/>
      <c r="N113" s="1"/>
      <c r="O113" s="1"/>
    </row>
    <row r="114" ht="15.75" customHeight="1">
      <c r="A114" s="1"/>
      <c r="B114" s="11" t="s">
        <v>36</v>
      </c>
      <c r="C114" s="11">
        <v>1.86</v>
      </c>
      <c r="D114" s="11" t="s">
        <v>95</v>
      </c>
      <c r="E114" s="22"/>
      <c r="G114" s="23"/>
      <c r="H114" s="1"/>
      <c r="N114" s="1"/>
      <c r="O114" s="1"/>
    </row>
    <row r="115" ht="15.75" customHeight="1">
      <c r="A115" s="1"/>
      <c r="B115" s="26" t="s">
        <v>38</v>
      </c>
      <c r="C115" s="27">
        <f>C114*C113</f>
        <v>206866.3395</v>
      </c>
      <c r="D115" s="26" t="s">
        <v>25</v>
      </c>
      <c r="E115" s="28"/>
      <c r="F115" s="29"/>
      <c r="G115" s="30"/>
      <c r="H115" s="1"/>
      <c r="N115" s="1"/>
      <c r="O115" s="1"/>
    </row>
    <row r="116" ht="15.75" customHeight="1">
      <c r="A116" s="1"/>
      <c r="B116" s="34" t="s">
        <v>104</v>
      </c>
      <c r="C116" s="5"/>
      <c r="D116" s="5"/>
      <c r="E116" s="5"/>
      <c r="F116" s="5"/>
      <c r="G116" s="6"/>
      <c r="H116" s="1"/>
      <c r="N116" s="1"/>
      <c r="O116" s="1"/>
    </row>
    <row r="117" ht="15.75" customHeight="1">
      <c r="A117" s="1"/>
      <c r="B117" s="46" t="s">
        <v>4</v>
      </c>
      <c r="C117" s="46" t="s">
        <v>5</v>
      </c>
      <c r="D117" s="46" t="s">
        <v>6</v>
      </c>
      <c r="E117" s="46" t="s">
        <v>4</v>
      </c>
      <c r="F117" s="46" t="s">
        <v>5</v>
      </c>
      <c r="G117" s="46" t="s">
        <v>6</v>
      </c>
      <c r="H117" s="1"/>
      <c r="N117" s="1"/>
      <c r="O117" s="1"/>
    </row>
    <row r="118" ht="15.75" customHeight="1">
      <c r="A118" s="1"/>
      <c r="B118" s="11" t="s">
        <v>105</v>
      </c>
      <c r="C118" s="41">
        <v>2935.714833</v>
      </c>
      <c r="D118" s="11" t="s">
        <v>106</v>
      </c>
      <c r="E118" s="52"/>
      <c r="F118" s="17"/>
      <c r="G118" s="18"/>
      <c r="H118" s="1"/>
      <c r="N118" s="1"/>
      <c r="O118" s="1"/>
    </row>
    <row r="119" ht="15.75" customHeight="1">
      <c r="A119" s="1"/>
      <c r="B119" s="11" t="s">
        <v>108</v>
      </c>
      <c r="C119" s="41">
        <v>70.0</v>
      </c>
      <c r="D119" s="11" t="s">
        <v>109</v>
      </c>
      <c r="E119" s="22"/>
      <c r="G119" s="23"/>
      <c r="H119" s="1"/>
      <c r="N119" s="1"/>
      <c r="O119" s="1"/>
    </row>
    <row r="120" ht="15.75" customHeight="1">
      <c r="A120" s="1"/>
      <c r="B120" s="53"/>
      <c r="C120" s="53"/>
      <c r="D120" s="53"/>
      <c r="E120" s="22"/>
      <c r="G120" s="23"/>
      <c r="H120" s="1"/>
      <c r="N120" s="1"/>
      <c r="O120" s="1"/>
    </row>
    <row r="121" ht="15.75" customHeight="1">
      <c r="A121" s="1"/>
      <c r="B121" s="26" t="s">
        <v>110</v>
      </c>
      <c r="C121" s="27">
        <f>C118*C119</f>
        <v>205500.0383</v>
      </c>
      <c r="D121" s="54" t="s">
        <v>116</v>
      </c>
      <c r="E121" s="22"/>
      <c r="G121" s="23"/>
      <c r="H121" s="1"/>
      <c r="N121" s="1"/>
      <c r="O121" s="1"/>
    </row>
    <row r="122" ht="15.75" customHeight="1">
      <c r="A122" s="1"/>
      <c r="B122" s="26"/>
      <c r="C122" s="27"/>
      <c r="D122" s="54"/>
      <c r="E122" s="22"/>
      <c r="G122" s="23"/>
      <c r="H122" s="1"/>
      <c r="N122" s="1"/>
      <c r="O122" s="1"/>
    </row>
    <row r="123" ht="15.75" customHeight="1">
      <c r="A123" s="1"/>
      <c r="B123" s="11" t="s">
        <v>46</v>
      </c>
      <c r="C123" s="41">
        <v>35591.61343</v>
      </c>
      <c r="D123" s="11" t="s">
        <v>47</v>
      </c>
      <c r="E123" s="22"/>
      <c r="G123" s="23"/>
      <c r="H123" s="7"/>
      <c r="N123" s="1"/>
      <c r="O123" s="1"/>
    </row>
    <row r="124" ht="15.75" customHeight="1">
      <c r="A124" s="1"/>
      <c r="B124" s="11" t="s">
        <v>50</v>
      </c>
      <c r="C124" s="24">
        <f>10*14.5038</f>
        <v>145.038</v>
      </c>
      <c r="D124" s="11" t="s">
        <v>51</v>
      </c>
      <c r="E124" s="22"/>
      <c r="G124" s="23"/>
      <c r="H124" s="9"/>
      <c r="N124" s="1"/>
      <c r="O124" s="1"/>
    </row>
    <row r="125" ht="15.75" customHeight="1">
      <c r="A125" s="1"/>
      <c r="B125" s="10" t="s">
        <v>48</v>
      </c>
      <c r="C125" s="24">
        <f>EXP(11.4185-0.9228*LN(C123)+0.09861*(LN(C123))^2)</f>
        <v>290041.0237</v>
      </c>
      <c r="D125" s="10" t="s">
        <v>25</v>
      </c>
      <c r="E125" s="22"/>
      <c r="G125" s="23"/>
      <c r="H125" s="1"/>
      <c r="N125" s="1"/>
      <c r="O125" s="1"/>
    </row>
    <row r="126" ht="15.75" customHeight="1">
      <c r="A126" s="1"/>
      <c r="B126" s="10" t="s">
        <v>36</v>
      </c>
      <c r="C126" s="10">
        <v>3.17</v>
      </c>
      <c r="D126" s="10" t="s">
        <v>112</v>
      </c>
      <c r="E126" s="22"/>
      <c r="G126" s="23"/>
      <c r="H126" s="1"/>
      <c r="N126" s="1"/>
      <c r="O126" s="1"/>
    </row>
    <row r="127" ht="15.75" customHeight="1">
      <c r="A127" s="1"/>
      <c r="B127" s="10" t="s">
        <v>52</v>
      </c>
      <c r="C127" s="10">
        <f>0.9803+0.018*(C124/100)+0.0017*(C124/100)^2</f>
        <v>1.009982964</v>
      </c>
      <c r="D127" s="13" t="s">
        <v>10</v>
      </c>
      <c r="E127" s="22"/>
      <c r="G127" s="23"/>
      <c r="H127" s="1"/>
      <c r="N127" s="1"/>
      <c r="O127" s="1"/>
    </row>
    <row r="128" ht="15.75" customHeight="1">
      <c r="A128" s="1"/>
      <c r="B128" s="10" t="s">
        <v>28</v>
      </c>
      <c r="C128" s="10">
        <v>1.0</v>
      </c>
      <c r="D128" s="32"/>
      <c r="E128" s="22"/>
      <c r="G128" s="23"/>
      <c r="H128" s="1"/>
      <c r="N128" s="1"/>
      <c r="O128" s="1"/>
    </row>
    <row r="129" ht="15.75" customHeight="1">
      <c r="A129" s="1"/>
      <c r="B129" s="10" t="s">
        <v>53</v>
      </c>
      <c r="C129" s="10">
        <v>1.0</v>
      </c>
      <c r="D129" s="14"/>
      <c r="E129" s="22"/>
      <c r="G129" s="23"/>
      <c r="H129" s="1"/>
      <c r="N129" s="1"/>
      <c r="O129" s="1"/>
    </row>
    <row r="130" ht="15.75" customHeight="1">
      <c r="A130" s="1"/>
      <c r="B130" s="26" t="s">
        <v>38</v>
      </c>
      <c r="C130" s="27">
        <f>C126*C127*C128*C129*C125</f>
        <v>928608.6819</v>
      </c>
      <c r="D130" s="26" t="s">
        <v>25</v>
      </c>
      <c r="E130" s="28"/>
      <c r="F130" s="29"/>
      <c r="G130" s="30"/>
      <c r="H130" s="1"/>
      <c r="N130" s="1"/>
      <c r="O130" s="1"/>
    </row>
    <row r="131" ht="15.75" customHeight="1">
      <c r="A131" s="1"/>
      <c r="H131" s="1"/>
      <c r="N131" s="1"/>
      <c r="O131" s="1"/>
    </row>
    <row r="132" ht="15.75" customHeight="1">
      <c r="A132" s="1"/>
      <c r="H132" s="1"/>
      <c r="N132" s="1"/>
      <c r="O132" s="1"/>
    </row>
    <row r="133" ht="15.75" customHeight="1">
      <c r="A133" s="1"/>
      <c r="H133" s="1"/>
      <c r="N133" s="1"/>
      <c r="O133" s="1"/>
    </row>
    <row r="134" ht="15.75" customHeight="1">
      <c r="A134" s="1"/>
      <c r="H134" s="1"/>
      <c r="N134" s="1"/>
      <c r="O134" s="1"/>
    </row>
    <row r="135" ht="15.75" customHeight="1">
      <c r="A135" s="1"/>
      <c r="H135" s="1"/>
      <c r="N135" s="1"/>
      <c r="O135" s="1"/>
    </row>
    <row r="136" ht="15.75" customHeight="1">
      <c r="A136" s="1"/>
      <c r="H136" s="7"/>
      <c r="N136" s="1"/>
      <c r="O136" s="1"/>
    </row>
    <row r="137" ht="15.75" customHeight="1">
      <c r="A137" s="1"/>
      <c r="H137" s="9"/>
      <c r="N137" s="1"/>
      <c r="O137" s="1"/>
    </row>
    <row r="138" ht="15.75" customHeight="1">
      <c r="A138" s="1"/>
      <c r="H138" s="1"/>
      <c r="N138" s="1"/>
      <c r="O138" s="1"/>
    </row>
    <row r="139" ht="15.75" customHeight="1">
      <c r="A139" s="1"/>
      <c r="H139" s="1"/>
      <c r="N139" s="1"/>
      <c r="O139" s="1"/>
    </row>
    <row r="140" ht="15.75" customHeight="1">
      <c r="A140" s="1"/>
      <c r="H140" s="1"/>
      <c r="N140" s="1"/>
      <c r="O140" s="1"/>
    </row>
    <row r="141" ht="15.75" customHeight="1">
      <c r="A141" s="1"/>
      <c r="H141" s="1"/>
      <c r="N141" s="1"/>
      <c r="O141" s="1"/>
    </row>
    <row r="142" ht="15.75" customHeight="1">
      <c r="A142" s="1"/>
      <c r="H142" s="1"/>
      <c r="N142" s="1"/>
      <c r="O142" s="1"/>
    </row>
    <row r="143" ht="15.75" customHeight="1">
      <c r="A143" s="1"/>
      <c r="H143" s="1"/>
      <c r="N143" s="1"/>
      <c r="O143" s="1"/>
    </row>
    <row r="144" ht="15.75" customHeight="1">
      <c r="A144" s="1"/>
      <c r="H144" s="1"/>
      <c r="N144" s="1"/>
      <c r="O144" s="1"/>
    </row>
    <row r="145" ht="15.75" customHeight="1">
      <c r="A145" s="1"/>
      <c r="H145" s="1"/>
      <c r="N145" s="1"/>
      <c r="O145" s="1"/>
    </row>
    <row r="146" ht="15.75" customHeight="1">
      <c r="A146" s="1"/>
      <c r="H146" s="1"/>
      <c r="N146" s="1"/>
      <c r="O146" s="1"/>
    </row>
    <row r="147" ht="15.75" customHeight="1">
      <c r="A147" s="1"/>
      <c r="H147" s="1"/>
      <c r="N147" s="1"/>
      <c r="O147" s="1"/>
    </row>
    <row r="148" ht="15.75" customHeight="1">
      <c r="A148" s="1"/>
      <c r="H148" s="1"/>
      <c r="N148" s="1"/>
      <c r="O148" s="1"/>
    </row>
    <row r="149" ht="15.75" customHeight="1">
      <c r="A149" s="1"/>
      <c r="H149" s="7"/>
      <c r="N149" s="1"/>
      <c r="O149" s="1"/>
    </row>
    <row r="150" ht="15.75" customHeight="1">
      <c r="A150" s="1"/>
      <c r="H150" s="1"/>
      <c r="N150" s="1"/>
      <c r="O150" s="1"/>
    </row>
    <row r="151" ht="15.75" customHeight="1">
      <c r="A151" s="1"/>
      <c r="H151" s="1"/>
      <c r="N151" s="1"/>
      <c r="O151" s="1"/>
    </row>
    <row r="152" ht="15.75" customHeight="1">
      <c r="A152" s="1"/>
      <c r="H152" s="1"/>
      <c r="N152" s="1"/>
      <c r="O152" s="1"/>
    </row>
    <row r="153" ht="15.75" customHeight="1">
      <c r="A153" s="1"/>
      <c r="H153" s="1"/>
      <c r="N153" s="1"/>
      <c r="O153" s="1"/>
    </row>
    <row r="154" ht="15.75" customHeight="1">
      <c r="A154" s="1"/>
      <c r="H154" s="1"/>
      <c r="N154" s="1"/>
      <c r="O154" s="1"/>
    </row>
    <row r="155" ht="15.75" customHeight="1">
      <c r="A155" s="1"/>
      <c r="H155" s="1"/>
      <c r="N155" s="1"/>
      <c r="O155" s="1"/>
    </row>
    <row r="156" ht="15.75" customHeight="1">
      <c r="A156" s="1"/>
      <c r="H156" s="1"/>
      <c r="N156" s="1"/>
      <c r="O156" s="1"/>
    </row>
    <row r="157" ht="15.75" customHeight="1">
      <c r="A157" s="1"/>
      <c r="H157" s="1"/>
      <c r="N157" s="1"/>
      <c r="O157" s="1"/>
    </row>
    <row r="158" ht="15.75" customHeight="1">
      <c r="A158" s="1"/>
      <c r="H158" s="1"/>
      <c r="N158" s="1"/>
      <c r="O158" s="1"/>
    </row>
    <row r="159" ht="15.75" customHeight="1">
      <c r="A159" s="1"/>
      <c r="H159" s="7"/>
      <c r="N159" s="1"/>
      <c r="O159" s="1"/>
    </row>
    <row r="160" ht="15.75" customHeight="1">
      <c r="A160" s="1"/>
      <c r="H160" s="1"/>
      <c r="N160" s="1"/>
      <c r="O160" s="1"/>
    </row>
    <row r="161" ht="15.75" customHeight="1">
      <c r="A161" s="1"/>
      <c r="H161" s="1"/>
      <c r="N161" s="1"/>
      <c r="O161" s="1"/>
    </row>
    <row r="162" ht="15.75" customHeight="1">
      <c r="A162" s="1"/>
      <c r="E162" s="1"/>
      <c r="F162" s="1"/>
      <c r="G162" s="1"/>
      <c r="H162" s="1"/>
      <c r="N162" s="1"/>
      <c r="O162" s="1"/>
    </row>
    <row r="163" ht="15.75" customHeight="1">
      <c r="A163" s="1"/>
      <c r="E163" s="1"/>
      <c r="F163" s="1"/>
      <c r="G163" s="1"/>
      <c r="H163" s="1"/>
      <c r="N163" s="1"/>
      <c r="O163" s="1"/>
    </row>
    <row r="164" ht="15.75" customHeight="1">
      <c r="A164" s="1"/>
      <c r="E164" s="1"/>
      <c r="F164" s="1"/>
      <c r="G164" s="1"/>
      <c r="H164" s="1"/>
      <c r="N164" s="1"/>
      <c r="O164" s="1"/>
    </row>
    <row r="165" ht="15.75" customHeight="1">
      <c r="A165" s="1"/>
      <c r="E165" s="1"/>
      <c r="F165" s="1"/>
      <c r="G165" s="1"/>
      <c r="H165" s="1"/>
      <c r="N165" s="1"/>
      <c r="O165" s="1"/>
    </row>
    <row r="166" ht="15.75" customHeight="1">
      <c r="A166" s="1"/>
      <c r="E166" s="1"/>
      <c r="F166" s="1"/>
      <c r="G166" s="1"/>
      <c r="H166" s="1"/>
      <c r="N166" s="1"/>
      <c r="O166" s="1"/>
    </row>
    <row r="167" ht="15.75" customHeight="1">
      <c r="A167" s="1"/>
      <c r="E167" s="1"/>
      <c r="F167" s="1"/>
      <c r="G167" s="1"/>
      <c r="H167" s="1"/>
      <c r="N167" s="1"/>
      <c r="O167" s="1"/>
    </row>
    <row r="168" ht="15.75" customHeight="1">
      <c r="A168" s="1"/>
      <c r="E168" s="1"/>
      <c r="F168" s="1"/>
      <c r="G168" s="1"/>
      <c r="H168" s="1"/>
      <c r="N168" s="1"/>
      <c r="O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N169" s="1"/>
      <c r="O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N170" s="1"/>
      <c r="O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N171" s="1"/>
      <c r="O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N172" s="1"/>
      <c r="O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N173" s="1"/>
      <c r="O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N174" s="1"/>
      <c r="O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N175" s="1"/>
      <c r="O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N176" s="1"/>
      <c r="O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N177" s="1"/>
      <c r="O177" s="1"/>
    </row>
    <row r="178" ht="15.75" customHeight="1">
      <c r="A178" s="1"/>
      <c r="B178" s="1"/>
      <c r="C178" s="1"/>
      <c r="D178" s="1"/>
      <c r="H178" s="1"/>
      <c r="N178" s="1"/>
      <c r="O178" s="1"/>
    </row>
    <row r="179" ht="15.75" customHeight="1">
      <c r="A179" s="1"/>
      <c r="B179" s="1"/>
      <c r="C179" s="1"/>
      <c r="D179" s="1"/>
      <c r="H179" s="1"/>
      <c r="N179" s="1"/>
      <c r="O179" s="1"/>
    </row>
    <row r="180" ht="15.75" customHeight="1">
      <c r="A180" s="1"/>
      <c r="B180" s="1"/>
      <c r="C180" s="1"/>
      <c r="D180" s="1"/>
      <c r="H180" s="1"/>
      <c r="N180" s="1"/>
      <c r="O180" s="1"/>
    </row>
    <row r="181" ht="15.75" customHeight="1">
      <c r="A181" s="1"/>
      <c r="B181" s="1"/>
      <c r="C181" s="1"/>
      <c r="D181" s="1"/>
      <c r="H181" s="1"/>
      <c r="N181" s="1"/>
      <c r="O181" s="1"/>
    </row>
    <row r="182" ht="15.75" customHeight="1">
      <c r="A182" s="1"/>
      <c r="B182" s="1"/>
      <c r="C182" s="1"/>
      <c r="D182" s="1"/>
      <c r="H182" s="1"/>
      <c r="N182" s="1"/>
      <c r="O182" s="1"/>
    </row>
    <row r="183" ht="15.75" customHeight="1">
      <c r="A183" s="1"/>
      <c r="B183" s="1"/>
      <c r="C183" s="1"/>
      <c r="D183" s="1"/>
      <c r="H183" s="1"/>
      <c r="O183" s="1"/>
    </row>
    <row r="184" ht="15.75" customHeight="1">
      <c r="A184" s="1"/>
      <c r="B184" s="1"/>
      <c r="C184" s="1"/>
      <c r="D184" s="1"/>
      <c r="H184" s="1"/>
      <c r="O184" s="1"/>
    </row>
  </sheetData>
  <mergeCells count="50">
    <mergeCell ref="B1:G1"/>
    <mergeCell ref="I1:N1"/>
    <mergeCell ref="B2:G2"/>
    <mergeCell ref="I2:N2"/>
    <mergeCell ref="D5:D6"/>
    <mergeCell ref="K5:K6"/>
    <mergeCell ref="I23:N23"/>
    <mergeCell ref="L8:N22"/>
    <mergeCell ref="L25:N35"/>
    <mergeCell ref="K32:K34"/>
    <mergeCell ref="I36:N36"/>
    <mergeCell ref="L38:N48"/>
    <mergeCell ref="K45:K47"/>
    <mergeCell ref="I49:N49"/>
    <mergeCell ref="E8:G22"/>
    <mergeCell ref="B23:G23"/>
    <mergeCell ref="D26:D27"/>
    <mergeCell ref="E29:G43"/>
    <mergeCell ref="B44:G44"/>
    <mergeCell ref="D53:D55"/>
    <mergeCell ref="B57:G57"/>
    <mergeCell ref="L83:N89"/>
    <mergeCell ref="I90:N90"/>
    <mergeCell ref="L92:N102"/>
    <mergeCell ref="K99:K101"/>
    <mergeCell ref="I103:K104"/>
    <mergeCell ref="L103:N104"/>
    <mergeCell ref="K52:K58"/>
    <mergeCell ref="N52:N58"/>
    <mergeCell ref="N59:N65"/>
    <mergeCell ref="L66:N71"/>
    <mergeCell ref="I72:N72"/>
    <mergeCell ref="L73:N81"/>
    <mergeCell ref="I82:N82"/>
    <mergeCell ref="E46:G56"/>
    <mergeCell ref="E59:G69"/>
    <mergeCell ref="D66:D68"/>
    <mergeCell ref="B70:G70"/>
    <mergeCell ref="E72:G82"/>
    <mergeCell ref="D79:D81"/>
    <mergeCell ref="B83:G83"/>
    <mergeCell ref="E118:G130"/>
    <mergeCell ref="D127:D129"/>
    <mergeCell ref="E85:G95"/>
    <mergeCell ref="D92:D94"/>
    <mergeCell ref="B96:G96"/>
    <mergeCell ref="E97:G105"/>
    <mergeCell ref="B106:G106"/>
    <mergeCell ref="E107:G115"/>
    <mergeCell ref="B116:G116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3" max="3" width="34.38"/>
    <col customWidth="1" min="6" max="6" width="20.0"/>
  </cols>
  <sheetData>
    <row r="1" ht="15.0" customHeight="1">
      <c r="A1" s="220"/>
      <c r="B1" s="220" t="s">
        <v>337</v>
      </c>
      <c r="C1" s="220" t="s">
        <v>364</v>
      </c>
      <c r="F1" s="221" t="s">
        <v>383</v>
      </c>
      <c r="G1" s="5"/>
      <c r="H1" s="6"/>
    </row>
    <row r="2" ht="15.0" customHeight="1">
      <c r="A2" s="222" t="s">
        <v>384</v>
      </c>
      <c r="B2" s="223">
        <f>'VGA Carbonylation - H modernite'!N54*1000/10^6</f>
        <v>24.15102042</v>
      </c>
      <c r="C2" s="223">
        <f>'VGA Esterification'!N54*1000/10^6</f>
        <v>11.45237973</v>
      </c>
      <c r="F2" s="220"/>
      <c r="G2" s="220" t="s">
        <v>337</v>
      </c>
      <c r="H2" s="220" t="s">
        <v>364</v>
      </c>
    </row>
    <row r="3" ht="15.0" customHeight="1">
      <c r="A3" s="222" t="s">
        <v>379</v>
      </c>
      <c r="B3" s="224">
        <f>NROI!B5</f>
        <v>113.2120874</v>
      </c>
      <c r="C3" s="224">
        <f>NROI!C5</f>
        <v>126.387417</v>
      </c>
      <c r="F3" s="222" t="s">
        <v>385</v>
      </c>
      <c r="G3" s="224">
        <f>'COM Carbonylation Hmodern'!F53</f>
        <v>1.132383752</v>
      </c>
      <c r="H3" s="225">
        <f>'COM Esterification'!F52</f>
        <v>1.902653314</v>
      </c>
    </row>
    <row r="4" ht="15.0" customHeight="1">
      <c r="A4" s="222" t="s">
        <v>386</v>
      </c>
      <c r="B4" s="223">
        <v>28.8</v>
      </c>
      <c r="C4" s="223"/>
      <c r="F4" s="222" t="s">
        <v>387</v>
      </c>
      <c r="G4" s="224">
        <f>'COM Carbonylation Hmodern'!B54*100</f>
        <v>113.2120874</v>
      </c>
      <c r="H4" s="223">
        <f>'COM Esterification'!B53*100</f>
        <v>126.387417</v>
      </c>
    </row>
    <row r="5" ht="15.0" customHeight="1">
      <c r="A5" s="222" t="s">
        <v>388</v>
      </c>
      <c r="B5" s="226" t="s">
        <v>389</v>
      </c>
      <c r="C5" s="6"/>
      <c r="F5" s="222" t="s">
        <v>390</v>
      </c>
      <c r="G5" s="224">
        <f>'COM Carbonylation Hmodern'!E17</f>
        <v>157.9981693</v>
      </c>
      <c r="H5" s="224">
        <f>'COM Esterification'!E17</f>
        <v>358.8795245</v>
      </c>
    </row>
    <row r="6" ht="15.0" customHeight="1">
      <c r="F6" s="222" t="s">
        <v>391</v>
      </c>
      <c r="G6" s="224">
        <f>'COM Carbonylation Hmodern'!E27</f>
        <v>3.393970188</v>
      </c>
      <c r="H6" s="224">
        <f>'COM Esterification'!E26</f>
        <v>2.9236988</v>
      </c>
    </row>
    <row r="12">
      <c r="C12" s="227" t="s">
        <v>392</v>
      </c>
      <c r="D12" s="227" t="s">
        <v>393</v>
      </c>
      <c r="E12" s="227" t="s">
        <v>394</v>
      </c>
    </row>
    <row r="13">
      <c r="C13" s="228" t="s">
        <v>395</v>
      </c>
      <c r="D13" s="229">
        <f>24767.49*1000/10^6</f>
        <v>24.76749</v>
      </c>
      <c r="E13" s="229">
        <f>11452.38*1000/10^6</f>
        <v>11.45238</v>
      </c>
    </row>
    <row r="14">
      <c r="C14" s="228" t="s">
        <v>396</v>
      </c>
      <c r="D14" s="230">
        <v>215.1</v>
      </c>
      <c r="E14" s="230">
        <v>284.8</v>
      </c>
    </row>
    <row r="15">
      <c r="C15" s="228" t="s">
        <v>397</v>
      </c>
      <c r="D15" s="231">
        <v>1454.0</v>
      </c>
      <c r="E15" s="231">
        <v>1903.0</v>
      </c>
    </row>
    <row r="16">
      <c r="C16" s="228" t="s">
        <v>398</v>
      </c>
      <c r="D16" s="231">
        <v>1490.0</v>
      </c>
      <c r="E16" s="231">
        <v>2420.0</v>
      </c>
    </row>
    <row r="17">
      <c r="C17" s="228" t="s">
        <v>399</v>
      </c>
      <c r="D17" s="231">
        <v>32.0</v>
      </c>
      <c r="E17" s="231">
        <v>126.0</v>
      </c>
    </row>
    <row r="18">
      <c r="C18" s="228" t="s">
        <v>400</v>
      </c>
      <c r="D18" s="229">
        <f t="shared" ref="D18:E18" si="1">D16/1000*170</f>
        <v>253.3</v>
      </c>
      <c r="E18" s="229">
        <f t="shared" si="1"/>
        <v>411.4</v>
      </c>
    </row>
    <row r="19">
      <c r="C19" s="228" t="s">
        <v>401</v>
      </c>
      <c r="D19" s="229">
        <f>247.9-D18</f>
        <v>-5.4</v>
      </c>
      <c r="E19" s="229">
        <f>323.6-E18</f>
        <v>-87.8</v>
      </c>
    </row>
  </sheetData>
  <mergeCells count="2">
    <mergeCell ref="F1:H1"/>
    <mergeCell ref="B5:C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3" max="3" width="37.25"/>
    <col customWidth="1" min="4" max="4" width="23.25"/>
    <col customWidth="1" min="6" max="6" width="19.0"/>
    <col customWidth="1" min="8" max="8" width="19.13"/>
    <col customWidth="1" min="10" max="10" width="23.0"/>
    <col customWidth="1" min="11" max="11" width="26.5"/>
    <col customWidth="1" min="13" max="13" width="24.88"/>
    <col customWidth="1" min="15" max="15" width="26.75"/>
    <col customWidth="1" min="17" max="17" width="40.88"/>
    <col customWidth="1" min="22" max="22" width="25.75"/>
    <col customWidth="1" min="24" max="24" width="27.25"/>
  </cols>
  <sheetData>
    <row r="1" ht="15.75" customHeight="1">
      <c r="A1" s="2" t="s">
        <v>0</v>
      </c>
      <c r="G1" s="3"/>
      <c r="H1" s="2" t="s">
        <v>1</v>
      </c>
    </row>
    <row r="2" ht="15.75" customHeight="1">
      <c r="A2" s="4" t="s">
        <v>2</v>
      </c>
      <c r="B2" s="5"/>
      <c r="C2" s="5"/>
      <c r="D2" s="5"/>
      <c r="E2" s="5"/>
      <c r="F2" s="6"/>
      <c r="G2" s="7"/>
      <c r="H2" s="4" t="s">
        <v>3</v>
      </c>
      <c r="I2" s="5"/>
      <c r="J2" s="5"/>
      <c r="K2" s="5"/>
      <c r="L2" s="5"/>
      <c r="M2" s="6"/>
      <c r="O2" s="34" t="s">
        <v>104</v>
      </c>
      <c r="P2" s="5"/>
      <c r="Q2" s="5"/>
      <c r="R2" s="5"/>
      <c r="S2" s="5"/>
      <c r="T2" s="6"/>
      <c r="V2" s="4" t="s">
        <v>117</v>
      </c>
      <c r="W2" s="5"/>
      <c r="X2" s="5"/>
      <c r="Y2" s="5"/>
      <c r="Z2" s="5"/>
      <c r="AA2" s="6"/>
    </row>
    <row r="3" ht="15.75" customHeight="1">
      <c r="A3" s="8" t="s">
        <v>4</v>
      </c>
      <c r="B3" s="8" t="s">
        <v>5</v>
      </c>
      <c r="C3" s="8" t="s">
        <v>6</v>
      </c>
      <c r="D3" s="8" t="s">
        <v>4</v>
      </c>
      <c r="E3" s="8" t="s">
        <v>5</v>
      </c>
      <c r="F3" s="8" t="s">
        <v>6</v>
      </c>
      <c r="G3" s="9"/>
      <c r="H3" s="8" t="s">
        <v>4</v>
      </c>
      <c r="I3" s="8" t="s">
        <v>5</v>
      </c>
      <c r="J3" s="8" t="s">
        <v>6</v>
      </c>
      <c r="K3" s="8" t="s">
        <v>4</v>
      </c>
      <c r="L3" s="8" t="s">
        <v>5</v>
      </c>
      <c r="M3" s="8" t="s">
        <v>6</v>
      </c>
      <c r="O3" s="46" t="s">
        <v>4</v>
      </c>
      <c r="P3" s="46" t="s">
        <v>5</v>
      </c>
      <c r="Q3" s="46" t="s">
        <v>6</v>
      </c>
      <c r="R3" s="46" t="s">
        <v>4</v>
      </c>
      <c r="S3" s="46" t="s">
        <v>5</v>
      </c>
      <c r="T3" s="46" t="s">
        <v>6</v>
      </c>
      <c r="V3" s="8" t="s">
        <v>4</v>
      </c>
      <c r="W3" s="8" t="s">
        <v>5</v>
      </c>
      <c r="X3" s="8" t="s">
        <v>6</v>
      </c>
      <c r="Y3" s="8" t="s">
        <v>4</v>
      </c>
      <c r="Z3" s="8" t="s">
        <v>5</v>
      </c>
      <c r="AA3" s="8" t="s">
        <v>6</v>
      </c>
    </row>
    <row r="4" ht="15.75" customHeight="1">
      <c r="A4" s="10" t="s">
        <v>7</v>
      </c>
      <c r="B4" s="11">
        <v>15.0</v>
      </c>
      <c r="C4" s="10" t="s">
        <v>8</v>
      </c>
      <c r="D4" s="10" t="s">
        <v>7</v>
      </c>
      <c r="E4" s="10">
        <v>11.0</v>
      </c>
      <c r="F4" s="10" t="s">
        <v>8</v>
      </c>
      <c r="G4" s="12"/>
      <c r="H4" s="10" t="s">
        <v>7</v>
      </c>
      <c r="I4" s="11">
        <v>15.0</v>
      </c>
      <c r="J4" s="10" t="s">
        <v>8</v>
      </c>
      <c r="K4" s="10" t="s">
        <v>7</v>
      </c>
      <c r="L4" s="10">
        <v>11.0</v>
      </c>
      <c r="M4" s="10" t="s">
        <v>8</v>
      </c>
      <c r="O4" s="11" t="s">
        <v>105</v>
      </c>
      <c r="P4" s="41">
        <v>5000.0</v>
      </c>
      <c r="Q4" s="11" t="s">
        <v>106</v>
      </c>
      <c r="R4" s="47" t="s">
        <v>107</v>
      </c>
      <c r="S4" s="17"/>
      <c r="T4" s="18"/>
      <c r="V4" s="10" t="s">
        <v>41</v>
      </c>
      <c r="W4" s="11">
        <v>5.92224</v>
      </c>
      <c r="X4" s="10" t="s">
        <v>42</v>
      </c>
      <c r="Y4" s="31"/>
      <c r="Z4" s="17"/>
      <c r="AA4" s="18"/>
    </row>
    <row r="5" ht="15.75" customHeight="1">
      <c r="A5" s="10" t="s">
        <v>9</v>
      </c>
      <c r="B5" s="10">
        <v>0.25</v>
      </c>
      <c r="C5" s="13" t="s">
        <v>10</v>
      </c>
      <c r="D5" s="10" t="s">
        <v>11</v>
      </c>
      <c r="E5" s="10">
        <v>1.36</v>
      </c>
      <c r="F5" s="10" t="s">
        <v>12</v>
      </c>
      <c r="G5" s="12"/>
      <c r="H5" s="10" t="s">
        <v>9</v>
      </c>
      <c r="I5" s="10">
        <v>0.25</v>
      </c>
      <c r="J5" s="13" t="s">
        <v>10</v>
      </c>
      <c r="K5" s="10" t="s">
        <v>11</v>
      </c>
      <c r="L5" s="10">
        <v>1.36</v>
      </c>
      <c r="M5" s="10" t="s">
        <v>12</v>
      </c>
      <c r="O5" s="11" t="s">
        <v>108</v>
      </c>
      <c r="P5" s="41">
        <v>70.0</v>
      </c>
      <c r="Q5" s="11" t="s">
        <v>109</v>
      </c>
      <c r="R5" s="22"/>
      <c r="T5" s="23"/>
      <c r="V5" s="10" t="s">
        <v>41</v>
      </c>
      <c r="W5" s="24">
        <f>W4*3968320.722</f>
        <v>23501347.71</v>
      </c>
      <c r="X5" s="10" t="s">
        <v>43</v>
      </c>
      <c r="Y5" s="22"/>
      <c r="AA5" s="23"/>
    </row>
    <row r="6" ht="15.75" customHeight="1">
      <c r="A6" s="10" t="s">
        <v>13</v>
      </c>
      <c r="B6" s="10">
        <f>2.25/1.0414^B4</f>
        <v>1.224387587</v>
      </c>
      <c r="C6" s="14"/>
      <c r="D6" s="10" t="s">
        <v>14</v>
      </c>
      <c r="E6" s="10">
        <f>E4*2+15</f>
        <v>37</v>
      </c>
      <c r="F6" s="10" t="s">
        <v>15</v>
      </c>
      <c r="G6" s="12"/>
      <c r="H6" s="10" t="s">
        <v>13</v>
      </c>
      <c r="I6" s="10">
        <f>2.25/1.0414^I4</f>
        <v>1.224387587</v>
      </c>
      <c r="J6" s="14"/>
      <c r="K6" s="10" t="s">
        <v>14</v>
      </c>
      <c r="L6" s="10">
        <f>L4*2+15</f>
        <v>37</v>
      </c>
      <c r="M6" s="10" t="s">
        <v>15</v>
      </c>
      <c r="O6" s="26" t="s">
        <v>110</v>
      </c>
      <c r="P6" s="27">
        <f>P4*P5</f>
        <v>350000</v>
      </c>
      <c r="Q6" s="26" t="s">
        <v>25</v>
      </c>
      <c r="R6" s="22"/>
      <c r="T6" s="23"/>
      <c r="V6" s="10" t="s">
        <v>44</v>
      </c>
      <c r="W6" s="10">
        <v>10000.0</v>
      </c>
      <c r="X6" s="10" t="s">
        <v>45</v>
      </c>
      <c r="Y6" s="22"/>
      <c r="AA6" s="23"/>
    </row>
    <row r="7" ht="15.75" customHeight="1">
      <c r="A7" s="10" t="s">
        <v>16</v>
      </c>
      <c r="B7" s="10">
        <v>1.0</v>
      </c>
      <c r="C7" s="10" t="s">
        <v>17</v>
      </c>
      <c r="D7" s="10" t="s">
        <v>18</v>
      </c>
      <c r="E7" s="11">
        <v>1000.0</v>
      </c>
      <c r="F7" s="10" t="s">
        <v>19</v>
      </c>
      <c r="G7" s="12"/>
      <c r="H7" s="10" t="s">
        <v>16</v>
      </c>
      <c r="I7" s="10">
        <v>1.0</v>
      </c>
      <c r="J7" s="10" t="s">
        <v>17</v>
      </c>
      <c r="K7" s="10" t="s">
        <v>18</v>
      </c>
      <c r="L7" s="10">
        <v>202.6</v>
      </c>
      <c r="M7" s="10" t="s">
        <v>19</v>
      </c>
      <c r="O7" s="11" t="s">
        <v>46</v>
      </c>
      <c r="P7" s="41">
        <v>17416.05701</v>
      </c>
      <c r="Q7" s="11" t="s">
        <v>47</v>
      </c>
      <c r="R7" s="22"/>
      <c r="T7" s="23"/>
      <c r="V7" s="10" t="s">
        <v>46</v>
      </c>
      <c r="W7" s="10">
        <f>W5/W6</f>
        <v>2350.134771</v>
      </c>
      <c r="X7" s="10" t="s">
        <v>47</v>
      </c>
      <c r="Y7" s="22"/>
      <c r="AA7" s="23"/>
    </row>
    <row r="8" ht="15.75" customHeight="1">
      <c r="A8" s="15" t="s">
        <v>20</v>
      </c>
      <c r="B8" s="15">
        <v>1.0</v>
      </c>
      <c r="C8" s="15" t="s">
        <v>21</v>
      </c>
      <c r="D8" s="16" t="s">
        <v>22</v>
      </c>
      <c r="E8" s="17"/>
      <c r="F8" s="18"/>
      <c r="G8" s="19"/>
      <c r="H8" s="15" t="s">
        <v>20</v>
      </c>
      <c r="I8" s="15">
        <v>1.0</v>
      </c>
      <c r="J8" s="15" t="s">
        <v>21</v>
      </c>
      <c r="K8" s="16" t="s">
        <v>22</v>
      </c>
      <c r="L8" s="17"/>
      <c r="M8" s="18"/>
      <c r="O8" s="11" t="s">
        <v>50</v>
      </c>
      <c r="P8" s="24">
        <f>10*14.5038</f>
        <v>145.038</v>
      </c>
      <c r="Q8" s="11" t="s">
        <v>51</v>
      </c>
      <c r="R8" s="22"/>
      <c r="T8" s="23"/>
      <c r="V8" s="10" t="s">
        <v>48</v>
      </c>
      <c r="W8" s="24">
        <f>EXP(11.4185-0.9228*LN(W7)+0.09861*(LN(W7))^2)</f>
        <v>26822.16271</v>
      </c>
      <c r="X8" s="10" t="s">
        <v>25</v>
      </c>
      <c r="Y8" s="22"/>
      <c r="AA8" s="23"/>
    </row>
    <row r="9" ht="15.75" customHeight="1">
      <c r="A9" s="20" t="s">
        <v>18</v>
      </c>
      <c r="B9" s="21">
        <v>1100.0</v>
      </c>
      <c r="C9" s="20" t="s">
        <v>19</v>
      </c>
      <c r="D9" s="22"/>
      <c r="F9" s="23"/>
      <c r="G9" s="19"/>
      <c r="H9" s="20" t="s">
        <v>18</v>
      </c>
      <c r="I9" s="21">
        <v>359.028</v>
      </c>
      <c r="J9" s="20" t="s">
        <v>19</v>
      </c>
      <c r="K9" s="22"/>
      <c r="M9" s="23"/>
      <c r="O9" s="10" t="s">
        <v>48</v>
      </c>
      <c r="P9" s="24">
        <f>EXP(11.4185-0.9228*LN(P7)+0.09861*(LN(P7))^2)</f>
        <v>134656.8632</v>
      </c>
      <c r="Q9" s="10" t="s">
        <v>25</v>
      </c>
      <c r="R9" s="22"/>
      <c r="T9" s="23"/>
      <c r="V9" s="10" t="s">
        <v>36</v>
      </c>
      <c r="W9" s="10">
        <v>2.15</v>
      </c>
      <c r="X9" s="10" t="s">
        <v>49</v>
      </c>
      <c r="Y9" s="22"/>
      <c r="AA9" s="23"/>
    </row>
    <row r="10" ht="15.75" customHeight="1">
      <c r="A10" s="10" t="s">
        <v>23</v>
      </c>
      <c r="B10" s="10">
        <f>E5*B9/E7*3.28</f>
        <v>4.90688</v>
      </c>
      <c r="C10" s="10" t="s">
        <v>15</v>
      </c>
      <c r="D10" s="22"/>
      <c r="F10" s="23"/>
      <c r="G10" s="19"/>
      <c r="H10" s="10" t="s">
        <v>23</v>
      </c>
      <c r="I10" s="10">
        <f>L5*I9/L7*3.28</f>
        <v>7.90499557</v>
      </c>
      <c r="J10" s="10" t="s">
        <v>15</v>
      </c>
      <c r="K10" s="22"/>
      <c r="M10" s="23"/>
      <c r="O10" s="10" t="s">
        <v>36</v>
      </c>
      <c r="P10" s="10">
        <v>3.17</v>
      </c>
      <c r="Q10" s="10" t="s">
        <v>112</v>
      </c>
      <c r="R10" s="22"/>
      <c r="T10" s="23"/>
      <c r="V10" s="10" t="s">
        <v>50</v>
      </c>
      <c r="W10" s="10">
        <f>1*14.5038</f>
        <v>14.5038</v>
      </c>
      <c r="X10" s="10" t="s">
        <v>51</v>
      </c>
      <c r="Y10" s="22"/>
      <c r="AA10" s="23"/>
    </row>
    <row r="11" ht="15.75" customHeight="1">
      <c r="A11" s="10" t="s">
        <v>24</v>
      </c>
      <c r="B11" s="24">
        <f>468*EXP(0.1482*B10)</f>
        <v>968.4219702</v>
      </c>
      <c r="C11" s="10" t="s">
        <v>25</v>
      </c>
      <c r="D11" s="22"/>
      <c r="F11" s="23"/>
      <c r="G11" s="19"/>
      <c r="H11" s="10" t="s">
        <v>24</v>
      </c>
      <c r="I11" s="24">
        <f>468*EXP(0.1482*I10)</f>
        <v>1510.186813</v>
      </c>
      <c r="J11" s="10" t="s">
        <v>25</v>
      </c>
      <c r="K11" s="22"/>
      <c r="M11" s="23"/>
      <c r="O11" s="10" t="s">
        <v>52</v>
      </c>
      <c r="P11" s="10">
        <f>0.9803+0.018*(P8/100)+0.0017*(P8/100)^2</f>
        <v>1.009982964</v>
      </c>
      <c r="Q11" s="13" t="s">
        <v>10</v>
      </c>
      <c r="R11" s="22"/>
      <c r="T11" s="23"/>
      <c r="V11" s="10" t="s">
        <v>52</v>
      </c>
      <c r="W11" s="10">
        <f>0.9803+0.018*(W10/100)+0.0017*(W10/100)^2</f>
        <v>0.9829464452</v>
      </c>
      <c r="X11" s="13" t="s">
        <v>10</v>
      </c>
      <c r="Y11" s="22"/>
      <c r="AA11" s="23"/>
    </row>
    <row r="12" ht="15.75" customHeight="1">
      <c r="A12" s="10" t="s">
        <v>26</v>
      </c>
      <c r="B12" s="24">
        <f>B4*B6*B7*B8*B11</f>
        <v>17785.85759</v>
      </c>
      <c r="C12" s="10" t="s">
        <v>25</v>
      </c>
      <c r="D12" s="22"/>
      <c r="F12" s="23"/>
      <c r="G12" s="19"/>
      <c r="H12" s="10" t="s">
        <v>26</v>
      </c>
      <c r="I12" s="24">
        <f>I4*I6*I7*I8*I11</f>
        <v>27735.80982</v>
      </c>
      <c r="J12" s="10" t="s">
        <v>25</v>
      </c>
      <c r="K12" s="22"/>
      <c r="M12" s="23"/>
      <c r="O12" s="10" t="s">
        <v>28</v>
      </c>
      <c r="P12" s="10">
        <v>1.0</v>
      </c>
      <c r="Q12" s="32"/>
      <c r="R12" s="22"/>
      <c r="T12" s="23"/>
      <c r="V12" s="10" t="s">
        <v>28</v>
      </c>
      <c r="W12" s="10">
        <v>1.0</v>
      </c>
      <c r="X12" s="32"/>
      <c r="Y12" s="22"/>
      <c r="AA12" s="23"/>
    </row>
    <row r="13" ht="15.75" customHeight="1">
      <c r="A13" s="10" t="s">
        <v>14</v>
      </c>
      <c r="B13" s="10">
        <f>B4*2+15</f>
        <v>45</v>
      </c>
      <c r="C13" s="10" t="s">
        <v>15</v>
      </c>
      <c r="D13" s="22"/>
      <c r="F13" s="23"/>
      <c r="G13" s="19"/>
      <c r="H13" s="10" t="s">
        <v>14</v>
      </c>
      <c r="I13" s="10">
        <f>I4*2+15</f>
        <v>45</v>
      </c>
      <c r="J13" s="10" t="s">
        <v>15</v>
      </c>
      <c r="K13" s="22"/>
      <c r="M13" s="23"/>
      <c r="O13" s="10" t="s">
        <v>53</v>
      </c>
      <c r="P13" s="10">
        <v>1.0</v>
      </c>
      <c r="Q13" s="14"/>
      <c r="R13" s="22"/>
      <c r="T13" s="23"/>
      <c r="V13" s="10" t="s">
        <v>53</v>
      </c>
      <c r="W13" s="10">
        <v>1.0</v>
      </c>
      <c r="X13" s="14"/>
      <c r="Y13" s="22"/>
      <c r="AA13" s="23"/>
    </row>
    <row r="14" ht="15.75" customHeight="1">
      <c r="A14" s="10" t="s">
        <v>27</v>
      </c>
      <c r="B14" s="24">
        <f>341*(B10^0.63316)*(B13^0.80161)</f>
        <v>19741.33111</v>
      </c>
      <c r="C14" s="10" t="s">
        <v>25</v>
      </c>
      <c r="D14" s="22"/>
      <c r="F14" s="23"/>
      <c r="G14" s="19"/>
      <c r="H14" s="10" t="s">
        <v>27</v>
      </c>
      <c r="I14" s="24">
        <f>341*(I10^0.63316)*(I13^0.80161)</f>
        <v>26699.39735</v>
      </c>
      <c r="J14" s="10" t="s">
        <v>25</v>
      </c>
      <c r="K14" s="22"/>
      <c r="M14" s="23"/>
      <c r="O14" s="26" t="s">
        <v>38</v>
      </c>
      <c r="P14" s="27">
        <f>P10*P11*P12*P13*P9</f>
        <v>431123.6066</v>
      </c>
      <c r="Q14" s="26" t="s">
        <v>25</v>
      </c>
      <c r="R14" s="28"/>
      <c r="S14" s="29"/>
      <c r="T14" s="30"/>
      <c r="V14" s="26" t="s">
        <v>38</v>
      </c>
      <c r="W14" s="27">
        <f>W13*W12*W11*W9*W8</f>
        <v>56684.2114</v>
      </c>
      <c r="X14" s="26" t="s">
        <v>25</v>
      </c>
      <c r="Y14" s="28"/>
      <c r="Z14" s="29"/>
      <c r="AA14" s="30"/>
    </row>
    <row r="15" ht="15.75" customHeight="1">
      <c r="A15" s="10" t="s">
        <v>28</v>
      </c>
      <c r="B15" s="10">
        <v>1.0</v>
      </c>
      <c r="C15" s="15" t="s">
        <v>21</v>
      </c>
      <c r="D15" s="22"/>
      <c r="F15" s="23"/>
      <c r="G15" s="19"/>
      <c r="H15" s="10" t="s">
        <v>28</v>
      </c>
      <c r="I15" s="10">
        <v>1.0</v>
      </c>
      <c r="J15" s="15" t="s">
        <v>21</v>
      </c>
      <c r="K15" s="22"/>
      <c r="M15" s="23"/>
      <c r="O15" s="4" t="s">
        <v>118</v>
      </c>
      <c r="P15" s="5"/>
      <c r="Q15" s="5"/>
      <c r="R15" s="5"/>
      <c r="S15" s="5"/>
      <c r="T15" s="6"/>
      <c r="V15" s="4" t="s">
        <v>119</v>
      </c>
      <c r="W15" s="5"/>
      <c r="X15" s="5"/>
      <c r="Y15" s="5"/>
      <c r="Z15" s="5"/>
      <c r="AA15" s="6"/>
    </row>
    <row r="16" ht="15.75" customHeight="1">
      <c r="A16" s="10" t="s">
        <v>29</v>
      </c>
      <c r="B16" s="10">
        <v>490.0</v>
      </c>
      <c r="C16" s="10" t="s">
        <v>30</v>
      </c>
      <c r="D16" s="22"/>
      <c r="F16" s="23"/>
      <c r="G16" s="19"/>
      <c r="H16" s="10" t="s">
        <v>29</v>
      </c>
      <c r="I16" s="10">
        <v>490.0</v>
      </c>
      <c r="J16" s="10" t="s">
        <v>30</v>
      </c>
      <c r="K16" s="22"/>
      <c r="M16" s="23"/>
      <c r="O16" s="8" t="s">
        <v>4</v>
      </c>
      <c r="P16" s="8" t="s">
        <v>5</v>
      </c>
      <c r="Q16" s="8" t="s">
        <v>6</v>
      </c>
      <c r="R16" s="8" t="s">
        <v>4</v>
      </c>
      <c r="S16" s="8" t="s">
        <v>5</v>
      </c>
      <c r="T16" s="8" t="s">
        <v>6</v>
      </c>
      <c r="V16" s="8" t="s">
        <v>4</v>
      </c>
      <c r="W16" s="8" t="s">
        <v>5</v>
      </c>
      <c r="X16" s="8" t="s">
        <v>6</v>
      </c>
      <c r="Y16" s="8" t="s">
        <v>4</v>
      </c>
      <c r="Z16" s="8" t="s">
        <v>5</v>
      </c>
      <c r="AA16" s="8" t="s">
        <v>6</v>
      </c>
    </row>
    <row r="17" ht="15.75" customHeight="1">
      <c r="A17" s="10" t="s">
        <v>31</v>
      </c>
      <c r="B17" s="25">
        <v>0.1043</v>
      </c>
      <c r="C17" s="10" t="s">
        <v>15</v>
      </c>
      <c r="D17" s="22"/>
      <c r="F17" s="23"/>
      <c r="G17" s="19"/>
      <c r="H17" s="10" t="s">
        <v>31</v>
      </c>
      <c r="I17" s="25">
        <v>0.1043</v>
      </c>
      <c r="J17" s="10" t="s">
        <v>15</v>
      </c>
      <c r="K17" s="22"/>
      <c r="M17" s="23"/>
      <c r="O17" s="10" t="s">
        <v>7</v>
      </c>
      <c r="P17" s="11">
        <v>15.0</v>
      </c>
      <c r="Q17" s="10" t="s">
        <v>8</v>
      </c>
      <c r="R17" s="10" t="s">
        <v>7</v>
      </c>
      <c r="S17" s="10">
        <v>11.0</v>
      </c>
      <c r="T17" s="10" t="s">
        <v>8</v>
      </c>
      <c r="V17" s="10" t="s">
        <v>41</v>
      </c>
      <c r="W17" s="11">
        <v>14.3396</v>
      </c>
      <c r="X17" s="10" t="s">
        <v>42</v>
      </c>
      <c r="Y17" s="31"/>
      <c r="Z17" s="17"/>
      <c r="AA17" s="18"/>
    </row>
    <row r="18" ht="15.75" customHeight="1">
      <c r="A18" s="10" t="s">
        <v>32</v>
      </c>
      <c r="B18" s="10">
        <f>B16*B17*PI()*(B10+B17)*(B13+0.8*B10)</f>
        <v>39364.57547</v>
      </c>
      <c r="C18" s="10" t="s">
        <v>33</v>
      </c>
      <c r="D18" s="22"/>
      <c r="F18" s="23"/>
      <c r="G18" s="19"/>
      <c r="H18" s="10" t="s">
        <v>32</v>
      </c>
      <c r="I18" s="10">
        <f>I16*I17*PI()*(I10+I17)*(I13+0.8*I10)</f>
        <v>66000.16911</v>
      </c>
      <c r="J18" s="10" t="s">
        <v>33</v>
      </c>
      <c r="K18" s="22"/>
      <c r="M18" s="23"/>
      <c r="O18" s="10" t="s">
        <v>9</v>
      </c>
      <c r="P18" s="10">
        <v>0.25</v>
      </c>
      <c r="Q18" s="13" t="s">
        <v>10</v>
      </c>
      <c r="R18" s="10" t="s">
        <v>11</v>
      </c>
      <c r="S18" s="10">
        <v>1.36</v>
      </c>
      <c r="T18" s="10" t="s">
        <v>12</v>
      </c>
      <c r="V18" s="10" t="s">
        <v>41</v>
      </c>
      <c r="W18" s="24">
        <f>ABS(W17*3968320.722)</f>
        <v>56904131.83</v>
      </c>
      <c r="X18" s="10" t="s">
        <v>43</v>
      </c>
      <c r="Y18" s="22"/>
      <c r="AA18" s="23"/>
    </row>
    <row r="19" ht="15.75" customHeight="1">
      <c r="A19" s="10" t="s">
        <v>34</v>
      </c>
      <c r="B19" s="24">
        <f>EXP(7.139+0.18255*LN(B18)+0.02297*(LN(B18))^2)</f>
        <v>113774.5013</v>
      </c>
      <c r="C19" s="10" t="s">
        <v>25</v>
      </c>
      <c r="D19" s="22"/>
      <c r="F19" s="23"/>
      <c r="G19" s="19"/>
      <c r="H19" s="10" t="s">
        <v>34</v>
      </c>
      <c r="I19" s="24">
        <f>EXP(7.139+0.18255*LN(I18)+0.02297*(LN(I18))^2)</f>
        <v>161724.1054</v>
      </c>
      <c r="J19" s="10" t="s">
        <v>25</v>
      </c>
      <c r="K19" s="22"/>
      <c r="M19" s="23"/>
      <c r="O19" s="10" t="s">
        <v>13</v>
      </c>
      <c r="P19" s="10">
        <f>2.25/1.0414^P17</f>
        <v>1.224387587</v>
      </c>
      <c r="Q19" s="14"/>
      <c r="R19" s="10" t="s">
        <v>14</v>
      </c>
      <c r="S19" s="10">
        <f>S17*2+15</f>
        <v>37</v>
      </c>
      <c r="T19" s="10" t="s">
        <v>15</v>
      </c>
      <c r="V19" s="10" t="s">
        <v>44</v>
      </c>
      <c r="W19" s="10">
        <v>10000.0</v>
      </c>
      <c r="X19" s="10" t="s">
        <v>45</v>
      </c>
      <c r="Y19" s="22"/>
      <c r="AA19" s="23"/>
    </row>
    <row r="20" ht="15.75" customHeight="1">
      <c r="A20" s="10" t="s">
        <v>35</v>
      </c>
      <c r="B20" s="24">
        <f>B15*B19+B14+B12</f>
        <v>151301.69</v>
      </c>
      <c r="C20" s="10" t="s">
        <v>25</v>
      </c>
      <c r="D20" s="22"/>
      <c r="F20" s="23"/>
      <c r="G20" s="19"/>
      <c r="H20" s="10" t="s">
        <v>35</v>
      </c>
      <c r="I20" s="24">
        <f>I15*I19+I14+I12</f>
        <v>216159.3125</v>
      </c>
      <c r="J20" s="10" t="s">
        <v>25</v>
      </c>
      <c r="K20" s="22"/>
      <c r="M20" s="23"/>
      <c r="O20" s="10" t="s">
        <v>16</v>
      </c>
      <c r="P20" s="10">
        <v>1.0</v>
      </c>
      <c r="Q20" s="10" t="s">
        <v>17</v>
      </c>
      <c r="R20" s="10" t="s">
        <v>18</v>
      </c>
      <c r="S20" s="11">
        <v>950.0</v>
      </c>
      <c r="T20" s="10" t="s">
        <v>19</v>
      </c>
      <c r="V20" s="10" t="s">
        <v>46</v>
      </c>
      <c r="W20" s="10">
        <f>W18/W19</f>
        <v>5690.413183</v>
      </c>
      <c r="X20" s="10" t="s">
        <v>47</v>
      </c>
      <c r="Y20" s="22"/>
      <c r="AA20" s="23"/>
    </row>
    <row r="21" ht="15.75" customHeight="1">
      <c r="A21" s="10" t="s">
        <v>36</v>
      </c>
      <c r="B21" s="10">
        <v>4.16</v>
      </c>
      <c r="C21" s="10" t="s">
        <v>37</v>
      </c>
      <c r="D21" s="22"/>
      <c r="F21" s="23"/>
      <c r="G21" s="19"/>
      <c r="H21" s="10" t="s">
        <v>36</v>
      </c>
      <c r="I21" s="10">
        <v>4.16</v>
      </c>
      <c r="J21" s="10" t="s">
        <v>37</v>
      </c>
      <c r="K21" s="22"/>
      <c r="M21" s="23"/>
      <c r="O21" s="15" t="s">
        <v>20</v>
      </c>
      <c r="P21" s="15">
        <v>1.0</v>
      </c>
      <c r="Q21" s="15" t="s">
        <v>21</v>
      </c>
      <c r="R21" s="16" t="s">
        <v>22</v>
      </c>
      <c r="S21" s="17"/>
      <c r="T21" s="18"/>
      <c r="V21" s="10" t="s">
        <v>48</v>
      </c>
      <c r="W21" s="10">
        <f>EXP(11.4185-0.9228*LN(W20)+0.09861*(LN(W20))^2)</f>
        <v>49603.50328</v>
      </c>
      <c r="X21" s="10" t="s">
        <v>25</v>
      </c>
      <c r="Y21" s="22"/>
      <c r="AA21" s="23"/>
    </row>
    <row r="22" ht="15.75" customHeight="1">
      <c r="A22" s="26" t="s">
        <v>38</v>
      </c>
      <c r="B22" s="27">
        <f>B20*B21</f>
        <v>629415.0304</v>
      </c>
      <c r="C22" s="26" t="s">
        <v>25</v>
      </c>
      <c r="D22" s="28"/>
      <c r="E22" s="29"/>
      <c r="F22" s="30"/>
      <c r="G22" s="19"/>
      <c r="H22" s="26" t="s">
        <v>38</v>
      </c>
      <c r="I22" s="27">
        <f>I20*I21</f>
        <v>899222.7402</v>
      </c>
      <c r="J22" s="26" t="s">
        <v>25</v>
      </c>
      <c r="K22" s="28"/>
      <c r="L22" s="29"/>
      <c r="M22" s="30"/>
      <c r="O22" s="20" t="s">
        <v>18</v>
      </c>
      <c r="P22" s="21">
        <v>1000.0</v>
      </c>
      <c r="Q22" s="20" t="s">
        <v>19</v>
      </c>
      <c r="R22" s="22"/>
      <c r="T22" s="23"/>
      <c r="V22" s="10" t="s">
        <v>36</v>
      </c>
      <c r="W22" s="10">
        <v>2.15</v>
      </c>
      <c r="X22" s="10" t="s">
        <v>49</v>
      </c>
      <c r="Y22" s="22"/>
      <c r="AA22" s="23"/>
    </row>
    <row r="23" ht="15.75" customHeight="1">
      <c r="A23" s="4" t="s">
        <v>39</v>
      </c>
      <c r="B23" s="5"/>
      <c r="C23" s="5"/>
      <c r="D23" s="5"/>
      <c r="E23" s="5"/>
      <c r="F23" s="6"/>
      <c r="G23" s="7"/>
      <c r="H23" s="4" t="s">
        <v>40</v>
      </c>
      <c r="I23" s="5"/>
      <c r="J23" s="5"/>
      <c r="K23" s="5"/>
      <c r="L23" s="5"/>
      <c r="M23" s="6"/>
      <c r="O23" s="10" t="s">
        <v>23</v>
      </c>
      <c r="P23" s="10">
        <f>S18*P22/S20*3.28</f>
        <v>4.695578947</v>
      </c>
      <c r="Q23" s="10" t="s">
        <v>15</v>
      </c>
      <c r="R23" s="22"/>
      <c r="T23" s="23"/>
      <c r="V23" s="10" t="s">
        <v>50</v>
      </c>
      <c r="W23" s="10">
        <f>1*14.5038</f>
        <v>14.5038</v>
      </c>
      <c r="X23" s="10" t="s">
        <v>51</v>
      </c>
      <c r="Y23" s="22"/>
      <c r="AA23" s="23"/>
    </row>
    <row r="24" ht="15.75" customHeight="1">
      <c r="A24" s="8" t="s">
        <v>4</v>
      </c>
      <c r="B24" s="8" t="s">
        <v>5</v>
      </c>
      <c r="C24" s="8" t="s">
        <v>6</v>
      </c>
      <c r="D24" s="8" t="s">
        <v>4</v>
      </c>
      <c r="E24" s="8" t="s">
        <v>5</v>
      </c>
      <c r="F24" s="8" t="s">
        <v>6</v>
      </c>
      <c r="G24" s="9"/>
      <c r="H24" s="8" t="s">
        <v>4</v>
      </c>
      <c r="I24" s="8" t="s">
        <v>5</v>
      </c>
      <c r="J24" s="8" t="s">
        <v>6</v>
      </c>
      <c r="K24" s="8" t="s">
        <v>4</v>
      </c>
      <c r="L24" s="8" t="s">
        <v>5</v>
      </c>
      <c r="M24" s="8" t="s">
        <v>6</v>
      </c>
      <c r="O24" s="10" t="s">
        <v>24</v>
      </c>
      <c r="P24" s="24">
        <f>468*EXP(0.1482*P23)</f>
        <v>938.5659225</v>
      </c>
      <c r="Q24" s="10" t="s">
        <v>25</v>
      </c>
      <c r="R24" s="22"/>
      <c r="T24" s="23"/>
      <c r="V24" s="10" t="s">
        <v>52</v>
      </c>
      <c r="W24" s="10">
        <f>0.9803+0.018*(W23/100)+0.0017*(W23/100)^2</f>
        <v>0.9829464452</v>
      </c>
      <c r="X24" s="13" t="s">
        <v>10</v>
      </c>
      <c r="Y24" s="22"/>
      <c r="AA24" s="23"/>
    </row>
    <row r="25" ht="15.75" customHeight="1">
      <c r="A25" s="10" t="s">
        <v>7</v>
      </c>
      <c r="B25" s="11">
        <v>15.0</v>
      </c>
      <c r="C25" s="10" t="s">
        <v>8</v>
      </c>
      <c r="D25" s="10" t="s">
        <v>7</v>
      </c>
      <c r="E25" s="10">
        <v>11.0</v>
      </c>
      <c r="F25" s="10" t="s">
        <v>8</v>
      </c>
      <c r="G25" s="12"/>
      <c r="H25" s="10" t="s">
        <v>41</v>
      </c>
      <c r="I25" s="11">
        <v>3.0663</v>
      </c>
      <c r="J25" s="10" t="s">
        <v>42</v>
      </c>
      <c r="K25" s="31"/>
      <c r="L25" s="17"/>
      <c r="M25" s="18"/>
      <c r="O25" s="10" t="s">
        <v>26</v>
      </c>
      <c r="P25" s="24">
        <f>P17*P19*P20*P21*P24</f>
        <v>17237.52698</v>
      </c>
      <c r="Q25" s="10" t="s">
        <v>25</v>
      </c>
      <c r="R25" s="22"/>
      <c r="T25" s="23"/>
      <c r="V25" s="10" t="s">
        <v>28</v>
      </c>
      <c r="W25" s="10">
        <v>1.0</v>
      </c>
      <c r="X25" s="32"/>
      <c r="Y25" s="22"/>
      <c r="AA25" s="23"/>
    </row>
    <row r="26" ht="15.75" customHeight="1">
      <c r="A26" s="10" t="s">
        <v>9</v>
      </c>
      <c r="B26" s="10">
        <v>0.25</v>
      </c>
      <c r="C26" s="13" t="s">
        <v>10</v>
      </c>
      <c r="D26" s="10" t="s">
        <v>11</v>
      </c>
      <c r="E26" s="10">
        <v>1.36</v>
      </c>
      <c r="F26" s="10" t="s">
        <v>12</v>
      </c>
      <c r="G26" s="12"/>
      <c r="H26" s="10" t="s">
        <v>41</v>
      </c>
      <c r="I26" s="24">
        <f>I25*3968320.722</f>
        <v>12168061.83</v>
      </c>
      <c r="J26" s="10" t="s">
        <v>43</v>
      </c>
      <c r="K26" s="22"/>
      <c r="M26" s="23"/>
      <c r="O26" s="10" t="s">
        <v>14</v>
      </c>
      <c r="P26" s="10">
        <f>P17*2+15</f>
        <v>45</v>
      </c>
      <c r="Q26" s="10" t="s">
        <v>15</v>
      </c>
      <c r="R26" s="22"/>
      <c r="T26" s="23"/>
      <c r="V26" s="10" t="s">
        <v>53</v>
      </c>
      <c r="W26" s="10">
        <v>1.0</v>
      </c>
      <c r="X26" s="14"/>
      <c r="Y26" s="22"/>
      <c r="AA26" s="23"/>
    </row>
    <row r="27" ht="15.75" customHeight="1">
      <c r="A27" s="10" t="s">
        <v>13</v>
      </c>
      <c r="B27" s="10">
        <f>2.25/1.0414^B25</f>
        <v>1.224387587</v>
      </c>
      <c r="C27" s="14"/>
      <c r="D27" s="10" t="s">
        <v>14</v>
      </c>
      <c r="E27" s="10">
        <f>E25*2+15</f>
        <v>37</v>
      </c>
      <c r="F27" s="10" t="s">
        <v>15</v>
      </c>
      <c r="G27" s="12"/>
      <c r="H27" s="10" t="s">
        <v>44</v>
      </c>
      <c r="I27" s="10">
        <v>10000.0</v>
      </c>
      <c r="J27" s="10" t="s">
        <v>45</v>
      </c>
      <c r="K27" s="22"/>
      <c r="M27" s="23"/>
      <c r="O27" s="10" t="s">
        <v>27</v>
      </c>
      <c r="P27" s="24">
        <f>341*(P23^0.63316)*(P26^0.80161)</f>
        <v>19198.74155</v>
      </c>
      <c r="Q27" s="10" t="s">
        <v>25</v>
      </c>
      <c r="R27" s="22"/>
      <c r="T27" s="23"/>
      <c r="V27" s="26" t="s">
        <v>38</v>
      </c>
      <c r="W27" s="27">
        <f>W26*W25*W24*W22*W21</f>
        <v>104828.8125</v>
      </c>
      <c r="X27" s="26" t="s">
        <v>25</v>
      </c>
      <c r="Y27" s="28"/>
      <c r="Z27" s="29"/>
      <c r="AA27" s="30"/>
    </row>
    <row r="28" ht="15.75" customHeight="1">
      <c r="A28" s="10" t="s">
        <v>16</v>
      </c>
      <c r="B28" s="10">
        <v>1.0</v>
      </c>
      <c r="C28" s="10" t="s">
        <v>17</v>
      </c>
      <c r="D28" s="10" t="s">
        <v>18</v>
      </c>
      <c r="E28" s="11">
        <v>500.0</v>
      </c>
      <c r="F28" s="10" t="s">
        <v>19</v>
      </c>
      <c r="G28" s="12"/>
      <c r="H28" s="10" t="s">
        <v>46</v>
      </c>
      <c r="I28" s="10">
        <f>I26/I27</f>
        <v>1216.806183</v>
      </c>
      <c r="J28" s="10" t="s">
        <v>47</v>
      </c>
      <c r="K28" s="22"/>
      <c r="M28" s="23"/>
      <c r="O28" s="10" t="s">
        <v>28</v>
      </c>
      <c r="P28" s="10">
        <v>1.0</v>
      </c>
      <c r="Q28" s="15" t="s">
        <v>21</v>
      </c>
      <c r="R28" s="22"/>
      <c r="T28" s="23"/>
      <c r="V28" s="4" t="s">
        <v>120</v>
      </c>
      <c r="W28" s="5"/>
      <c r="X28" s="5"/>
      <c r="Y28" s="5"/>
      <c r="Z28" s="5"/>
      <c r="AA28" s="6"/>
    </row>
    <row r="29" ht="15.75" customHeight="1">
      <c r="A29" s="15" t="s">
        <v>20</v>
      </c>
      <c r="B29" s="15">
        <v>1.0</v>
      </c>
      <c r="C29" s="15" t="s">
        <v>21</v>
      </c>
      <c r="D29" s="16" t="s">
        <v>22</v>
      </c>
      <c r="E29" s="17"/>
      <c r="F29" s="18"/>
      <c r="G29" s="19"/>
      <c r="H29" s="10" t="s">
        <v>48</v>
      </c>
      <c r="I29" s="24">
        <f>EXP(11.4185-0.9228*LN(I28)+0.09861*(LN(I28))^2)</f>
        <v>18759.47556</v>
      </c>
      <c r="J29" s="10" t="s">
        <v>25</v>
      </c>
      <c r="K29" s="22"/>
      <c r="M29" s="23"/>
      <c r="O29" s="10" t="s">
        <v>29</v>
      </c>
      <c r="P29" s="10">
        <v>490.0</v>
      </c>
      <c r="Q29" s="10" t="s">
        <v>30</v>
      </c>
      <c r="R29" s="22"/>
      <c r="T29" s="23"/>
      <c r="V29" s="8" t="s">
        <v>4</v>
      </c>
      <c r="W29" s="8" t="s">
        <v>5</v>
      </c>
      <c r="X29" s="8" t="s">
        <v>6</v>
      </c>
      <c r="Y29" s="8" t="s">
        <v>4</v>
      </c>
      <c r="Z29" s="8" t="s">
        <v>5</v>
      </c>
      <c r="AA29" s="8" t="s">
        <v>6</v>
      </c>
    </row>
    <row r="30" ht="15.75" customHeight="1">
      <c r="A30" s="20" t="s">
        <v>18</v>
      </c>
      <c r="B30" s="21">
        <v>607.732</v>
      </c>
      <c r="C30" s="20" t="s">
        <v>19</v>
      </c>
      <c r="D30" s="22"/>
      <c r="F30" s="23"/>
      <c r="G30" s="19"/>
      <c r="H30" s="10" t="s">
        <v>36</v>
      </c>
      <c r="I30" s="10">
        <v>2.15</v>
      </c>
      <c r="J30" s="10" t="s">
        <v>49</v>
      </c>
      <c r="K30" s="22"/>
      <c r="M30" s="23"/>
      <c r="O30" s="10" t="s">
        <v>31</v>
      </c>
      <c r="P30" s="25">
        <v>0.1043</v>
      </c>
      <c r="Q30" s="10" t="s">
        <v>15</v>
      </c>
      <c r="R30" s="22"/>
      <c r="T30" s="23"/>
      <c r="V30" s="10" t="s">
        <v>41</v>
      </c>
      <c r="W30" s="11">
        <v>10.82</v>
      </c>
      <c r="X30" s="10" t="s">
        <v>42</v>
      </c>
      <c r="Y30" s="31"/>
      <c r="Z30" s="17"/>
      <c r="AA30" s="18"/>
    </row>
    <row r="31" ht="15.75" customHeight="1">
      <c r="A31" s="10" t="s">
        <v>23</v>
      </c>
      <c r="B31" s="10">
        <f>E26*B30/E28*3.28</f>
        <v>5.421941811</v>
      </c>
      <c r="C31" s="10" t="s">
        <v>15</v>
      </c>
      <c r="D31" s="22"/>
      <c r="F31" s="23"/>
      <c r="G31" s="19"/>
      <c r="H31" s="10" t="s">
        <v>50</v>
      </c>
      <c r="I31" s="10">
        <f>9*14.5038</f>
        <v>130.5342</v>
      </c>
      <c r="J31" s="10" t="s">
        <v>51</v>
      </c>
      <c r="K31" s="22"/>
      <c r="M31" s="23"/>
      <c r="O31" s="10" t="s">
        <v>32</v>
      </c>
      <c r="P31" s="10">
        <f>P29*P30*PI()*(P23+P30)*(P26+0.8*P23)</f>
        <v>37574.4593</v>
      </c>
      <c r="Q31" s="10" t="s">
        <v>33</v>
      </c>
      <c r="R31" s="22"/>
      <c r="T31" s="23"/>
      <c r="V31" s="10" t="s">
        <v>41</v>
      </c>
      <c r="W31" s="24">
        <f>W30*3968320.722</f>
        <v>42937230.21</v>
      </c>
      <c r="X31" s="10" t="s">
        <v>43</v>
      </c>
      <c r="Y31" s="22"/>
      <c r="AA31" s="23"/>
    </row>
    <row r="32" ht="15.75" customHeight="1">
      <c r="A32" s="10" t="s">
        <v>24</v>
      </c>
      <c r="B32" s="24">
        <f>468*EXP(0.1482*B31)</f>
        <v>1045.238191</v>
      </c>
      <c r="C32" s="10" t="s">
        <v>25</v>
      </c>
      <c r="D32" s="22"/>
      <c r="F32" s="23"/>
      <c r="G32" s="19"/>
      <c r="H32" s="10" t="s">
        <v>52</v>
      </c>
      <c r="I32" s="10">
        <f>0.9803+0.018*(I31/100)+0.0017*(I31/100)^2</f>
        <v>1.006692816</v>
      </c>
      <c r="J32" s="13" t="s">
        <v>10</v>
      </c>
      <c r="K32" s="22"/>
      <c r="M32" s="23"/>
      <c r="O32" s="10" t="s">
        <v>34</v>
      </c>
      <c r="P32" s="24">
        <f>EXP(7.139+0.18255*LN(P31)+0.02297*(LN(P31))^2)</f>
        <v>110293.97</v>
      </c>
      <c r="Q32" s="10" t="s">
        <v>25</v>
      </c>
      <c r="R32" s="22"/>
      <c r="T32" s="23"/>
      <c r="V32" s="10" t="s">
        <v>44</v>
      </c>
      <c r="W32" s="10">
        <v>10000.0</v>
      </c>
      <c r="X32" s="10" t="s">
        <v>45</v>
      </c>
      <c r="Y32" s="22"/>
      <c r="AA32" s="23"/>
    </row>
    <row r="33" ht="15.75" customHeight="1">
      <c r="A33" s="10" t="s">
        <v>26</v>
      </c>
      <c r="B33" s="24">
        <f>B25*B27*B28*B29*B32</f>
        <v>19196.65</v>
      </c>
      <c r="C33" s="10" t="s">
        <v>25</v>
      </c>
      <c r="D33" s="22"/>
      <c r="F33" s="23"/>
      <c r="G33" s="19"/>
      <c r="H33" s="10" t="s">
        <v>28</v>
      </c>
      <c r="I33" s="10">
        <v>1.0</v>
      </c>
      <c r="J33" s="32"/>
      <c r="K33" s="22"/>
      <c r="M33" s="23"/>
      <c r="O33" s="10" t="s">
        <v>35</v>
      </c>
      <c r="P33" s="24">
        <f>P28*P32+P27+P25</f>
        <v>146730.2386</v>
      </c>
      <c r="Q33" s="10" t="s">
        <v>25</v>
      </c>
      <c r="R33" s="22"/>
      <c r="T33" s="23"/>
      <c r="V33" s="10" t="s">
        <v>46</v>
      </c>
      <c r="W33" s="10">
        <f>W31/W32</f>
        <v>4293.723021</v>
      </c>
      <c r="X33" s="10" t="s">
        <v>47</v>
      </c>
      <c r="Y33" s="22"/>
      <c r="AA33" s="23"/>
    </row>
    <row r="34" ht="15.75" customHeight="1">
      <c r="A34" s="10" t="s">
        <v>14</v>
      </c>
      <c r="B34" s="10">
        <f>B25*2+15</f>
        <v>45</v>
      </c>
      <c r="C34" s="10" t="s">
        <v>15</v>
      </c>
      <c r="D34" s="22"/>
      <c r="F34" s="23"/>
      <c r="G34" s="19"/>
      <c r="H34" s="10" t="s">
        <v>53</v>
      </c>
      <c r="I34" s="10">
        <v>1.0</v>
      </c>
      <c r="J34" s="14"/>
      <c r="K34" s="22"/>
      <c r="M34" s="23"/>
      <c r="O34" s="10" t="s">
        <v>36</v>
      </c>
      <c r="P34" s="10">
        <v>4.16</v>
      </c>
      <c r="Q34" s="10" t="s">
        <v>37</v>
      </c>
      <c r="R34" s="22"/>
      <c r="T34" s="23"/>
      <c r="V34" s="10" t="s">
        <v>48</v>
      </c>
      <c r="W34" s="24">
        <f>EXP(11.4185-0.9228*LN(W33)+0.09861*(LN(W33))^2)</f>
        <v>40105.62628</v>
      </c>
      <c r="X34" s="10" t="s">
        <v>25</v>
      </c>
      <c r="Y34" s="22"/>
      <c r="AA34" s="23"/>
    </row>
    <row r="35" ht="15.75" customHeight="1">
      <c r="A35" s="10" t="s">
        <v>27</v>
      </c>
      <c r="B35" s="24">
        <f>341*(B31^0.63316)*(B34^0.80161)</f>
        <v>21029.2386</v>
      </c>
      <c r="C35" s="10" t="s">
        <v>25</v>
      </c>
      <c r="D35" s="22"/>
      <c r="F35" s="23"/>
      <c r="G35" s="19"/>
      <c r="H35" s="26" t="s">
        <v>38</v>
      </c>
      <c r="I35" s="27">
        <f>I34*I33*I32*I30*I29</f>
        <v>40602.81296</v>
      </c>
      <c r="J35" s="26" t="s">
        <v>25</v>
      </c>
      <c r="K35" s="28"/>
      <c r="L35" s="29"/>
      <c r="M35" s="30"/>
      <c r="O35" s="26" t="s">
        <v>38</v>
      </c>
      <c r="P35" s="27">
        <f>P33*P34</f>
        <v>610397.7925</v>
      </c>
      <c r="Q35" s="26" t="s">
        <v>25</v>
      </c>
      <c r="R35" s="28"/>
      <c r="S35" s="29"/>
      <c r="T35" s="30"/>
      <c r="V35" s="10" t="s">
        <v>36</v>
      </c>
      <c r="W35" s="10">
        <v>2.15</v>
      </c>
      <c r="X35" s="10" t="s">
        <v>49</v>
      </c>
      <c r="Y35" s="22"/>
      <c r="AA35" s="23"/>
    </row>
    <row r="36" ht="15.75" customHeight="1">
      <c r="A36" s="10" t="s">
        <v>28</v>
      </c>
      <c r="B36" s="10">
        <v>1.0</v>
      </c>
      <c r="C36" s="15" t="s">
        <v>21</v>
      </c>
      <c r="D36" s="22"/>
      <c r="F36" s="23"/>
      <c r="G36" s="19"/>
      <c r="H36" s="4" t="s">
        <v>54</v>
      </c>
      <c r="I36" s="5"/>
      <c r="J36" s="5"/>
      <c r="K36" s="5"/>
      <c r="L36" s="5"/>
      <c r="M36" s="6"/>
      <c r="O36" s="4" t="s">
        <v>121</v>
      </c>
      <c r="P36" s="5"/>
      <c r="Q36" s="5"/>
      <c r="R36" s="5"/>
      <c r="S36" s="5"/>
      <c r="T36" s="6"/>
      <c r="V36" s="10" t="s">
        <v>50</v>
      </c>
      <c r="W36" s="10">
        <f>1*14.5038</f>
        <v>14.5038</v>
      </c>
      <c r="X36" s="10" t="s">
        <v>51</v>
      </c>
      <c r="Y36" s="22"/>
      <c r="AA36" s="23"/>
    </row>
    <row r="37" ht="15.75" customHeight="1">
      <c r="A37" s="10" t="s">
        <v>29</v>
      </c>
      <c r="B37" s="10">
        <v>490.0</v>
      </c>
      <c r="C37" s="10" t="s">
        <v>30</v>
      </c>
      <c r="D37" s="22"/>
      <c r="F37" s="23"/>
      <c r="G37" s="19"/>
      <c r="H37" s="8" t="s">
        <v>4</v>
      </c>
      <c r="I37" s="8" t="s">
        <v>5</v>
      </c>
      <c r="J37" s="8" t="s">
        <v>6</v>
      </c>
      <c r="K37" s="8" t="s">
        <v>4</v>
      </c>
      <c r="L37" s="8" t="s">
        <v>5</v>
      </c>
      <c r="M37" s="8" t="s">
        <v>6</v>
      </c>
      <c r="O37" s="8" t="s">
        <v>4</v>
      </c>
      <c r="P37" s="8" t="s">
        <v>5</v>
      </c>
      <c r="Q37" s="8" t="s">
        <v>6</v>
      </c>
      <c r="R37" s="8" t="s">
        <v>4</v>
      </c>
      <c r="S37" s="8" t="s">
        <v>5</v>
      </c>
      <c r="T37" s="8" t="s">
        <v>6</v>
      </c>
      <c r="V37" s="10" t="s">
        <v>52</v>
      </c>
      <c r="W37" s="10">
        <f>0.9803+0.018*(W36/100)+0.0017*(W36/100)^2</f>
        <v>0.9829464452</v>
      </c>
      <c r="X37" s="13" t="s">
        <v>10</v>
      </c>
      <c r="Y37" s="22"/>
      <c r="AA37" s="23"/>
    </row>
    <row r="38" ht="15.75" customHeight="1">
      <c r="A38" s="10" t="s">
        <v>31</v>
      </c>
      <c r="B38" s="25">
        <v>0.1043</v>
      </c>
      <c r="C38" s="10" t="s">
        <v>15</v>
      </c>
      <c r="D38" s="22"/>
      <c r="F38" s="23"/>
      <c r="G38" s="19"/>
      <c r="H38" s="10" t="s">
        <v>41</v>
      </c>
      <c r="I38" s="11">
        <v>-1.85474</v>
      </c>
      <c r="J38" s="10" t="s">
        <v>42</v>
      </c>
      <c r="K38" s="31"/>
      <c r="L38" s="17"/>
      <c r="M38" s="18"/>
      <c r="O38" s="10" t="s">
        <v>7</v>
      </c>
      <c r="P38" s="11">
        <v>15.0</v>
      </c>
      <c r="Q38" s="10" t="s">
        <v>8</v>
      </c>
      <c r="R38" s="10" t="s">
        <v>7</v>
      </c>
      <c r="S38" s="10">
        <v>11.0</v>
      </c>
      <c r="T38" s="10" t="s">
        <v>8</v>
      </c>
      <c r="V38" s="10" t="s">
        <v>28</v>
      </c>
      <c r="W38" s="10">
        <v>1.0</v>
      </c>
      <c r="X38" s="32"/>
      <c r="Y38" s="22"/>
      <c r="AA38" s="23"/>
    </row>
    <row r="39" ht="15.75" customHeight="1">
      <c r="A39" s="10" t="s">
        <v>32</v>
      </c>
      <c r="B39" s="10">
        <f>B37*B38*PI()*(B31+B38)*(B34+0.8*B31)</f>
        <v>43776.16931</v>
      </c>
      <c r="C39" s="10" t="s">
        <v>33</v>
      </c>
      <c r="D39" s="22"/>
      <c r="F39" s="23"/>
      <c r="G39" s="19"/>
      <c r="H39" s="10" t="s">
        <v>41</v>
      </c>
      <c r="I39" s="24">
        <f>ABS(I38*3968320.722)</f>
        <v>7360203.176</v>
      </c>
      <c r="J39" s="10" t="s">
        <v>43</v>
      </c>
      <c r="K39" s="22"/>
      <c r="M39" s="23"/>
      <c r="O39" s="10" t="s">
        <v>9</v>
      </c>
      <c r="P39" s="10">
        <v>0.25</v>
      </c>
      <c r="Q39" s="13" t="s">
        <v>10</v>
      </c>
      <c r="R39" s="10" t="s">
        <v>11</v>
      </c>
      <c r="S39" s="10">
        <v>1.36</v>
      </c>
      <c r="T39" s="10" t="s">
        <v>12</v>
      </c>
      <c r="V39" s="10" t="s">
        <v>53</v>
      </c>
      <c r="W39" s="10">
        <v>1.0</v>
      </c>
      <c r="X39" s="14"/>
      <c r="Y39" s="22"/>
      <c r="AA39" s="23"/>
    </row>
    <row r="40" ht="15.75" customHeight="1">
      <c r="A40" s="10" t="s">
        <v>34</v>
      </c>
      <c r="B40" s="24">
        <f>EXP(7.139+0.18255*LN(B39)+0.02297*(LN(B39))^2)</f>
        <v>122180.6903</v>
      </c>
      <c r="C40" s="10" t="s">
        <v>25</v>
      </c>
      <c r="D40" s="22"/>
      <c r="F40" s="23"/>
      <c r="G40" s="19"/>
      <c r="H40" s="10" t="s">
        <v>44</v>
      </c>
      <c r="I40" s="10">
        <v>10000.0</v>
      </c>
      <c r="J40" s="10" t="s">
        <v>45</v>
      </c>
      <c r="K40" s="22"/>
      <c r="M40" s="23"/>
      <c r="O40" s="10" t="s">
        <v>13</v>
      </c>
      <c r="P40" s="10">
        <f>2.25/1.0414^P38</f>
        <v>1.224387587</v>
      </c>
      <c r="Q40" s="14"/>
      <c r="R40" s="10" t="s">
        <v>14</v>
      </c>
      <c r="S40" s="10">
        <f>S38*2+15</f>
        <v>37</v>
      </c>
      <c r="T40" s="10" t="s">
        <v>15</v>
      </c>
      <c r="V40" s="26" t="s">
        <v>38</v>
      </c>
      <c r="W40" s="27">
        <f>W39*W38*W37*W35*W34</f>
        <v>84756.61799</v>
      </c>
      <c r="X40" s="26" t="s">
        <v>25</v>
      </c>
      <c r="Y40" s="28"/>
      <c r="Z40" s="29"/>
      <c r="AA40" s="30"/>
    </row>
    <row r="41" ht="15.75" customHeight="1">
      <c r="A41" s="10" t="s">
        <v>35</v>
      </c>
      <c r="B41" s="24">
        <f>B36*B40+B35+B33</f>
        <v>162406.5789</v>
      </c>
      <c r="C41" s="10" t="s">
        <v>25</v>
      </c>
      <c r="D41" s="22"/>
      <c r="F41" s="23"/>
      <c r="G41" s="19"/>
      <c r="H41" s="10" t="s">
        <v>46</v>
      </c>
      <c r="I41" s="10">
        <f>I39/I40</f>
        <v>736.0203176</v>
      </c>
      <c r="J41" s="10" t="s">
        <v>47</v>
      </c>
      <c r="K41" s="22"/>
      <c r="M41" s="23"/>
      <c r="O41" s="10" t="s">
        <v>16</v>
      </c>
      <c r="P41" s="10">
        <v>1.0</v>
      </c>
      <c r="Q41" s="10" t="s">
        <v>17</v>
      </c>
      <c r="R41" s="10" t="s">
        <v>18</v>
      </c>
      <c r="S41" s="11">
        <v>550.0</v>
      </c>
      <c r="T41" s="10" t="s">
        <v>19</v>
      </c>
      <c r="V41" s="4" t="s">
        <v>122</v>
      </c>
      <c r="W41" s="5"/>
      <c r="X41" s="5"/>
      <c r="Y41" s="5"/>
      <c r="Z41" s="5"/>
      <c r="AA41" s="6"/>
    </row>
    <row r="42" ht="15.75" customHeight="1">
      <c r="A42" s="10" t="s">
        <v>36</v>
      </c>
      <c r="B42" s="10">
        <v>4.16</v>
      </c>
      <c r="C42" s="10" t="s">
        <v>37</v>
      </c>
      <c r="D42" s="22"/>
      <c r="F42" s="23"/>
      <c r="G42" s="19"/>
      <c r="H42" s="10" t="s">
        <v>48</v>
      </c>
      <c r="I42" s="10">
        <f>EXP(11.4185-0.9228*LN(I41)+0.09861*(LN(I41))^2)</f>
        <v>15122.64014</v>
      </c>
      <c r="J42" s="10" t="s">
        <v>25</v>
      </c>
      <c r="K42" s="22"/>
      <c r="M42" s="23"/>
      <c r="O42" s="15" t="s">
        <v>20</v>
      </c>
      <c r="P42" s="15">
        <v>1.0</v>
      </c>
      <c r="Q42" s="15" t="s">
        <v>21</v>
      </c>
      <c r="R42" s="16" t="s">
        <v>22</v>
      </c>
      <c r="S42" s="17"/>
      <c r="T42" s="18"/>
      <c r="V42" s="8" t="s">
        <v>4</v>
      </c>
      <c r="W42" s="8" t="s">
        <v>5</v>
      </c>
      <c r="X42" s="8" t="s">
        <v>6</v>
      </c>
      <c r="Y42" s="8" t="s">
        <v>4</v>
      </c>
      <c r="Z42" s="8" t="s">
        <v>5</v>
      </c>
      <c r="AA42" s="8" t="s">
        <v>6</v>
      </c>
    </row>
    <row r="43" ht="15.75" customHeight="1">
      <c r="A43" s="26" t="s">
        <v>38</v>
      </c>
      <c r="B43" s="27">
        <f>B41*B42</f>
        <v>675611.3681</v>
      </c>
      <c r="C43" s="26" t="s">
        <v>25</v>
      </c>
      <c r="D43" s="28"/>
      <c r="E43" s="29"/>
      <c r="F43" s="30"/>
      <c r="G43" s="19"/>
      <c r="H43" s="10" t="s">
        <v>36</v>
      </c>
      <c r="I43" s="10">
        <v>2.15</v>
      </c>
      <c r="J43" s="10" t="s">
        <v>49</v>
      </c>
      <c r="K43" s="22"/>
      <c r="M43" s="23"/>
      <c r="O43" s="20" t="s">
        <v>18</v>
      </c>
      <c r="P43" s="21">
        <v>600.0</v>
      </c>
      <c r="Q43" s="20" t="s">
        <v>19</v>
      </c>
      <c r="R43" s="22"/>
      <c r="T43" s="23"/>
      <c r="V43" s="10" t="s">
        <v>41</v>
      </c>
      <c r="W43" s="11">
        <v>10.91</v>
      </c>
      <c r="X43" s="10" t="s">
        <v>42</v>
      </c>
      <c r="Y43" s="31"/>
      <c r="Z43" s="17"/>
      <c r="AA43" s="18"/>
    </row>
    <row r="44" ht="15.75" customHeight="1">
      <c r="A44" s="4" t="s">
        <v>55</v>
      </c>
      <c r="B44" s="5"/>
      <c r="C44" s="5"/>
      <c r="D44" s="5"/>
      <c r="E44" s="5"/>
      <c r="F44" s="6"/>
      <c r="H44" s="10" t="s">
        <v>50</v>
      </c>
      <c r="I44" s="10">
        <f>9*14.5038</f>
        <v>130.5342</v>
      </c>
      <c r="J44" s="10" t="s">
        <v>51</v>
      </c>
      <c r="K44" s="22"/>
      <c r="M44" s="23"/>
      <c r="O44" s="10" t="s">
        <v>23</v>
      </c>
      <c r="P44" s="10">
        <f>S39*P43/S41*3.28</f>
        <v>4.866327273</v>
      </c>
      <c r="Q44" s="10" t="s">
        <v>15</v>
      </c>
      <c r="R44" s="22"/>
      <c r="T44" s="23"/>
      <c r="V44" s="10" t="s">
        <v>41</v>
      </c>
      <c r="W44" s="24">
        <f>ABS(W43*3968320.722)</f>
        <v>43294379.08</v>
      </c>
      <c r="X44" s="10" t="s">
        <v>43</v>
      </c>
      <c r="Y44" s="22"/>
      <c r="AA44" s="23"/>
    </row>
    <row r="45" ht="15.75" customHeight="1">
      <c r="A45" s="8" t="s">
        <v>4</v>
      </c>
      <c r="B45" s="8" t="s">
        <v>5</v>
      </c>
      <c r="C45" s="8" t="s">
        <v>6</v>
      </c>
      <c r="D45" s="8" t="s">
        <v>4</v>
      </c>
      <c r="E45" s="8" t="s">
        <v>5</v>
      </c>
      <c r="F45" s="8" t="s">
        <v>6</v>
      </c>
      <c r="H45" s="10" t="s">
        <v>52</v>
      </c>
      <c r="I45" s="10">
        <f>0.9803+0.018*(I44/100)+0.0017*(I44/100)^2</f>
        <v>1.006692816</v>
      </c>
      <c r="J45" s="13" t="s">
        <v>10</v>
      </c>
      <c r="K45" s="22"/>
      <c r="M45" s="23"/>
      <c r="O45" s="10" t="s">
        <v>24</v>
      </c>
      <c r="P45" s="24">
        <f>468*EXP(0.1482*P44)</f>
        <v>962.6192915</v>
      </c>
      <c r="Q45" s="10" t="s">
        <v>25</v>
      </c>
      <c r="R45" s="22"/>
      <c r="T45" s="23"/>
      <c r="V45" s="10" t="s">
        <v>44</v>
      </c>
      <c r="W45" s="10">
        <v>10000.0</v>
      </c>
      <c r="X45" s="10" t="s">
        <v>45</v>
      </c>
      <c r="Y45" s="22"/>
      <c r="AA45" s="23"/>
    </row>
    <row r="46" ht="15.75" customHeight="1">
      <c r="A46" s="10" t="s">
        <v>41</v>
      </c>
      <c r="B46" s="11">
        <v>9.82563</v>
      </c>
      <c r="C46" s="10" t="s">
        <v>42</v>
      </c>
      <c r="D46" s="33"/>
      <c r="E46" s="17"/>
      <c r="F46" s="18"/>
      <c r="H46" s="10" t="s">
        <v>28</v>
      </c>
      <c r="I46" s="10">
        <v>1.0</v>
      </c>
      <c r="J46" s="32"/>
      <c r="K46" s="22"/>
      <c r="M46" s="23"/>
      <c r="O46" s="10" t="s">
        <v>26</v>
      </c>
      <c r="P46" s="24">
        <f>P38*P40*P41*P42*P45</f>
        <v>17679.28667</v>
      </c>
      <c r="Q46" s="10" t="s">
        <v>25</v>
      </c>
      <c r="R46" s="22"/>
      <c r="T46" s="23"/>
      <c r="V46" s="10" t="s">
        <v>46</v>
      </c>
      <c r="W46" s="10">
        <f>W44/W45</f>
        <v>4329.437908</v>
      </c>
      <c r="X46" s="10" t="s">
        <v>47</v>
      </c>
      <c r="Y46" s="22"/>
      <c r="AA46" s="23"/>
    </row>
    <row r="47" ht="15.75" customHeight="1">
      <c r="A47" s="10" t="s">
        <v>41</v>
      </c>
      <c r="B47" s="24">
        <f>B46*3968320.722</f>
        <v>38991251.14</v>
      </c>
      <c r="C47" s="10" t="s">
        <v>43</v>
      </c>
      <c r="D47" s="22"/>
      <c r="F47" s="23"/>
      <c r="H47" s="10" t="s">
        <v>53</v>
      </c>
      <c r="I47" s="10">
        <v>1.0</v>
      </c>
      <c r="J47" s="14"/>
      <c r="K47" s="22"/>
      <c r="M47" s="23"/>
      <c r="O47" s="10" t="s">
        <v>14</v>
      </c>
      <c r="P47" s="10">
        <f>P38*2+15</f>
        <v>45</v>
      </c>
      <c r="Q47" s="10" t="s">
        <v>15</v>
      </c>
      <c r="R47" s="22"/>
      <c r="T47" s="23"/>
      <c r="V47" s="10" t="s">
        <v>48</v>
      </c>
      <c r="W47" s="10">
        <f>EXP(11.4185-0.9228*LN(W46)+0.09861*(LN(W46))^2)</f>
        <v>40348.12478</v>
      </c>
      <c r="X47" s="10" t="s">
        <v>25</v>
      </c>
      <c r="Y47" s="22"/>
      <c r="AA47" s="23"/>
    </row>
    <row r="48" ht="15.75" customHeight="1">
      <c r="A48" s="10" t="s">
        <v>44</v>
      </c>
      <c r="B48" s="10">
        <v>10000.0</v>
      </c>
      <c r="C48" s="10" t="s">
        <v>45</v>
      </c>
      <c r="D48" s="22"/>
      <c r="F48" s="23"/>
      <c r="H48" s="26" t="s">
        <v>38</v>
      </c>
      <c r="I48" s="27">
        <f>I47*I46*I45*I43*I42</f>
        <v>32731.28437</v>
      </c>
      <c r="J48" s="26" t="s">
        <v>25</v>
      </c>
      <c r="K48" s="28"/>
      <c r="L48" s="29"/>
      <c r="M48" s="30"/>
      <c r="O48" s="10" t="s">
        <v>27</v>
      </c>
      <c r="P48" s="24">
        <f>341*(P44^0.63316)*(P47^0.80161)</f>
        <v>19637.87293</v>
      </c>
      <c r="Q48" s="10" t="s">
        <v>25</v>
      </c>
      <c r="R48" s="22"/>
      <c r="T48" s="23"/>
      <c r="V48" s="10" t="s">
        <v>36</v>
      </c>
      <c r="W48" s="10">
        <v>2.15</v>
      </c>
      <c r="X48" s="10" t="s">
        <v>49</v>
      </c>
      <c r="Y48" s="22"/>
      <c r="AA48" s="23"/>
    </row>
    <row r="49" ht="15.75" customHeight="1">
      <c r="A49" s="10" t="s">
        <v>46</v>
      </c>
      <c r="B49" s="10">
        <f>B47/B48</f>
        <v>3899.125114</v>
      </c>
      <c r="C49" s="10" t="s">
        <v>47</v>
      </c>
      <c r="D49" s="22"/>
      <c r="F49" s="23"/>
      <c r="H49" s="34" t="s">
        <v>56</v>
      </c>
      <c r="I49" s="5"/>
      <c r="J49" s="5"/>
      <c r="K49" s="5"/>
      <c r="L49" s="5"/>
      <c r="M49" s="6"/>
      <c r="O49" s="10" t="s">
        <v>28</v>
      </c>
      <c r="P49" s="10">
        <v>1.0</v>
      </c>
      <c r="Q49" s="15" t="s">
        <v>21</v>
      </c>
      <c r="R49" s="22"/>
      <c r="T49" s="23"/>
      <c r="V49" s="10" t="s">
        <v>50</v>
      </c>
      <c r="W49" s="10">
        <f>1*14.5038</f>
        <v>14.5038</v>
      </c>
      <c r="X49" s="10" t="s">
        <v>51</v>
      </c>
      <c r="Y49" s="22"/>
      <c r="AA49" s="23"/>
    </row>
    <row r="50" ht="15.75" customHeight="1">
      <c r="A50" s="10" t="s">
        <v>48</v>
      </c>
      <c r="B50" s="24">
        <f>EXP(11.4185-0.9228*LN(B49)+0.09861*(LN(B49))^2)</f>
        <v>37425.63101</v>
      </c>
      <c r="C50" s="10" t="s">
        <v>25</v>
      </c>
      <c r="D50" s="22"/>
      <c r="F50" s="23"/>
      <c r="H50" s="8" t="s">
        <v>4</v>
      </c>
      <c r="I50" s="8" t="s">
        <v>5</v>
      </c>
      <c r="J50" s="8" t="s">
        <v>6</v>
      </c>
      <c r="K50" s="8" t="s">
        <v>4</v>
      </c>
      <c r="L50" s="8" t="s">
        <v>5</v>
      </c>
      <c r="M50" s="8" t="s">
        <v>6</v>
      </c>
      <c r="O50" s="10" t="s">
        <v>29</v>
      </c>
      <c r="P50" s="10">
        <v>490.0</v>
      </c>
      <c r="Q50" s="10" t="s">
        <v>30</v>
      </c>
      <c r="R50" s="22"/>
      <c r="T50" s="23"/>
      <c r="V50" s="10" t="s">
        <v>52</v>
      </c>
      <c r="W50" s="10">
        <f>0.9803+0.018*(W49/100)+0.0017*(W49/100)^2</f>
        <v>0.9829464452</v>
      </c>
      <c r="X50" s="13" t="s">
        <v>10</v>
      </c>
      <c r="Y50" s="22"/>
      <c r="AA50" s="23"/>
    </row>
    <row r="51" ht="15.75" customHeight="1">
      <c r="A51" s="10" t="s">
        <v>36</v>
      </c>
      <c r="B51" s="10">
        <v>2.15</v>
      </c>
      <c r="C51" s="10" t="s">
        <v>49</v>
      </c>
      <c r="D51" s="22"/>
      <c r="F51" s="23"/>
      <c r="H51" s="10" t="s">
        <v>57</v>
      </c>
      <c r="I51" s="11">
        <v>1043.16</v>
      </c>
      <c r="J51" s="10" t="s">
        <v>19</v>
      </c>
      <c r="K51" s="10" t="s">
        <v>11</v>
      </c>
      <c r="L51" s="10">
        <v>1.26</v>
      </c>
      <c r="M51" s="10" t="s">
        <v>12</v>
      </c>
      <c r="O51" s="10" t="s">
        <v>31</v>
      </c>
      <c r="P51" s="25">
        <v>0.1043</v>
      </c>
      <c r="Q51" s="10" t="s">
        <v>15</v>
      </c>
      <c r="R51" s="22"/>
      <c r="T51" s="23"/>
      <c r="V51" s="10" t="s">
        <v>28</v>
      </c>
      <c r="W51" s="10">
        <v>1.0</v>
      </c>
      <c r="X51" s="32"/>
      <c r="Y51" s="22"/>
      <c r="AA51" s="23"/>
    </row>
    <row r="52" ht="15.75" customHeight="1">
      <c r="A52" s="10" t="s">
        <v>50</v>
      </c>
      <c r="B52" s="10">
        <f>1.75*14.5038</f>
        <v>25.38165</v>
      </c>
      <c r="C52" s="10" t="s">
        <v>51</v>
      </c>
      <c r="D52" s="22"/>
      <c r="F52" s="23"/>
      <c r="H52" s="35" t="s">
        <v>58</v>
      </c>
      <c r="I52" s="36">
        <v>0.00426845519</v>
      </c>
      <c r="J52" s="13" t="s">
        <v>59</v>
      </c>
      <c r="K52" s="11" t="s">
        <v>60</v>
      </c>
      <c r="L52" s="11">
        <v>32.04</v>
      </c>
      <c r="M52" s="13" t="s">
        <v>61</v>
      </c>
      <c r="O52" s="10" t="s">
        <v>32</v>
      </c>
      <c r="P52" s="10">
        <f>P50*P51*PI()*(P44+P51)*(P47+0.8*P44)</f>
        <v>39020.12842</v>
      </c>
      <c r="Q52" s="10" t="s">
        <v>33</v>
      </c>
      <c r="R52" s="22"/>
      <c r="T52" s="23"/>
      <c r="V52" s="10" t="s">
        <v>53</v>
      </c>
      <c r="W52" s="10">
        <v>1.0</v>
      </c>
      <c r="X52" s="14"/>
      <c r="Y52" s="22"/>
      <c r="AA52" s="23"/>
    </row>
    <row r="53" ht="15.75" customHeight="1">
      <c r="A53" s="10" t="s">
        <v>52</v>
      </c>
      <c r="B53" s="10">
        <f>0.9803+0.018*(B52/100)+0.0017*(B52/100)^2</f>
        <v>0.9849782158</v>
      </c>
      <c r="C53" s="13" t="s">
        <v>10</v>
      </c>
      <c r="D53" s="22"/>
      <c r="F53" s="23"/>
      <c r="H53" s="35" t="s">
        <v>62</v>
      </c>
      <c r="I53" s="36">
        <v>0.04718994461</v>
      </c>
      <c r="J53" s="32"/>
      <c r="K53" s="11" t="s">
        <v>63</v>
      </c>
      <c r="L53" s="11">
        <v>46.07</v>
      </c>
      <c r="M53" s="32"/>
      <c r="O53" s="10" t="s">
        <v>34</v>
      </c>
      <c r="P53" s="24">
        <f>EXP(7.139+0.18255*LN(P52)+0.02297*(LN(P52))^2)</f>
        <v>113108.0867</v>
      </c>
      <c r="Q53" s="10" t="s">
        <v>25</v>
      </c>
      <c r="R53" s="22"/>
      <c r="T53" s="23"/>
      <c r="V53" s="26" t="s">
        <v>38</v>
      </c>
      <c r="W53" s="27">
        <f>W52*W51*W50*W48*W47</f>
        <v>85269.09851</v>
      </c>
      <c r="X53" s="26" t="s">
        <v>25</v>
      </c>
      <c r="Y53" s="28"/>
      <c r="Z53" s="29"/>
      <c r="AA53" s="30"/>
    </row>
    <row r="54" ht="15.75" customHeight="1">
      <c r="A54" s="10" t="s">
        <v>28</v>
      </c>
      <c r="B54" s="10">
        <v>1.0</v>
      </c>
      <c r="C54" s="32"/>
      <c r="D54" s="22"/>
      <c r="F54" s="23"/>
      <c r="H54" s="35" t="s">
        <v>64</v>
      </c>
      <c r="I54" s="36">
        <v>0.0</v>
      </c>
      <c r="J54" s="32"/>
      <c r="K54" s="11" t="s">
        <v>65</v>
      </c>
      <c r="L54" s="11">
        <v>18.02</v>
      </c>
      <c r="M54" s="32"/>
      <c r="O54" s="10" t="s">
        <v>35</v>
      </c>
      <c r="P54" s="24">
        <f>P49*P53+P48+P46</f>
        <v>150425.2463</v>
      </c>
      <c r="Q54" s="10" t="s">
        <v>25</v>
      </c>
      <c r="R54" s="22"/>
      <c r="T54" s="23"/>
      <c r="V54" s="4" t="s">
        <v>123</v>
      </c>
      <c r="W54" s="5"/>
      <c r="X54" s="5"/>
      <c r="Y54" s="5"/>
      <c r="Z54" s="5"/>
      <c r="AA54" s="6"/>
    </row>
    <row r="55" ht="15.75" customHeight="1">
      <c r="A55" s="10" t="s">
        <v>53</v>
      </c>
      <c r="B55" s="10">
        <v>1.0</v>
      </c>
      <c r="C55" s="14"/>
      <c r="D55" s="22"/>
      <c r="F55" s="23"/>
      <c r="H55" s="35" t="s">
        <v>66</v>
      </c>
      <c r="I55" s="36">
        <v>0.5190893907</v>
      </c>
      <c r="J55" s="32"/>
      <c r="K55" s="11" t="s">
        <v>67</v>
      </c>
      <c r="L55" s="11">
        <v>28.0</v>
      </c>
      <c r="M55" s="32"/>
      <c r="O55" s="10" t="s">
        <v>36</v>
      </c>
      <c r="P55" s="10">
        <v>4.16</v>
      </c>
      <c r="Q55" s="10" t="s">
        <v>37</v>
      </c>
      <c r="R55" s="22"/>
      <c r="T55" s="23"/>
      <c r="V55" s="8" t="s">
        <v>4</v>
      </c>
      <c r="W55" s="8" t="s">
        <v>5</v>
      </c>
      <c r="X55" s="8" t="s">
        <v>6</v>
      </c>
      <c r="Y55" s="8" t="s">
        <v>4</v>
      </c>
      <c r="Z55" s="8" t="s">
        <v>5</v>
      </c>
      <c r="AA55" s="8" t="s">
        <v>6</v>
      </c>
    </row>
    <row r="56" ht="15.75" customHeight="1">
      <c r="A56" s="26" t="s">
        <v>38</v>
      </c>
      <c r="B56" s="27">
        <f>B55*B54*B53*B51*B50</f>
        <v>79256.37721</v>
      </c>
      <c r="C56" s="26" t="s">
        <v>25</v>
      </c>
      <c r="D56" s="28"/>
      <c r="E56" s="29"/>
      <c r="F56" s="30"/>
      <c r="H56" s="35" t="s">
        <v>68</v>
      </c>
      <c r="I56" s="36">
        <v>0.4247095015</v>
      </c>
      <c r="J56" s="32"/>
      <c r="K56" s="11" t="s">
        <v>69</v>
      </c>
      <c r="L56" s="11">
        <v>74.08</v>
      </c>
      <c r="M56" s="32"/>
      <c r="O56" s="26" t="s">
        <v>38</v>
      </c>
      <c r="P56" s="27">
        <f>P54*P55</f>
        <v>625769.0245</v>
      </c>
      <c r="Q56" s="26" t="s">
        <v>25</v>
      </c>
      <c r="R56" s="28"/>
      <c r="S56" s="29"/>
      <c r="T56" s="30"/>
      <c r="V56" s="10" t="s">
        <v>41</v>
      </c>
      <c r="W56" s="11">
        <v>5.2</v>
      </c>
      <c r="X56" s="10" t="s">
        <v>42</v>
      </c>
      <c r="Y56" s="31"/>
      <c r="Z56" s="17"/>
      <c r="AA56" s="18"/>
    </row>
    <row r="57" ht="15.75" customHeight="1">
      <c r="A57" s="4" t="s">
        <v>70</v>
      </c>
      <c r="B57" s="5"/>
      <c r="C57" s="5"/>
      <c r="D57" s="5"/>
      <c r="E57" s="5"/>
      <c r="F57" s="6"/>
      <c r="H57" s="35" t="s">
        <v>71</v>
      </c>
      <c r="I57" s="36">
        <v>4.742708001E-4</v>
      </c>
      <c r="J57" s="32"/>
      <c r="K57" s="21" t="s">
        <v>72</v>
      </c>
      <c r="L57" s="37">
        <v>2.0</v>
      </c>
      <c r="M57" s="32"/>
      <c r="O57" s="4" t="s">
        <v>124</v>
      </c>
      <c r="P57" s="5"/>
      <c r="Q57" s="5"/>
      <c r="R57" s="5"/>
      <c r="S57" s="5"/>
      <c r="T57" s="6"/>
      <c r="V57" s="10" t="s">
        <v>41</v>
      </c>
      <c r="W57" s="24">
        <f>W56*3968320.722</f>
        <v>20635267.75</v>
      </c>
      <c r="X57" s="10" t="s">
        <v>43</v>
      </c>
      <c r="Y57" s="22"/>
      <c r="AA57" s="23"/>
    </row>
    <row r="58" ht="15.75" customHeight="1">
      <c r="A58" s="8" t="s">
        <v>4</v>
      </c>
      <c r="B58" s="8" t="s">
        <v>5</v>
      </c>
      <c r="C58" s="8" t="s">
        <v>6</v>
      </c>
      <c r="D58" s="8" t="s">
        <v>4</v>
      </c>
      <c r="E58" s="8" t="s">
        <v>5</v>
      </c>
      <c r="F58" s="8" t="s">
        <v>6</v>
      </c>
      <c r="H58" s="35" t="s">
        <v>73</v>
      </c>
      <c r="I58" s="36">
        <v>0.004268437201</v>
      </c>
      <c r="J58" s="14"/>
      <c r="K58" s="21" t="s">
        <v>74</v>
      </c>
      <c r="L58" s="37">
        <v>16.0</v>
      </c>
      <c r="M58" s="14"/>
      <c r="O58" s="8" t="s">
        <v>4</v>
      </c>
      <c r="P58" s="8" t="s">
        <v>5</v>
      </c>
      <c r="Q58" s="8" t="s">
        <v>6</v>
      </c>
      <c r="R58" s="8" t="s">
        <v>4</v>
      </c>
      <c r="S58" s="8" t="s">
        <v>5</v>
      </c>
      <c r="T58" s="8" t="s">
        <v>6</v>
      </c>
      <c r="V58" s="10" t="s">
        <v>44</v>
      </c>
      <c r="W58" s="10">
        <v>10000.0</v>
      </c>
      <c r="X58" s="10" t="s">
        <v>45</v>
      </c>
      <c r="Y58" s="22"/>
      <c r="AA58" s="23"/>
    </row>
    <row r="59" ht="15.75" customHeight="1">
      <c r="A59" s="10" t="s">
        <v>41</v>
      </c>
      <c r="B59" s="11">
        <v>1.62924</v>
      </c>
      <c r="C59" s="10" t="s">
        <v>42</v>
      </c>
      <c r="D59" s="33"/>
      <c r="E59" s="17"/>
      <c r="F59" s="18"/>
      <c r="H59" s="10" t="s">
        <v>57</v>
      </c>
      <c r="I59" s="10">
        <f>I51*1000*(I52*L52+I53*L53+I54*L54+I55*L55+I56*L56+I57*L57+I58*L58)/(I52*L59+I53*L60+I54*L61+I55*L62+I56*L63+I57*L64+I58*L65)</f>
        <v>126.1927233</v>
      </c>
      <c r="J59" s="10" t="s">
        <v>75</v>
      </c>
      <c r="K59" s="21" t="s">
        <v>76</v>
      </c>
      <c r="L59" s="38">
        <f>792*1000</f>
        <v>792000</v>
      </c>
      <c r="M59" s="39" t="s">
        <v>77</v>
      </c>
      <c r="O59" s="10" t="s">
        <v>7</v>
      </c>
      <c r="P59" s="11">
        <v>15.0</v>
      </c>
      <c r="Q59" s="10" t="s">
        <v>8</v>
      </c>
      <c r="R59" s="10" t="s">
        <v>7</v>
      </c>
      <c r="S59" s="10">
        <v>11.0</v>
      </c>
      <c r="T59" s="10" t="s">
        <v>8</v>
      </c>
      <c r="V59" s="10" t="s">
        <v>46</v>
      </c>
      <c r="W59" s="10">
        <f>W57/W58</f>
        <v>2063.526775</v>
      </c>
      <c r="X59" s="10" t="s">
        <v>47</v>
      </c>
      <c r="Y59" s="22"/>
      <c r="AA59" s="23"/>
    </row>
    <row r="60" ht="15.75" customHeight="1">
      <c r="A60" s="10" t="s">
        <v>41</v>
      </c>
      <c r="B60" s="24">
        <f>B59*3968320.722</f>
        <v>6465346.853</v>
      </c>
      <c r="C60" s="10" t="s">
        <v>43</v>
      </c>
      <c r="D60" s="22"/>
      <c r="F60" s="23"/>
      <c r="H60" s="10" t="s">
        <v>78</v>
      </c>
      <c r="I60" s="10">
        <f>I59/60*5*2</f>
        <v>21.03212054</v>
      </c>
      <c r="J60" s="10" t="s">
        <v>79</v>
      </c>
      <c r="K60" s="21" t="s">
        <v>80</v>
      </c>
      <c r="L60" s="40">
        <v>2110.0</v>
      </c>
      <c r="M60" s="32"/>
      <c r="O60" s="10" t="s">
        <v>9</v>
      </c>
      <c r="P60" s="10">
        <v>0.25</v>
      </c>
      <c r="Q60" s="13" t="s">
        <v>10</v>
      </c>
      <c r="R60" s="10" t="s">
        <v>11</v>
      </c>
      <c r="S60" s="10">
        <v>1.36</v>
      </c>
      <c r="T60" s="10" t="s">
        <v>12</v>
      </c>
      <c r="V60" s="10" t="s">
        <v>48</v>
      </c>
      <c r="W60" s="24">
        <f>EXP(11.4185-0.9228*LN(W59)+0.09861*(LN(W59))^2)</f>
        <v>24824.06815</v>
      </c>
      <c r="X60" s="10" t="s">
        <v>25</v>
      </c>
      <c r="Y60" s="22"/>
      <c r="AA60" s="23"/>
    </row>
    <row r="61" ht="15.75" customHeight="1">
      <c r="A61" s="10" t="s">
        <v>44</v>
      </c>
      <c r="B61" s="10">
        <v>10000.0</v>
      </c>
      <c r="C61" s="10" t="s">
        <v>45</v>
      </c>
      <c r="D61" s="22"/>
      <c r="F61" s="23"/>
      <c r="H61" s="10" t="s">
        <v>81</v>
      </c>
      <c r="I61" s="10">
        <f>(4*I60/2.5/PI())^(1/3)</f>
        <v>2.204369486</v>
      </c>
      <c r="J61" s="10" t="s">
        <v>12</v>
      </c>
      <c r="K61" s="21" t="s">
        <v>82</v>
      </c>
      <c r="L61" s="40">
        <v>997000.0</v>
      </c>
      <c r="M61" s="32"/>
      <c r="O61" s="10" t="s">
        <v>13</v>
      </c>
      <c r="P61" s="10">
        <f>2.25/1.0414^P59</f>
        <v>1.224387587</v>
      </c>
      <c r="Q61" s="14"/>
      <c r="R61" s="10" t="s">
        <v>14</v>
      </c>
      <c r="S61" s="10">
        <f>S59*2+15</f>
        <v>37</v>
      </c>
      <c r="T61" s="10" t="s">
        <v>15</v>
      </c>
      <c r="V61" s="10" t="s">
        <v>36</v>
      </c>
      <c r="W61" s="10">
        <v>2.15</v>
      </c>
      <c r="X61" s="10" t="s">
        <v>49</v>
      </c>
      <c r="Y61" s="22"/>
      <c r="AA61" s="23"/>
    </row>
    <row r="62" ht="15.75" customHeight="1">
      <c r="A62" s="10" t="s">
        <v>46</v>
      </c>
      <c r="B62" s="10">
        <f>B60/B61</f>
        <v>646.5346853</v>
      </c>
      <c r="C62" s="10" t="s">
        <v>47</v>
      </c>
      <c r="D62" s="22"/>
      <c r="F62" s="23"/>
      <c r="H62" s="10" t="s">
        <v>83</v>
      </c>
      <c r="I62" s="10">
        <f>3.28*I61</f>
        <v>7.230331915</v>
      </c>
      <c r="J62" s="10" t="s">
        <v>15</v>
      </c>
      <c r="K62" s="11" t="s">
        <v>84</v>
      </c>
      <c r="L62" s="41">
        <v>1140.0</v>
      </c>
      <c r="M62" s="32"/>
      <c r="O62" s="10" t="s">
        <v>16</v>
      </c>
      <c r="P62" s="10">
        <v>1.0</v>
      </c>
      <c r="Q62" s="10" t="s">
        <v>17</v>
      </c>
      <c r="R62" s="10" t="s">
        <v>18</v>
      </c>
      <c r="S62" s="11">
        <v>450.0</v>
      </c>
      <c r="T62" s="10" t="s">
        <v>19</v>
      </c>
      <c r="V62" s="10" t="s">
        <v>50</v>
      </c>
      <c r="W62" s="10">
        <f>25*14.5038</f>
        <v>362.595</v>
      </c>
      <c r="X62" s="10" t="s">
        <v>51</v>
      </c>
      <c r="Y62" s="22"/>
      <c r="AA62" s="23"/>
    </row>
    <row r="63" ht="15.75" customHeight="1">
      <c r="A63" s="10" t="s">
        <v>48</v>
      </c>
      <c r="B63" s="24">
        <f>EXP(11.4185-0.9228*LN(B62)+0.09861*(LN(B62))^2)</f>
        <v>14421.30974</v>
      </c>
      <c r="C63" s="10" t="s">
        <v>25</v>
      </c>
      <c r="D63" s="22"/>
      <c r="F63" s="23"/>
      <c r="H63" s="10" t="s">
        <v>85</v>
      </c>
      <c r="I63" s="10">
        <f>I62*2.5</f>
        <v>18.07582979</v>
      </c>
      <c r="J63" s="10" t="s">
        <v>15</v>
      </c>
      <c r="K63" s="21" t="s">
        <v>86</v>
      </c>
      <c r="L63" s="40">
        <v>932000.0</v>
      </c>
      <c r="M63" s="32"/>
      <c r="O63" s="15" t="s">
        <v>20</v>
      </c>
      <c r="P63" s="15">
        <v>1.0</v>
      </c>
      <c r="Q63" s="15" t="s">
        <v>21</v>
      </c>
      <c r="R63" s="16" t="s">
        <v>22</v>
      </c>
      <c r="S63" s="17"/>
      <c r="T63" s="18"/>
      <c r="V63" s="10" t="s">
        <v>52</v>
      </c>
      <c r="W63" s="10">
        <f>0.9803+0.018*(W62/100)+0.0017*(W62/100)^2</f>
        <v>1.067917873</v>
      </c>
      <c r="X63" s="13" t="s">
        <v>10</v>
      </c>
      <c r="Y63" s="22"/>
      <c r="AA63" s="23"/>
    </row>
    <row r="64" ht="15.75" customHeight="1">
      <c r="A64" s="10" t="s">
        <v>36</v>
      </c>
      <c r="B64" s="10">
        <v>2.15</v>
      </c>
      <c r="C64" s="10" t="s">
        <v>49</v>
      </c>
      <c r="D64" s="22"/>
      <c r="F64" s="23"/>
      <c r="H64" s="10" t="s">
        <v>27</v>
      </c>
      <c r="I64" s="24">
        <f>341*I62^(0.63316)*I63^(0.80161)</f>
        <v>12146.2308</v>
      </c>
      <c r="J64" s="10" t="s">
        <v>25</v>
      </c>
      <c r="K64" s="21" t="s">
        <v>87</v>
      </c>
      <c r="L64" s="42">
        <v>83.75</v>
      </c>
      <c r="M64" s="32"/>
      <c r="O64" s="20" t="s">
        <v>18</v>
      </c>
      <c r="P64" s="21">
        <v>480.0</v>
      </c>
      <c r="Q64" s="20" t="s">
        <v>19</v>
      </c>
      <c r="R64" s="22"/>
      <c r="T64" s="23"/>
      <c r="V64" s="10" t="s">
        <v>28</v>
      </c>
      <c r="W64" s="10">
        <v>1.0</v>
      </c>
      <c r="X64" s="32"/>
      <c r="Y64" s="22"/>
      <c r="AA64" s="23"/>
    </row>
    <row r="65" ht="15.75" customHeight="1">
      <c r="A65" s="10" t="s">
        <v>50</v>
      </c>
      <c r="B65" s="10">
        <f>1*14.5038</f>
        <v>14.5038</v>
      </c>
      <c r="C65" s="10" t="s">
        <v>51</v>
      </c>
      <c r="D65" s="22"/>
      <c r="F65" s="23"/>
      <c r="H65" s="10" t="s">
        <v>29</v>
      </c>
      <c r="I65" s="10">
        <v>490.0</v>
      </c>
      <c r="J65" s="10" t="s">
        <v>30</v>
      </c>
      <c r="K65" s="21" t="s">
        <v>88</v>
      </c>
      <c r="L65" s="42">
        <v>657.0</v>
      </c>
      <c r="M65" s="14"/>
      <c r="O65" s="10" t="s">
        <v>23</v>
      </c>
      <c r="P65" s="10">
        <f>S60*P64/S62*3.28</f>
        <v>4.758186667</v>
      </c>
      <c r="Q65" s="10" t="s">
        <v>15</v>
      </c>
      <c r="R65" s="22"/>
      <c r="T65" s="23"/>
      <c r="V65" s="10" t="s">
        <v>53</v>
      </c>
      <c r="W65" s="10">
        <v>1.0</v>
      </c>
      <c r="X65" s="14"/>
      <c r="Y65" s="22"/>
      <c r="AA65" s="23"/>
    </row>
    <row r="66" ht="15.75" customHeight="1">
      <c r="A66" s="10" t="s">
        <v>52</v>
      </c>
      <c r="B66" s="10">
        <f>0.9803+0.018*(B65/100)+0.0017*(B65/100)^2</f>
        <v>0.9829464452</v>
      </c>
      <c r="C66" s="13" t="s">
        <v>10</v>
      </c>
      <c r="D66" s="22"/>
      <c r="F66" s="23"/>
      <c r="H66" s="10" t="s">
        <v>31</v>
      </c>
      <c r="I66" s="10">
        <v>0.014</v>
      </c>
      <c r="J66" s="10" t="s">
        <v>15</v>
      </c>
      <c r="K66" s="43"/>
      <c r="M66" s="23"/>
      <c r="O66" s="10" t="s">
        <v>24</v>
      </c>
      <c r="P66" s="24">
        <f>468*EXP(0.1482*P65)</f>
        <v>947.3148983</v>
      </c>
      <c r="Q66" s="10" t="s">
        <v>25</v>
      </c>
      <c r="R66" s="22"/>
      <c r="T66" s="23"/>
      <c r="V66" s="26" t="s">
        <v>38</v>
      </c>
      <c r="W66" s="27">
        <f>W65*W64*W63*W61*W60</f>
        <v>56996.64201</v>
      </c>
      <c r="X66" s="26" t="s">
        <v>25</v>
      </c>
      <c r="Y66" s="28"/>
      <c r="Z66" s="29"/>
      <c r="AA66" s="30"/>
    </row>
    <row r="67" ht="15.75" customHeight="1">
      <c r="A67" s="10" t="s">
        <v>28</v>
      </c>
      <c r="B67" s="10">
        <v>1.0</v>
      </c>
      <c r="C67" s="32"/>
      <c r="D67" s="22"/>
      <c r="F67" s="23"/>
      <c r="H67" s="10" t="s">
        <v>32</v>
      </c>
      <c r="I67" s="10">
        <f>I65*I66*PI()*(I62+I66)*(I63+0.8*I62)</f>
        <v>3725.156329</v>
      </c>
      <c r="J67" s="10" t="s">
        <v>33</v>
      </c>
      <c r="M67" s="23"/>
      <c r="O67" s="10" t="s">
        <v>26</v>
      </c>
      <c r="P67" s="24">
        <f>P59*P61*P62*P63*P66</f>
        <v>17398.20904</v>
      </c>
      <c r="Q67" s="10" t="s">
        <v>25</v>
      </c>
      <c r="R67" s="22"/>
      <c r="T67" s="23"/>
      <c r="V67" s="4" t="s">
        <v>125</v>
      </c>
      <c r="W67" s="5"/>
      <c r="X67" s="5"/>
      <c r="Y67" s="5"/>
      <c r="Z67" s="5"/>
      <c r="AA67" s="6"/>
    </row>
    <row r="68" ht="15.75" customHeight="1">
      <c r="A68" s="10" t="s">
        <v>53</v>
      </c>
      <c r="B68" s="10">
        <v>1.0</v>
      </c>
      <c r="C68" s="14"/>
      <c r="D68" s="22"/>
      <c r="F68" s="23"/>
      <c r="H68" s="10" t="s">
        <v>34</v>
      </c>
      <c r="I68" s="24">
        <f>EXP(5.6336+0.4599*LN(I67)+0.00582*(LN(I67))^2)</f>
        <v>18193.45828</v>
      </c>
      <c r="J68" s="10" t="s">
        <v>25</v>
      </c>
      <c r="M68" s="23"/>
      <c r="O68" s="10" t="s">
        <v>14</v>
      </c>
      <c r="P68" s="10">
        <f>P59*2+15</f>
        <v>45</v>
      </c>
      <c r="Q68" s="10" t="s">
        <v>15</v>
      </c>
      <c r="R68" s="22"/>
      <c r="T68" s="23"/>
      <c r="V68" s="8" t="s">
        <v>4</v>
      </c>
      <c r="W68" s="8" t="s">
        <v>5</v>
      </c>
      <c r="X68" s="8" t="s">
        <v>6</v>
      </c>
      <c r="Y68" s="8" t="s">
        <v>4</v>
      </c>
      <c r="Z68" s="8" t="s">
        <v>5</v>
      </c>
      <c r="AA68" s="8" t="s">
        <v>6</v>
      </c>
    </row>
    <row r="69" ht="15.75" customHeight="1">
      <c r="A69" s="26" t="s">
        <v>38</v>
      </c>
      <c r="B69" s="27">
        <f>B68*B67*B66*B64*B63</f>
        <v>30477.05655</v>
      </c>
      <c r="C69" s="26" t="s">
        <v>25</v>
      </c>
      <c r="D69" s="28"/>
      <c r="E69" s="29"/>
      <c r="F69" s="30"/>
      <c r="H69" s="10" t="s">
        <v>35</v>
      </c>
      <c r="I69" s="24">
        <f>I68+I64</f>
        <v>30339.68908</v>
      </c>
      <c r="J69" s="10" t="s">
        <v>25</v>
      </c>
      <c r="M69" s="23"/>
      <c r="O69" s="10" t="s">
        <v>27</v>
      </c>
      <c r="P69" s="24">
        <f>341*(P65^0.63316)*(P68^0.80161)</f>
        <v>19360.4259</v>
      </c>
      <c r="Q69" s="10" t="s">
        <v>25</v>
      </c>
      <c r="R69" s="22"/>
      <c r="T69" s="23"/>
      <c r="V69" s="10" t="s">
        <v>41</v>
      </c>
      <c r="W69" s="11">
        <v>3.51</v>
      </c>
      <c r="X69" s="10" t="s">
        <v>42</v>
      </c>
      <c r="Y69" s="31"/>
      <c r="Z69" s="17"/>
      <c r="AA69" s="18"/>
    </row>
    <row r="70" ht="15.75" customHeight="1">
      <c r="A70" s="4" t="s">
        <v>89</v>
      </c>
      <c r="B70" s="5"/>
      <c r="C70" s="5"/>
      <c r="D70" s="5"/>
      <c r="E70" s="5"/>
      <c r="F70" s="6"/>
      <c r="H70" s="10" t="s">
        <v>36</v>
      </c>
      <c r="I70" s="10">
        <v>4.16</v>
      </c>
      <c r="J70" s="10" t="s">
        <v>37</v>
      </c>
      <c r="M70" s="23"/>
      <c r="O70" s="10" t="s">
        <v>28</v>
      </c>
      <c r="P70" s="10">
        <v>1.0</v>
      </c>
      <c r="Q70" s="15" t="s">
        <v>21</v>
      </c>
      <c r="R70" s="22"/>
      <c r="T70" s="23"/>
      <c r="V70" s="10" t="s">
        <v>41</v>
      </c>
      <c r="W70" s="24">
        <f>ABS(W69*3968320.722)</f>
        <v>13928805.73</v>
      </c>
      <c r="X70" s="10" t="s">
        <v>43</v>
      </c>
      <c r="Y70" s="22"/>
      <c r="AA70" s="23"/>
    </row>
    <row r="71" ht="15.75" customHeight="1">
      <c r="A71" s="8" t="s">
        <v>4</v>
      </c>
      <c r="B71" s="8" t="s">
        <v>5</v>
      </c>
      <c r="C71" s="8" t="s">
        <v>6</v>
      </c>
      <c r="D71" s="8" t="s">
        <v>4</v>
      </c>
      <c r="E71" s="8" t="s">
        <v>5</v>
      </c>
      <c r="F71" s="8" t="s">
        <v>6</v>
      </c>
      <c r="H71" s="26" t="s">
        <v>38</v>
      </c>
      <c r="I71" s="27">
        <f>I70*I69</f>
        <v>126213.1066</v>
      </c>
      <c r="J71" s="26" t="s">
        <v>25</v>
      </c>
      <c r="K71" s="29"/>
      <c r="L71" s="29"/>
      <c r="M71" s="30"/>
      <c r="O71" s="10" t="s">
        <v>29</v>
      </c>
      <c r="P71" s="10">
        <v>490.0</v>
      </c>
      <c r="Q71" s="10" t="s">
        <v>30</v>
      </c>
      <c r="R71" s="22"/>
      <c r="T71" s="23"/>
      <c r="V71" s="10" t="s">
        <v>44</v>
      </c>
      <c r="W71" s="10">
        <v>10000.0</v>
      </c>
      <c r="X71" s="10" t="s">
        <v>45</v>
      </c>
      <c r="Y71" s="22"/>
      <c r="AA71" s="23"/>
    </row>
    <row r="72" ht="15.75" customHeight="1">
      <c r="A72" s="10" t="s">
        <v>41</v>
      </c>
      <c r="B72" s="11">
        <v>-11.7119</v>
      </c>
      <c r="C72" s="10" t="s">
        <v>42</v>
      </c>
      <c r="D72" s="33"/>
      <c r="E72" s="17"/>
      <c r="F72" s="18"/>
      <c r="H72" s="4" t="s">
        <v>90</v>
      </c>
      <c r="I72" s="5"/>
      <c r="J72" s="5"/>
      <c r="K72" s="5"/>
      <c r="L72" s="5"/>
      <c r="M72" s="6"/>
      <c r="O72" s="10" t="s">
        <v>31</v>
      </c>
      <c r="P72" s="25">
        <v>0.1043</v>
      </c>
      <c r="Q72" s="10" t="s">
        <v>15</v>
      </c>
      <c r="R72" s="22"/>
      <c r="T72" s="23"/>
      <c r="V72" s="10" t="s">
        <v>46</v>
      </c>
      <c r="W72" s="10">
        <f>W70/W71</f>
        <v>1392.880573</v>
      </c>
      <c r="X72" s="10" t="s">
        <v>47</v>
      </c>
      <c r="Y72" s="22"/>
      <c r="AA72" s="23"/>
    </row>
    <row r="73" ht="15.75" customHeight="1">
      <c r="A73" s="10" t="s">
        <v>41</v>
      </c>
      <c r="B73" s="24">
        <f>ABS(B72*3968320.722)</f>
        <v>46476575.46</v>
      </c>
      <c r="C73" s="10" t="s">
        <v>43</v>
      </c>
      <c r="D73" s="22"/>
      <c r="F73" s="23"/>
      <c r="H73" s="11" t="s">
        <v>91</v>
      </c>
      <c r="I73" s="11">
        <v>0.906875</v>
      </c>
      <c r="J73" s="11" t="s">
        <v>42</v>
      </c>
      <c r="K73" s="31"/>
      <c r="L73" s="17"/>
      <c r="M73" s="18"/>
      <c r="O73" s="10" t="s">
        <v>32</v>
      </c>
      <c r="P73" s="10">
        <f>P71*P72*PI()*(P65+P72)*(P68+0.8*P65)</f>
        <v>38103.66834</v>
      </c>
      <c r="Q73" s="10" t="s">
        <v>33</v>
      </c>
      <c r="R73" s="22"/>
      <c r="T73" s="23"/>
      <c r="V73" s="10" t="s">
        <v>48</v>
      </c>
      <c r="W73" s="10">
        <f>EXP(11.4185-0.9228*LN(W72)+0.09861*(LN(W72))^2)</f>
        <v>20048.06285</v>
      </c>
      <c r="X73" s="10" t="s">
        <v>25</v>
      </c>
      <c r="Y73" s="22"/>
      <c r="AA73" s="23"/>
    </row>
    <row r="74" ht="15.75" customHeight="1">
      <c r="A74" s="10" t="s">
        <v>44</v>
      </c>
      <c r="B74" s="10">
        <v>10000.0</v>
      </c>
      <c r="C74" s="10" t="s">
        <v>45</v>
      </c>
      <c r="D74" s="22"/>
      <c r="F74" s="23"/>
      <c r="H74" s="11" t="s">
        <v>91</v>
      </c>
      <c r="I74" s="44">
        <f>ABS(I73*3968320.722)</f>
        <v>3598770.855</v>
      </c>
      <c r="J74" s="11" t="s">
        <v>43</v>
      </c>
      <c r="K74" s="22"/>
      <c r="M74" s="23"/>
      <c r="O74" s="10" t="s">
        <v>34</v>
      </c>
      <c r="P74" s="24">
        <f>EXP(7.139+0.18255*LN(P73)+0.02297*(LN(P73))^2)</f>
        <v>111327.3796</v>
      </c>
      <c r="Q74" s="10" t="s">
        <v>25</v>
      </c>
      <c r="R74" s="22"/>
      <c r="T74" s="23"/>
      <c r="V74" s="10" t="s">
        <v>36</v>
      </c>
      <c r="W74" s="10">
        <v>2.15</v>
      </c>
      <c r="X74" s="10" t="s">
        <v>49</v>
      </c>
      <c r="Y74" s="22"/>
      <c r="AA74" s="23"/>
    </row>
    <row r="75" ht="15.75" customHeight="1">
      <c r="A75" s="10" t="s">
        <v>46</v>
      </c>
      <c r="B75" s="10">
        <f>B73/B74</f>
        <v>4647.657546</v>
      </c>
      <c r="C75" s="10" t="s">
        <v>47</v>
      </c>
      <c r="D75" s="22"/>
      <c r="F75" s="23"/>
      <c r="H75" s="11" t="s">
        <v>48</v>
      </c>
      <c r="I75" s="10">
        <f>exp(-0.15241+0.785*ln(I74))</f>
        <v>120334.5175</v>
      </c>
      <c r="J75" s="10"/>
      <c r="K75" s="22"/>
      <c r="M75" s="23"/>
      <c r="O75" s="10" t="s">
        <v>35</v>
      </c>
      <c r="P75" s="24">
        <f>P70*P74+P69+P67</f>
        <v>148086.0146</v>
      </c>
      <c r="Q75" s="10" t="s">
        <v>25</v>
      </c>
      <c r="R75" s="22"/>
      <c r="T75" s="23"/>
      <c r="V75" s="10" t="s">
        <v>50</v>
      </c>
      <c r="W75" s="10">
        <f>25*14.5038</f>
        <v>362.595</v>
      </c>
      <c r="X75" s="10" t="s">
        <v>51</v>
      </c>
      <c r="Y75" s="22"/>
      <c r="AA75" s="23"/>
    </row>
    <row r="76" ht="15.75" customHeight="1">
      <c r="A76" s="10" t="s">
        <v>48</v>
      </c>
      <c r="B76" s="10">
        <f>EXP(11.4185-0.9228*LN(B75)+0.09861*(LN(B75))^2)</f>
        <v>42508.94908</v>
      </c>
      <c r="C76" s="10" t="s">
        <v>25</v>
      </c>
      <c r="D76" s="22"/>
      <c r="F76" s="23"/>
      <c r="H76" s="11" t="s">
        <v>28</v>
      </c>
      <c r="I76" s="11">
        <v>1.4</v>
      </c>
      <c r="J76" s="11" t="s">
        <v>92</v>
      </c>
      <c r="K76" s="22"/>
      <c r="M76" s="23"/>
      <c r="O76" s="10" t="s">
        <v>36</v>
      </c>
      <c r="P76" s="10">
        <v>4.16</v>
      </c>
      <c r="Q76" s="10" t="s">
        <v>37</v>
      </c>
      <c r="R76" s="22"/>
      <c r="T76" s="23"/>
      <c r="V76" s="10" t="s">
        <v>52</v>
      </c>
      <c r="W76" s="10">
        <f>0.9803+0.018*(W75/100)+0.0017*(W75/100)^2</f>
        <v>1.067917873</v>
      </c>
      <c r="X76" s="13" t="s">
        <v>10</v>
      </c>
      <c r="Y76" s="22"/>
      <c r="AA76" s="23"/>
    </row>
    <row r="77" ht="15.75" customHeight="1">
      <c r="A77" s="10" t="s">
        <v>36</v>
      </c>
      <c r="B77" s="10">
        <v>2.15</v>
      </c>
      <c r="C77" s="10" t="s">
        <v>49</v>
      </c>
      <c r="D77" s="22"/>
      <c r="F77" s="23"/>
      <c r="H77" s="11" t="s">
        <v>50</v>
      </c>
      <c r="I77" s="11">
        <f>15*14.5038</f>
        <v>217.557</v>
      </c>
      <c r="J77" s="11" t="s">
        <v>93</v>
      </c>
      <c r="K77" s="22"/>
      <c r="M77" s="23"/>
      <c r="O77" s="26" t="s">
        <v>38</v>
      </c>
      <c r="P77" s="27">
        <f>P75*P76</f>
        <v>616037.8206</v>
      </c>
      <c r="Q77" s="26" t="s">
        <v>25</v>
      </c>
      <c r="R77" s="28"/>
      <c r="S77" s="29"/>
      <c r="T77" s="30"/>
      <c r="V77" s="10" t="s">
        <v>28</v>
      </c>
      <c r="W77" s="10">
        <v>1.0</v>
      </c>
      <c r="X77" s="32"/>
      <c r="Y77" s="22"/>
      <c r="AA77" s="23"/>
    </row>
    <row r="78" ht="15.75" customHeight="1">
      <c r="A78" s="10" t="s">
        <v>50</v>
      </c>
      <c r="B78" s="10">
        <f>1.75*14.5038</f>
        <v>25.38165</v>
      </c>
      <c r="C78" s="10" t="s">
        <v>51</v>
      </c>
      <c r="D78" s="22"/>
      <c r="F78" s="23"/>
      <c r="H78" s="11" t="s">
        <v>52</v>
      </c>
      <c r="I78" s="10">
        <f>0.986-0.0035*I77/500+0.0175*(I77/500)^2</f>
        <v>0.9877902744</v>
      </c>
      <c r="J78" s="10" t="s">
        <v>94</v>
      </c>
      <c r="K78" s="22"/>
      <c r="M78" s="23"/>
      <c r="O78" s="4" t="s">
        <v>126</v>
      </c>
      <c r="P78" s="5"/>
      <c r="Q78" s="5"/>
      <c r="R78" s="5"/>
      <c r="S78" s="5"/>
      <c r="T78" s="6"/>
      <c r="V78" s="10" t="s">
        <v>53</v>
      </c>
      <c r="W78" s="10">
        <v>1.0</v>
      </c>
      <c r="X78" s="14"/>
      <c r="Y78" s="22"/>
      <c r="AA78" s="23"/>
    </row>
    <row r="79" ht="15.75" customHeight="1">
      <c r="A79" s="10" t="s">
        <v>52</v>
      </c>
      <c r="B79" s="10">
        <f>0.9803+0.018*(B78/100)+0.0017*(B78/100)^2</f>
        <v>0.9849782158</v>
      </c>
      <c r="C79" s="13" t="s">
        <v>10</v>
      </c>
      <c r="D79" s="22"/>
      <c r="F79" s="23"/>
      <c r="H79" s="11" t="s">
        <v>35</v>
      </c>
      <c r="I79" s="10">
        <f>I78*I76*I75</f>
        <v>166411.3724</v>
      </c>
      <c r="J79" s="10" t="s">
        <v>25</v>
      </c>
      <c r="K79" s="22"/>
      <c r="M79" s="23"/>
      <c r="O79" s="8" t="s">
        <v>4</v>
      </c>
      <c r="P79" s="8" t="s">
        <v>5</v>
      </c>
      <c r="Q79" s="8" t="s">
        <v>6</v>
      </c>
      <c r="R79" s="8" t="s">
        <v>4</v>
      </c>
      <c r="S79" s="8" t="s">
        <v>5</v>
      </c>
      <c r="T79" s="8" t="s">
        <v>6</v>
      </c>
      <c r="V79" s="26" t="s">
        <v>38</v>
      </c>
      <c r="W79" s="27">
        <f>W78*W77*W76*W74*W73</f>
        <v>46030.82195</v>
      </c>
      <c r="X79" s="26" t="s">
        <v>25</v>
      </c>
      <c r="Y79" s="28"/>
      <c r="Z79" s="29"/>
      <c r="AA79" s="30"/>
    </row>
    <row r="80" ht="15.75" customHeight="1">
      <c r="A80" s="10" t="s">
        <v>28</v>
      </c>
      <c r="B80" s="10">
        <v>1.0</v>
      </c>
      <c r="C80" s="32"/>
      <c r="D80" s="22"/>
      <c r="F80" s="23"/>
      <c r="H80" s="11" t="s">
        <v>36</v>
      </c>
      <c r="I80" s="11">
        <v>1.86</v>
      </c>
      <c r="J80" s="11" t="s">
        <v>95</v>
      </c>
      <c r="K80" s="22"/>
      <c r="M80" s="23"/>
      <c r="O80" s="10" t="s">
        <v>7</v>
      </c>
      <c r="P80" s="11">
        <v>15.0</v>
      </c>
      <c r="Q80" s="10" t="s">
        <v>8</v>
      </c>
      <c r="R80" s="10" t="s">
        <v>7</v>
      </c>
      <c r="S80" s="10">
        <v>11.0</v>
      </c>
      <c r="T80" s="10" t="s">
        <v>8</v>
      </c>
      <c r="V80" s="4" t="s">
        <v>127</v>
      </c>
      <c r="W80" s="5"/>
      <c r="X80" s="5"/>
      <c r="Y80" s="5"/>
      <c r="Z80" s="5"/>
      <c r="AA80" s="6"/>
    </row>
    <row r="81" ht="15.75" customHeight="1">
      <c r="A81" s="10" t="s">
        <v>53</v>
      </c>
      <c r="B81" s="10">
        <v>1.0</v>
      </c>
      <c r="C81" s="14"/>
      <c r="D81" s="22"/>
      <c r="F81" s="23"/>
      <c r="H81" s="26" t="s">
        <v>38</v>
      </c>
      <c r="I81" s="27">
        <f>I80*I79</f>
        <v>309525.1527</v>
      </c>
      <c r="J81" s="26" t="s">
        <v>25</v>
      </c>
      <c r="K81" s="28"/>
      <c r="L81" s="29"/>
      <c r="M81" s="30"/>
      <c r="O81" s="10" t="s">
        <v>9</v>
      </c>
      <c r="P81" s="10">
        <v>0.25</v>
      </c>
      <c r="Q81" s="13" t="s">
        <v>10</v>
      </c>
      <c r="R81" s="10" t="s">
        <v>11</v>
      </c>
      <c r="S81" s="10">
        <v>1.36</v>
      </c>
      <c r="T81" s="10" t="s">
        <v>12</v>
      </c>
      <c r="V81" s="8" t="s">
        <v>4</v>
      </c>
      <c r="W81" s="8" t="s">
        <v>5</v>
      </c>
      <c r="X81" s="8" t="s">
        <v>6</v>
      </c>
      <c r="Y81" s="8" t="s">
        <v>4</v>
      </c>
      <c r="Z81" s="8" t="s">
        <v>5</v>
      </c>
      <c r="AA81" s="8" t="s">
        <v>6</v>
      </c>
    </row>
    <row r="82" ht="15.75" customHeight="1">
      <c r="A82" s="26" t="s">
        <v>38</v>
      </c>
      <c r="B82" s="27">
        <f>B81*B80*B79*B77*B76</f>
        <v>90021.33597</v>
      </c>
      <c r="C82" s="26" t="s">
        <v>25</v>
      </c>
      <c r="D82" s="28"/>
      <c r="E82" s="29"/>
      <c r="F82" s="30"/>
      <c r="H82" s="4" t="s">
        <v>96</v>
      </c>
      <c r="I82" s="5"/>
      <c r="J82" s="5"/>
      <c r="K82" s="5"/>
      <c r="L82" s="5"/>
      <c r="M82" s="6"/>
      <c r="O82" s="10" t="s">
        <v>13</v>
      </c>
      <c r="P82" s="10">
        <f>2.25/1.0414^P80</f>
        <v>1.224387587</v>
      </c>
      <c r="Q82" s="14"/>
      <c r="R82" s="10" t="s">
        <v>14</v>
      </c>
      <c r="S82" s="10">
        <f>S80*2+15</f>
        <v>37</v>
      </c>
      <c r="T82" s="10" t="s">
        <v>15</v>
      </c>
      <c r="V82" s="10" t="s">
        <v>41</v>
      </c>
      <c r="W82" s="11">
        <v>5.1</v>
      </c>
      <c r="X82" s="10" t="s">
        <v>42</v>
      </c>
      <c r="Y82" s="31"/>
      <c r="Z82" s="17"/>
      <c r="AA82" s="18"/>
    </row>
    <row r="83" ht="15.75" customHeight="1">
      <c r="A83" s="4" t="s">
        <v>97</v>
      </c>
      <c r="B83" s="5"/>
      <c r="C83" s="5"/>
      <c r="D83" s="5"/>
      <c r="E83" s="5"/>
      <c r="F83" s="6"/>
      <c r="H83" s="11" t="s">
        <v>98</v>
      </c>
      <c r="I83" s="11">
        <v>1.25</v>
      </c>
      <c r="J83" s="11" t="s">
        <v>99</v>
      </c>
      <c r="K83" s="31"/>
      <c r="L83" s="17"/>
      <c r="M83" s="18"/>
      <c r="O83" s="10" t="s">
        <v>16</v>
      </c>
      <c r="P83" s="10">
        <v>1.0</v>
      </c>
      <c r="Q83" s="10" t="s">
        <v>17</v>
      </c>
      <c r="R83" s="10" t="s">
        <v>18</v>
      </c>
      <c r="S83" s="11">
        <v>350.0</v>
      </c>
      <c r="T83" s="10" t="s">
        <v>19</v>
      </c>
      <c r="V83" s="10" t="s">
        <v>41</v>
      </c>
      <c r="W83" s="24">
        <f>W82*3968320.722</f>
        <v>20238435.68</v>
      </c>
      <c r="X83" s="10" t="s">
        <v>43</v>
      </c>
      <c r="Y83" s="22"/>
      <c r="AA83" s="23"/>
    </row>
    <row r="84" ht="15.75" customHeight="1">
      <c r="A84" s="8" t="s">
        <v>4</v>
      </c>
      <c r="B84" s="8" t="s">
        <v>5</v>
      </c>
      <c r="C84" s="8" t="s">
        <v>6</v>
      </c>
      <c r="D84" s="8" t="s">
        <v>4</v>
      </c>
      <c r="E84" s="8" t="s">
        <v>5</v>
      </c>
      <c r="F84" s="8" t="s">
        <v>6</v>
      </c>
      <c r="H84" s="11" t="s">
        <v>28</v>
      </c>
      <c r="I84" s="45">
        <v>2.5</v>
      </c>
      <c r="J84" s="11" t="s">
        <v>100</v>
      </c>
      <c r="K84" s="22"/>
      <c r="M84" s="23"/>
      <c r="O84" s="15" t="s">
        <v>20</v>
      </c>
      <c r="P84" s="15">
        <v>1.0</v>
      </c>
      <c r="Q84" s="15" t="s">
        <v>21</v>
      </c>
      <c r="R84" s="16" t="s">
        <v>22</v>
      </c>
      <c r="S84" s="17"/>
      <c r="T84" s="18"/>
      <c r="V84" s="10" t="s">
        <v>44</v>
      </c>
      <c r="W84" s="10">
        <v>10000.0</v>
      </c>
      <c r="X84" s="10" t="s">
        <v>45</v>
      </c>
      <c r="Y84" s="22"/>
      <c r="AA84" s="23"/>
    </row>
    <row r="85" ht="15.75" customHeight="1">
      <c r="A85" s="10" t="s">
        <v>41</v>
      </c>
      <c r="B85" s="11">
        <v>-1.46451</v>
      </c>
      <c r="C85" s="10" t="s">
        <v>42</v>
      </c>
      <c r="D85" s="33"/>
      <c r="E85" s="17"/>
      <c r="F85" s="18"/>
      <c r="H85" s="11" t="s">
        <v>101</v>
      </c>
      <c r="I85" s="11">
        <v>600.0</v>
      </c>
      <c r="J85" s="11" t="s">
        <v>102</v>
      </c>
      <c r="K85" s="22"/>
      <c r="M85" s="23"/>
      <c r="O85" s="20" t="s">
        <v>18</v>
      </c>
      <c r="P85" s="21">
        <v>388.8</v>
      </c>
      <c r="Q85" s="20" t="s">
        <v>19</v>
      </c>
      <c r="R85" s="22"/>
      <c r="T85" s="23"/>
      <c r="V85" s="10" t="s">
        <v>46</v>
      </c>
      <c r="W85" s="10">
        <f>W83/W84</f>
        <v>2023.843568</v>
      </c>
      <c r="X85" s="10" t="s">
        <v>47</v>
      </c>
      <c r="Y85" s="22"/>
      <c r="AA85" s="23"/>
    </row>
    <row r="86" ht="15.75" customHeight="1">
      <c r="A86" s="10" t="s">
        <v>41</v>
      </c>
      <c r="B86" s="24">
        <f>ABS(B85*3968320.722)</f>
        <v>5811645.381</v>
      </c>
      <c r="C86" s="10" t="s">
        <v>43</v>
      </c>
      <c r="D86" s="22"/>
      <c r="F86" s="23"/>
      <c r="H86" s="11" t="s">
        <v>48</v>
      </c>
      <c r="I86" s="11">
        <f>EXP(8.2496+0.7243*LN(I85))</f>
        <v>393523.533</v>
      </c>
      <c r="J86" s="11" t="s">
        <v>103</v>
      </c>
      <c r="K86" s="22"/>
      <c r="M86" s="23"/>
      <c r="O86" s="10" t="s">
        <v>23</v>
      </c>
      <c r="P86" s="10">
        <f>S81*P85/S83*3.28</f>
        <v>4.955311543</v>
      </c>
      <c r="Q86" s="10" t="s">
        <v>15</v>
      </c>
      <c r="R86" s="22"/>
      <c r="T86" s="23"/>
      <c r="V86" s="10" t="s">
        <v>48</v>
      </c>
      <c r="W86" s="24">
        <f>EXP(11.4185-0.9228*LN(W85)+0.09861*(LN(W85))^2)</f>
        <v>24545.81651</v>
      </c>
      <c r="X86" s="10" t="s">
        <v>25</v>
      </c>
      <c r="Y86" s="22"/>
      <c r="AA86" s="23"/>
    </row>
    <row r="87" ht="15.75" customHeight="1">
      <c r="A87" s="10" t="s">
        <v>44</v>
      </c>
      <c r="B87" s="10">
        <v>10000.0</v>
      </c>
      <c r="C87" s="11">
        <v>1043.16</v>
      </c>
      <c r="D87" s="22"/>
      <c r="F87" s="23"/>
      <c r="H87" s="11" t="s">
        <v>35</v>
      </c>
      <c r="I87" s="11">
        <f>I86*I83*I84</f>
        <v>1229761.041</v>
      </c>
      <c r="J87" s="11"/>
      <c r="K87" s="22"/>
      <c r="M87" s="23"/>
      <c r="O87" s="10" t="s">
        <v>24</v>
      </c>
      <c r="P87" s="24">
        <f>468*EXP(0.1482*P86)</f>
        <v>975.3978768</v>
      </c>
      <c r="Q87" s="10" t="s">
        <v>25</v>
      </c>
      <c r="R87" s="22"/>
      <c r="T87" s="23"/>
      <c r="V87" s="10" t="s">
        <v>36</v>
      </c>
      <c r="W87" s="10">
        <v>2.15</v>
      </c>
      <c r="X87" s="10" t="s">
        <v>49</v>
      </c>
      <c r="Y87" s="22"/>
      <c r="AA87" s="23"/>
    </row>
    <row r="88" ht="15.75" customHeight="1">
      <c r="A88" s="10" t="s">
        <v>46</v>
      </c>
      <c r="B88" s="10">
        <f>B86/B87</f>
        <v>581.1645381</v>
      </c>
      <c r="C88" s="10" t="s">
        <v>47</v>
      </c>
      <c r="D88" s="22"/>
      <c r="F88" s="23"/>
      <c r="H88" s="11" t="s">
        <v>36</v>
      </c>
      <c r="I88" s="11">
        <v>2.15</v>
      </c>
      <c r="J88" s="11" t="s">
        <v>59</v>
      </c>
      <c r="K88" s="22"/>
      <c r="M88" s="23"/>
      <c r="O88" s="10" t="s">
        <v>26</v>
      </c>
      <c r="P88" s="24">
        <f>P80*P82*P83*P84*P87</f>
        <v>17913.97579</v>
      </c>
      <c r="Q88" s="10" t="s">
        <v>25</v>
      </c>
      <c r="R88" s="22"/>
      <c r="T88" s="23"/>
      <c r="V88" s="10" t="s">
        <v>50</v>
      </c>
      <c r="W88" s="10">
        <f>25*14.5038</f>
        <v>362.595</v>
      </c>
      <c r="X88" s="10" t="s">
        <v>51</v>
      </c>
      <c r="Y88" s="22"/>
      <c r="AA88" s="23"/>
    </row>
    <row r="89" ht="15.75" customHeight="1">
      <c r="A89" s="10" t="s">
        <v>48</v>
      </c>
      <c r="B89" s="24">
        <f>EXP(11.4185-0.9228*LN(B88)+0.09861*(LN(B88))^2)</f>
        <v>13903.53487</v>
      </c>
      <c r="C89" s="10" t="s">
        <v>25</v>
      </c>
      <c r="D89" s="22"/>
      <c r="F89" s="23"/>
      <c r="H89" s="26" t="s">
        <v>38</v>
      </c>
      <c r="I89" s="27">
        <f>I88*I87</f>
        <v>2643986.237</v>
      </c>
      <c r="J89" s="26" t="s">
        <v>25</v>
      </c>
      <c r="K89" s="28"/>
      <c r="L89" s="29"/>
      <c r="M89" s="30"/>
      <c r="O89" s="10" t="s">
        <v>14</v>
      </c>
      <c r="P89" s="10">
        <f>P80*2+15</f>
        <v>45</v>
      </c>
      <c r="Q89" s="10" t="s">
        <v>15</v>
      </c>
      <c r="R89" s="22"/>
      <c r="T89" s="23"/>
      <c r="V89" s="10" t="s">
        <v>52</v>
      </c>
      <c r="W89" s="10">
        <f>0.9803+0.018*(W88/100)+0.0017*(W88/100)^2</f>
        <v>1.067917873</v>
      </c>
      <c r="X89" s="13" t="s">
        <v>10</v>
      </c>
      <c r="Y89" s="22"/>
      <c r="AA89" s="23"/>
    </row>
    <row r="90" ht="15.75" customHeight="1">
      <c r="A90" s="10" t="s">
        <v>36</v>
      </c>
      <c r="B90" s="10">
        <v>2.15</v>
      </c>
      <c r="C90" s="10" t="s">
        <v>49</v>
      </c>
      <c r="D90" s="22"/>
      <c r="F90" s="23"/>
      <c r="H90" s="34" t="s">
        <v>104</v>
      </c>
      <c r="I90" s="5"/>
      <c r="J90" s="5"/>
      <c r="K90" s="5"/>
      <c r="L90" s="5"/>
      <c r="M90" s="6"/>
      <c r="O90" s="10" t="s">
        <v>27</v>
      </c>
      <c r="P90" s="24">
        <f>341*(P86^0.63316)*(P89^0.80161)</f>
        <v>19864.47967</v>
      </c>
      <c r="Q90" s="10" t="s">
        <v>25</v>
      </c>
      <c r="R90" s="22"/>
      <c r="T90" s="23"/>
      <c r="V90" s="10" t="s">
        <v>28</v>
      </c>
      <c r="W90" s="10">
        <v>1.0</v>
      </c>
      <c r="X90" s="32"/>
      <c r="Y90" s="22"/>
      <c r="AA90" s="23"/>
    </row>
    <row r="91" ht="15.75" customHeight="1">
      <c r="A91" s="10" t="s">
        <v>50</v>
      </c>
      <c r="B91" s="15">
        <f>1*14.5038</f>
        <v>14.5038</v>
      </c>
      <c r="C91" s="10" t="s">
        <v>51</v>
      </c>
      <c r="D91" s="22"/>
      <c r="F91" s="23"/>
      <c r="H91" s="46" t="s">
        <v>4</v>
      </c>
      <c r="I91" s="46" t="s">
        <v>5</v>
      </c>
      <c r="J91" s="46" t="s">
        <v>6</v>
      </c>
      <c r="K91" s="46" t="s">
        <v>4</v>
      </c>
      <c r="L91" s="46" t="s">
        <v>5</v>
      </c>
      <c r="M91" s="46" t="s">
        <v>6</v>
      </c>
      <c r="O91" s="10" t="s">
        <v>28</v>
      </c>
      <c r="P91" s="10">
        <v>1.0</v>
      </c>
      <c r="Q91" s="15" t="s">
        <v>21</v>
      </c>
      <c r="R91" s="22"/>
      <c r="T91" s="23"/>
      <c r="V91" s="10" t="s">
        <v>53</v>
      </c>
      <c r="W91" s="10">
        <v>1.0</v>
      </c>
      <c r="X91" s="14"/>
      <c r="Y91" s="22"/>
      <c r="AA91" s="23"/>
    </row>
    <row r="92" ht="15.75" customHeight="1">
      <c r="A92" s="10" t="s">
        <v>52</v>
      </c>
      <c r="B92" s="15">
        <f>0.9803+0.018*(B91/100)+0.0017*(B91/100)^2</f>
        <v>0.9829464452</v>
      </c>
      <c r="C92" s="13" t="s">
        <v>10</v>
      </c>
      <c r="D92" s="22"/>
      <c r="F92" s="23"/>
      <c r="H92" s="11" t="s">
        <v>105</v>
      </c>
      <c r="I92" s="41">
        <v>5000.0</v>
      </c>
      <c r="J92" s="11" t="s">
        <v>106</v>
      </c>
      <c r="K92" s="47" t="s">
        <v>107</v>
      </c>
      <c r="L92" s="17"/>
      <c r="M92" s="18"/>
      <c r="O92" s="10" t="s">
        <v>29</v>
      </c>
      <c r="P92" s="10">
        <v>490.0</v>
      </c>
      <c r="Q92" s="10" t="s">
        <v>30</v>
      </c>
      <c r="R92" s="22"/>
      <c r="T92" s="23"/>
      <c r="V92" s="26" t="s">
        <v>38</v>
      </c>
      <c r="W92" s="27">
        <f>W91*W90*W89*W87*W86</f>
        <v>56357.76972</v>
      </c>
      <c r="X92" s="26" t="s">
        <v>25</v>
      </c>
      <c r="Y92" s="28"/>
      <c r="Z92" s="29"/>
      <c r="AA92" s="30"/>
    </row>
    <row r="93" ht="15.75" customHeight="1">
      <c r="A93" s="10" t="s">
        <v>28</v>
      </c>
      <c r="B93" s="15">
        <v>1.0</v>
      </c>
      <c r="C93" s="32"/>
      <c r="D93" s="22"/>
      <c r="F93" s="23"/>
      <c r="H93" s="11" t="s">
        <v>108</v>
      </c>
      <c r="I93" s="41">
        <v>70.0</v>
      </c>
      <c r="J93" s="11" t="s">
        <v>109</v>
      </c>
      <c r="K93" s="22"/>
      <c r="M93" s="23"/>
      <c r="O93" s="10" t="s">
        <v>31</v>
      </c>
      <c r="P93" s="25">
        <v>0.1043</v>
      </c>
      <c r="Q93" s="10" t="s">
        <v>15</v>
      </c>
      <c r="R93" s="22"/>
      <c r="T93" s="23"/>
      <c r="V93" s="4" t="s">
        <v>128</v>
      </c>
      <c r="W93" s="5"/>
      <c r="X93" s="5"/>
      <c r="Y93" s="5"/>
      <c r="Z93" s="5"/>
      <c r="AA93" s="6"/>
    </row>
    <row r="94" ht="15.75" customHeight="1">
      <c r="A94" s="10" t="s">
        <v>53</v>
      </c>
      <c r="B94" s="15">
        <v>1.0</v>
      </c>
      <c r="C94" s="14"/>
      <c r="D94" s="22"/>
      <c r="F94" s="23"/>
      <c r="H94" s="26" t="s">
        <v>110</v>
      </c>
      <c r="I94" s="27">
        <f>I92*I93</f>
        <v>350000</v>
      </c>
      <c r="J94" s="26" t="s">
        <v>25</v>
      </c>
      <c r="K94" s="22"/>
      <c r="M94" s="23"/>
      <c r="O94" s="10" t="s">
        <v>32</v>
      </c>
      <c r="P94" s="10">
        <f>P92*P93*PI()*(P86+P93)*(P89+0.8*P86)</f>
        <v>39776.49721</v>
      </c>
      <c r="Q94" s="10" t="s">
        <v>33</v>
      </c>
      <c r="R94" s="22"/>
      <c r="T94" s="23"/>
      <c r="V94" s="8" t="s">
        <v>4</v>
      </c>
      <c r="W94" s="8" t="s">
        <v>5</v>
      </c>
      <c r="X94" s="8" t="s">
        <v>6</v>
      </c>
      <c r="Y94" s="8" t="s">
        <v>4</v>
      </c>
      <c r="Z94" s="8" t="s">
        <v>5</v>
      </c>
      <c r="AA94" s="8" t="s">
        <v>6</v>
      </c>
    </row>
    <row r="95" ht="15.75" customHeight="1">
      <c r="A95" s="26" t="s">
        <v>38</v>
      </c>
      <c r="B95" s="27">
        <f>B94*B93*B92*B90*B89</f>
        <v>29382.82489</v>
      </c>
      <c r="C95" s="26" t="s">
        <v>25</v>
      </c>
      <c r="D95" s="28"/>
      <c r="E95" s="29"/>
      <c r="F95" s="30"/>
      <c r="H95" s="11" t="s">
        <v>46</v>
      </c>
      <c r="I95" s="41">
        <v>17416.05701</v>
      </c>
      <c r="J95" s="11" t="s">
        <v>47</v>
      </c>
      <c r="K95" s="22"/>
      <c r="M95" s="23"/>
      <c r="O95" s="10" t="s">
        <v>34</v>
      </c>
      <c r="P95" s="24">
        <f>EXP(7.139+0.18255*LN(P94)+0.02297*(LN(P94))^2)</f>
        <v>114569.4545</v>
      </c>
      <c r="Q95" s="10" t="s">
        <v>25</v>
      </c>
      <c r="R95" s="22"/>
      <c r="T95" s="23"/>
      <c r="V95" s="10" t="s">
        <v>41</v>
      </c>
      <c r="W95" s="11">
        <v>3.55</v>
      </c>
      <c r="X95" s="10" t="s">
        <v>42</v>
      </c>
      <c r="Y95" s="31"/>
      <c r="Z95" s="17"/>
      <c r="AA95" s="18"/>
    </row>
    <row r="96" ht="15.75" customHeight="1">
      <c r="A96" s="4" t="s">
        <v>111</v>
      </c>
      <c r="B96" s="5"/>
      <c r="C96" s="5"/>
      <c r="D96" s="5"/>
      <c r="E96" s="5"/>
      <c r="F96" s="6"/>
      <c r="G96" s="1"/>
      <c r="H96" s="11" t="s">
        <v>50</v>
      </c>
      <c r="I96" s="24">
        <f>10*14.5038</f>
        <v>145.038</v>
      </c>
      <c r="J96" s="11" t="s">
        <v>51</v>
      </c>
      <c r="K96" s="22"/>
      <c r="M96" s="23"/>
      <c r="O96" s="10" t="s">
        <v>35</v>
      </c>
      <c r="P96" s="24">
        <f>P91*P95+P90+P88</f>
        <v>152347.91</v>
      </c>
      <c r="Q96" s="10" t="s">
        <v>25</v>
      </c>
      <c r="R96" s="22"/>
      <c r="T96" s="23"/>
      <c r="V96" s="10" t="s">
        <v>41</v>
      </c>
      <c r="W96" s="24">
        <f>ABS(W95*3968320.722)</f>
        <v>14087538.56</v>
      </c>
      <c r="X96" s="10" t="s">
        <v>43</v>
      </c>
      <c r="Y96" s="22"/>
      <c r="AA96" s="23"/>
    </row>
    <row r="97" ht="15.75" customHeight="1">
      <c r="A97" s="11" t="s">
        <v>91</v>
      </c>
      <c r="B97" s="11">
        <v>-5.51994</v>
      </c>
      <c r="C97" s="11" t="s">
        <v>42</v>
      </c>
      <c r="D97" s="33"/>
      <c r="E97" s="17"/>
      <c r="F97" s="18"/>
      <c r="G97" s="7"/>
      <c r="H97" s="10" t="s">
        <v>48</v>
      </c>
      <c r="I97" s="24">
        <f>EXP(11.4185-0.9228*LN(I95)+0.09861*(LN(I95))^2)</f>
        <v>134656.8632</v>
      </c>
      <c r="J97" s="10" t="s">
        <v>25</v>
      </c>
      <c r="K97" s="22"/>
      <c r="M97" s="23"/>
      <c r="O97" s="10" t="s">
        <v>36</v>
      </c>
      <c r="P97" s="10">
        <v>4.16</v>
      </c>
      <c r="Q97" s="10" t="s">
        <v>37</v>
      </c>
      <c r="R97" s="22"/>
      <c r="T97" s="23"/>
      <c r="V97" s="10" t="s">
        <v>44</v>
      </c>
      <c r="W97" s="10">
        <v>10000.0</v>
      </c>
      <c r="X97" s="10" t="s">
        <v>45</v>
      </c>
      <c r="Y97" s="22"/>
      <c r="AA97" s="23"/>
    </row>
    <row r="98" ht="15.75" customHeight="1">
      <c r="A98" s="11" t="s">
        <v>91</v>
      </c>
      <c r="B98" s="48">
        <f>ABS(B97*3968320.722)</f>
        <v>21904892.29</v>
      </c>
      <c r="C98" s="11" t="s">
        <v>43</v>
      </c>
      <c r="D98" s="22"/>
      <c r="F98" s="23"/>
      <c r="G98" s="9"/>
      <c r="H98" s="10" t="s">
        <v>36</v>
      </c>
      <c r="I98" s="10">
        <v>3.17</v>
      </c>
      <c r="J98" s="10" t="s">
        <v>112</v>
      </c>
      <c r="K98" s="22"/>
      <c r="M98" s="23"/>
      <c r="O98" s="26" t="s">
        <v>38</v>
      </c>
      <c r="P98" s="27">
        <f>P96*P97</f>
        <v>633767.3054</v>
      </c>
      <c r="Q98" s="26" t="s">
        <v>25</v>
      </c>
      <c r="R98" s="28"/>
      <c r="S98" s="29"/>
      <c r="T98" s="30"/>
      <c r="V98" s="10" t="s">
        <v>46</v>
      </c>
      <c r="W98" s="10">
        <f>W96/W97</f>
        <v>1408.753856</v>
      </c>
      <c r="X98" s="10" t="s">
        <v>47</v>
      </c>
      <c r="Y98" s="22"/>
      <c r="AA98" s="23"/>
    </row>
    <row r="99" ht="15.75" customHeight="1">
      <c r="A99" s="11" t="s">
        <v>48</v>
      </c>
      <c r="B99" s="10">
        <f>exp(-0.15241+0.785*ln(B98))</f>
        <v>496745.5197</v>
      </c>
      <c r="C99" s="10"/>
      <c r="D99" s="22"/>
      <c r="F99" s="23"/>
      <c r="G99" s="1"/>
      <c r="H99" s="10" t="s">
        <v>52</v>
      </c>
      <c r="I99" s="10">
        <f>0.9803+0.018*(I96/100)+0.0017*(I96/100)^2</f>
        <v>1.009982964</v>
      </c>
      <c r="J99" s="13" t="s">
        <v>10</v>
      </c>
      <c r="K99" s="22"/>
      <c r="M99" s="23"/>
      <c r="O99" s="4" t="s">
        <v>129</v>
      </c>
      <c r="P99" s="5"/>
      <c r="Q99" s="5"/>
      <c r="R99" s="5"/>
      <c r="S99" s="5"/>
      <c r="T99" s="6"/>
      <c r="V99" s="10" t="s">
        <v>48</v>
      </c>
      <c r="W99" s="10">
        <f>EXP(11.4185-0.9228*LN(W98)+0.09861*(LN(W98))^2)</f>
        <v>20163.34828</v>
      </c>
      <c r="X99" s="10" t="s">
        <v>25</v>
      </c>
      <c r="Y99" s="22"/>
      <c r="AA99" s="23"/>
    </row>
    <row r="100" ht="15.75" customHeight="1">
      <c r="A100" s="11" t="s">
        <v>28</v>
      </c>
      <c r="B100" s="11">
        <v>1.4</v>
      </c>
      <c r="C100" s="11" t="s">
        <v>92</v>
      </c>
      <c r="D100" s="22"/>
      <c r="F100" s="23"/>
      <c r="G100" s="1"/>
      <c r="H100" s="10" t="s">
        <v>28</v>
      </c>
      <c r="I100" s="10">
        <v>1.0</v>
      </c>
      <c r="J100" s="32"/>
      <c r="K100" s="22"/>
      <c r="M100" s="23"/>
      <c r="O100" s="11" t="s">
        <v>91</v>
      </c>
      <c r="P100" s="11">
        <v>0.806</v>
      </c>
      <c r="Q100" s="11" t="s">
        <v>42</v>
      </c>
      <c r="R100" s="31"/>
      <c r="S100" s="17"/>
      <c r="T100" s="18"/>
      <c r="V100" s="10" t="s">
        <v>36</v>
      </c>
      <c r="W100" s="10">
        <v>2.15</v>
      </c>
      <c r="X100" s="10" t="s">
        <v>49</v>
      </c>
      <c r="Y100" s="22"/>
      <c r="AA100" s="23"/>
    </row>
    <row r="101" ht="15.75" customHeight="1">
      <c r="A101" s="11" t="s">
        <v>50</v>
      </c>
      <c r="B101" s="11">
        <v>145.038</v>
      </c>
      <c r="C101" s="11" t="s">
        <v>93</v>
      </c>
      <c r="D101" s="22"/>
      <c r="F101" s="23"/>
      <c r="G101" s="1"/>
      <c r="H101" s="10" t="s">
        <v>53</v>
      </c>
      <c r="I101" s="10">
        <v>1.0</v>
      </c>
      <c r="J101" s="14"/>
      <c r="K101" s="22"/>
      <c r="M101" s="23"/>
      <c r="O101" s="11" t="s">
        <v>91</v>
      </c>
      <c r="P101" s="44">
        <f>ABS(P100*3968320.722)</f>
        <v>3198466.502</v>
      </c>
      <c r="Q101" s="11" t="s">
        <v>43</v>
      </c>
      <c r="R101" s="22"/>
      <c r="T101" s="23"/>
      <c r="V101" s="10" t="s">
        <v>50</v>
      </c>
      <c r="W101" s="10">
        <f>25*14.5038</f>
        <v>362.595</v>
      </c>
      <c r="X101" s="10" t="s">
        <v>51</v>
      </c>
      <c r="Y101" s="22"/>
      <c r="AA101" s="23"/>
    </row>
    <row r="102" ht="15.75" customHeight="1">
      <c r="A102" s="11" t="s">
        <v>52</v>
      </c>
      <c r="B102" s="10">
        <f>0.986-0.0035*B101/500+0.0175*(B101/500)^2</f>
        <v>0.9864572555</v>
      </c>
      <c r="C102" s="10" t="s">
        <v>94</v>
      </c>
      <c r="D102" s="22"/>
      <c r="F102" s="23"/>
      <c r="G102" s="1"/>
      <c r="H102" s="26" t="s">
        <v>38</v>
      </c>
      <c r="I102" s="27">
        <f>I98*I99*I100*I101*I97</f>
        <v>431123.6066</v>
      </c>
      <c r="J102" s="26" t="s">
        <v>25</v>
      </c>
      <c r="K102" s="28"/>
      <c r="L102" s="29"/>
      <c r="M102" s="30"/>
      <c r="O102" s="11" t="s">
        <v>48</v>
      </c>
      <c r="P102" s="10">
        <f>exp(-0.15241+0.785*ln(P101))</f>
        <v>109695.4202</v>
      </c>
      <c r="Q102" s="10"/>
      <c r="R102" s="22"/>
      <c r="T102" s="23"/>
      <c r="V102" s="10" t="s">
        <v>52</v>
      </c>
      <c r="W102" s="10">
        <f>0.9803+0.018*(W101/100)+0.0017*(W101/100)^2</f>
        <v>1.067917873</v>
      </c>
      <c r="X102" s="13" t="s">
        <v>10</v>
      </c>
      <c r="Y102" s="22"/>
      <c r="AA102" s="23"/>
    </row>
    <row r="103" ht="15.75" customHeight="1">
      <c r="A103" s="11" t="s">
        <v>35</v>
      </c>
      <c r="B103" s="10">
        <f>B102*B100*B99</f>
        <v>686025.5108</v>
      </c>
      <c r="C103" s="10" t="s">
        <v>25</v>
      </c>
      <c r="D103" s="22"/>
      <c r="F103" s="23"/>
      <c r="G103" s="1"/>
      <c r="H103" s="49" t="s">
        <v>113</v>
      </c>
      <c r="I103" s="17"/>
      <c r="J103" s="18"/>
      <c r="K103" s="50">
        <f>B22+B43+B56+B69+B82+B95+B105+B115+B130+I22+I35+I48+I71+I81+I89+I102+K107</f>
        <v>8544051.405</v>
      </c>
      <c r="L103" s="17"/>
      <c r="M103" s="18"/>
      <c r="O103" s="11" t="s">
        <v>28</v>
      </c>
      <c r="P103" s="11">
        <v>1.4</v>
      </c>
      <c r="Q103" s="11" t="s">
        <v>92</v>
      </c>
      <c r="R103" s="22"/>
      <c r="T103" s="23"/>
      <c r="V103" s="10" t="s">
        <v>28</v>
      </c>
      <c r="W103" s="10">
        <v>1.0</v>
      </c>
      <c r="X103" s="32"/>
      <c r="Y103" s="22"/>
      <c r="AA103" s="23"/>
    </row>
    <row r="104" ht="15.75" customHeight="1">
      <c r="A104" s="11" t="s">
        <v>36</v>
      </c>
      <c r="B104" s="11">
        <v>1.86</v>
      </c>
      <c r="C104" s="11" t="s">
        <v>95</v>
      </c>
      <c r="D104" s="22"/>
      <c r="F104" s="23"/>
      <c r="G104" s="1"/>
      <c r="H104" s="28"/>
      <c r="I104" s="29"/>
      <c r="J104" s="30"/>
      <c r="K104" s="28"/>
      <c r="L104" s="29"/>
      <c r="M104" s="30"/>
      <c r="O104" s="11" t="s">
        <v>50</v>
      </c>
      <c r="P104" s="11">
        <f>25*14.5038</f>
        <v>362.595</v>
      </c>
      <c r="Q104" s="11" t="s">
        <v>93</v>
      </c>
      <c r="R104" s="22"/>
      <c r="T104" s="23"/>
      <c r="V104" s="10" t="s">
        <v>53</v>
      </c>
      <c r="W104" s="10">
        <v>1.0</v>
      </c>
      <c r="X104" s="14"/>
      <c r="Y104" s="22"/>
      <c r="AA104" s="23"/>
    </row>
    <row r="105" ht="15.75" customHeight="1">
      <c r="A105" s="26" t="s">
        <v>38</v>
      </c>
      <c r="B105" s="27">
        <f>B104*B103</f>
        <v>1276007.45</v>
      </c>
      <c r="C105" s="26" t="s">
        <v>25</v>
      </c>
      <c r="D105" s="28"/>
      <c r="E105" s="29"/>
      <c r="F105" s="30"/>
      <c r="G105" s="1"/>
      <c r="M105" s="1"/>
      <c r="O105" s="11" t="s">
        <v>52</v>
      </c>
      <c r="P105" s="10">
        <f>0.986-0.0035*P104/500+0.0175*(P104/500)^2</f>
        <v>0.9926650944</v>
      </c>
      <c r="Q105" s="10" t="s">
        <v>94</v>
      </c>
      <c r="R105" s="22"/>
      <c r="T105" s="23"/>
      <c r="V105" s="26" t="s">
        <v>38</v>
      </c>
      <c r="W105" s="27">
        <f>W104*W103*W102*W100*W99</f>
        <v>46295.52001</v>
      </c>
      <c r="X105" s="26" t="s">
        <v>25</v>
      </c>
      <c r="Y105" s="28"/>
      <c r="Z105" s="29"/>
      <c r="AA105" s="30"/>
    </row>
    <row r="106" ht="15.75" customHeight="1">
      <c r="A106" s="4" t="s">
        <v>114</v>
      </c>
      <c r="B106" s="5"/>
      <c r="C106" s="5"/>
      <c r="D106" s="5"/>
      <c r="E106" s="5"/>
      <c r="F106" s="6"/>
      <c r="G106" s="1"/>
      <c r="M106" s="1"/>
      <c r="O106" s="11" t="s">
        <v>35</v>
      </c>
      <c r="P106" s="10">
        <f>P105*P103*P102</f>
        <v>152447.1406</v>
      </c>
      <c r="Q106" s="10" t="s">
        <v>25</v>
      </c>
      <c r="R106" s="22"/>
      <c r="T106" s="23"/>
      <c r="V106" s="4" t="s">
        <v>130</v>
      </c>
      <c r="W106" s="5"/>
      <c r="X106" s="5"/>
      <c r="Y106" s="5"/>
      <c r="Z106" s="5"/>
      <c r="AA106" s="6"/>
    </row>
    <row r="107" ht="15.75" customHeight="1">
      <c r="A107" s="11" t="s">
        <v>91</v>
      </c>
      <c r="B107" s="11">
        <v>-0.544139</v>
      </c>
      <c r="C107" s="11" t="s">
        <v>42</v>
      </c>
      <c r="D107" s="33"/>
      <c r="E107" s="17"/>
      <c r="F107" s="18"/>
      <c r="G107" s="1"/>
      <c r="J107" s="51" t="s">
        <v>115</v>
      </c>
      <c r="K107" s="51">
        <v>115000.0</v>
      </c>
      <c r="M107" s="1"/>
      <c r="O107" s="11" t="s">
        <v>36</v>
      </c>
      <c r="P107" s="11">
        <v>1.86</v>
      </c>
      <c r="Q107" s="11" t="s">
        <v>95</v>
      </c>
      <c r="R107" s="22"/>
      <c r="T107" s="23"/>
      <c r="V107" s="8" t="s">
        <v>4</v>
      </c>
      <c r="W107" s="8" t="s">
        <v>5</v>
      </c>
      <c r="X107" s="8" t="s">
        <v>6</v>
      </c>
      <c r="Y107" s="8" t="s">
        <v>4</v>
      </c>
      <c r="Z107" s="8" t="s">
        <v>5</v>
      </c>
      <c r="AA107" s="8" t="s">
        <v>6</v>
      </c>
    </row>
    <row r="108" ht="15.75" customHeight="1">
      <c r="A108" s="11" t="s">
        <v>91</v>
      </c>
      <c r="B108" s="48">
        <f>ABS(B107*3968320.722)</f>
        <v>2159318.069</v>
      </c>
      <c r="C108" s="11" t="s">
        <v>43</v>
      </c>
      <c r="D108" s="22"/>
      <c r="F108" s="23"/>
      <c r="G108" s="1"/>
      <c r="M108" s="1"/>
      <c r="O108" s="26" t="s">
        <v>38</v>
      </c>
      <c r="P108" s="27">
        <f>P107*P106</f>
        <v>283551.6814</v>
      </c>
      <c r="Q108" s="26" t="s">
        <v>25</v>
      </c>
      <c r="R108" s="28"/>
      <c r="S108" s="29"/>
      <c r="T108" s="30"/>
      <c r="V108" s="10" t="s">
        <v>41</v>
      </c>
      <c r="W108" s="11">
        <v>-1.85474</v>
      </c>
      <c r="X108" s="10" t="s">
        <v>42</v>
      </c>
      <c r="Y108" s="31"/>
      <c r="Z108" s="17"/>
      <c r="AA108" s="18"/>
    </row>
    <row r="109" ht="15.75" customHeight="1">
      <c r="A109" s="11" t="s">
        <v>48</v>
      </c>
      <c r="B109" s="10">
        <f>exp(-0.15241+0.785*ln(B108))</f>
        <v>80583.79645</v>
      </c>
      <c r="C109" s="10"/>
      <c r="D109" s="22"/>
      <c r="F109" s="23"/>
      <c r="G109" s="1"/>
      <c r="M109" s="1"/>
      <c r="O109" s="4" t="s">
        <v>131</v>
      </c>
      <c r="P109" s="5"/>
      <c r="Q109" s="5"/>
      <c r="R109" s="5"/>
      <c r="S109" s="5"/>
      <c r="T109" s="6"/>
      <c r="V109" s="10" t="s">
        <v>41</v>
      </c>
      <c r="W109" s="24">
        <f>ABS(W108*3968320.722)</f>
        <v>7360203.176</v>
      </c>
      <c r="X109" s="10" t="s">
        <v>43</v>
      </c>
      <c r="Y109" s="22"/>
      <c r="AA109" s="23"/>
    </row>
    <row r="110" ht="15.75" customHeight="1">
      <c r="A110" s="11" t="s">
        <v>28</v>
      </c>
      <c r="B110" s="11">
        <v>1.4</v>
      </c>
      <c r="C110" s="11" t="s">
        <v>92</v>
      </c>
      <c r="D110" s="22"/>
      <c r="F110" s="23"/>
      <c r="G110" s="7"/>
      <c r="M110" s="1"/>
      <c r="O110" s="11" t="s">
        <v>91</v>
      </c>
      <c r="P110" s="11">
        <v>1.43</v>
      </c>
      <c r="Q110" s="11" t="s">
        <v>42</v>
      </c>
      <c r="R110" s="31"/>
      <c r="S110" s="17"/>
      <c r="T110" s="18"/>
      <c r="V110" s="10" t="s">
        <v>44</v>
      </c>
      <c r="W110" s="10">
        <v>10000.0</v>
      </c>
      <c r="X110" s="10" t="s">
        <v>45</v>
      </c>
      <c r="Y110" s="22"/>
      <c r="AA110" s="23"/>
    </row>
    <row r="111" ht="15.75" customHeight="1">
      <c r="A111" s="11" t="s">
        <v>50</v>
      </c>
      <c r="B111" s="11">
        <v>43.5113</v>
      </c>
      <c r="C111" s="11" t="s">
        <v>93</v>
      </c>
      <c r="D111" s="22"/>
      <c r="F111" s="23"/>
      <c r="G111" s="9"/>
      <c r="M111" s="1"/>
      <c r="O111" s="11" t="s">
        <v>91</v>
      </c>
      <c r="P111" s="44">
        <f>ABS(P110*3968320.722)</f>
        <v>5674698.632</v>
      </c>
      <c r="Q111" s="11" t="s">
        <v>43</v>
      </c>
      <c r="R111" s="22"/>
      <c r="T111" s="23"/>
      <c r="V111" s="10" t="s">
        <v>46</v>
      </c>
      <c r="W111" s="10">
        <f>W109/W110</f>
        <v>736.0203176</v>
      </c>
      <c r="X111" s="10" t="s">
        <v>47</v>
      </c>
      <c r="Y111" s="22"/>
      <c r="AA111" s="23"/>
    </row>
    <row r="112" ht="15.75" customHeight="1">
      <c r="A112" s="11" t="s">
        <v>52</v>
      </c>
      <c r="B112" s="10">
        <f>0.986-0.0035*B111/500+0.0175*(B111/500)^2</f>
        <v>0.9858279472</v>
      </c>
      <c r="C112" s="10" t="s">
        <v>94</v>
      </c>
      <c r="D112" s="22"/>
      <c r="F112" s="23"/>
      <c r="G112" s="1"/>
      <c r="M112" s="1"/>
      <c r="O112" s="11" t="s">
        <v>48</v>
      </c>
      <c r="P112" s="10">
        <f>exp(-0.15241+0.785*ln(P111))</f>
        <v>172049.8419</v>
      </c>
      <c r="Q112" s="10"/>
      <c r="R112" s="22"/>
      <c r="T112" s="23"/>
      <c r="V112" s="10" t="s">
        <v>48</v>
      </c>
      <c r="W112" s="10">
        <f>EXP(11.4185-0.9228*LN(W111)+0.09861*(LN(W111))^2)</f>
        <v>15122.64014</v>
      </c>
      <c r="X112" s="10" t="s">
        <v>25</v>
      </c>
      <c r="Y112" s="22"/>
      <c r="AA112" s="23"/>
    </row>
    <row r="113" ht="15.75" customHeight="1">
      <c r="A113" s="11" t="s">
        <v>35</v>
      </c>
      <c r="B113" s="10">
        <f>B112*B110*B109</f>
        <v>111218.4621</v>
      </c>
      <c r="C113" s="10" t="s">
        <v>25</v>
      </c>
      <c r="D113" s="22"/>
      <c r="F113" s="23"/>
      <c r="G113" s="1"/>
      <c r="M113" s="1"/>
      <c r="O113" s="11" t="s">
        <v>28</v>
      </c>
      <c r="P113" s="11">
        <v>1.4</v>
      </c>
      <c r="Q113" s="11" t="s">
        <v>92</v>
      </c>
      <c r="R113" s="22"/>
      <c r="T113" s="23"/>
      <c r="V113" s="10" t="s">
        <v>36</v>
      </c>
      <c r="W113" s="10">
        <v>2.15</v>
      </c>
      <c r="X113" s="10" t="s">
        <v>49</v>
      </c>
      <c r="Y113" s="22"/>
      <c r="AA113" s="23"/>
    </row>
    <row r="114" ht="15.75" customHeight="1">
      <c r="A114" s="11" t="s">
        <v>36</v>
      </c>
      <c r="B114" s="11">
        <v>1.86</v>
      </c>
      <c r="C114" s="11" t="s">
        <v>95</v>
      </c>
      <c r="D114" s="22"/>
      <c r="F114" s="23"/>
      <c r="G114" s="1"/>
      <c r="M114" s="1"/>
      <c r="O114" s="11" t="s">
        <v>50</v>
      </c>
      <c r="P114" s="11">
        <f>25*14.5038</f>
        <v>362.595</v>
      </c>
      <c r="Q114" s="11" t="s">
        <v>93</v>
      </c>
      <c r="R114" s="22"/>
      <c r="T114" s="23"/>
      <c r="V114" s="10" t="s">
        <v>50</v>
      </c>
      <c r="W114" s="10">
        <f>9*14.5038</f>
        <v>130.5342</v>
      </c>
      <c r="X114" s="10" t="s">
        <v>51</v>
      </c>
      <c r="Y114" s="22"/>
      <c r="AA114" s="23"/>
    </row>
    <row r="115" ht="15.75" customHeight="1">
      <c r="A115" s="26" t="s">
        <v>38</v>
      </c>
      <c r="B115" s="27">
        <f>B114*B113</f>
        <v>206866.3395</v>
      </c>
      <c r="C115" s="26" t="s">
        <v>25</v>
      </c>
      <c r="D115" s="28"/>
      <c r="E115" s="29"/>
      <c r="F115" s="30"/>
      <c r="G115" s="1"/>
      <c r="M115" s="1"/>
      <c r="O115" s="11" t="s">
        <v>52</v>
      </c>
      <c r="P115" s="10">
        <f>0.986-0.0035*P114/500+0.0175*(P114/500)^2</f>
        <v>0.9926650944</v>
      </c>
      <c r="Q115" s="10" t="s">
        <v>94</v>
      </c>
      <c r="R115" s="22"/>
      <c r="T115" s="23"/>
      <c r="V115" s="10" t="s">
        <v>52</v>
      </c>
      <c r="W115" s="10">
        <f>0.9803+0.018*(W114/100)+0.0017*(W114/100)^2</f>
        <v>1.006692816</v>
      </c>
      <c r="X115" s="13" t="s">
        <v>10</v>
      </c>
      <c r="Y115" s="22"/>
      <c r="AA115" s="23"/>
    </row>
    <row r="116" ht="15.75" customHeight="1">
      <c r="A116" s="34" t="s">
        <v>104</v>
      </c>
      <c r="B116" s="5"/>
      <c r="C116" s="5"/>
      <c r="D116" s="5"/>
      <c r="E116" s="5"/>
      <c r="F116" s="6"/>
      <c r="G116" s="1"/>
      <c r="M116" s="1"/>
      <c r="O116" s="11" t="s">
        <v>35</v>
      </c>
      <c r="P116" s="10">
        <f>P115*P113*P112</f>
        <v>239103.0215</v>
      </c>
      <c r="Q116" s="10" t="s">
        <v>25</v>
      </c>
      <c r="R116" s="22"/>
      <c r="T116" s="23"/>
      <c r="V116" s="10" t="s">
        <v>28</v>
      </c>
      <c r="W116" s="10">
        <v>1.0</v>
      </c>
      <c r="X116" s="32"/>
      <c r="Y116" s="22"/>
      <c r="AA116" s="23"/>
    </row>
    <row r="117" ht="15.75" customHeight="1">
      <c r="A117" s="46" t="s">
        <v>4</v>
      </c>
      <c r="B117" s="46" t="s">
        <v>5</v>
      </c>
      <c r="C117" s="46" t="s">
        <v>6</v>
      </c>
      <c r="D117" s="46" t="s">
        <v>4</v>
      </c>
      <c r="E117" s="46" t="s">
        <v>5</v>
      </c>
      <c r="F117" s="46" t="s">
        <v>6</v>
      </c>
      <c r="G117" s="1"/>
      <c r="M117" s="1"/>
      <c r="O117" s="11" t="s">
        <v>36</v>
      </c>
      <c r="P117" s="11">
        <v>1.86</v>
      </c>
      <c r="Q117" s="11" t="s">
        <v>95</v>
      </c>
      <c r="R117" s="22"/>
      <c r="T117" s="23"/>
      <c r="V117" s="10" t="s">
        <v>53</v>
      </c>
      <c r="W117" s="10">
        <v>1.0</v>
      </c>
      <c r="X117" s="14"/>
      <c r="Y117" s="22"/>
      <c r="AA117" s="23"/>
    </row>
    <row r="118" ht="15.75" customHeight="1">
      <c r="A118" s="11" t="s">
        <v>105</v>
      </c>
      <c r="B118" s="41">
        <v>2935.714833</v>
      </c>
      <c r="C118" s="11" t="s">
        <v>106</v>
      </c>
      <c r="D118" s="52"/>
      <c r="E118" s="17"/>
      <c r="F118" s="18"/>
      <c r="G118" s="1"/>
      <c r="M118" s="1"/>
      <c r="O118" s="26" t="s">
        <v>38</v>
      </c>
      <c r="P118" s="27">
        <f>P117*P116</f>
        <v>444731.6201</v>
      </c>
      <c r="Q118" s="26" t="s">
        <v>25</v>
      </c>
      <c r="R118" s="28"/>
      <c r="S118" s="29"/>
      <c r="T118" s="30"/>
      <c r="V118" s="26" t="s">
        <v>38</v>
      </c>
      <c r="W118" s="27">
        <f>W117*W116*W115*W113*W112</f>
        <v>32731.28437</v>
      </c>
      <c r="X118" s="26" t="s">
        <v>25</v>
      </c>
      <c r="Y118" s="28"/>
      <c r="Z118" s="29"/>
      <c r="AA118" s="30"/>
    </row>
    <row r="119" ht="15.75" customHeight="1">
      <c r="A119" s="11" t="s">
        <v>108</v>
      </c>
      <c r="B119" s="41">
        <v>70.0</v>
      </c>
      <c r="C119" s="11" t="s">
        <v>109</v>
      </c>
      <c r="D119" s="22"/>
      <c r="F119" s="23"/>
      <c r="G119" s="1"/>
      <c r="M119" s="1"/>
      <c r="V119" s="55" t="s">
        <v>132</v>
      </c>
      <c r="W119" s="55">
        <v>100000.0</v>
      </c>
      <c r="X119" s="55" t="s">
        <v>25</v>
      </c>
    </row>
    <row r="120" ht="15.75" customHeight="1">
      <c r="A120" s="53"/>
      <c r="B120" s="53"/>
      <c r="C120" s="53"/>
      <c r="D120" s="22"/>
      <c r="F120" s="23"/>
      <c r="G120" s="1"/>
      <c r="M120" s="1"/>
    </row>
    <row r="121" ht="15.75" customHeight="1">
      <c r="A121" s="26" t="s">
        <v>110</v>
      </c>
      <c r="B121" s="27">
        <f>B118*B119</f>
        <v>205500.0383</v>
      </c>
      <c r="C121" s="54" t="s">
        <v>116</v>
      </c>
      <c r="D121" s="22"/>
      <c r="F121" s="23"/>
      <c r="G121" s="1"/>
      <c r="M121" s="1"/>
    </row>
    <row r="122" ht="15.75" customHeight="1">
      <c r="A122" s="26"/>
      <c r="B122" s="27"/>
      <c r="C122" s="54"/>
      <c r="D122" s="22"/>
      <c r="F122" s="23"/>
      <c r="G122" s="1"/>
      <c r="M122" s="1"/>
      <c r="V122" s="49" t="s">
        <v>113</v>
      </c>
      <c r="W122" s="17"/>
      <c r="X122" s="18"/>
      <c r="Y122" s="50">
        <f>P14+P35+P56+P77+P98+P108+W14+W27+W40+W53+W66+W79+W92+W105+W118+W119</f>
        <v>3870598.009</v>
      </c>
      <c r="Z122" s="17"/>
      <c r="AA122" s="18"/>
    </row>
    <row r="123" ht="15.75" customHeight="1">
      <c r="A123" s="11" t="s">
        <v>46</v>
      </c>
      <c r="B123" s="41">
        <v>35591.61343</v>
      </c>
      <c r="C123" s="11" t="s">
        <v>47</v>
      </c>
      <c r="D123" s="22"/>
      <c r="F123" s="23"/>
      <c r="G123" s="7"/>
      <c r="M123" s="1"/>
      <c r="V123" s="28"/>
      <c r="W123" s="29"/>
      <c r="X123" s="30"/>
      <c r="Y123" s="28"/>
      <c r="Z123" s="29"/>
      <c r="AA123" s="30"/>
    </row>
    <row r="124" ht="15.75" customHeight="1">
      <c r="A124" s="11" t="s">
        <v>50</v>
      </c>
      <c r="B124" s="24">
        <f>10*14.5038</f>
        <v>145.038</v>
      </c>
      <c r="C124" s="11" t="s">
        <v>51</v>
      </c>
      <c r="D124" s="22"/>
      <c r="F124" s="23"/>
      <c r="G124" s="9"/>
      <c r="M124" s="1"/>
    </row>
    <row r="125" ht="15.75" customHeight="1">
      <c r="A125" s="10" t="s">
        <v>48</v>
      </c>
      <c r="B125" s="24">
        <f>EXP(11.4185-0.9228*LN(B123)+0.09861*(LN(B123))^2)</f>
        <v>290041.0237</v>
      </c>
      <c r="C125" s="10" t="s">
        <v>25</v>
      </c>
      <c r="D125" s="22"/>
      <c r="F125" s="23"/>
      <c r="G125" s="1"/>
      <c r="M125" s="1"/>
    </row>
    <row r="126" ht="15.75" customHeight="1">
      <c r="A126" s="10" t="s">
        <v>36</v>
      </c>
      <c r="B126" s="10">
        <v>3.17</v>
      </c>
      <c r="C126" s="10" t="s">
        <v>112</v>
      </c>
      <c r="D126" s="22"/>
      <c r="F126" s="23"/>
      <c r="G126" s="1"/>
      <c r="M126" s="1"/>
    </row>
    <row r="127" ht="15.75" customHeight="1">
      <c r="A127" s="10" t="s">
        <v>52</v>
      </c>
      <c r="B127" s="10">
        <f>0.9803+0.018*(B124/100)+0.0017*(B124/100)^2</f>
        <v>1.009982964</v>
      </c>
      <c r="C127" s="13" t="s">
        <v>10</v>
      </c>
      <c r="D127" s="22"/>
      <c r="F127" s="23"/>
      <c r="G127" s="1"/>
      <c r="M127" s="1"/>
    </row>
    <row r="128" ht="15.75" customHeight="1">
      <c r="A128" s="10" t="s">
        <v>28</v>
      </c>
      <c r="B128" s="10">
        <v>1.0</v>
      </c>
      <c r="C128" s="32"/>
      <c r="D128" s="22"/>
      <c r="F128" s="23"/>
      <c r="G128" s="1"/>
      <c r="M128" s="1"/>
    </row>
    <row r="129" ht="15.75" customHeight="1">
      <c r="A129" s="10" t="s">
        <v>53</v>
      </c>
      <c r="B129" s="10">
        <v>1.0</v>
      </c>
      <c r="C129" s="14"/>
      <c r="D129" s="22"/>
      <c r="F129" s="23"/>
      <c r="G129" s="1"/>
      <c r="M129" s="1"/>
    </row>
    <row r="130" ht="15.75" customHeight="1">
      <c r="A130" s="26" t="s">
        <v>38</v>
      </c>
      <c r="B130" s="27">
        <f>B126*B127*B128*B129*B125</f>
        <v>928608.6819</v>
      </c>
      <c r="C130" s="26" t="s">
        <v>25</v>
      </c>
      <c r="D130" s="28"/>
      <c r="E130" s="29"/>
      <c r="F130" s="30"/>
      <c r="G130" s="1"/>
      <c r="M130" s="1"/>
    </row>
    <row r="131" ht="15.75" customHeight="1">
      <c r="G131" s="1"/>
      <c r="M131" s="1"/>
    </row>
    <row r="132" ht="15.75" customHeight="1">
      <c r="G132" s="1"/>
      <c r="M132" s="1"/>
    </row>
    <row r="133" ht="15.75" customHeight="1">
      <c r="G133" s="1"/>
      <c r="M133" s="1"/>
    </row>
    <row r="134" ht="15.75" customHeight="1">
      <c r="G134" s="1"/>
      <c r="M134" s="1"/>
    </row>
    <row r="135" ht="15.75" customHeight="1">
      <c r="G135" s="1"/>
      <c r="M135" s="1"/>
    </row>
    <row r="136" ht="15.75" customHeight="1">
      <c r="G136" s="7"/>
      <c r="M136" s="1"/>
    </row>
    <row r="137" ht="15.75" customHeight="1">
      <c r="G137" s="9"/>
      <c r="M137" s="1"/>
    </row>
    <row r="138" ht="15.75" customHeight="1">
      <c r="G138" s="1"/>
      <c r="M138" s="1"/>
    </row>
    <row r="139" ht="15.75" customHeight="1">
      <c r="G139" s="1"/>
      <c r="M139" s="1"/>
    </row>
    <row r="140" ht="15.75" customHeight="1">
      <c r="G140" s="1"/>
      <c r="M140" s="1"/>
    </row>
    <row r="141" ht="15.75" customHeight="1">
      <c r="G141" s="1"/>
      <c r="M141" s="1"/>
    </row>
    <row r="142" ht="15.75" customHeight="1">
      <c r="G142" s="1"/>
      <c r="M142" s="1"/>
    </row>
    <row r="143" ht="15.75" customHeight="1">
      <c r="G143" s="1"/>
      <c r="M143" s="1"/>
    </row>
    <row r="144" ht="15.75" customHeight="1">
      <c r="G144" s="1"/>
      <c r="M144" s="1"/>
    </row>
    <row r="145" ht="15.75" customHeight="1">
      <c r="G145" s="1"/>
      <c r="M145" s="1"/>
    </row>
    <row r="146" ht="15.75" customHeight="1">
      <c r="G146" s="1"/>
      <c r="M146" s="1"/>
    </row>
    <row r="147" ht="15.75" customHeight="1">
      <c r="G147" s="1"/>
      <c r="M147" s="1"/>
    </row>
    <row r="148" ht="15.75" customHeight="1">
      <c r="G148" s="1"/>
      <c r="M148" s="1"/>
    </row>
    <row r="149" ht="15.75" customHeight="1">
      <c r="G149" s="7"/>
      <c r="M149" s="1"/>
    </row>
    <row r="150" ht="15.75" customHeight="1">
      <c r="G150" s="1"/>
      <c r="M150" s="1"/>
    </row>
    <row r="151" ht="15.75" customHeight="1">
      <c r="G151" s="1"/>
      <c r="M151" s="1"/>
    </row>
    <row r="152" ht="15.75" customHeight="1">
      <c r="G152" s="1"/>
      <c r="M152" s="1"/>
    </row>
    <row r="153" ht="15.75" customHeight="1">
      <c r="G153" s="1"/>
      <c r="M153" s="1"/>
    </row>
    <row r="154" ht="15.75" customHeight="1">
      <c r="G154" s="1"/>
      <c r="M154" s="1"/>
    </row>
    <row r="155" ht="15.75" customHeight="1">
      <c r="G155" s="1"/>
      <c r="M155" s="1"/>
    </row>
    <row r="156" ht="15.75" customHeight="1">
      <c r="G156" s="1"/>
      <c r="M156" s="1"/>
    </row>
    <row r="157" ht="15.75" customHeight="1">
      <c r="G157" s="1"/>
      <c r="M157" s="1"/>
    </row>
    <row r="158" ht="15.75" customHeight="1">
      <c r="G158" s="1"/>
      <c r="M158" s="1"/>
    </row>
    <row r="159" ht="15.75" customHeight="1">
      <c r="G159" s="7"/>
      <c r="M159" s="1"/>
    </row>
    <row r="160" ht="15.75" customHeight="1">
      <c r="G160" s="1"/>
      <c r="M160" s="1"/>
    </row>
    <row r="161" ht="15.75" customHeight="1">
      <c r="G161" s="1"/>
      <c r="M161" s="1"/>
    </row>
    <row r="162" ht="15.75" customHeight="1">
      <c r="D162" s="1"/>
      <c r="E162" s="1"/>
      <c r="F162" s="1"/>
      <c r="G162" s="1"/>
      <c r="M162" s="1"/>
    </row>
    <row r="163" ht="15.75" customHeight="1">
      <c r="D163" s="1"/>
      <c r="E163" s="1"/>
      <c r="F163" s="1"/>
      <c r="G163" s="1"/>
      <c r="M163" s="1"/>
    </row>
    <row r="164" ht="15.75" customHeight="1">
      <c r="D164" s="1"/>
      <c r="E164" s="1"/>
      <c r="F164" s="1"/>
      <c r="G164" s="1"/>
      <c r="M164" s="1"/>
    </row>
    <row r="165" ht="15.75" customHeight="1">
      <c r="D165" s="1"/>
      <c r="E165" s="1"/>
      <c r="F165" s="1"/>
      <c r="G165" s="1"/>
      <c r="M165" s="1"/>
    </row>
    <row r="166" ht="15.75" customHeight="1">
      <c r="D166" s="1"/>
      <c r="E166" s="1"/>
      <c r="F166" s="1"/>
      <c r="G166" s="1"/>
      <c r="M166" s="1"/>
    </row>
    <row r="167" ht="15.75" customHeight="1">
      <c r="D167" s="1"/>
      <c r="E167" s="1"/>
      <c r="F167" s="1"/>
      <c r="G167" s="1"/>
      <c r="M167" s="1"/>
    </row>
    <row r="168" ht="15.75" customHeight="1">
      <c r="D168" s="1"/>
      <c r="E168" s="1"/>
      <c r="F168" s="1"/>
      <c r="G168" s="1"/>
      <c r="M168" s="1"/>
    </row>
    <row r="169" ht="15.75" customHeight="1">
      <c r="A169" s="1"/>
      <c r="B169" s="1"/>
      <c r="C169" s="1"/>
      <c r="D169" s="1"/>
      <c r="E169" s="1"/>
      <c r="F169" s="1"/>
      <c r="G169" s="1"/>
      <c r="M169" s="1"/>
    </row>
    <row r="170" ht="15.75" customHeight="1">
      <c r="A170" s="1"/>
      <c r="B170" s="1"/>
      <c r="C170" s="1"/>
      <c r="D170" s="1"/>
      <c r="E170" s="1"/>
      <c r="F170" s="1"/>
      <c r="G170" s="1"/>
      <c r="M170" s="1"/>
    </row>
    <row r="171" ht="15.75" customHeight="1">
      <c r="A171" s="1"/>
      <c r="B171" s="1"/>
      <c r="C171" s="1"/>
      <c r="D171" s="1"/>
      <c r="E171" s="1"/>
      <c r="F171" s="1"/>
      <c r="G171" s="1"/>
      <c r="M171" s="1"/>
    </row>
    <row r="172" ht="15.75" customHeight="1">
      <c r="A172" s="1"/>
      <c r="B172" s="1"/>
      <c r="C172" s="1"/>
      <c r="D172" s="1"/>
      <c r="E172" s="1"/>
      <c r="F172" s="1"/>
      <c r="G172" s="1"/>
      <c r="M172" s="1"/>
    </row>
    <row r="173" ht="15.75" customHeight="1">
      <c r="A173" s="1"/>
      <c r="B173" s="1"/>
      <c r="C173" s="1"/>
      <c r="D173" s="1"/>
      <c r="E173" s="1"/>
      <c r="F173" s="1"/>
      <c r="G173" s="1"/>
      <c r="M173" s="1"/>
    </row>
    <row r="174" ht="15.75" customHeight="1">
      <c r="A174" s="1"/>
      <c r="B174" s="1"/>
      <c r="C174" s="1"/>
      <c r="D174" s="1"/>
      <c r="E174" s="1"/>
      <c r="F174" s="1"/>
      <c r="G174" s="1"/>
      <c r="M174" s="1"/>
    </row>
    <row r="175" ht="15.75" customHeight="1">
      <c r="A175" s="1"/>
      <c r="B175" s="1"/>
      <c r="C175" s="1"/>
      <c r="D175" s="1"/>
      <c r="E175" s="1"/>
      <c r="F175" s="1"/>
      <c r="G175" s="1"/>
      <c r="M175" s="1"/>
    </row>
    <row r="176" ht="15.75" customHeight="1">
      <c r="A176" s="1"/>
      <c r="B176" s="1"/>
      <c r="C176" s="1"/>
      <c r="D176" s="1"/>
      <c r="E176" s="1"/>
      <c r="F176" s="1"/>
      <c r="G176" s="1"/>
      <c r="M176" s="1"/>
    </row>
    <row r="177" ht="15.75" customHeight="1">
      <c r="A177" s="1"/>
      <c r="B177" s="1"/>
      <c r="C177" s="1"/>
      <c r="D177" s="1"/>
      <c r="E177" s="1"/>
      <c r="F177" s="1"/>
      <c r="G177" s="1"/>
      <c r="M177" s="1"/>
    </row>
    <row r="178" ht="15.75" customHeight="1">
      <c r="A178" s="1"/>
      <c r="B178" s="1"/>
      <c r="C178" s="1"/>
      <c r="G178" s="1"/>
      <c r="M178" s="1"/>
    </row>
    <row r="179" ht="15.75" customHeight="1">
      <c r="A179" s="1"/>
      <c r="B179" s="1"/>
      <c r="C179" s="1"/>
      <c r="G179" s="1"/>
      <c r="M179" s="1"/>
    </row>
    <row r="180" ht="15.75" customHeight="1">
      <c r="A180" s="1"/>
      <c r="B180" s="1"/>
      <c r="C180" s="1"/>
      <c r="G180" s="1"/>
      <c r="M180" s="1"/>
    </row>
    <row r="181" ht="15.75" customHeight="1">
      <c r="A181" s="1"/>
      <c r="B181" s="1"/>
      <c r="C181" s="1"/>
      <c r="G181" s="1"/>
      <c r="M181" s="1"/>
    </row>
    <row r="182" ht="15.75" customHeight="1">
      <c r="A182" s="1"/>
      <c r="B182" s="1"/>
      <c r="C182" s="1"/>
      <c r="G182" s="1"/>
      <c r="M182" s="1"/>
    </row>
    <row r="183" ht="15.75" customHeight="1">
      <c r="A183" s="1"/>
      <c r="B183" s="1"/>
      <c r="C183" s="1"/>
      <c r="G183" s="1"/>
    </row>
    <row r="184" ht="15.75" customHeight="1">
      <c r="A184" s="1"/>
      <c r="B184" s="1"/>
      <c r="C184" s="1"/>
      <c r="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8">
    <mergeCell ref="M59:M65"/>
    <mergeCell ref="K66:M71"/>
    <mergeCell ref="J32:J34"/>
    <mergeCell ref="H36:M36"/>
    <mergeCell ref="K38:M48"/>
    <mergeCell ref="J45:J47"/>
    <mergeCell ref="H49:M49"/>
    <mergeCell ref="J52:J58"/>
    <mergeCell ref="M52:M58"/>
    <mergeCell ref="Q81:Q82"/>
    <mergeCell ref="H82:M82"/>
    <mergeCell ref="C66:C68"/>
    <mergeCell ref="A70:F70"/>
    <mergeCell ref="D72:F82"/>
    <mergeCell ref="H72:M72"/>
    <mergeCell ref="K73:M81"/>
    <mergeCell ref="O78:T78"/>
    <mergeCell ref="C79:C81"/>
    <mergeCell ref="A2:F2"/>
    <mergeCell ref="C5:C6"/>
    <mergeCell ref="K8:M22"/>
    <mergeCell ref="A23:F23"/>
    <mergeCell ref="H23:M23"/>
    <mergeCell ref="K25:M35"/>
    <mergeCell ref="C26:C27"/>
    <mergeCell ref="D8:F22"/>
    <mergeCell ref="D29:F43"/>
    <mergeCell ref="A44:F44"/>
    <mergeCell ref="D46:F56"/>
    <mergeCell ref="C53:C55"/>
    <mergeCell ref="A57:F57"/>
    <mergeCell ref="D59:F69"/>
    <mergeCell ref="H103:J104"/>
    <mergeCell ref="K103:M104"/>
    <mergeCell ref="D107:F115"/>
    <mergeCell ref="D118:F130"/>
    <mergeCell ref="C127:C129"/>
    <mergeCell ref="A83:F83"/>
    <mergeCell ref="D85:F95"/>
    <mergeCell ref="C92:C94"/>
    <mergeCell ref="K92:M102"/>
    <mergeCell ref="A96:F96"/>
    <mergeCell ref="D97:F105"/>
    <mergeCell ref="J99:J101"/>
    <mergeCell ref="Y30:AA40"/>
    <mergeCell ref="O36:T36"/>
    <mergeCell ref="X37:X39"/>
    <mergeCell ref="Q39:Q40"/>
    <mergeCell ref="V41:AA41"/>
    <mergeCell ref="X50:X52"/>
    <mergeCell ref="V54:AA54"/>
    <mergeCell ref="O57:T57"/>
    <mergeCell ref="Y43:AA53"/>
    <mergeCell ref="Y56:AA66"/>
    <mergeCell ref="X63:X65"/>
    <mergeCell ref="V67:AA67"/>
    <mergeCell ref="Y69:AA79"/>
    <mergeCell ref="X76:X78"/>
    <mergeCell ref="V80:AA80"/>
    <mergeCell ref="A1:F1"/>
    <mergeCell ref="H1:M1"/>
    <mergeCell ref="H2:M2"/>
    <mergeCell ref="O2:T2"/>
    <mergeCell ref="V2:AA2"/>
    <mergeCell ref="Y4:AA14"/>
    <mergeCell ref="J5:J6"/>
    <mergeCell ref="X11:X13"/>
    <mergeCell ref="O15:T15"/>
    <mergeCell ref="V15:AA15"/>
    <mergeCell ref="Y17:AA27"/>
    <mergeCell ref="Q18:Q19"/>
    <mergeCell ref="X24:X26"/>
    <mergeCell ref="V28:AA28"/>
    <mergeCell ref="Y82:AA92"/>
    <mergeCell ref="K83:M89"/>
    <mergeCell ref="X89:X91"/>
    <mergeCell ref="H90:M90"/>
    <mergeCell ref="V93:AA93"/>
    <mergeCell ref="O99:T99"/>
    <mergeCell ref="Y95:AA105"/>
    <mergeCell ref="X102:X104"/>
    <mergeCell ref="A106:F106"/>
    <mergeCell ref="V106:AA106"/>
    <mergeCell ref="O109:T109"/>
    <mergeCell ref="A116:F116"/>
    <mergeCell ref="R100:T108"/>
    <mergeCell ref="R110:T118"/>
    <mergeCell ref="R4:T14"/>
    <mergeCell ref="Q11:Q13"/>
    <mergeCell ref="R21:T35"/>
    <mergeCell ref="R42:T56"/>
    <mergeCell ref="Q60:Q61"/>
    <mergeCell ref="R63:T77"/>
    <mergeCell ref="R84:T98"/>
    <mergeCell ref="Y108:AA118"/>
    <mergeCell ref="X115:X117"/>
    <mergeCell ref="V122:X123"/>
    <mergeCell ref="Y122:AA12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3" max="13" width="28.0"/>
    <col customWidth="1" min="14" max="14" width="21.38"/>
  </cols>
  <sheetData>
    <row r="1" ht="15.75" customHeight="1">
      <c r="A1" s="56" t="s">
        <v>133</v>
      </c>
      <c r="B1" s="57"/>
      <c r="C1" s="57"/>
      <c r="D1" s="57"/>
      <c r="E1" s="57"/>
      <c r="F1" s="57"/>
      <c r="G1" s="58" t="s">
        <v>134</v>
      </c>
      <c r="H1" s="57"/>
      <c r="I1" s="57"/>
      <c r="J1" s="57"/>
      <c r="K1" s="57"/>
      <c r="L1" s="57"/>
      <c r="M1" s="57"/>
      <c r="N1" s="57"/>
    </row>
    <row r="2" ht="15.75" customHeight="1">
      <c r="A2" s="57"/>
      <c r="B2" s="57"/>
      <c r="C2" s="57"/>
      <c r="D2" s="57"/>
      <c r="E2" s="57"/>
      <c r="F2" s="57"/>
      <c r="G2" s="56" t="s">
        <v>135</v>
      </c>
      <c r="H2" s="57"/>
      <c r="I2" s="57"/>
      <c r="J2" s="57"/>
      <c r="K2" s="57"/>
      <c r="L2" s="57"/>
      <c r="M2" s="57"/>
      <c r="N2" s="57"/>
    </row>
    <row r="3" ht="15.75" customHeight="1">
      <c r="A3" s="59" t="s">
        <v>136</v>
      </c>
      <c r="B3" s="60" t="s">
        <v>137</v>
      </c>
      <c r="C3" s="61"/>
      <c r="D3" s="61"/>
      <c r="E3" s="61"/>
      <c r="F3" s="61"/>
      <c r="G3" s="59"/>
      <c r="H3" s="59"/>
      <c r="I3" s="59"/>
      <c r="J3" s="59"/>
      <c r="K3" s="59" t="s">
        <v>138</v>
      </c>
      <c r="L3" s="60" t="s">
        <v>139</v>
      </c>
      <c r="M3" s="61"/>
      <c r="N3" s="57"/>
    </row>
    <row r="4" ht="15.75" customHeight="1">
      <c r="A4" s="59" t="s">
        <v>140</v>
      </c>
      <c r="B4" s="60" t="s">
        <v>141</v>
      </c>
      <c r="C4" s="61"/>
      <c r="D4" s="61"/>
      <c r="E4" s="61"/>
      <c r="F4" s="61"/>
      <c r="G4" s="59"/>
      <c r="H4" s="59"/>
      <c r="I4" s="59"/>
      <c r="J4" s="59"/>
      <c r="K4" s="59" t="s">
        <v>142</v>
      </c>
      <c r="L4" s="62">
        <v>123456.0</v>
      </c>
      <c r="M4" s="61"/>
      <c r="N4" s="57"/>
    </row>
    <row r="5" ht="15.75" customHeight="1">
      <c r="A5" s="59" t="s">
        <v>143</v>
      </c>
      <c r="B5" s="60" t="s">
        <v>144</v>
      </c>
      <c r="C5" s="61"/>
      <c r="D5" s="61"/>
      <c r="E5" s="61"/>
      <c r="F5" s="61"/>
      <c r="G5" s="59"/>
      <c r="H5" s="59"/>
      <c r="I5" s="59"/>
      <c r="J5" s="59"/>
      <c r="K5" s="59" t="s">
        <v>145</v>
      </c>
      <c r="L5" s="60" t="s">
        <v>146</v>
      </c>
      <c r="M5" s="61"/>
      <c r="N5" s="57"/>
    </row>
    <row r="6" ht="15.75" customHeight="1">
      <c r="A6" s="59" t="s">
        <v>147</v>
      </c>
      <c r="B6" s="61" t="s">
        <v>148</v>
      </c>
      <c r="C6" s="61"/>
      <c r="D6" s="61"/>
      <c r="E6" s="61"/>
      <c r="F6" s="61"/>
      <c r="G6" s="59"/>
      <c r="H6" s="59"/>
      <c r="I6" s="59"/>
      <c r="J6" s="59"/>
      <c r="K6" s="59" t="s">
        <v>149</v>
      </c>
      <c r="L6" s="63">
        <v>44616.0</v>
      </c>
      <c r="M6" s="64"/>
      <c r="N6" s="57"/>
    </row>
    <row r="7" ht="15.75" customHeight="1">
      <c r="A7" s="59" t="s">
        <v>150</v>
      </c>
      <c r="B7" s="60" t="s">
        <v>151</v>
      </c>
      <c r="C7" s="61"/>
      <c r="D7" s="61"/>
      <c r="E7" s="61"/>
      <c r="F7" s="61"/>
      <c r="G7" s="59"/>
      <c r="H7" s="59"/>
      <c r="I7" s="59"/>
      <c r="J7" s="59"/>
      <c r="K7" s="59"/>
      <c r="L7" s="59"/>
      <c r="M7" s="59"/>
      <c r="N7" s="57"/>
    </row>
    <row r="8" ht="15.75" customHeight="1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9" t="s">
        <v>152</v>
      </c>
      <c r="N8" s="57"/>
    </row>
    <row r="9" ht="15.75" customHeight="1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65" t="s">
        <v>153</v>
      </c>
      <c r="N9" s="66" t="s">
        <v>154</v>
      </c>
    </row>
    <row r="10" ht="15.75" customHeight="1">
      <c r="A10" s="67" t="s">
        <v>155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68">
        <f>'Sizing Carbonylation'!L103/10^3</f>
        <v>8544.051405</v>
      </c>
    </row>
    <row r="11" ht="15.75" customHeight="1">
      <c r="A11" s="67" t="s">
        <v>156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69">
        <v>0.1</v>
      </c>
      <c r="M11" s="70" t="s">
        <v>157</v>
      </c>
      <c r="N11" s="71">
        <f>L11*N10</f>
        <v>854.4051405</v>
      </c>
    </row>
    <row r="12" ht="15.75" customHeight="1">
      <c r="A12" s="57"/>
      <c r="B12" s="59" t="s">
        <v>158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71">
        <f>SUM(N10:N11)</f>
        <v>9398.456546</v>
      </c>
    </row>
    <row r="13" ht="15.75" customHeight="1">
      <c r="A13" s="67" t="s">
        <v>159</v>
      </c>
      <c r="B13" s="57"/>
      <c r="C13" s="57"/>
      <c r="D13" s="57"/>
      <c r="E13" s="57"/>
      <c r="F13" s="69">
        <v>0.05</v>
      </c>
      <c r="G13" s="69">
        <v>0.1</v>
      </c>
      <c r="H13" s="69">
        <v>0.1</v>
      </c>
      <c r="I13" s="57"/>
      <c r="J13" s="57"/>
      <c r="K13" s="57"/>
      <c r="L13" s="72">
        <v>0.0</v>
      </c>
      <c r="M13" s="70" t="s">
        <v>160</v>
      </c>
      <c r="N13" s="71">
        <f>ROUND(+L13*N12,-1)</f>
        <v>0</v>
      </c>
    </row>
    <row r="14" ht="15.75" customHeight="1">
      <c r="A14" s="67" t="s">
        <v>161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73"/>
    </row>
    <row r="15" ht="15.75" customHeight="1">
      <c r="A15" s="67" t="s">
        <v>162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69">
        <v>0.0</v>
      </c>
      <c r="M15" s="70" t="s">
        <v>157</v>
      </c>
      <c r="N15" s="71">
        <f>ROUND(+L15*(N12+N14),-1)</f>
        <v>0</v>
      </c>
    </row>
    <row r="16" ht="15.75" customHeight="1">
      <c r="A16" s="57"/>
      <c r="B16" s="59" t="s">
        <v>163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71">
        <f>SUM(N12:N15)</f>
        <v>9398.456546</v>
      </c>
    </row>
    <row r="17" ht="15.75" customHeight="1">
      <c r="A17" s="67" t="s">
        <v>164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69">
        <v>0.0</v>
      </c>
      <c r="M17" s="70" t="s">
        <v>165</v>
      </c>
      <c r="N17" s="71">
        <f>ROUND(+L17*N16,-1)</f>
        <v>0</v>
      </c>
    </row>
    <row r="18" ht="15.75" customHeight="1">
      <c r="A18" s="67" t="s">
        <v>166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69">
        <v>0.0</v>
      </c>
      <c r="M18" s="70" t="s">
        <v>167</v>
      </c>
      <c r="N18" s="71">
        <f>ROUND(+L18*N16,-1)</f>
        <v>0</v>
      </c>
    </row>
    <row r="19" ht="15.75" customHeight="1">
      <c r="A19" s="67" t="s">
        <v>168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69">
        <v>0.0</v>
      </c>
      <c r="M19" s="70" t="s">
        <v>169</v>
      </c>
      <c r="N19" s="71">
        <f>ROUND(+L19*N16,-1)</f>
        <v>0</v>
      </c>
    </row>
    <row r="20" ht="15.75" customHeight="1">
      <c r="A20" s="67" t="s">
        <v>170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68">
        <v>0.0</v>
      </c>
    </row>
    <row r="21" ht="15.75" customHeight="1">
      <c r="A21" s="67" t="s">
        <v>171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68">
        <v>0.0</v>
      </c>
    </row>
    <row r="22" ht="15.75" customHeight="1">
      <c r="A22" s="67" t="s">
        <v>172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68">
        <v>0.0</v>
      </c>
    </row>
    <row r="23" ht="15.75" customHeight="1">
      <c r="A23" s="57"/>
      <c r="B23" s="59" t="s">
        <v>173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71">
        <f>SUM(N16:N22)</f>
        <v>9398.456546</v>
      </c>
    </row>
    <row r="24" ht="15.75" customHeight="1">
      <c r="A24" s="67" t="s">
        <v>174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73"/>
    </row>
    <row r="25" ht="15.75" customHeight="1">
      <c r="A25" s="67" t="s">
        <v>175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74" t="s">
        <v>176</v>
      </c>
      <c r="N25" s="68">
        <f>('Sizing Carbonylation'!C121+'Sizing Carbonylation'!J94)/10^3/2</f>
        <v>277.7500192</v>
      </c>
    </row>
    <row r="26" ht="15.75" customHeight="1">
      <c r="A26" s="67" t="s">
        <v>177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68">
        <v>0.0</v>
      </c>
    </row>
    <row r="27" ht="15.75" customHeight="1">
      <c r="A27" s="67" t="s">
        <v>178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69">
        <v>0.1</v>
      </c>
      <c r="M27" s="70" t="s">
        <v>157</v>
      </c>
      <c r="N27" s="71">
        <f>ROUND(+L27*N23,-1)</f>
        <v>940</v>
      </c>
    </row>
    <row r="28" ht="15.75" customHeight="1">
      <c r="A28" s="57"/>
      <c r="B28" s="59" t="s">
        <v>179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71">
        <f>SUM(N23:N27)</f>
        <v>10616.20656</v>
      </c>
    </row>
    <row r="29" ht="15.75" customHeight="1">
      <c r="A29" s="67" t="s">
        <v>180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68">
        <v>0.0</v>
      </c>
    </row>
    <row r="30" ht="15.75" customHeight="1">
      <c r="A30" s="67" t="s">
        <v>181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69">
        <v>0.1</v>
      </c>
      <c r="M30" s="70" t="s">
        <v>182</v>
      </c>
      <c r="N30" s="71">
        <f>ROUND(+L30*N28,-1)</f>
        <v>1060</v>
      </c>
    </row>
    <row r="31" ht="15.75" customHeight="1">
      <c r="A31" s="67" t="s">
        <v>183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73"/>
    </row>
    <row r="32" ht="15.75" customHeight="1">
      <c r="A32" s="67" t="s">
        <v>184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69">
        <v>0.05</v>
      </c>
      <c r="M32" s="70" t="s">
        <v>185</v>
      </c>
      <c r="N32" s="71">
        <f>ROUND(+L32*N28,-1)</f>
        <v>530</v>
      </c>
    </row>
    <row r="33" ht="15.75" customHeight="1">
      <c r="A33" s="57" t="s">
        <v>186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73"/>
    </row>
    <row r="34" ht="15.75" customHeight="1">
      <c r="A34" s="57"/>
      <c r="B34" s="59" t="s">
        <v>187</v>
      </c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71">
        <f>SUM(N28:N33)</f>
        <v>12206.20656</v>
      </c>
    </row>
    <row r="35" ht="15.75" customHeight="1">
      <c r="A35" s="67" t="s">
        <v>188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69">
        <v>0.2</v>
      </c>
      <c r="M35" s="70" t="s">
        <v>189</v>
      </c>
      <c r="N35" s="71">
        <f>ROUND(+L35*N34,0)</f>
        <v>2441</v>
      </c>
    </row>
    <row r="36" ht="15.75" customHeight="1">
      <c r="A36" s="67" t="s">
        <v>190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69">
        <v>0.1</v>
      </c>
      <c r="M36" s="70" t="s">
        <v>191</v>
      </c>
      <c r="N36" s="71">
        <f>ROUND(+L36*N34,0)</f>
        <v>1221</v>
      </c>
    </row>
    <row r="37" ht="15.75" customHeight="1">
      <c r="A37" s="57"/>
      <c r="B37" s="59" t="s">
        <v>192</v>
      </c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71">
        <f>SUM(N34:N36)</f>
        <v>15868.20656</v>
      </c>
    </row>
    <row r="38" ht="15.75" customHeight="1">
      <c r="A38" s="67" t="s">
        <v>193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69">
        <v>0.3</v>
      </c>
      <c r="M38" s="70" t="s">
        <v>194</v>
      </c>
      <c r="N38" s="75"/>
    </row>
    <row r="39" ht="15.75" customHeight="1">
      <c r="A39" s="67" t="s">
        <v>195</v>
      </c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69">
        <v>0.0</v>
      </c>
      <c r="M39" s="70" t="s">
        <v>157</v>
      </c>
      <c r="N39" s="71">
        <f>ROUND(ROUND(+L39*L38*N37,0),-1)</f>
        <v>0</v>
      </c>
    </row>
    <row r="40" ht="15.75" customHeight="1">
      <c r="A40" s="67" t="s">
        <v>196</v>
      </c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69">
        <v>0.0</v>
      </c>
      <c r="M40" s="70" t="s">
        <v>197</v>
      </c>
      <c r="N40" s="71">
        <f>ROUND(ROUND(+L40*(1-L38)*N37,0),-1)</f>
        <v>0</v>
      </c>
    </row>
    <row r="41" ht="15.75" customHeight="1">
      <c r="A41" s="57" t="s">
        <v>198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69">
        <v>0.0</v>
      </c>
      <c r="M41" s="70" t="s">
        <v>199</v>
      </c>
      <c r="N41" s="71">
        <f>ROUND(ROUND(+L41*(1-L38)*N37,0),-1)</f>
        <v>0</v>
      </c>
    </row>
    <row r="42" ht="15.75" customHeight="1">
      <c r="A42" s="67" t="s">
        <v>200</v>
      </c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69">
        <v>0.0</v>
      </c>
      <c r="M42" s="70" t="s">
        <v>201</v>
      </c>
      <c r="N42" s="71">
        <f>ROUND(+L42*L38*N37+L42*N39,-1)</f>
        <v>0</v>
      </c>
    </row>
    <row r="43" ht="15.75" customHeight="1">
      <c r="A43" s="57"/>
      <c r="B43" s="57" t="s">
        <v>202</v>
      </c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71">
        <f>SUM(N37:N42)</f>
        <v>15868.20656</v>
      </c>
    </row>
    <row r="44" ht="15.75" customHeight="1">
      <c r="A44" s="67" t="s">
        <v>203</v>
      </c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69">
        <v>0.03</v>
      </c>
      <c r="M44" s="70" t="s">
        <v>185</v>
      </c>
      <c r="N44" s="71">
        <f>L44*N43*L38</f>
        <v>142.8138591</v>
      </c>
    </row>
    <row r="45" ht="15.75" customHeight="1">
      <c r="A45" s="67" t="s">
        <v>204</v>
      </c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69">
        <v>0.03</v>
      </c>
      <c r="M45" s="70" t="s">
        <v>205</v>
      </c>
      <c r="N45" s="71">
        <f>ROUND(+L45*N43,-1)</f>
        <v>480</v>
      </c>
    </row>
    <row r="46" ht="15.75" customHeight="1">
      <c r="A46" s="57"/>
      <c r="B46" s="57" t="s">
        <v>206</v>
      </c>
      <c r="C46" s="57"/>
      <c r="D46" s="57"/>
      <c r="E46" s="57"/>
      <c r="F46" s="57"/>
      <c r="G46" s="57"/>
      <c r="H46" s="59" t="s">
        <v>207</v>
      </c>
      <c r="I46" s="57"/>
      <c r="J46" s="59"/>
      <c r="K46" s="59" t="s">
        <v>208</v>
      </c>
      <c r="L46" s="76">
        <v>567.0</v>
      </c>
      <c r="M46" s="57"/>
      <c r="N46" s="71">
        <f>SUM(N43:N45)</f>
        <v>16491.02042</v>
      </c>
    </row>
    <row r="47" ht="15.75" customHeight="1">
      <c r="A47" s="77" t="s">
        <v>209</v>
      </c>
      <c r="B47" s="78" t="s">
        <v>210</v>
      </c>
      <c r="C47" s="77" t="s">
        <v>211</v>
      </c>
      <c r="D47" s="61" t="s">
        <v>212</v>
      </c>
      <c r="E47" s="77" t="s">
        <v>213</v>
      </c>
      <c r="F47" s="61" t="s">
        <v>214</v>
      </c>
      <c r="G47" s="57"/>
      <c r="H47" s="57"/>
      <c r="I47" s="57"/>
      <c r="J47" s="59" t="s">
        <v>215</v>
      </c>
      <c r="K47" s="59" t="s">
        <v>208</v>
      </c>
      <c r="L47" s="76">
        <v>747.0</v>
      </c>
      <c r="M47" s="57"/>
      <c r="N47" s="75"/>
    </row>
    <row r="48" ht="15.75" customHeight="1">
      <c r="A48" s="67" t="s">
        <v>216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72">
        <f>L47/L46-1</f>
        <v>0.3174603175</v>
      </c>
      <c r="M48" s="79"/>
      <c r="N48" s="71">
        <f>ROUND(ROUND(+L48*N46,0),-1)</f>
        <v>5240</v>
      </c>
    </row>
    <row r="49" ht="15.75" customHeight="1">
      <c r="A49" s="57"/>
      <c r="B49" s="67" t="s">
        <v>217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71">
        <f>SUM(N46:N48)</f>
        <v>21731.02042</v>
      </c>
    </row>
    <row r="50" ht="15.75" customHeight="1">
      <c r="A50" s="67" t="s">
        <v>218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69">
        <v>0.1</v>
      </c>
      <c r="M50" s="70" t="s">
        <v>219</v>
      </c>
      <c r="N50" s="71">
        <f>ROUND(ROUND(+L50*N49/(1-L50-L51),0),-1)</f>
        <v>2420</v>
      </c>
    </row>
    <row r="51" ht="15.75" customHeight="1">
      <c r="A51" s="67" t="s">
        <v>220</v>
      </c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69">
        <v>0.0</v>
      </c>
      <c r="M51" s="70" t="s">
        <v>221</v>
      </c>
      <c r="N51" s="71">
        <f>ROUND(ROUND(+L51*N49/(1-L51-L50),0),-1)</f>
        <v>0</v>
      </c>
    </row>
    <row r="52" ht="15.75" customHeight="1">
      <c r="A52" s="67" t="s">
        <v>222</v>
      </c>
      <c r="B52" s="57"/>
      <c r="C52" s="57"/>
      <c r="D52" s="57"/>
      <c r="E52" s="67" t="s">
        <v>223</v>
      </c>
      <c r="F52" s="57"/>
      <c r="G52" s="57"/>
      <c r="H52" s="57"/>
      <c r="I52" s="57"/>
      <c r="J52" s="57"/>
      <c r="K52" s="57"/>
      <c r="L52" s="57"/>
      <c r="M52" s="57"/>
      <c r="N52" s="68">
        <v>0.0</v>
      </c>
    </row>
    <row r="53" ht="15.75" customHeight="1">
      <c r="A53" s="67" t="s">
        <v>224</v>
      </c>
      <c r="B53" s="57"/>
      <c r="C53" s="57"/>
      <c r="D53" s="57"/>
      <c r="E53" s="57"/>
      <c r="F53" s="57" t="s">
        <v>225</v>
      </c>
      <c r="G53" s="57"/>
      <c r="H53" s="57"/>
      <c r="I53" s="57"/>
      <c r="J53" s="57"/>
      <c r="K53" s="57"/>
      <c r="L53" s="57"/>
      <c r="M53" s="57"/>
      <c r="N53" s="68">
        <v>0.0</v>
      </c>
    </row>
    <row r="54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>
        <f>N54/'VGA Esterification'!N54</f>
        <v>2.108821135</v>
      </c>
      <c r="K54" s="57"/>
      <c r="L54" s="65" t="s">
        <v>226</v>
      </c>
      <c r="N54" s="80">
        <f>SUM(N49:N53)</f>
        <v>24151.02042</v>
      </c>
    </row>
    <row r="55" ht="15.75" customHeight="1"/>
  </sheetData>
  <mergeCells count="1">
    <mergeCell ref="L54:M5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4" max="14" width="21.38"/>
  </cols>
  <sheetData>
    <row r="1" ht="15.75" customHeight="1">
      <c r="A1" s="56" t="s">
        <v>133</v>
      </c>
      <c r="B1" s="57"/>
      <c r="C1" s="57"/>
      <c r="D1" s="57"/>
      <c r="E1" s="57"/>
      <c r="F1" s="57"/>
      <c r="G1" s="58" t="s">
        <v>227</v>
      </c>
      <c r="H1" s="57"/>
      <c r="I1" s="57"/>
      <c r="J1" s="57"/>
      <c r="K1" s="57"/>
      <c r="L1" s="57"/>
      <c r="M1" s="57"/>
      <c r="N1" s="57"/>
    </row>
    <row r="2" ht="15.75" customHeight="1">
      <c r="A2" s="57"/>
      <c r="B2" s="57"/>
      <c r="C2" s="57"/>
      <c r="D2" s="57"/>
      <c r="E2" s="57"/>
      <c r="F2" s="57"/>
      <c r="G2" s="56" t="s">
        <v>135</v>
      </c>
      <c r="H2" s="57"/>
      <c r="I2" s="57"/>
      <c r="J2" s="57"/>
      <c r="K2" s="57"/>
      <c r="L2" s="57"/>
      <c r="M2" s="57"/>
      <c r="N2" s="57"/>
    </row>
    <row r="3" ht="15.75" customHeight="1">
      <c r="A3" s="59" t="s">
        <v>136</v>
      </c>
      <c r="B3" s="60" t="s">
        <v>137</v>
      </c>
      <c r="C3" s="61"/>
      <c r="D3" s="61"/>
      <c r="E3" s="61"/>
      <c r="F3" s="61"/>
      <c r="G3" s="59"/>
      <c r="H3" s="59"/>
      <c r="I3" s="59"/>
      <c r="J3" s="59"/>
      <c r="K3" s="59" t="s">
        <v>138</v>
      </c>
      <c r="L3" s="60" t="s">
        <v>139</v>
      </c>
      <c r="M3" s="61"/>
      <c r="N3" s="57"/>
    </row>
    <row r="4" ht="15.75" customHeight="1">
      <c r="A4" s="59" t="s">
        <v>140</v>
      </c>
      <c r="B4" s="60" t="s">
        <v>141</v>
      </c>
      <c r="C4" s="61"/>
      <c r="D4" s="61"/>
      <c r="E4" s="61"/>
      <c r="F4" s="61"/>
      <c r="G4" s="59"/>
      <c r="H4" s="59"/>
      <c r="I4" s="59"/>
      <c r="J4" s="59"/>
      <c r="K4" s="59" t="s">
        <v>142</v>
      </c>
      <c r="L4" s="62">
        <v>123456.0</v>
      </c>
      <c r="M4" s="61"/>
      <c r="N4" s="57"/>
    </row>
    <row r="5" ht="15.75" customHeight="1">
      <c r="A5" s="59" t="s">
        <v>143</v>
      </c>
      <c r="B5" s="60" t="s">
        <v>144</v>
      </c>
      <c r="C5" s="61"/>
      <c r="D5" s="61"/>
      <c r="E5" s="61"/>
      <c r="F5" s="61"/>
      <c r="G5" s="59"/>
      <c r="H5" s="59"/>
      <c r="I5" s="59"/>
      <c r="J5" s="59"/>
      <c r="K5" s="59" t="s">
        <v>145</v>
      </c>
      <c r="L5" s="60" t="s">
        <v>146</v>
      </c>
      <c r="M5" s="61"/>
      <c r="N5" s="57"/>
    </row>
    <row r="6" ht="15.75" customHeight="1">
      <c r="A6" s="59" t="s">
        <v>147</v>
      </c>
      <c r="B6" s="61" t="s">
        <v>148</v>
      </c>
      <c r="C6" s="61"/>
      <c r="D6" s="61"/>
      <c r="E6" s="61"/>
      <c r="F6" s="61"/>
      <c r="G6" s="59"/>
      <c r="H6" s="59"/>
      <c r="I6" s="59"/>
      <c r="J6" s="59"/>
      <c r="K6" s="59" t="s">
        <v>149</v>
      </c>
      <c r="L6" s="63">
        <v>44616.0</v>
      </c>
      <c r="M6" s="64"/>
      <c r="N6" s="57"/>
    </row>
    <row r="7" ht="15.75" customHeight="1">
      <c r="A7" s="59" t="s">
        <v>150</v>
      </c>
      <c r="B7" s="60" t="s">
        <v>151</v>
      </c>
      <c r="C7" s="61"/>
      <c r="D7" s="61"/>
      <c r="E7" s="61"/>
      <c r="F7" s="61"/>
      <c r="G7" s="59"/>
      <c r="H7" s="59"/>
      <c r="I7" s="59"/>
      <c r="J7" s="59"/>
      <c r="K7" s="59"/>
      <c r="L7" s="59"/>
      <c r="M7" s="59"/>
      <c r="N7" s="57"/>
    </row>
    <row r="8" ht="15.75" customHeight="1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9" t="s">
        <v>152</v>
      </c>
      <c r="N8" s="57"/>
    </row>
    <row r="9" ht="15.75" customHeight="1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65" t="s">
        <v>153</v>
      </c>
      <c r="N9" s="66" t="s">
        <v>154</v>
      </c>
    </row>
    <row r="10" ht="15.75" customHeight="1">
      <c r="A10" s="67" t="s">
        <v>155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68">
        <f>'Sizing Esterification'!Y122/1000</f>
        <v>3870.598009</v>
      </c>
    </row>
    <row r="11" ht="15.75" customHeight="1">
      <c r="A11" s="67" t="s">
        <v>156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69">
        <v>0.1</v>
      </c>
      <c r="M11" s="70" t="s">
        <v>157</v>
      </c>
      <c r="N11" s="71">
        <f>L11*N10</f>
        <v>387.0598009</v>
      </c>
    </row>
    <row r="12" ht="15.75" customHeight="1">
      <c r="A12" s="57"/>
      <c r="B12" s="59" t="s">
        <v>158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71">
        <f>SUM(N10:N11)</f>
        <v>4257.65781</v>
      </c>
    </row>
    <row r="13" ht="15.75" customHeight="1">
      <c r="A13" s="67" t="s">
        <v>159</v>
      </c>
      <c r="B13" s="57"/>
      <c r="C13" s="57"/>
      <c r="D13" s="57"/>
      <c r="E13" s="57"/>
      <c r="F13" s="69">
        <v>0.05</v>
      </c>
      <c r="G13" s="69">
        <v>0.1</v>
      </c>
      <c r="H13" s="69">
        <v>0.1</v>
      </c>
      <c r="I13" s="57"/>
      <c r="J13" s="57"/>
      <c r="K13" s="57"/>
      <c r="L13" s="72">
        <v>0.0</v>
      </c>
      <c r="M13" s="70" t="s">
        <v>160</v>
      </c>
      <c r="N13" s="71">
        <f>ROUND(+L13*N12,-1)</f>
        <v>0</v>
      </c>
    </row>
    <row r="14" ht="15.75" customHeight="1">
      <c r="A14" s="67" t="s">
        <v>161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73"/>
    </row>
    <row r="15" ht="15.75" customHeight="1">
      <c r="A15" s="67" t="s">
        <v>162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69">
        <v>0.0</v>
      </c>
      <c r="M15" s="70" t="s">
        <v>157</v>
      </c>
      <c r="N15" s="71">
        <f>ROUND(+L15*(N12+N14),-1)</f>
        <v>0</v>
      </c>
    </row>
    <row r="16" ht="15.75" customHeight="1">
      <c r="A16" s="57"/>
      <c r="B16" s="59" t="s">
        <v>163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71">
        <f>SUM(N12:N15)</f>
        <v>4257.65781</v>
      </c>
    </row>
    <row r="17" ht="15.75" customHeight="1">
      <c r="A17" s="67" t="s">
        <v>164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69">
        <v>0.0</v>
      </c>
      <c r="M17" s="70" t="s">
        <v>165</v>
      </c>
      <c r="N17" s="71">
        <f>ROUND(+L17*N16,-1)</f>
        <v>0</v>
      </c>
    </row>
    <row r="18" ht="15.75" customHeight="1">
      <c r="A18" s="67" t="s">
        <v>166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69">
        <v>0.0</v>
      </c>
      <c r="M18" s="70" t="s">
        <v>167</v>
      </c>
      <c r="N18" s="71">
        <f>ROUND(+L18*N16,-1)</f>
        <v>0</v>
      </c>
    </row>
    <row r="19" ht="15.75" customHeight="1">
      <c r="A19" s="67" t="s">
        <v>168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69">
        <v>0.0</v>
      </c>
      <c r="M19" s="70" t="s">
        <v>169</v>
      </c>
      <c r="N19" s="71">
        <f>ROUND(+L19*N16,-1)</f>
        <v>0</v>
      </c>
    </row>
    <row r="20" ht="15.75" customHeight="1">
      <c r="A20" s="67" t="s">
        <v>170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68">
        <v>0.0</v>
      </c>
    </row>
    <row r="21" ht="15.75" customHeight="1">
      <c r="A21" s="67" t="s">
        <v>171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68">
        <v>0.0</v>
      </c>
    </row>
    <row r="22" ht="15.75" customHeight="1">
      <c r="A22" s="67" t="s">
        <v>172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68">
        <v>0.0</v>
      </c>
    </row>
    <row r="23" ht="15.75" customHeight="1">
      <c r="A23" s="57"/>
      <c r="B23" s="59" t="s">
        <v>173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71">
        <f>SUM(N16:N22)</f>
        <v>4257.65781</v>
      </c>
    </row>
    <row r="24" ht="15.75" customHeight="1">
      <c r="A24" s="67" t="s">
        <v>174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73"/>
    </row>
    <row r="25" ht="15.75" customHeight="1">
      <c r="A25" s="67" t="s">
        <v>175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81" t="s">
        <v>228</v>
      </c>
      <c r="N25" s="68">
        <f>'Sizing Esterification'!P6/1000</f>
        <v>350</v>
      </c>
    </row>
    <row r="26" ht="15.75" customHeight="1">
      <c r="A26" s="67" t="s">
        <v>177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68">
        <v>0.0</v>
      </c>
    </row>
    <row r="27" ht="15.75" customHeight="1">
      <c r="A27" s="67" t="s">
        <v>178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69">
        <v>0.1</v>
      </c>
      <c r="M27" s="70" t="s">
        <v>157</v>
      </c>
      <c r="N27" s="71">
        <f>ROUND(+L27*N23,-1)</f>
        <v>430</v>
      </c>
    </row>
    <row r="28" ht="15.75" customHeight="1">
      <c r="A28" s="57"/>
      <c r="B28" s="59" t="s">
        <v>179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71">
        <f>SUM(N23:N27)</f>
        <v>5037.65781</v>
      </c>
    </row>
    <row r="29" ht="15.75" customHeight="1">
      <c r="A29" s="67" t="s">
        <v>180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68">
        <v>0.0</v>
      </c>
    </row>
    <row r="30" ht="15.75" customHeight="1">
      <c r="A30" s="67" t="s">
        <v>181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69">
        <v>0.1</v>
      </c>
      <c r="M30" s="70" t="s">
        <v>182</v>
      </c>
      <c r="N30" s="71">
        <f>ROUND(+L30*N28,-1)</f>
        <v>500</v>
      </c>
    </row>
    <row r="31" ht="15.75" customHeight="1">
      <c r="A31" s="67" t="s">
        <v>183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73"/>
    </row>
    <row r="32" ht="15.75" customHeight="1">
      <c r="A32" s="67" t="s">
        <v>184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69">
        <v>0.05</v>
      </c>
      <c r="M32" s="70" t="s">
        <v>185</v>
      </c>
      <c r="N32" s="71">
        <f>ROUND(+L32*N28,-1)</f>
        <v>250</v>
      </c>
    </row>
    <row r="33" ht="15.75" customHeight="1">
      <c r="A33" s="57" t="s">
        <v>186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73"/>
    </row>
    <row r="34" ht="15.75" customHeight="1">
      <c r="A34" s="57"/>
      <c r="B34" s="59" t="s">
        <v>187</v>
      </c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71">
        <f>SUM(N28:N33)</f>
        <v>5787.65781</v>
      </c>
    </row>
    <row r="35" ht="15.75" customHeight="1">
      <c r="A35" s="67" t="s">
        <v>188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69">
        <v>0.2</v>
      </c>
      <c r="M35" s="70" t="s">
        <v>189</v>
      </c>
      <c r="N35" s="71">
        <f>ROUND(+L35*N34,0)</f>
        <v>1158</v>
      </c>
    </row>
    <row r="36" ht="15.75" customHeight="1">
      <c r="A36" s="67" t="s">
        <v>190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69">
        <v>0.1</v>
      </c>
      <c r="M36" s="70" t="s">
        <v>191</v>
      </c>
      <c r="N36" s="71">
        <f>ROUND(+L36*N34,0)</f>
        <v>579</v>
      </c>
    </row>
    <row r="37" ht="15.75" customHeight="1">
      <c r="A37" s="57"/>
      <c r="B37" s="59" t="s">
        <v>192</v>
      </c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71">
        <f>SUM(N34:N36)</f>
        <v>7524.65781</v>
      </c>
    </row>
    <row r="38" ht="15.75" customHeight="1">
      <c r="A38" s="67" t="s">
        <v>193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69">
        <v>0.3</v>
      </c>
      <c r="M38" s="70" t="s">
        <v>194</v>
      </c>
      <c r="N38" s="75"/>
    </row>
    <row r="39" ht="15.75" customHeight="1">
      <c r="A39" s="67" t="s">
        <v>195</v>
      </c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69">
        <v>0.0</v>
      </c>
      <c r="M39" s="70" t="s">
        <v>157</v>
      </c>
      <c r="N39" s="71">
        <f>ROUND(ROUND(+L39*L38*N37,0),-1)</f>
        <v>0</v>
      </c>
    </row>
    <row r="40" ht="15.75" customHeight="1">
      <c r="A40" s="67" t="s">
        <v>196</v>
      </c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69">
        <v>0.0</v>
      </c>
      <c r="M40" s="70" t="s">
        <v>197</v>
      </c>
      <c r="N40" s="71">
        <f>ROUND(ROUND(+L40*(1-L38)*N37,0),-1)</f>
        <v>0</v>
      </c>
    </row>
    <row r="41" ht="15.75" customHeight="1">
      <c r="A41" s="57" t="s">
        <v>198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69">
        <v>0.0</v>
      </c>
      <c r="M41" s="70" t="s">
        <v>199</v>
      </c>
      <c r="N41" s="71">
        <f>ROUND(ROUND(+L41*(1-L38)*N37,0),-1)</f>
        <v>0</v>
      </c>
    </row>
    <row r="42" ht="15.75" customHeight="1">
      <c r="A42" s="67" t="s">
        <v>200</v>
      </c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69">
        <v>0.0</v>
      </c>
      <c r="M42" s="70" t="s">
        <v>201</v>
      </c>
      <c r="N42" s="71">
        <f>ROUND(+L42*L38*N37+L42*N39,-1)</f>
        <v>0</v>
      </c>
    </row>
    <row r="43" ht="15.75" customHeight="1">
      <c r="A43" s="57"/>
      <c r="B43" s="57" t="s">
        <v>202</v>
      </c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71">
        <f>SUM(N37:N42)</f>
        <v>7524.65781</v>
      </c>
    </row>
    <row r="44" ht="15.75" customHeight="1">
      <c r="A44" s="67" t="s">
        <v>203</v>
      </c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69">
        <v>0.03</v>
      </c>
      <c r="M44" s="70" t="s">
        <v>185</v>
      </c>
      <c r="N44" s="71">
        <f>L44*N43*L38</f>
        <v>67.72192029</v>
      </c>
    </row>
    <row r="45" ht="15.75" customHeight="1">
      <c r="A45" s="67" t="s">
        <v>204</v>
      </c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69">
        <v>0.03</v>
      </c>
      <c r="M45" s="70" t="s">
        <v>205</v>
      </c>
      <c r="N45" s="71">
        <f>ROUND(+L45*N43,-1)</f>
        <v>230</v>
      </c>
    </row>
    <row r="46" ht="15.75" customHeight="1">
      <c r="A46" s="57"/>
      <c r="B46" s="57" t="s">
        <v>206</v>
      </c>
      <c r="C46" s="57"/>
      <c r="D46" s="57"/>
      <c r="E46" s="57"/>
      <c r="F46" s="57"/>
      <c r="G46" s="57"/>
      <c r="H46" s="59" t="s">
        <v>207</v>
      </c>
      <c r="I46" s="57"/>
      <c r="J46" s="59"/>
      <c r="K46" s="59" t="s">
        <v>208</v>
      </c>
      <c r="L46" s="76">
        <v>567.0</v>
      </c>
      <c r="M46" s="57"/>
      <c r="N46" s="71">
        <f>SUM(N43:N45)</f>
        <v>7822.379731</v>
      </c>
    </row>
    <row r="47" ht="15.75" customHeight="1">
      <c r="A47" s="77" t="s">
        <v>209</v>
      </c>
      <c r="B47" s="78" t="s">
        <v>210</v>
      </c>
      <c r="C47" s="77" t="s">
        <v>211</v>
      </c>
      <c r="D47" s="61" t="s">
        <v>212</v>
      </c>
      <c r="E47" s="77" t="s">
        <v>213</v>
      </c>
      <c r="F47" s="61" t="s">
        <v>214</v>
      </c>
      <c r="G47" s="57"/>
      <c r="H47" s="57"/>
      <c r="I47" s="57"/>
      <c r="J47" s="59" t="s">
        <v>215</v>
      </c>
      <c r="K47" s="59" t="s">
        <v>208</v>
      </c>
      <c r="L47" s="76">
        <v>747.0</v>
      </c>
      <c r="M47" s="57"/>
      <c r="N47" s="75"/>
    </row>
    <row r="48" ht="15.75" customHeight="1">
      <c r="A48" s="67" t="s">
        <v>216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72">
        <f>L47/L46-1</f>
        <v>0.3174603175</v>
      </c>
      <c r="M48" s="79"/>
      <c r="N48" s="71">
        <f>ROUND(ROUND(+L48*N46,0),-1)</f>
        <v>2480</v>
      </c>
    </row>
    <row r="49" ht="15.75" customHeight="1">
      <c r="A49" s="57"/>
      <c r="B49" s="67" t="s">
        <v>217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71">
        <f>SUM(N46:N48)</f>
        <v>10302.37973</v>
      </c>
    </row>
    <row r="50" ht="15.75" customHeight="1">
      <c r="A50" s="67" t="s">
        <v>218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69">
        <v>0.1</v>
      </c>
      <c r="M50" s="70" t="s">
        <v>219</v>
      </c>
      <c r="N50" s="71">
        <f>ROUND(ROUND(+L50*N49/(1-L50-L51),0),-1)</f>
        <v>1150</v>
      </c>
    </row>
    <row r="51" ht="15.75" customHeight="1">
      <c r="A51" s="67" t="s">
        <v>220</v>
      </c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69">
        <v>0.0</v>
      </c>
      <c r="M51" s="70" t="s">
        <v>221</v>
      </c>
      <c r="N51" s="71">
        <f>ROUND(ROUND(+L51*N49/(1-L51-L50),0),-1)</f>
        <v>0</v>
      </c>
    </row>
    <row r="52" ht="15.75" customHeight="1">
      <c r="A52" s="67" t="s">
        <v>222</v>
      </c>
      <c r="B52" s="57"/>
      <c r="C52" s="57"/>
      <c r="D52" s="57"/>
      <c r="E52" s="67" t="s">
        <v>223</v>
      </c>
      <c r="F52" s="57"/>
      <c r="G52" s="57"/>
      <c r="H52" s="57"/>
      <c r="I52" s="57"/>
      <c r="J52" s="57"/>
      <c r="K52" s="57"/>
      <c r="L52" s="57"/>
      <c r="M52" s="57"/>
      <c r="N52" s="68">
        <v>0.0</v>
      </c>
    </row>
    <row r="53" ht="15.75" customHeight="1">
      <c r="A53" s="67" t="s">
        <v>224</v>
      </c>
      <c r="B53" s="57"/>
      <c r="C53" s="57"/>
      <c r="D53" s="57"/>
      <c r="E53" s="57"/>
      <c r="F53" s="57" t="s">
        <v>225</v>
      </c>
      <c r="G53" s="57"/>
      <c r="H53" s="57"/>
      <c r="I53" s="57"/>
      <c r="J53" s="57"/>
      <c r="K53" s="57"/>
      <c r="L53" s="57"/>
      <c r="M53" s="57"/>
      <c r="N53" s="68">
        <v>0.0</v>
      </c>
    </row>
    <row r="54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65" t="s">
        <v>226</v>
      </c>
      <c r="N54" s="80">
        <f>SUM(N49:N53)</f>
        <v>11452.37973</v>
      </c>
    </row>
    <row r="55" ht="15.75" customHeight="1"/>
  </sheetData>
  <mergeCells count="1">
    <mergeCell ref="L54:M5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3.63"/>
    <col customWidth="1" min="2" max="2" width="10.38"/>
    <col customWidth="1" min="3" max="3" width="10.5"/>
    <col customWidth="1" min="4" max="4" width="10.13"/>
    <col customWidth="1" min="5" max="5" width="8.63"/>
    <col customWidth="1" min="6" max="6" width="10.63"/>
    <col customWidth="1" min="7" max="12" width="8.13"/>
    <col customWidth="1" min="13" max="13" width="14.88"/>
    <col customWidth="1" min="14" max="14" width="14.5"/>
    <col customWidth="1" min="15" max="15" width="29.13"/>
  </cols>
  <sheetData>
    <row r="1" ht="12.75" customHeight="1">
      <c r="A1" s="82"/>
      <c r="B1" s="82"/>
      <c r="C1" s="82"/>
      <c r="D1" s="82"/>
      <c r="E1" s="82"/>
      <c r="F1" s="83"/>
      <c r="G1" s="82"/>
      <c r="H1" s="82"/>
      <c r="I1" s="82"/>
      <c r="J1" s="82"/>
      <c r="K1" s="82"/>
      <c r="L1" s="82"/>
      <c r="M1" s="82"/>
      <c r="N1" s="82"/>
      <c r="O1" s="82"/>
    </row>
    <row r="2" ht="12.75" customHeight="1">
      <c r="A2" s="82"/>
      <c r="B2" s="84" t="s">
        <v>229</v>
      </c>
      <c r="E2" s="82"/>
      <c r="F2" s="83"/>
      <c r="G2" s="82"/>
      <c r="H2" s="82"/>
      <c r="I2" s="82"/>
      <c r="J2" s="82"/>
      <c r="K2" s="82"/>
      <c r="L2" s="82"/>
      <c r="M2" s="82"/>
      <c r="N2" s="82"/>
      <c r="O2" s="82"/>
    </row>
    <row r="3" ht="12.75" customHeight="1">
      <c r="A3" s="82"/>
      <c r="B3" s="85" t="s">
        <v>230</v>
      </c>
      <c r="C3" s="5"/>
      <c r="D3" s="6"/>
      <c r="E3" s="82"/>
      <c r="F3" s="83"/>
      <c r="G3" s="82"/>
      <c r="H3" s="82"/>
      <c r="I3" s="82"/>
      <c r="J3" s="82"/>
      <c r="K3" s="82"/>
      <c r="L3" s="82"/>
      <c r="M3" s="82"/>
      <c r="N3" s="82"/>
      <c r="O3" s="82"/>
    </row>
    <row r="4" ht="12.75" customHeight="1">
      <c r="A4" s="86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</row>
    <row r="5" ht="12.75" customHeight="1">
      <c r="A5" s="89" t="s">
        <v>231</v>
      </c>
      <c r="B5" s="90">
        <f>B6/E6</f>
        <v>186.305586</v>
      </c>
      <c r="C5" s="89" t="s">
        <v>232</v>
      </c>
      <c r="D5" s="82"/>
      <c r="E5" s="82"/>
      <c r="F5" s="83"/>
      <c r="G5" s="82"/>
      <c r="H5" s="82"/>
      <c r="I5" s="82"/>
      <c r="J5" s="82"/>
      <c r="K5" s="82"/>
      <c r="L5" s="82"/>
      <c r="M5" s="82"/>
      <c r="N5" s="82"/>
      <c r="O5" s="82"/>
    </row>
    <row r="6" ht="12.75" customHeight="1">
      <c r="A6" s="89" t="s">
        <v>233</v>
      </c>
      <c r="B6" s="91">
        <f>170097*1000/10^6</f>
        <v>170.097</v>
      </c>
      <c r="C6" s="89" t="s">
        <v>232</v>
      </c>
      <c r="D6" s="82" t="s">
        <v>234</v>
      </c>
      <c r="E6" s="92">
        <v>0.913</v>
      </c>
      <c r="F6" s="83"/>
      <c r="G6" s="82"/>
      <c r="H6" s="82"/>
      <c r="I6" s="82"/>
      <c r="J6" s="82"/>
      <c r="K6" s="82"/>
      <c r="L6" s="82"/>
      <c r="M6" s="82"/>
      <c r="N6" s="82"/>
      <c r="O6" s="82"/>
    </row>
    <row r="7" ht="12.75" customHeight="1">
      <c r="A7" s="89" t="s">
        <v>235</v>
      </c>
      <c r="B7" s="82"/>
      <c r="C7" s="93">
        <f>'VGA Carbonylation - H modernite'!N54*1000/10^6</f>
        <v>24.15102042</v>
      </c>
      <c r="D7" s="89" t="s">
        <v>236</v>
      </c>
      <c r="E7" s="82"/>
      <c r="F7" s="83"/>
      <c r="G7" s="82"/>
      <c r="H7" s="82"/>
      <c r="I7" s="82"/>
      <c r="J7" s="82"/>
      <c r="K7" s="82"/>
      <c r="L7" s="82"/>
      <c r="M7" s="82"/>
      <c r="N7" s="82"/>
      <c r="O7" s="82"/>
    </row>
    <row r="8" ht="12.75" customHeight="1">
      <c r="A8" s="89" t="s">
        <v>237</v>
      </c>
      <c r="B8" s="82"/>
      <c r="C8" s="94">
        <v>0.0</v>
      </c>
      <c r="D8" s="89" t="s">
        <v>236</v>
      </c>
      <c r="E8" s="82" t="s">
        <v>238</v>
      </c>
      <c r="F8" s="83"/>
      <c r="G8" s="82"/>
      <c r="H8" s="82"/>
      <c r="I8" s="82"/>
      <c r="J8" s="82"/>
      <c r="K8" s="95"/>
      <c r="L8" s="82"/>
      <c r="M8" s="82"/>
      <c r="N8" s="82"/>
      <c r="O8" s="82"/>
    </row>
    <row r="9" ht="12.75" customHeight="1">
      <c r="A9" s="89" t="s">
        <v>239</v>
      </c>
      <c r="B9" s="82"/>
      <c r="C9" s="96">
        <f>E17/12</f>
        <v>13.16651411</v>
      </c>
      <c r="D9" s="89" t="s">
        <v>236</v>
      </c>
      <c r="E9" s="97" t="s">
        <v>240</v>
      </c>
      <c r="F9" s="83"/>
      <c r="G9" s="82"/>
      <c r="H9" s="82"/>
      <c r="I9" s="82"/>
      <c r="J9" s="82"/>
      <c r="K9" s="82"/>
      <c r="L9" s="82"/>
      <c r="M9" s="82"/>
      <c r="N9" s="82"/>
      <c r="O9" s="82"/>
    </row>
    <row r="10" ht="12.75" customHeight="1">
      <c r="A10" s="98" t="s">
        <v>241</v>
      </c>
      <c r="B10" s="99"/>
      <c r="C10" s="100">
        <f>E46/12</f>
        <v>13.85519642</v>
      </c>
      <c r="D10" s="98" t="s">
        <v>236</v>
      </c>
      <c r="F10" s="83"/>
      <c r="G10" s="82"/>
      <c r="H10" s="82"/>
      <c r="I10" s="82"/>
      <c r="J10" s="82"/>
      <c r="K10" s="82"/>
      <c r="L10" s="82"/>
      <c r="M10" s="82"/>
      <c r="N10" s="82"/>
      <c r="O10" s="82"/>
    </row>
    <row r="11" ht="12.75" customHeight="1">
      <c r="A11" s="89" t="s">
        <v>242</v>
      </c>
      <c r="B11" s="82"/>
      <c r="C11" s="96">
        <f>SUM(C7:C10)</f>
        <v>51.17273095</v>
      </c>
      <c r="D11" s="89" t="s">
        <v>236</v>
      </c>
      <c r="E11" s="82"/>
      <c r="F11" s="83"/>
      <c r="G11" s="82"/>
      <c r="H11" s="82"/>
      <c r="I11" s="82"/>
      <c r="J11" s="82"/>
      <c r="K11" s="82"/>
      <c r="L11" s="82"/>
      <c r="M11" s="82"/>
      <c r="N11" s="82"/>
      <c r="O11" s="82"/>
    </row>
    <row r="12" ht="12.75" customHeight="1">
      <c r="A12" s="95"/>
      <c r="B12" s="101" t="s">
        <v>243</v>
      </c>
      <c r="C12" s="101" t="s">
        <v>244</v>
      </c>
      <c r="D12" s="95"/>
      <c r="E12" s="101" t="s">
        <v>245</v>
      </c>
      <c r="F12" s="102" t="s">
        <v>246</v>
      </c>
      <c r="G12" s="95"/>
      <c r="H12" s="95"/>
      <c r="I12" s="95"/>
      <c r="J12" s="95"/>
      <c r="K12" s="95"/>
      <c r="L12" s="95"/>
      <c r="M12" s="95"/>
      <c r="N12" s="95"/>
      <c r="O12" s="95"/>
    </row>
    <row r="13" ht="12.75" customHeight="1">
      <c r="A13" s="103" t="s">
        <v>247</v>
      </c>
      <c r="B13" s="104" t="s">
        <v>248</v>
      </c>
      <c r="C13" s="104" t="s">
        <v>249</v>
      </c>
      <c r="D13" s="82"/>
      <c r="E13" s="82"/>
      <c r="F13" s="83"/>
      <c r="G13" s="82"/>
      <c r="H13" s="82"/>
      <c r="I13" s="82"/>
      <c r="J13" s="82"/>
      <c r="K13" s="82"/>
      <c r="L13" s="82"/>
      <c r="M13" s="82"/>
      <c r="N13" s="82"/>
      <c r="O13" s="105" t="s">
        <v>250</v>
      </c>
    </row>
    <row r="14" ht="12.75" customHeight="1">
      <c r="A14" s="106" t="s">
        <v>251</v>
      </c>
      <c r="B14" s="107">
        <f>699.3*32.04*8000/(B6*10^6)</f>
        <v>1.053778585</v>
      </c>
      <c r="C14" s="108">
        <f>620/1000</f>
        <v>0.62</v>
      </c>
      <c r="D14" s="82"/>
      <c r="E14" s="109">
        <f>F14*PROD</f>
        <v>111.1316371</v>
      </c>
      <c r="F14" s="83">
        <f t="shared" ref="F14:F16" si="1">B14*C14</f>
        <v>0.6533427228</v>
      </c>
      <c r="G14" s="82"/>
      <c r="H14" s="110" t="s">
        <v>252</v>
      </c>
      <c r="I14" s="111"/>
      <c r="J14" s="111"/>
      <c r="K14" s="111"/>
      <c r="L14" s="111"/>
      <c r="M14" s="111"/>
      <c r="N14" s="82"/>
      <c r="O14" s="112" t="s">
        <v>253</v>
      </c>
    </row>
    <row r="15" ht="12.75" customHeight="1">
      <c r="A15" s="106" t="s">
        <v>254</v>
      </c>
      <c r="B15" s="107">
        <f>597*28.01*8000/(B6*10^6)</f>
        <v>0.7864674862</v>
      </c>
      <c r="C15" s="108">
        <f>205/1000</f>
        <v>0.205</v>
      </c>
      <c r="D15" s="82"/>
      <c r="E15" s="109">
        <f>F15*PROD</f>
        <v>27.4240308</v>
      </c>
      <c r="F15" s="83">
        <f t="shared" si="1"/>
        <v>0.1612258347</v>
      </c>
      <c r="G15" s="82"/>
      <c r="H15" s="113" t="s">
        <v>255</v>
      </c>
      <c r="I15" s="114"/>
      <c r="J15" s="111"/>
      <c r="K15" s="111"/>
      <c r="L15" s="111"/>
      <c r="M15" s="111"/>
      <c r="N15" s="82"/>
      <c r="O15" s="112" t="s">
        <v>253</v>
      </c>
    </row>
    <row r="16" ht="12.75" customHeight="1">
      <c r="A16" s="115" t="s">
        <v>256</v>
      </c>
      <c r="B16" s="107">
        <f>'VGA Carbonylation - H modernite'!N25*10^3/(B6*10^6)</f>
        <v>0.001632891933</v>
      </c>
      <c r="C16" s="116">
        <v>70.0</v>
      </c>
      <c r="D16" s="115"/>
      <c r="E16" s="117">
        <f>F16*PROD</f>
        <v>19.44250134</v>
      </c>
      <c r="F16" s="118">
        <f t="shared" si="1"/>
        <v>0.1143024353</v>
      </c>
      <c r="G16" s="115"/>
      <c r="H16" s="119" t="s">
        <v>257</v>
      </c>
      <c r="I16" s="119"/>
      <c r="J16" s="119"/>
      <c r="K16" s="119"/>
      <c r="L16" s="119"/>
      <c r="M16" s="119"/>
      <c r="N16" s="115"/>
      <c r="O16" s="112" t="s">
        <v>258</v>
      </c>
    </row>
    <row r="17" ht="12.75" customHeight="1">
      <c r="A17" s="120" t="s">
        <v>259</v>
      </c>
      <c r="B17" s="121"/>
      <c r="C17" s="122"/>
      <c r="D17" s="123"/>
      <c r="E17" s="124">
        <f t="shared" ref="E17:F17" si="2">SUM(E14:E16)</f>
        <v>157.9981693</v>
      </c>
      <c r="F17" s="122">
        <f t="shared" si="2"/>
        <v>0.9288709928</v>
      </c>
      <c r="G17" s="82"/>
      <c r="H17" s="82"/>
      <c r="I17" s="82"/>
      <c r="J17" s="123"/>
      <c r="K17" s="123"/>
      <c r="L17" s="123"/>
      <c r="M17" s="123"/>
      <c r="N17" s="123"/>
      <c r="O17" s="123"/>
    </row>
    <row r="18" ht="12.75" customHeight="1">
      <c r="A18" s="103" t="s">
        <v>260</v>
      </c>
      <c r="B18" s="125"/>
      <c r="C18" s="83"/>
      <c r="D18" s="82"/>
      <c r="E18" s="109"/>
      <c r="F18" s="83"/>
      <c r="G18" s="82"/>
      <c r="H18" s="82"/>
      <c r="I18" s="82"/>
      <c r="J18" s="82"/>
      <c r="K18" s="82"/>
      <c r="L18" s="82"/>
      <c r="M18" s="82"/>
      <c r="N18" s="82"/>
      <c r="O18" s="82"/>
    </row>
    <row r="19" ht="12.75" customHeight="1">
      <c r="A19" s="82" t="s">
        <v>261</v>
      </c>
      <c r="B19" s="126"/>
      <c r="C19" s="127"/>
      <c r="D19" s="82"/>
      <c r="E19" s="109">
        <f>F19*PROD</f>
        <v>0</v>
      </c>
      <c r="F19" s="83">
        <f>B19*C19</f>
        <v>0</v>
      </c>
      <c r="G19" s="82"/>
      <c r="H19" s="128"/>
      <c r="I19" s="128"/>
      <c r="J19" s="128"/>
      <c r="K19" s="128"/>
      <c r="L19" s="128"/>
      <c r="M19" s="128"/>
      <c r="N19" s="128"/>
      <c r="O19" s="128"/>
    </row>
    <row r="20" ht="12.75" customHeight="1">
      <c r="A20" s="128" t="s">
        <v>262</v>
      </c>
      <c r="B20" s="129"/>
      <c r="C20" s="130">
        <v>3.61</v>
      </c>
      <c r="D20" s="131" t="s">
        <v>263</v>
      </c>
      <c r="E20" s="132">
        <f>F20*PROD</f>
        <v>4.299533271</v>
      </c>
      <c r="F20" s="133">
        <f>G20*C20/1000000</f>
        <v>0.02527694945</v>
      </c>
      <c r="G20" s="134">
        <f>'Flash Tank Info for COM'!J8/(B6*10^6)</f>
        <v>7001.925056</v>
      </c>
      <c r="H20" s="131" t="s">
        <v>264</v>
      </c>
      <c r="I20" s="135" t="s">
        <v>265</v>
      </c>
      <c r="J20" s="135"/>
      <c r="K20" s="135"/>
      <c r="L20" s="135"/>
      <c r="M20" s="135"/>
      <c r="N20" s="135"/>
      <c r="O20" s="136"/>
    </row>
    <row r="21" ht="12.75" customHeight="1">
      <c r="A21" s="136" t="s">
        <v>266</v>
      </c>
      <c r="B21" s="137"/>
      <c r="C21" s="138"/>
      <c r="D21" s="136"/>
      <c r="E21" s="139">
        <f t="shared" ref="E21:F21" si="3">SUM(E19:E20)</f>
        <v>4.299533271</v>
      </c>
      <c r="F21" s="138">
        <f t="shared" si="3"/>
        <v>0.02527694945</v>
      </c>
      <c r="G21" s="136"/>
      <c r="H21" s="136"/>
      <c r="I21" s="136"/>
      <c r="J21" s="136"/>
      <c r="K21" s="136"/>
      <c r="L21" s="136"/>
      <c r="M21" s="136"/>
      <c r="N21" s="136"/>
      <c r="O21" s="136"/>
    </row>
    <row r="22" ht="12.75" customHeight="1">
      <c r="A22" s="120" t="s">
        <v>267</v>
      </c>
      <c r="B22" s="137"/>
      <c r="C22" s="138"/>
      <c r="D22" s="136"/>
      <c r="E22" s="139"/>
      <c r="F22" s="138"/>
      <c r="G22" s="136"/>
      <c r="H22" s="82"/>
      <c r="I22" s="82"/>
      <c r="J22" s="82"/>
      <c r="K22" s="82"/>
      <c r="L22" s="140" t="s">
        <v>268</v>
      </c>
      <c r="M22" s="140" t="s">
        <v>269</v>
      </c>
      <c r="N22" s="82"/>
      <c r="O22" s="82"/>
    </row>
    <row r="23" ht="12.75" customHeight="1">
      <c r="A23" s="89" t="s">
        <v>270</v>
      </c>
      <c r="B23" s="107">
        <f>28.981*1000*8000/(B6*10^6)</f>
        <v>1.363034034</v>
      </c>
      <c r="C23" s="141">
        <v>11.45</v>
      </c>
      <c r="D23" s="82"/>
      <c r="E23" s="109">
        <f>F23*PROD</f>
        <v>2.6546596</v>
      </c>
      <c r="F23" s="83">
        <f>B23*C23/1000</f>
        <v>0.01560673968</v>
      </c>
      <c r="G23" s="82" t="s">
        <v>271</v>
      </c>
      <c r="H23" s="82"/>
      <c r="I23" s="82"/>
      <c r="J23" s="82"/>
      <c r="K23" s="82"/>
      <c r="L23" s="142">
        <v>28.981</v>
      </c>
      <c r="M23" s="143" t="s">
        <v>272</v>
      </c>
      <c r="N23" s="82"/>
      <c r="O23" s="144" t="s">
        <v>273</v>
      </c>
    </row>
    <row r="24" ht="12.75" customHeight="1">
      <c r="A24" s="89" t="s">
        <v>274</v>
      </c>
      <c r="B24" s="107">
        <f>91.858*8000/(B6*10^6)</f>
        <v>0.00432026432</v>
      </c>
      <c r="C24" s="145">
        <v>0.061</v>
      </c>
      <c r="D24" s="82"/>
      <c r="E24" s="109">
        <f>F24*PROD</f>
        <v>0.044826704</v>
      </c>
      <c r="F24" s="83">
        <f>B24*C24</f>
        <v>0.0002635361235</v>
      </c>
      <c r="G24" s="82" t="s">
        <v>275</v>
      </c>
      <c r="H24" s="82"/>
      <c r="I24" s="82"/>
      <c r="J24" s="82"/>
      <c r="K24" s="82"/>
      <c r="L24" s="142">
        <v>91.858</v>
      </c>
      <c r="M24" s="143" t="s">
        <v>276</v>
      </c>
      <c r="N24" s="82"/>
      <c r="O24" s="144" t="s">
        <v>277</v>
      </c>
    </row>
    <row r="25" ht="12.75" customHeight="1">
      <c r="A25" s="146" t="s">
        <v>278</v>
      </c>
      <c r="B25" s="107"/>
      <c r="C25" s="147"/>
      <c r="D25" s="148"/>
      <c r="E25" s="117">
        <f>73.2959*8760/10^6</f>
        <v>0.642072084</v>
      </c>
      <c r="F25" s="118"/>
      <c r="G25" s="149" t="s">
        <v>279</v>
      </c>
      <c r="H25" s="148"/>
      <c r="I25" s="148"/>
      <c r="J25" s="148"/>
      <c r="K25" s="148"/>
      <c r="L25" s="150">
        <v>862.305</v>
      </c>
      <c r="M25" s="150" t="s">
        <v>272</v>
      </c>
      <c r="N25" s="148"/>
      <c r="O25" s="151"/>
    </row>
    <row r="26" ht="12.75" customHeight="1">
      <c r="A26" s="98" t="s">
        <v>280</v>
      </c>
      <c r="B26" s="107">
        <f>0.087353*10^6*8000/(B6*10^6)</f>
        <v>4.108385215</v>
      </c>
      <c r="C26" s="147">
        <v>0.075</v>
      </c>
      <c r="D26" s="148"/>
      <c r="E26" s="117">
        <f>F26*PROD</f>
        <v>0.0524118</v>
      </c>
      <c r="F26" s="118">
        <f>B26*C26/1000</f>
        <v>0.0003081288912</v>
      </c>
      <c r="G26" s="115" t="s">
        <v>281</v>
      </c>
      <c r="H26" s="148"/>
      <c r="I26" s="148"/>
      <c r="J26" s="148"/>
      <c r="K26" s="148"/>
      <c r="L26" s="152">
        <v>0.087353</v>
      </c>
      <c r="M26" s="152" t="s">
        <v>282</v>
      </c>
      <c r="N26" s="148"/>
      <c r="O26" s="151" t="s">
        <v>283</v>
      </c>
    </row>
    <row r="27" ht="12.75" customHeight="1">
      <c r="A27" s="153" t="s">
        <v>284</v>
      </c>
      <c r="B27" s="137"/>
      <c r="C27" s="138"/>
      <c r="D27" s="136"/>
      <c r="E27" s="139">
        <f t="shared" ref="E27:F27" si="4">SUM(E23:E26)</f>
        <v>3.393970188</v>
      </c>
      <c r="F27" s="138">
        <f t="shared" si="4"/>
        <v>0.0161784047</v>
      </c>
      <c r="G27" s="136"/>
      <c r="H27" s="82"/>
      <c r="I27" s="82"/>
      <c r="J27" s="82"/>
      <c r="K27" s="82"/>
      <c r="L27" s="82"/>
      <c r="M27" s="82"/>
      <c r="N27" s="82"/>
      <c r="O27" s="82"/>
    </row>
    <row r="28" ht="12.75" customHeight="1">
      <c r="A28" s="103" t="s">
        <v>285</v>
      </c>
      <c r="B28" s="125"/>
      <c r="C28" s="83"/>
      <c r="D28" s="82"/>
      <c r="E28" s="109"/>
      <c r="F28" s="83"/>
      <c r="G28" s="82"/>
      <c r="H28" s="82"/>
      <c r="I28" s="82"/>
      <c r="J28" s="82"/>
      <c r="K28" s="82"/>
      <c r="L28" s="154" t="s">
        <v>286</v>
      </c>
      <c r="M28" s="17"/>
      <c r="N28" s="18"/>
      <c r="O28" s="82" t="s">
        <v>287</v>
      </c>
    </row>
    <row r="29" ht="12.75" customHeight="1">
      <c r="A29" s="89" t="s">
        <v>288</v>
      </c>
      <c r="B29" s="126"/>
      <c r="C29" s="127"/>
      <c r="D29" s="82"/>
      <c r="E29" s="109">
        <f>F29*PROD</f>
        <v>0</v>
      </c>
      <c r="F29" s="83">
        <f t="shared" ref="F29:F31" si="5">B29*C29</f>
        <v>0</v>
      </c>
      <c r="G29" s="82"/>
      <c r="H29" s="82"/>
      <c r="I29" s="82"/>
      <c r="J29" s="82"/>
      <c r="K29" s="82"/>
      <c r="L29" s="22"/>
      <c r="N29" s="23"/>
      <c r="O29" s="155" t="s">
        <v>289</v>
      </c>
    </row>
    <row r="30" ht="12.75" customHeight="1">
      <c r="A30" s="89" t="s">
        <v>290</v>
      </c>
      <c r="B30" s="126"/>
      <c r="C30" s="127"/>
      <c r="D30" s="82"/>
      <c r="E30" s="109">
        <f>F30*PROD</f>
        <v>0</v>
      </c>
      <c r="F30" s="83">
        <f t="shared" si="5"/>
        <v>0</v>
      </c>
      <c r="G30" s="82"/>
      <c r="H30" s="115"/>
      <c r="I30" s="115"/>
      <c r="J30" s="115"/>
      <c r="K30" s="115"/>
      <c r="L30" s="22"/>
      <c r="N30" s="23"/>
      <c r="O30" s="115" t="s">
        <v>291</v>
      </c>
    </row>
    <row r="31" ht="12.75" customHeight="1">
      <c r="A31" s="98" t="s">
        <v>292</v>
      </c>
      <c r="B31" s="156"/>
      <c r="C31" s="157"/>
      <c r="D31" s="115"/>
      <c r="E31" s="117">
        <f>F31*PROD</f>
        <v>0</v>
      </c>
      <c r="F31" s="118">
        <f t="shared" si="5"/>
        <v>0</v>
      </c>
      <c r="G31" s="115"/>
      <c r="H31" s="136"/>
      <c r="I31" s="136"/>
      <c r="J31" s="136"/>
      <c r="K31" s="136"/>
      <c r="L31" s="22"/>
      <c r="N31" s="23"/>
      <c r="O31" s="136"/>
    </row>
    <row r="32" ht="12.75" customHeight="1">
      <c r="A32" s="136" t="s">
        <v>293</v>
      </c>
      <c r="B32" s="136"/>
      <c r="C32" s="136"/>
      <c r="D32" s="136"/>
      <c r="E32" s="139">
        <f t="shared" ref="E32:F32" si="6">SUM(E29:E31)</f>
        <v>0</v>
      </c>
      <c r="F32" s="138">
        <f t="shared" si="6"/>
        <v>0</v>
      </c>
      <c r="G32" s="136"/>
      <c r="H32" s="82"/>
      <c r="I32" s="82"/>
      <c r="J32" s="82"/>
      <c r="K32" s="82"/>
      <c r="L32" s="28"/>
      <c r="M32" s="29"/>
      <c r="N32" s="30"/>
      <c r="O32" s="82"/>
    </row>
    <row r="33" ht="12.75" customHeight="1">
      <c r="A33" s="120" t="s">
        <v>294</v>
      </c>
      <c r="B33" s="123"/>
      <c r="C33" s="123"/>
      <c r="D33" s="123"/>
      <c r="E33" s="124">
        <f t="shared" ref="E33:F33" si="7">E17+E27+E32-E21</f>
        <v>157.0926062</v>
      </c>
      <c r="F33" s="122">
        <f t="shared" si="7"/>
        <v>0.919772448</v>
      </c>
      <c r="G33" s="82"/>
      <c r="H33" s="82"/>
      <c r="I33" s="82"/>
      <c r="J33" s="82"/>
      <c r="K33" s="82"/>
      <c r="L33" s="82"/>
      <c r="M33" s="82"/>
      <c r="N33" s="82"/>
      <c r="O33" s="82"/>
    </row>
    <row r="34" ht="12.75" customHeight="1">
      <c r="A34" s="120"/>
      <c r="B34" s="123"/>
      <c r="C34" s="123"/>
      <c r="D34" s="123"/>
      <c r="E34" s="124"/>
      <c r="F34" s="122"/>
      <c r="G34" s="82"/>
      <c r="H34" s="82"/>
      <c r="I34" s="82"/>
      <c r="J34" s="123"/>
      <c r="K34" s="123"/>
      <c r="L34" s="123"/>
      <c r="M34" s="123"/>
      <c r="N34" s="123"/>
      <c r="O34" s="123"/>
    </row>
    <row r="35" ht="12.75" customHeight="1">
      <c r="A35" s="103" t="s">
        <v>295</v>
      </c>
      <c r="B35" s="82"/>
      <c r="C35" s="82"/>
      <c r="D35" s="82"/>
      <c r="E35" s="109"/>
      <c r="F35" s="83"/>
      <c r="G35" s="82"/>
      <c r="H35" s="82"/>
      <c r="I35" s="82"/>
      <c r="J35" s="82"/>
      <c r="K35" s="82"/>
      <c r="L35" s="82"/>
      <c r="M35" s="82"/>
      <c r="N35" s="82"/>
      <c r="O35" s="82"/>
    </row>
    <row r="36" ht="12.75" customHeight="1">
      <c r="A36" s="89" t="s">
        <v>296</v>
      </c>
      <c r="B36" s="158">
        <v>7.0</v>
      </c>
      <c r="C36" s="159">
        <v>32.0</v>
      </c>
      <c r="D36" s="160" t="s">
        <v>297</v>
      </c>
      <c r="E36" s="109">
        <f>B36*C36*(365*24)/1000000</f>
        <v>1.96224</v>
      </c>
      <c r="F36" s="83">
        <f>E36/PROD</f>
        <v>0.01153600593</v>
      </c>
      <c r="G36" s="82" t="s">
        <v>298</v>
      </c>
      <c r="H36" s="123"/>
      <c r="I36" s="123"/>
      <c r="J36" s="82"/>
      <c r="K36" s="82"/>
      <c r="L36" s="82"/>
      <c r="M36" s="82"/>
      <c r="N36" s="82"/>
      <c r="O36" s="114" t="s">
        <v>299</v>
      </c>
    </row>
    <row r="37" ht="12.75" customHeight="1">
      <c r="A37" s="89" t="s">
        <v>300</v>
      </c>
      <c r="B37" s="82"/>
      <c r="C37" s="161">
        <v>0.45</v>
      </c>
      <c r="D37" s="82"/>
      <c r="E37" s="109">
        <f t="shared" ref="E37:E39" si="8">E$36*C37</f>
        <v>0.883008</v>
      </c>
      <c r="F37" s="83">
        <f>E37/PROD</f>
        <v>0.005191202667</v>
      </c>
      <c r="G37" s="82"/>
      <c r="H37" s="123"/>
      <c r="I37" s="123"/>
      <c r="J37" s="82"/>
      <c r="K37" s="82"/>
      <c r="L37" s="82"/>
      <c r="M37" s="82"/>
      <c r="N37" s="82"/>
      <c r="O37" s="82"/>
    </row>
    <row r="38" ht="12.75" customHeight="1">
      <c r="A38" s="89" t="s">
        <v>301</v>
      </c>
      <c r="B38" s="82"/>
      <c r="C38" s="161">
        <v>1.0</v>
      </c>
      <c r="D38" s="82"/>
      <c r="E38" s="109">
        <f t="shared" si="8"/>
        <v>1.96224</v>
      </c>
      <c r="F38" s="83">
        <f>E38/PROD</f>
        <v>0.01153600593</v>
      </c>
      <c r="G38" s="123"/>
      <c r="H38" s="82"/>
      <c r="I38" s="82"/>
      <c r="J38" s="82"/>
      <c r="K38" s="82"/>
      <c r="L38" s="82"/>
      <c r="M38" s="82"/>
      <c r="N38" s="82"/>
      <c r="O38" s="82"/>
    </row>
    <row r="39" ht="12.75" customHeight="1">
      <c r="A39" s="89" t="s">
        <v>302</v>
      </c>
      <c r="B39" s="82"/>
      <c r="C39" s="161">
        <v>0.5</v>
      </c>
      <c r="D39" s="82"/>
      <c r="E39" s="109">
        <f t="shared" si="8"/>
        <v>0.98112</v>
      </c>
      <c r="F39" s="83">
        <f>E39/PROD</f>
        <v>0.005768002963</v>
      </c>
      <c r="G39" s="123"/>
      <c r="H39" s="82"/>
      <c r="I39" s="82"/>
      <c r="J39" s="82"/>
      <c r="K39" s="82"/>
      <c r="L39" s="82"/>
      <c r="M39" s="82"/>
      <c r="N39" s="82"/>
      <c r="O39" s="82"/>
    </row>
    <row r="40" ht="12.75" customHeight="1">
      <c r="A40" s="89" t="s">
        <v>303</v>
      </c>
      <c r="B40" s="161">
        <v>0.03</v>
      </c>
      <c r="C40" s="82"/>
      <c r="D40" s="82"/>
      <c r="E40" s="109">
        <f t="shared" ref="E40:E42" si="9">B40*$C$7</f>
        <v>0.7245306127</v>
      </c>
      <c r="F40" s="83">
        <f>E40/PROD</f>
        <v>0.004259514352</v>
      </c>
      <c r="G40" s="82"/>
      <c r="H40" s="95"/>
      <c r="I40" s="95"/>
      <c r="J40" s="82"/>
      <c r="K40" s="82"/>
      <c r="L40" s="82"/>
      <c r="M40" s="82"/>
      <c r="N40" s="82"/>
      <c r="O40" s="82"/>
    </row>
    <row r="41" ht="12.75" customHeight="1">
      <c r="A41" s="89" t="s">
        <v>304</v>
      </c>
      <c r="B41" s="161">
        <v>0.02</v>
      </c>
      <c r="C41" s="82"/>
      <c r="D41" s="82"/>
      <c r="E41" s="109">
        <f t="shared" si="9"/>
        <v>0.4830204085</v>
      </c>
      <c r="F41" s="83">
        <f>E41/PROD</f>
        <v>0.002839676235</v>
      </c>
      <c r="G41" s="82" t="s">
        <v>305</v>
      </c>
      <c r="H41" s="95"/>
      <c r="I41" s="95"/>
      <c r="J41" s="82"/>
      <c r="K41" s="82"/>
      <c r="L41" s="82"/>
      <c r="M41" s="82"/>
      <c r="N41" s="82"/>
      <c r="O41" s="82"/>
    </row>
    <row r="42" ht="12.75" customHeight="1">
      <c r="A42" s="89" t="s">
        <v>306</v>
      </c>
      <c r="B42" s="161">
        <v>0.09</v>
      </c>
      <c r="C42" s="82"/>
      <c r="D42" s="82"/>
      <c r="E42" s="109">
        <f t="shared" si="9"/>
        <v>2.173591838</v>
      </c>
      <c r="F42" s="83">
        <f>E42/PROD</f>
        <v>0.01277854306</v>
      </c>
      <c r="G42" s="82" t="s">
        <v>307</v>
      </c>
      <c r="H42" s="82"/>
      <c r="I42" s="82"/>
      <c r="J42" s="82"/>
      <c r="K42" s="82"/>
      <c r="L42" s="82"/>
      <c r="M42" s="82"/>
      <c r="N42" s="82"/>
      <c r="O42" s="82"/>
    </row>
    <row r="43" ht="12.75" customHeight="1">
      <c r="A43" s="120" t="s">
        <v>308</v>
      </c>
      <c r="B43" s="123"/>
      <c r="C43" s="123"/>
      <c r="D43" s="123"/>
      <c r="E43" s="124">
        <f t="shared" ref="E43:F43" si="10">SUM(E36:E42)</f>
        <v>9.169750859</v>
      </c>
      <c r="F43" s="122">
        <f t="shared" si="10"/>
        <v>0.05390895112</v>
      </c>
      <c r="G43" s="82"/>
      <c r="H43" s="82"/>
      <c r="I43" s="82"/>
      <c r="J43" s="123"/>
      <c r="K43" s="123"/>
      <c r="L43" s="123"/>
      <c r="M43" s="123"/>
      <c r="N43" s="123"/>
      <c r="O43" s="123"/>
    </row>
    <row r="44" ht="12.75" customHeight="1">
      <c r="A44" s="89"/>
      <c r="B44" s="82"/>
      <c r="C44" s="82"/>
      <c r="D44" s="82"/>
      <c r="E44" s="109"/>
      <c r="F44" s="83"/>
      <c r="G44" s="82"/>
      <c r="H44" s="82"/>
      <c r="I44" s="82"/>
      <c r="J44" s="82"/>
      <c r="K44" s="82"/>
      <c r="L44" s="82"/>
      <c r="M44" s="82"/>
      <c r="N44" s="82"/>
      <c r="O44" s="82"/>
    </row>
    <row r="45" ht="12.75" customHeight="1">
      <c r="A45" s="103" t="s">
        <v>309</v>
      </c>
      <c r="B45" s="95"/>
      <c r="C45" s="95"/>
      <c r="D45" s="95"/>
      <c r="E45" s="162">
        <f t="shared" ref="E45:F45" si="11">E33+E43-E42</f>
        <v>164.0887652</v>
      </c>
      <c r="F45" s="163">
        <f t="shared" si="11"/>
        <v>0.9609028561</v>
      </c>
      <c r="G45" s="82" t="s">
        <v>310</v>
      </c>
      <c r="H45" s="82"/>
      <c r="I45" s="82"/>
      <c r="J45" s="95"/>
      <c r="K45" s="95"/>
      <c r="L45" s="95"/>
      <c r="M45" s="95"/>
      <c r="N45" s="95"/>
      <c r="O45" s="95"/>
    </row>
    <row r="46" ht="12.75" customHeight="1">
      <c r="A46" s="103" t="s">
        <v>311</v>
      </c>
      <c r="B46" s="95"/>
      <c r="C46" s="95"/>
      <c r="D46" s="95"/>
      <c r="E46" s="162">
        <f t="shared" ref="E46:F46" si="12">E33+E43</f>
        <v>166.262357</v>
      </c>
      <c r="F46" s="163">
        <f t="shared" si="12"/>
        <v>0.9736813992</v>
      </c>
      <c r="G46" s="82" t="s">
        <v>312</v>
      </c>
      <c r="H46" s="82"/>
      <c r="I46" s="82"/>
      <c r="J46" s="95"/>
      <c r="K46" s="95"/>
      <c r="L46" s="95"/>
      <c r="M46" s="95"/>
      <c r="N46" s="95"/>
      <c r="O46" s="95"/>
    </row>
    <row r="47" ht="12.75" customHeight="1">
      <c r="A47" s="89" t="s">
        <v>313</v>
      </c>
      <c r="B47" s="82"/>
      <c r="C47" s="164">
        <v>0.06</v>
      </c>
      <c r="D47" s="89" t="s">
        <v>314</v>
      </c>
      <c r="E47" s="109">
        <f>PROD*F47</f>
        <v>9.937217097</v>
      </c>
      <c r="F47" s="83">
        <f>C47*F46</f>
        <v>0.05842088395</v>
      </c>
      <c r="G47" s="82"/>
      <c r="H47" s="82"/>
      <c r="I47" s="82"/>
      <c r="J47" s="82"/>
      <c r="K47" s="82"/>
      <c r="L47" s="82"/>
      <c r="M47" s="82"/>
      <c r="N47" s="82"/>
      <c r="O47" s="82"/>
    </row>
    <row r="48" ht="12.75" customHeight="1">
      <c r="A48" s="103" t="s">
        <v>315</v>
      </c>
      <c r="B48" s="82"/>
      <c r="C48" s="165"/>
      <c r="D48" s="89"/>
      <c r="E48" s="162">
        <f t="shared" ref="E48:F48" si="13">E46+E47</f>
        <v>176.1995741</v>
      </c>
      <c r="F48" s="163">
        <f t="shared" si="13"/>
        <v>1.032102283</v>
      </c>
      <c r="G48" s="82"/>
      <c r="H48" s="82"/>
      <c r="I48" s="82"/>
      <c r="J48" s="82"/>
      <c r="K48" s="82"/>
      <c r="L48" s="82"/>
      <c r="M48" s="82"/>
      <c r="N48" s="82"/>
      <c r="O48" s="82"/>
    </row>
    <row r="49" ht="12.75" customHeight="1">
      <c r="A49" s="89" t="s">
        <v>316</v>
      </c>
      <c r="B49" s="82"/>
      <c r="C49" s="164">
        <v>0.25</v>
      </c>
      <c r="D49" s="89"/>
      <c r="E49" s="162"/>
      <c r="F49" s="163"/>
      <c r="G49" s="82"/>
      <c r="H49" s="82"/>
      <c r="I49" s="82"/>
      <c r="J49" s="82"/>
      <c r="K49" s="82"/>
      <c r="L49" s="82"/>
      <c r="M49" s="82"/>
      <c r="N49" s="82"/>
      <c r="O49" s="82"/>
    </row>
    <row r="50" ht="12.75" customHeight="1">
      <c r="A50" s="89" t="s">
        <v>317</v>
      </c>
      <c r="B50" s="82"/>
      <c r="C50" s="166">
        <v>0.25</v>
      </c>
      <c r="D50" s="104"/>
      <c r="E50" s="109">
        <f>C50*C11/(1-C49)</f>
        <v>17.05757698</v>
      </c>
      <c r="F50" s="83">
        <f>E50/PROD</f>
        <v>0.1002814687</v>
      </c>
      <c r="G50" s="82" t="s">
        <v>318</v>
      </c>
      <c r="H50" s="82"/>
      <c r="I50" s="82"/>
      <c r="J50" s="82"/>
      <c r="K50" s="82"/>
      <c r="L50" s="82"/>
      <c r="M50" s="82"/>
      <c r="N50" s="82"/>
      <c r="O50" s="82"/>
    </row>
    <row r="51" ht="12.75" customHeight="1">
      <c r="A51" s="89"/>
      <c r="B51" s="82"/>
      <c r="C51" s="167"/>
      <c r="D51" s="104"/>
      <c r="E51" s="109"/>
      <c r="F51" s="83"/>
      <c r="G51" s="82"/>
      <c r="H51" s="82"/>
      <c r="I51" s="82"/>
      <c r="J51" s="82"/>
      <c r="K51" s="82"/>
      <c r="L51" s="82"/>
      <c r="M51" s="82"/>
      <c r="N51" s="82"/>
      <c r="O51" s="82"/>
    </row>
    <row r="52" ht="12.75" customHeight="1">
      <c r="A52" s="168" t="s">
        <v>319</v>
      </c>
      <c r="B52" s="87" t="s">
        <v>320</v>
      </c>
      <c r="C52" s="87"/>
      <c r="D52" s="86" t="s">
        <v>321</v>
      </c>
      <c r="E52" s="169" t="s">
        <v>322</v>
      </c>
      <c r="F52" s="170" t="s">
        <v>246</v>
      </c>
      <c r="G52" s="82"/>
      <c r="H52" s="82"/>
      <c r="I52" s="82"/>
      <c r="J52" s="87"/>
      <c r="K52" s="87"/>
      <c r="L52" s="87"/>
      <c r="M52" s="87"/>
      <c r="N52" s="87"/>
      <c r="O52" s="87"/>
    </row>
    <row r="53" ht="12.75" customHeight="1">
      <c r="A53" s="171" t="s">
        <v>323</v>
      </c>
      <c r="B53" s="172">
        <f>C50</f>
        <v>0.25</v>
      </c>
      <c r="C53" s="173" t="s">
        <v>324</v>
      </c>
      <c r="D53" s="172">
        <f>E6</f>
        <v>0.913</v>
      </c>
      <c r="E53" s="174">
        <f t="shared" ref="E53:F53" si="14">E48+E50</f>
        <v>193.2571511</v>
      </c>
      <c r="F53" s="175">
        <f t="shared" si="14"/>
        <v>1.132383752</v>
      </c>
      <c r="G53" s="82" t="s">
        <v>325</v>
      </c>
      <c r="H53" s="82"/>
      <c r="I53" s="82"/>
      <c r="J53" s="171"/>
      <c r="K53" s="171"/>
      <c r="L53" s="171"/>
      <c r="M53" s="171"/>
      <c r="N53" s="171"/>
      <c r="O53" s="171"/>
    </row>
    <row r="54" ht="12.75" customHeight="1">
      <c r="A54" s="176" t="s">
        <v>326</v>
      </c>
      <c r="B54" s="177">
        <f>(1-C49)*(E54-E48)/C11</f>
        <v>1.132120874</v>
      </c>
      <c r="C54" s="178" t="s">
        <v>327</v>
      </c>
      <c r="D54" s="178"/>
      <c r="E54" s="179">
        <f>F54*PROD</f>
        <v>253.44453</v>
      </c>
      <c r="F54" s="180">
        <v>1.49</v>
      </c>
      <c r="G54" s="82" t="s">
        <v>328</v>
      </c>
      <c r="H54" s="178"/>
      <c r="I54" s="178"/>
      <c r="J54" s="178"/>
      <c r="K54" s="178"/>
      <c r="L54" s="178"/>
      <c r="M54" s="114" t="s">
        <v>329</v>
      </c>
      <c r="N54" s="114"/>
      <c r="O54" s="178"/>
    </row>
    <row r="55" ht="12.75" customHeight="1">
      <c r="A55" s="82" t="s">
        <v>330</v>
      </c>
      <c r="B55" s="167">
        <f>IF(E54&gt;0,E55/E54,0)</f>
        <v>0.237161594</v>
      </c>
      <c r="C55" s="82" t="s">
        <v>331</v>
      </c>
      <c r="D55" s="82"/>
      <c r="E55" s="181">
        <f>(1-C49)*(E54-E48)+E42</f>
        <v>60.10730874</v>
      </c>
      <c r="F55" s="82"/>
      <c r="G55" s="82" t="s">
        <v>332</v>
      </c>
      <c r="H55" s="82"/>
      <c r="I55" s="82"/>
      <c r="J55" s="82"/>
      <c r="K55" s="82"/>
      <c r="L55" s="82"/>
      <c r="M55" s="182" t="s">
        <v>333</v>
      </c>
      <c r="N55" s="182"/>
      <c r="O55" s="182"/>
    </row>
    <row r="56" ht="12.75" customHeight="1">
      <c r="A56" s="82" t="s">
        <v>334</v>
      </c>
      <c r="B56" s="167">
        <f>IF(E54&gt;0,E56/E54,0)</f>
        <v>0.3801696719</v>
      </c>
      <c r="C56" s="82" t="s">
        <v>331</v>
      </c>
      <c r="D56" s="82"/>
      <c r="E56" s="181">
        <f>E54-E33</f>
        <v>96.35192382</v>
      </c>
      <c r="F56" s="82"/>
      <c r="G56" s="82" t="s">
        <v>335</v>
      </c>
      <c r="H56" s="82"/>
      <c r="I56" s="82"/>
      <c r="J56" s="82"/>
      <c r="K56" s="82"/>
      <c r="L56" s="82"/>
      <c r="M56" s="183"/>
      <c r="N56" s="95"/>
      <c r="O56" s="95"/>
    </row>
    <row r="57" ht="12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ht="12.75" customHeight="1">
      <c r="A58" s="82"/>
      <c r="B58" s="82"/>
      <c r="C58" s="82"/>
      <c r="D58" s="82"/>
      <c r="E58" s="184"/>
      <c r="F58" s="82"/>
      <c r="G58" s="82"/>
      <c r="H58" s="82"/>
      <c r="I58" s="82"/>
      <c r="J58" s="82"/>
      <c r="K58" s="82"/>
      <c r="L58" s="82"/>
      <c r="M58" s="82"/>
      <c r="N58" s="82"/>
      <c r="O58" s="82"/>
    </row>
  </sheetData>
  <mergeCells count="4">
    <mergeCell ref="B2:D2"/>
    <mergeCell ref="B3:D3"/>
    <mergeCell ref="E9:E10"/>
    <mergeCell ref="L28:N32"/>
  </mergeCells>
  <printOptions/>
  <pageMargins bottom="0.83" footer="0.0" header="0.0" left="0.75" right="0.75" top="1.0"/>
  <pageSetup orientation="portrait"/>
  <headerFooter>
    <oddHeader>&amp;RDate: &amp;D  &amp;T</oddHeader>
    <oddFooter>&amp;C&amp;F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9.13"/>
    <col customWidth="1" min="2" max="4" width="8.13"/>
    <col customWidth="1" min="5" max="5" width="8.63"/>
    <col customWidth="1" min="6" max="6" width="10.63"/>
    <col customWidth="1" min="7" max="15" width="8.13"/>
  </cols>
  <sheetData>
    <row r="1" ht="12.75" customHeight="1">
      <c r="A1" s="82"/>
      <c r="B1" s="82"/>
      <c r="C1" s="82"/>
      <c r="D1" s="82"/>
      <c r="E1" s="82"/>
      <c r="F1" s="83"/>
      <c r="G1" s="82"/>
      <c r="H1" s="82"/>
      <c r="I1" s="82"/>
      <c r="J1" s="82"/>
      <c r="K1" s="82"/>
      <c r="L1" s="82"/>
      <c r="M1" s="82"/>
      <c r="N1" s="82"/>
      <c r="O1" s="82"/>
    </row>
    <row r="2" ht="12.75" customHeight="1">
      <c r="A2" s="82"/>
      <c r="B2" s="84" t="s">
        <v>229</v>
      </c>
      <c r="E2" s="82"/>
      <c r="F2" s="83"/>
      <c r="G2" s="82"/>
      <c r="H2" s="82"/>
      <c r="I2" s="82"/>
      <c r="J2" s="82"/>
      <c r="K2" s="82"/>
      <c r="L2" s="82"/>
      <c r="M2" s="82"/>
      <c r="N2" s="82"/>
      <c r="O2" s="82"/>
    </row>
    <row r="3" ht="12.75" customHeight="1">
      <c r="A3" s="82"/>
      <c r="B3" s="85" t="s">
        <v>230</v>
      </c>
      <c r="C3" s="5"/>
      <c r="D3" s="6"/>
      <c r="E3" s="82"/>
      <c r="F3" s="83"/>
      <c r="G3" s="82"/>
      <c r="H3" s="82"/>
      <c r="I3" s="82"/>
      <c r="J3" s="82"/>
      <c r="K3" s="82"/>
      <c r="L3" s="82"/>
      <c r="M3" s="82"/>
      <c r="N3" s="82"/>
      <c r="O3" s="82"/>
    </row>
    <row r="4" ht="12.75" customHeight="1">
      <c r="A4" s="86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</row>
    <row r="5" ht="12.75" customHeight="1">
      <c r="A5" s="89" t="s">
        <v>231</v>
      </c>
      <c r="B5" s="90">
        <f>B6/E6</f>
        <v>186.305586</v>
      </c>
      <c r="C5" s="89" t="s">
        <v>232</v>
      </c>
      <c r="D5" s="82"/>
      <c r="E5" s="82"/>
      <c r="F5" s="83"/>
      <c r="G5" s="82"/>
      <c r="H5" s="82"/>
      <c r="I5" s="82"/>
      <c r="J5" s="82"/>
      <c r="K5" s="82"/>
      <c r="L5" s="82"/>
      <c r="M5" s="82"/>
      <c r="N5" s="82"/>
      <c r="O5" s="82"/>
    </row>
    <row r="6" ht="12.75" customHeight="1">
      <c r="A6" s="89" t="s">
        <v>233</v>
      </c>
      <c r="B6" s="93">
        <f>'COM Carbonylation Hmodern'!B6</f>
        <v>170.097</v>
      </c>
      <c r="C6" s="89" t="s">
        <v>232</v>
      </c>
      <c r="D6" s="82" t="s">
        <v>234</v>
      </c>
      <c r="E6" s="92">
        <v>0.913</v>
      </c>
      <c r="F6" s="83"/>
      <c r="G6" s="82"/>
      <c r="H6" s="82"/>
      <c r="I6" s="82"/>
      <c r="J6" s="82"/>
      <c r="K6" s="82"/>
      <c r="L6" s="82"/>
      <c r="M6" s="82"/>
      <c r="N6" s="82"/>
      <c r="O6" s="82"/>
    </row>
    <row r="7" ht="12.75" customHeight="1">
      <c r="A7" s="89" t="s">
        <v>235</v>
      </c>
      <c r="B7" s="82"/>
      <c r="C7" s="93">
        <f>'VGA Esterification'!N54*1000/10^6</f>
        <v>11.45237973</v>
      </c>
      <c r="D7" s="89" t="s">
        <v>236</v>
      </c>
      <c r="E7" s="82"/>
      <c r="F7" s="83"/>
      <c r="G7" s="82"/>
      <c r="H7" s="82"/>
      <c r="I7" s="82"/>
      <c r="J7" s="82"/>
      <c r="K7" s="82"/>
      <c r="L7" s="82"/>
      <c r="M7" s="82"/>
      <c r="N7" s="82"/>
      <c r="O7" s="82"/>
    </row>
    <row r="8" ht="12.75" customHeight="1">
      <c r="A8" s="89" t="s">
        <v>237</v>
      </c>
      <c r="B8" s="82"/>
      <c r="C8" s="94"/>
      <c r="D8" s="89" t="s">
        <v>236</v>
      </c>
      <c r="E8" s="82" t="s">
        <v>238</v>
      </c>
      <c r="F8" s="83"/>
      <c r="G8" s="82"/>
      <c r="H8" s="82"/>
      <c r="I8" s="82"/>
      <c r="J8" s="82"/>
      <c r="K8" s="82"/>
      <c r="L8" s="82"/>
      <c r="M8" s="82"/>
      <c r="N8" s="82"/>
      <c r="O8" s="82"/>
    </row>
    <row r="9" ht="12.75" customHeight="1">
      <c r="A9" s="89" t="s">
        <v>239</v>
      </c>
      <c r="B9" s="82"/>
      <c r="C9" s="96">
        <f>E17/12</f>
        <v>29.90662704</v>
      </c>
      <c r="D9" s="89" t="s">
        <v>236</v>
      </c>
      <c r="E9" s="97" t="s">
        <v>240</v>
      </c>
      <c r="F9" s="83"/>
      <c r="G9" s="82"/>
      <c r="H9" s="82"/>
      <c r="I9" s="82"/>
      <c r="J9" s="82"/>
      <c r="K9" s="82"/>
      <c r="L9" s="82"/>
      <c r="M9" s="82"/>
      <c r="N9" s="82"/>
      <c r="O9" s="82"/>
    </row>
    <row r="10" ht="12.75" customHeight="1">
      <c r="A10" s="98" t="s">
        <v>241</v>
      </c>
      <c r="B10" s="99"/>
      <c r="C10" s="100">
        <f>E45/12</f>
        <v>23.73717711</v>
      </c>
      <c r="D10" s="98" t="s">
        <v>236</v>
      </c>
      <c r="F10" s="83"/>
      <c r="G10" s="82"/>
      <c r="H10" s="82"/>
      <c r="I10" s="82"/>
      <c r="J10" s="82"/>
      <c r="K10" s="82"/>
      <c r="L10" s="82"/>
      <c r="M10" s="82"/>
      <c r="N10" s="82"/>
      <c r="O10" s="82"/>
    </row>
    <row r="11" ht="12.75" customHeight="1">
      <c r="A11" s="89" t="s">
        <v>242</v>
      </c>
      <c r="B11" s="82"/>
      <c r="C11" s="96">
        <f>SUM(C7:C10)</f>
        <v>65.09618388</v>
      </c>
      <c r="D11" s="89" t="s">
        <v>236</v>
      </c>
      <c r="E11" s="82"/>
      <c r="F11" s="83"/>
      <c r="G11" s="82"/>
      <c r="H11" s="82"/>
      <c r="I11" s="82"/>
      <c r="J11" s="82"/>
      <c r="K11" s="82"/>
      <c r="L11" s="82"/>
      <c r="M11" s="82"/>
      <c r="N11" s="82"/>
      <c r="O11" s="82"/>
    </row>
    <row r="12" ht="12.75" customHeight="1">
      <c r="A12" s="95"/>
      <c r="B12" s="101" t="s">
        <v>243</v>
      </c>
      <c r="C12" s="101" t="s">
        <v>244</v>
      </c>
      <c r="D12" s="95"/>
      <c r="E12" s="101" t="s">
        <v>245</v>
      </c>
      <c r="F12" s="102" t="s">
        <v>246</v>
      </c>
      <c r="G12" s="95"/>
      <c r="H12" s="95"/>
      <c r="I12" s="95"/>
      <c r="J12" s="95"/>
      <c r="K12" s="95"/>
      <c r="L12" s="95"/>
      <c r="M12" s="95"/>
      <c r="N12" s="95"/>
      <c r="O12" s="95"/>
    </row>
    <row r="13" ht="12.75" customHeight="1">
      <c r="A13" s="103" t="s">
        <v>247</v>
      </c>
      <c r="B13" s="104" t="s">
        <v>248</v>
      </c>
      <c r="C13" s="104" t="s">
        <v>249</v>
      </c>
      <c r="D13" s="82"/>
      <c r="E13" s="82"/>
      <c r="F13" s="83"/>
      <c r="G13" s="82"/>
      <c r="H13" s="82"/>
      <c r="I13" s="82"/>
      <c r="J13" s="82"/>
      <c r="K13" s="82"/>
      <c r="L13" s="82"/>
      <c r="M13" s="82"/>
      <c r="N13" s="82"/>
      <c r="O13" s="82"/>
    </row>
    <row r="14" ht="12.75" customHeight="1">
      <c r="A14" s="106" t="s">
        <v>336</v>
      </c>
      <c r="B14" s="107">
        <f>351.4056421*60.052*8000/(B6*10^6)</f>
        <v>0.9924977687</v>
      </c>
      <c r="C14" s="127">
        <f>1720/1000</f>
        <v>1.72</v>
      </c>
      <c r="D14" s="82"/>
      <c r="E14" s="109">
        <f>F14*'COM Esterification'!PROD</f>
        <v>290.3719359</v>
      </c>
      <c r="F14" s="83">
        <f t="shared" ref="F14:F16" si="1">B14*C14</f>
        <v>1.707096162</v>
      </c>
      <c r="G14" s="82"/>
      <c r="H14" s="82"/>
      <c r="I14" s="82"/>
      <c r="J14" s="82"/>
      <c r="K14" s="82"/>
      <c r="L14" s="82"/>
      <c r="M14" s="82"/>
      <c r="N14" s="82"/>
      <c r="O14" s="82"/>
    </row>
    <row r="15" ht="12.75" customHeight="1">
      <c r="A15" s="106" t="s">
        <v>251</v>
      </c>
      <c r="B15" s="107">
        <f>425.6907231*32.04*8000/(B6*10^6)</f>
        <v>0.6414754296</v>
      </c>
      <c r="C15" s="127">
        <f>620/1000</f>
        <v>0.62</v>
      </c>
      <c r="D15" s="82"/>
      <c r="E15" s="109">
        <f>F15*'COM Esterification'!PROD</f>
        <v>67.65008861</v>
      </c>
      <c r="F15" s="83">
        <f t="shared" si="1"/>
        <v>0.3977147663</v>
      </c>
      <c r="G15" s="82"/>
      <c r="H15" s="123"/>
      <c r="I15" s="123"/>
      <c r="J15" s="82"/>
      <c r="K15" s="82"/>
      <c r="L15" s="82"/>
      <c r="M15" s="82"/>
      <c r="N15" s="82"/>
      <c r="O15" s="82"/>
    </row>
    <row r="16" ht="12.75" customHeight="1">
      <c r="A16" s="115" t="s">
        <v>256</v>
      </c>
      <c r="B16" s="156">
        <f>'Sizing Esterification'!P6/2/(B6*10^6)</f>
        <v>0.001028824729</v>
      </c>
      <c r="C16" s="185">
        <v>4.9</v>
      </c>
      <c r="D16" s="115"/>
      <c r="E16" s="117">
        <f>F16*'COM Esterification'!PROD</f>
        <v>0.8575</v>
      </c>
      <c r="F16" s="118">
        <f t="shared" si="1"/>
        <v>0.005041241174</v>
      </c>
      <c r="G16" s="115"/>
      <c r="H16" s="115"/>
      <c r="I16" s="115"/>
      <c r="J16" s="115"/>
      <c r="K16" s="115"/>
      <c r="L16" s="115"/>
      <c r="M16" s="115"/>
      <c r="N16" s="115"/>
      <c r="O16" s="115"/>
    </row>
    <row r="17" ht="12.75" customHeight="1">
      <c r="A17" s="120" t="s">
        <v>259</v>
      </c>
      <c r="B17" s="121"/>
      <c r="C17" s="122"/>
      <c r="D17" s="123"/>
      <c r="E17" s="124">
        <f t="shared" ref="E17:F17" si="2">SUM(E14:E16)</f>
        <v>358.8795245</v>
      </c>
      <c r="F17" s="122">
        <f t="shared" si="2"/>
        <v>2.10985217</v>
      </c>
      <c r="G17" s="82"/>
      <c r="H17" s="82"/>
      <c r="I17" s="82"/>
      <c r="J17" s="123"/>
      <c r="K17" s="123"/>
      <c r="L17" s="123"/>
      <c r="M17" s="123"/>
      <c r="N17" s="123"/>
      <c r="O17" s="123"/>
    </row>
    <row r="18" ht="12.75" customHeight="1">
      <c r="A18" s="103" t="s">
        <v>260</v>
      </c>
      <c r="B18" s="125"/>
      <c r="C18" s="83"/>
      <c r="D18" s="82"/>
      <c r="E18" s="109"/>
      <c r="F18" s="83"/>
      <c r="G18" s="82"/>
      <c r="H18" s="82"/>
      <c r="I18" s="82"/>
      <c r="J18" s="82"/>
      <c r="K18" s="82"/>
      <c r="L18" s="82"/>
      <c r="M18" s="82"/>
      <c r="N18" s="82"/>
      <c r="O18" s="82"/>
    </row>
    <row r="19" ht="12.75" customHeight="1">
      <c r="A19" s="82" t="s">
        <v>261</v>
      </c>
      <c r="B19" s="126"/>
      <c r="C19" s="127"/>
      <c r="D19" s="82"/>
      <c r="E19" s="109">
        <f>F19*'COM Esterification'!PROD</f>
        <v>0</v>
      </c>
      <c r="F19" s="83">
        <f>B19*C19</f>
        <v>0</v>
      </c>
      <c r="G19" s="82"/>
      <c r="H19" s="128"/>
      <c r="I19" s="128"/>
      <c r="J19" s="128"/>
      <c r="K19" s="128"/>
      <c r="L19" s="128"/>
      <c r="M19" s="128"/>
      <c r="N19" s="128"/>
      <c r="O19" s="128"/>
    </row>
    <row r="20" ht="12.75" customHeight="1">
      <c r="A20" s="128" t="s">
        <v>262</v>
      </c>
      <c r="B20" s="129"/>
      <c r="C20" s="130">
        <v>3.61</v>
      </c>
      <c r="D20" s="131" t="s">
        <v>263</v>
      </c>
      <c r="E20" s="132">
        <f>F20*'COM Esterification'!PROD</f>
        <v>82.69515114</v>
      </c>
      <c r="F20" s="133">
        <f>G20*C20/1000000</f>
        <v>0.4861646657</v>
      </c>
      <c r="G20" s="134">
        <f>'Flash Tank Info for COM'!F15/(C7*10^6)</f>
        <v>134671.6526</v>
      </c>
      <c r="H20" s="131" t="s">
        <v>264</v>
      </c>
      <c r="I20" s="136"/>
      <c r="J20" s="136"/>
      <c r="K20" s="136"/>
      <c r="L20" s="136"/>
      <c r="M20" s="136"/>
      <c r="N20" s="136"/>
      <c r="O20" s="136"/>
    </row>
    <row r="21" ht="12.75" customHeight="1">
      <c r="A21" s="136" t="s">
        <v>266</v>
      </c>
      <c r="B21" s="137"/>
      <c r="C21" s="138"/>
      <c r="D21" s="136"/>
      <c r="E21" s="139">
        <f t="shared" ref="E21:F21" si="3">SUM(E19:E20)</f>
        <v>82.69515114</v>
      </c>
      <c r="F21" s="138">
        <f t="shared" si="3"/>
        <v>0.4861646657</v>
      </c>
      <c r="G21" s="136"/>
      <c r="H21" s="136"/>
      <c r="I21" s="136"/>
      <c r="J21" s="136"/>
      <c r="K21" s="136"/>
      <c r="L21" s="136"/>
      <c r="M21" s="136"/>
      <c r="N21" s="136"/>
      <c r="O21" s="136"/>
    </row>
    <row r="22" ht="12.75" customHeight="1">
      <c r="A22" s="120" t="s">
        <v>267</v>
      </c>
      <c r="B22" s="137"/>
      <c r="C22" s="138"/>
      <c r="D22" s="136"/>
      <c r="E22" s="139"/>
      <c r="F22" s="138"/>
      <c r="G22" s="136"/>
      <c r="H22" s="82"/>
      <c r="I22" s="82"/>
      <c r="J22" s="82"/>
      <c r="K22" s="82"/>
      <c r="L22" s="82"/>
      <c r="M22" s="82"/>
      <c r="N22" s="82"/>
      <c r="O22" s="82"/>
    </row>
    <row r="23" ht="12.75" customHeight="1">
      <c r="A23" s="89" t="s">
        <v>270</v>
      </c>
      <c r="B23" s="107">
        <f>25.9431*1000*8000/(B6*10^6)</f>
        <v>1.220155558</v>
      </c>
      <c r="C23" s="186">
        <v>11.45</v>
      </c>
      <c r="D23" s="82"/>
      <c r="E23" s="109">
        <f>F23*'COM Esterification'!PROD</f>
        <v>2.37638796</v>
      </c>
      <c r="F23" s="83">
        <f>B23*C23/1000</f>
        <v>0.01397078114</v>
      </c>
      <c r="G23" s="82" t="s">
        <v>271</v>
      </c>
      <c r="H23" s="82"/>
      <c r="I23" s="82"/>
      <c r="J23" s="82"/>
      <c r="K23" s="82"/>
      <c r="L23" s="82"/>
      <c r="M23" s="82"/>
      <c r="N23" s="82"/>
      <c r="O23" s="82"/>
    </row>
    <row r="24" ht="12.75" customHeight="1">
      <c r="A24" s="89" t="s">
        <v>274</v>
      </c>
      <c r="B24" s="107">
        <f>134.38*8000/(B6*10^6)</f>
        <v>0.006320158498</v>
      </c>
      <c r="C24" s="187">
        <v>0.061</v>
      </c>
      <c r="D24" s="82"/>
      <c r="E24" s="109">
        <f>F24*'COM Esterification'!PROD</f>
        <v>0.06557744</v>
      </c>
      <c r="F24" s="83">
        <f>B24*C24</f>
        <v>0.0003855296684</v>
      </c>
      <c r="G24" s="82" t="s">
        <v>275</v>
      </c>
      <c r="H24" s="82"/>
      <c r="I24" s="82"/>
      <c r="J24" s="82"/>
      <c r="K24" s="82"/>
      <c r="L24" s="82"/>
      <c r="M24" s="82"/>
      <c r="N24" s="82"/>
      <c r="O24" s="82"/>
    </row>
    <row r="25" ht="12.75" customHeight="1">
      <c r="A25" s="98" t="s">
        <v>280</v>
      </c>
      <c r="B25" s="107">
        <f>0.802889*10^6*8000/(B6*10^6)</f>
        <v>37.76146552</v>
      </c>
      <c r="C25" s="188">
        <v>0.075</v>
      </c>
      <c r="D25" s="148"/>
      <c r="E25" s="117">
        <f>F25*'COM Esterification'!PROD</f>
        <v>0.4817334</v>
      </c>
      <c r="F25" s="118">
        <f>B25*C25/1000</f>
        <v>0.002832109914</v>
      </c>
      <c r="G25" s="115" t="s">
        <v>281</v>
      </c>
      <c r="H25" s="148"/>
      <c r="I25" s="148"/>
      <c r="J25" s="148"/>
      <c r="K25" s="148"/>
      <c r="L25" s="148"/>
      <c r="M25" s="148"/>
      <c r="N25" s="148"/>
      <c r="O25" s="148"/>
    </row>
    <row r="26" ht="12.75" customHeight="1">
      <c r="A26" s="153" t="s">
        <v>284</v>
      </c>
      <c r="B26" s="137"/>
      <c r="C26" s="138"/>
      <c r="D26" s="136"/>
      <c r="E26" s="139">
        <f t="shared" ref="E26:F26" si="4">SUM(E23:E25)</f>
        <v>2.9236988</v>
      </c>
      <c r="F26" s="138">
        <f t="shared" si="4"/>
        <v>0.01718842072</v>
      </c>
      <c r="G26" s="136"/>
      <c r="H26" s="82"/>
      <c r="I26" s="82"/>
      <c r="J26" s="82"/>
      <c r="K26" s="82"/>
      <c r="L26" s="82"/>
      <c r="M26" s="82"/>
      <c r="N26" s="82"/>
      <c r="O26" s="82"/>
    </row>
    <row r="27" ht="12.75" customHeight="1">
      <c r="A27" s="103" t="s">
        <v>285</v>
      </c>
      <c r="B27" s="125"/>
      <c r="C27" s="83"/>
      <c r="D27" s="82"/>
      <c r="E27" s="109"/>
      <c r="F27" s="83"/>
      <c r="G27" s="82"/>
      <c r="H27" s="82"/>
      <c r="I27" s="82"/>
      <c r="J27" s="82"/>
      <c r="K27" s="82"/>
      <c r="L27" s="82"/>
      <c r="M27" s="82"/>
      <c r="N27" s="82"/>
      <c r="O27" s="82"/>
    </row>
    <row r="28" ht="12.75" customHeight="1">
      <c r="A28" s="89" t="s">
        <v>288</v>
      </c>
      <c r="B28" s="126"/>
      <c r="C28" s="127"/>
      <c r="D28" s="82"/>
      <c r="E28" s="109">
        <f>F28*'COM Esterification'!PROD</f>
        <v>0</v>
      </c>
      <c r="F28" s="83">
        <f t="shared" ref="F28:F30" si="5">B28*C28</f>
        <v>0</v>
      </c>
      <c r="G28" s="82"/>
      <c r="H28" s="82"/>
      <c r="I28" s="82"/>
      <c r="J28" s="82"/>
      <c r="K28" s="82"/>
      <c r="L28" s="82"/>
      <c r="M28" s="82"/>
      <c r="N28" s="82"/>
      <c r="O28" s="82"/>
    </row>
    <row r="29" ht="12.75" customHeight="1">
      <c r="A29" s="89" t="s">
        <v>290</v>
      </c>
      <c r="B29" s="126"/>
      <c r="C29" s="127"/>
      <c r="D29" s="82"/>
      <c r="E29" s="109">
        <f>F29*'COM Esterification'!PROD</f>
        <v>0</v>
      </c>
      <c r="F29" s="83">
        <f t="shared" si="5"/>
        <v>0</v>
      </c>
      <c r="G29" s="82"/>
      <c r="H29" s="115"/>
      <c r="I29" s="115"/>
      <c r="J29" s="115"/>
      <c r="K29" s="115"/>
      <c r="L29" s="115"/>
      <c r="M29" s="115"/>
      <c r="N29" s="115"/>
      <c r="O29" s="115"/>
    </row>
    <row r="30" ht="12.75" customHeight="1">
      <c r="A30" s="98" t="s">
        <v>292</v>
      </c>
      <c r="B30" s="156"/>
      <c r="C30" s="157"/>
      <c r="D30" s="115"/>
      <c r="E30" s="117">
        <f>F30*'COM Esterification'!PROD</f>
        <v>0</v>
      </c>
      <c r="F30" s="118">
        <f t="shared" si="5"/>
        <v>0</v>
      </c>
      <c r="G30" s="115"/>
      <c r="H30" s="136"/>
      <c r="I30" s="136"/>
      <c r="J30" s="136"/>
      <c r="K30" s="136"/>
      <c r="L30" s="136"/>
      <c r="M30" s="136"/>
      <c r="N30" s="136"/>
      <c r="O30" s="136"/>
    </row>
    <row r="31" ht="12.75" customHeight="1">
      <c r="A31" s="136" t="s">
        <v>293</v>
      </c>
      <c r="B31" s="136"/>
      <c r="C31" s="136"/>
      <c r="D31" s="136"/>
      <c r="E31" s="139">
        <f t="shared" ref="E31:F31" si="6">SUM(E28:E30)</f>
        <v>0</v>
      </c>
      <c r="F31" s="138">
        <f t="shared" si="6"/>
        <v>0</v>
      </c>
      <c r="G31" s="136"/>
      <c r="H31" s="82"/>
      <c r="I31" s="82"/>
      <c r="J31" s="82"/>
      <c r="K31" s="82"/>
      <c r="L31" s="82"/>
      <c r="M31" s="82"/>
      <c r="N31" s="82"/>
      <c r="O31" s="82"/>
    </row>
    <row r="32" ht="12.75" customHeight="1">
      <c r="A32" s="120" t="s">
        <v>294</v>
      </c>
      <c r="B32" s="123"/>
      <c r="C32" s="123"/>
      <c r="D32" s="123"/>
      <c r="E32" s="124">
        <f t="shared" ref="E32:F32" si="7">E17+E26+E31-E21</f>
        <v>279.1080721</v>
      </c>
      <c r="F32" s="122">
        <f t="shared" si="7"/>
        <v>1.640875925</v>
      </c>
      <c r="G32" s="82"/>
      <c r="H32" s="82"/>
      <c r="I32" s="82"/>
      <c r="J32" s="82"/>
      <c r="K32" s="82"/>
      <c r="L32" s="82"/>
      <c r="M32" s="82"/>
      <c r="N32" s="82"/>
      <c r="O32" s="82"/>
    </row>
    <row r="33" ht="12.75" customHeight="1">
      <c r="A33" s="120"/>
      <c r="B33" s="123"/>
      <c r="C33" s="123"/>
      <c r="D33" s="123"/>
      <c r="E33" s="124"/>
      <c r="F33" s="122"/>
      <c r="G33" s="82"/>
      <c r="H33" s="82"/>
      <c r="I33" s="82"/>
      <c r="J33" s="123"/>
      <c r="K33" s="123"/>
      <c r="L33" s="123"/>
      <c r="M33" s="123"/>
      <c r="N33" s="123"/>
      <c r="O33" s="123"/>
    </row>
    <row r="34" ht="12.75" customHeight="1">
      <c r="A34" s="103" t="s">
        <v>295</v>
      </c>
      <c r="B34" s="82"/>
      <c r="C34" s="82"/>
      <c r="D34" s="82"/>
      <c r="E34" s="109"/>
      <c r="F34" s="83"/>
      <c r="G34" s="82"/>
      <c r="H34" s="82"/>
      <c r="I34" s="82"/>
      <c r="J34" s="82"/>
      <c r="K34" s="82"/>
      <c r="L34" s="82"/>
      <c r="M34" s="82"/>
      <c r="N34" s="82"/>
      <c r="O34" s="82"/>
    </row>
    <row r="35" ht="12.75" customHeight="1">
      <c r="A35" s="89" t="s">
        <v>296</v>
      </c>
      <c r="B35" s="158">
        <v>5.0</v>
      </c>
      <c r="C35" s="159">
        <v>32.0</v>
      </c>
      <c r="D35" s="160" t="s">
        <v>297</v>
      </c>
      <c r="E35" s="109">
        <f>B35*C35*(365*24)/1000000</f>
        <v>1.4016</v>
      </c>
      <c r="F35" s="83">
        <f>E35/'COM Esterification'!PROD</f>
        <v>0.008240004233</v>
      </c>
      <c r="G35" s="82" t="s">
        <v>298</v>
      </c>
      <c r="H35" s="123"/>
      <c r="I35" s="123"/>
      <c r="J35" s="82"/>
      <c r="K35" s="82"/>
      <c r="L35" s="82"/>
      <c r="M35" s="82"/>
      <c r="N35" s="82"/>
      <c r="O35" s="82"/>
    </row>
    <row r="36" ht="12.75" customHeight="1">
      <c r="A36" s="89" t="s">
        <v>300</v>
      </c>
      <c r="B36" s="82"/>
      <c r="C36" s="161">
        <v>0.45</v>
      </c>
      <c r="D36" s="82"/>
      <c r="E36" s="109">
        <f t="shared" ref="E36:E38" si="8">E$35*C36</f>
        <v>0.63072</v>
      </c>
      <c r="F36" s="83">
        <f>E36/'COM Esterification'!PROD</f>
        <v>0.003708001905</v>
      </c>
      <c r="G36" s="82"/>
      <c r="H36" s="123"/>
      <c r="I36" s="123"/>
      <c r="J36" s="82"/>
      <c r="K36" s="82"/>
      <c r="L36" s="82"/>
      <c r="M36" s="82"/>
      <c r="N36" s="82"/>
      <c r="O36" s="82"/>
    </row>
    <row r="37" ht="12.75" customHeight="1">
      <c r="A37" s="89" t="s">
        <v>301</v>
      </c>
      <c r="B37" s="82"/>
      <c r="C37" s="161">
        <v>1.0</v>
      </c>
      <c r="D37" s="82"/>
      <c r="E37" s="109">
        <f t="shared" si="8"/>
        <v>1.4016</v>
      </c>
      <c r="F37" s="83">
        <f>E37/'COM Esterification'!PROD</f>
        <v>0.008240004233</v>
      </c>
      <c r="G37" s="123"/>
      <c r="H37" s="82"/>
      <c r="I37" s="82"/>
      <c r="J37" s="82"/>
      <c r="K37" s="82"/>
      <c r="L37" s="82"/>
      <c r="M37" s="82"/>
      <c r="N37" s="82"/>
      <c r="O37" s="82"/>
    </row>
    <row r="38" ht="12.75" customHeight="1">
      <c r="A38" s="89" t="s">
        <v>302</v>
      </c>
      <c r="B38" s="82"/>
      <c r="C38" s="161">
        <v>0.5</v>
      </c>
      <c r="D38" s="82"/>
      <c r="E38" s="109">
        <f t="shared" si="8"/>
        <v>0.7008</v>
      </c>
      <c r="F38" s="83">
        <f>E38/'COM Esterification'!PROD</f>
        <v>0.004120002116</v>
      </c>
      <c r="G38" s="123"/>
      <c r="H38" s="82"/>
      <c r="I38" s="82"/>
      <c r="J38" s="82"/>
      <c r="K38" s="82"/>
      <c r="L38" s="82"/>
      <c r="M38" s="82"/>
      <c r="N38" s="82"/>
      <c r="O38" s="82"/>
    </row>
    <row r="39" ht="12.75" customHeight="1">
      <c r="A39" s="89" t="s">
        <v>303</v>
      </c>
      <c r="B39" s="161">
        <v>0.03</v>
      </c>
      <c r="C39" s="82"/>
      <c r="D39" s="82"/>
      <c r="E39" s="109">
        <f t="shared" ref="E39:E41" si="9">B39*$C$7</f>
        <v>0.3435713919</v>
      </c>
      <c r="F39" s="83">
        <f>E39/'COM Esterification'!PROD</f>
        <v>0.002019855682</v>
      </c>
      <c r="G39" s="82"/>
      <c r="H39" s="95"/>
      <c r="I39" s="95"/>
      <c r="J39" s="82"/>
      <c r="K39" s="82"/>
      <c r="L39" s="82"/>
      <c r="M39" s="82"/>
      <c r="N39" s="82"/>
      <c r="O39" s="82"/>
    </row>
    <row r="40" ht="12.75" customHeight="1">
      <c r="A40" s="89" t="s">
        <v>304</v>
      </c>
      <c r="B40" s="161">
        <v>0.02</v>
      </c>
      <c r="C40" s="82"/>
      <c r="D40" s="82"/>
      <c r="E40" s="109">
        <f t="shared" si="9"/>
        <v>0.2290475946</v>
      </c>
      <c r="F40" s="83">
        <f>E40/'COM Esterification'!PROD</f>
        <v>0.001346570455</v>
      </c>
      <c r="G40" s="82" t="s">
        <v>305</v>
      </c>
      <c r="H40" s="95"/>
      <c r="I40" s="95"/>
      <c r="J40" s="82"/>
      <c r="K40" s="82"/>
      <c r="L40" s="82"/>
      <c r="M40" s="82"/>
      <c r="N40" s="82"/>
      <c r="O40" s="82"/>
    </row>
    <row r="41" ht="12.75" customHeight="1">
      <c r="A41" s="89" t="s">
        <v>306</v>
      </c>
      <c r="B41" s="161">
        <v>0.09</v>
      </c>
      <c r="C41" s="82"/>
      <c r="D41" s="82"/>
      <c r="E41" s="109">
        <f t="shared" si="9"/>
        <v>1.030714176</v>
      </c>
      <c r="F41" s="83">
        <f>E41/'COM Esterification'!PROD</f>
        <v>0.006059567046</v>
      </c>
      <c r="G41" s="82" t="s">
        <v>307</v>
      </c>
      <c r="H41" s="82"/>
      <c r="I41" s="82"/>
      <c r="J41" s="82"/>
      <c r="K41" s="82"/>
      <c r="L41" s="82"/>
      <c r="M41" s="82"/>
      <c r="N41" s="82"/>
      <c r="O41" s="82"/>
    </row>
    <row r="42" ht="12.75" customHeight="1">
      <c r="A42" s="120" t="s">
        <v>308</v>
      </c>
      <c r="B42" s="123"/>
      <c r="C42" s="123"/>
      <c r="D42" s="123"/>
      <c r="E42" s="124">
        <f t="shared" ref="E42:F42" si="10">SUM(E35:E41)</f>
        <v>5.738053162</v>
      </c>
      <c r="F42" s="122">
        <f t="shared" si="10"/>
        <v>0.03373400567</v>
      </c>
      <c r="G42" s="82"/>
      <c r="H42" s="82"/>
      <c r="I42" s="82"/>
      <c r="J42" s="123"/>
      <c r="K42" s="123"/>
      <c r="L42" s="123"/>
      <c r="M42" s="123"/>
      <c r="N42" s="123"/>
      <c r="O42" s="123"/>
    </row>
    <row r="43" ht="12.75" customHeight="1">
      <c r="A43" s="89"/>
      <c r="B43" s="82"/>
      <c r="C43" s="82"/>
      <c r="D43" s="82"/>
      <c r="E43" s="109"/>
      <c r="F43" s="83"/>
      <c r="G43" s="82"/>
      <c r="H43" s="82"/>
      <c r="I43" s="82"/>
      <c r="J43" s="82"/>
      <c r="K43" s="82"/>
      <c r="L43" s="82"/>
      <c r="M43" s="82"/>
      <c r="N43" s="82"/>
      <c r="O43" s="82"/>
    </row>
    <row r="44" ht="12.75" customHeight="1">
      <c r="A44" s="103" t="s">
        <v>309</v>
      </c>
      <c r="B44" s="95"/>
      <c r="C44" s="95"/>
      <c r="D44" s="95"/>
      <c r="E44" s="162">
        <f t="shared" ref="E44:F44" si="11">E32+E42-E41</f>
        <v>283.8154111</v>
      </c>
      <c r="F44" s="163">
        <f t="shared" si="11"/>
        <v>1.668550363</v>
      </c>
      <c r="G44" s="82" t="s">
        <v>310</v>
      </c>
      <c r="H44" s="82"/>
      <c r="I44" s="82"/>
      <c r="J44" s="95"/>
      <c r="K44" s="95"/>
      <c r="L44" s="95"/>
      <c r="M44" s="95"/>
      <c r="N44" s="95"/>
      <c r="O44" s="95"/>
    </row>
    <row r="45" ht="12.75" customHeight="1">
      <c r="A45" s="103" t="s">
        <v>311</v>
      </c>
      <c r="B45" s="95"/>
      <c r="C45" s="95"/>
      <c r="D45" s="95"/>
      <c r="E45" s="162">
        <f t="shared" ref="E45:F45" si="12">E32+E42</f>
        <v>284.8461253</v>
      </c>
      <c r="F45" s="163">
        <f t="shared" si="12"/>
        <v>1.67460993</v>
      </c>
      <c r="G45" s="82" t="s">
        <v>312</v>
      </c>
      <c r="H45" s="82"/>
      <c r="I45" s="82"/>
      <c r="J45" s="95"/>
      <c r="K45" s="95"/>
      <c r="L45" s="95"/>
      <c r="M45" s="95"/>
      <c r="N45" s="95"/>
      <c r="O45" s="95"/>
    </row>
    <row r="46" ht="12.75" customHeight="1">
      <c r="A46" s="89" t="s">
        <v>313</v>
      </c>
      <c r="B46" s="82"/>
      <c r="C46" s="164">
        <v>0.06</v>
      </c>
      <c r="D46" s="89" t="s">
        <v>314</v>
      </c>
      <c r="E46" s="109">
        <f>'COM Esterification'!PROD*F46</f>
        <v>17.09076752</v>
      </c>
      <c r="F46" s="83">
        <f>C46*F45</f>
        <v>0.1004765958</v>
      </c>
      <c r="G46" s="82"/>
      <c r="H46" s="82"/>
      <c r="I46" s="82"/>
      <c r="J46" s="82"/>
      <c r="K46" s="82"/>
      <c r="L46" s="82"/>
      <c r="M46" s="82"/>
      <c r="N46" s="82"/>
      <c r="O46" s="82"/>
    </row>
    <row r="47" ht="12.75" customHeight="1">
      <c r="A47" s="103" t="s">
        <v>315</v>
      </c>
      <c r="B47" s="82"/>
      <c r="C47" s="165"/>
      <c r="D47" s="89"/>
      <c r="E47" s="162">
        <f t="shared" ref="E47:F47" si="13">E45+E46</f>
        <v>301.9368928</v>
      </c>
      <c r="F47" s="163">
        <f t="shared" si="13"/>
        <v>1.775086526</v>
      </c>
      <c r="G47" s="82"/>
      <c r="H47" s="82"/>
      <c r="I47" s="82"/>
      <c r="J47" s="82"/>
      <c r="K47" s="82"/>
      <c r="L47" s="82"/>
      <c r="M47" s="82"/>
      <c r="N47" s="82"/>
      <c r="O47" s="82"/>
    </row>
    <row r="48" ht="12.75" customHeight="1">
      <c r="A48" s="89" t="s">
        <v>316</v>
      </c>
      <c r="B48" s="82"/>
      <c r="C48" s="164">
        <v>0.25</v>
      </c>
      <c r="D48" s="89"/>
      <c r="E48" s="162"/>
      <c r="F48" s="163"/>
      <c r="G48" s="82"/>
      <c r="H48" s="82"/>
      <c r="I48" s="82"/>
      <c r="J48" s="82"/>
      <c r="K48" s="82"/>
      <c r="L48" s="82"/>
      <c r="M48" s="82"/>
      <c r="N48" s="82"/>
      <c r="O48" s="82"/>
    </row>
    <row r="49" ht="12.75" customHeight="1">
      <c r="A49" s="89" t="s">
        <v>317</v>
      </c>
      <c r="B49" s="82"/>
      <c r="C49" s="166">
        <v>0.25</v>
      </c>
      <c r="D49" s="104"/>
      <c r="E49" s="109">
        <f>C49*C11/(1-C48)</f>
        <v>21.69872796</v>
      </c>
      <c r="F49" s="83">
        <f>E49/'COM Esterification'!PROD</f>
        <v>0.1275667881</v>
      </c>
      <c r="G49" s="82" t="s">
        <v>318</v>
      </c>
      <c r="H49" s="82"/>
      <c r="I49" s="82"/>
      <c r="J49" s="82"/>
      <c r="K49" s="82"/>
      <c r="L49" s="82"/>
      <c r="M49" s="82"/>
      <c r="N49" s="82"/>
      <c r="O49" s="82"/>
    </row>
    <row r="50" ht="12.75" customHeight="1">
      <c r="A50" s="89"/>
      <c r="B50" s="82"/>
      <c r="C50" s="167"/>
      <c r="D50" s="104"/>
      <c r="E50" s="109"/>
      <c r="F50" s="83"/>
      <c r="G50" s="82"/>
      <c r="H50" s="82"/>
      <c r="I50" s="82"/>
      <c r="J50" s="82"/>
      <c r="K50" s="82"/>
      <c r="L50" s="82"/>
      <c r="M50" s="82"/>
      <c r="N50" s="82"/>
      <c r="O50" s="82"/>
    </row>
    <row r="51" ht="12.75" customHeight="1">
      <c r="A51" s="168" t="s">
        <v>319</v>
      </c>
      <c r="B51" s="87" t="s">
        <v>320</v>
      </c>
      <c r="C51" s="87"/>
      <c r="D51" s="86" t="s">
        <v>321</v>
      </c>
      <c r="E51" s="169" t="s">
        <v>322</v>
      </c>
      <c r="F51" s="170" t="s">
        <v>246</v>
      </c>
      <c r="G51" s="82"/>
      <c r="H51" s="82"/>
      <c r="I51" s="82"/>
      <c r="J51" s="87"/>
      <c r="K51" s="87"/>
      <c r="L51" s="87"/>
      <c r="M51" s="87"/>
      <c r="N51" s="87"/>
      <c r="O51" s="87"/>
    </row>
    <row r="52" ht="12.75" customHeight="1">
      <c r="A52" s="171" t="s">
        <v>323</v>
      </c>
      <c r="B52" s="172">
        <f>C49</f>
        <v>0.25</v>
      </c>
      <c r="C52" s="173" t="s">
        <v>324</v>
      </c>
      <c r="D52" s="172">
        <f>E6</f>
        <v>0.913</v>
      </c>
      <c r="E52" s="174">
        <f t="shared" ref="E52:F52" si="14">E47+E49</f>
        <v>323.6356208</v>
      </c>
      <c r="F52" s="175">
        <f t="shared" si="14"/>
        <v>1.902653314</v>
      </c>
      <c r="G52" s="82" t="s">
        <v>325</v>
      </c>
      <c r="H52" s="82"/>
      <c r="I52" s="82"/>
      <c r="J52" s="171"/>
      <c r="K52" s="171"/>
      <c r="L52" s="171"/>
      <c r="M52" s="171"/>
      <c r="N52" s="171"/>
      <c r="O52" s="171"/>
    </row>
    <row r="53" ht="12.75" customHeight="1">
      <c r="A53" s="176" t="s">
        <v>326</v>
      </c>
      <c r="B53" s="177">
        <f>(1-C48)*(E53-E47)/C11</f>
        <v>1.26387417</v>
      </c>
      <c r="C53" s="178" t="s">
        <v>327</v>
      </c>
      <c r="D53" s="178"/>
      <c r="E53" s="179">
        <f>F53*'COM Esterification'!PROD</f>
        <v>411.63474</v>
      </c>
      <c r="F53" s="180">
        <v>2.42</v>
      </c>
      <c r="G53" s="82" t="s">
        <v>328</v>
      </c>
      <c r="H53" s="178"/>
      <c r="I53" s="178"/>
      <c r="J53" s="178"/>
      <c r="K53" s="178"/>
      <c r="L53" s="178"/>
      <c r="M53" s="178"/>
      <c r="N53" s="178"/>
      <c r="O53" s="178"/>
    </row>
    <row r="54" ht="12.75" customHeight="1">
      <c r="A54" s="82" t="s">
        <v>330</v>
      </c>
      <c r="B54" s="167">
        <f>IF(E53&gt;0,E54/E53,0)</f>
        <v>0.2023738316</v>
      </c>
      <c r="C54" s="82" t="s">
        <v>331</v>
      </c>
      <c r="D54" s="82"/>
      <c r="E54" s="181">
        <f>(1-C48)*(E53-E47)+E41</f>
        <v>83.30409955</v>
      </c>
      <c r="F54" s="82"/>
      <c r="G54" s="82" t="s">
        <v>332</v>
      </c>
      <c r="H54" s="82"/>
      <c r="I54" s="82"/>
      <c r="J54" s="82"/>
      <c r="K54" s="82"/>
      <c r="L54" s="82"/>
      <c r="M54" s="82"/>
      <c r="N54" s="82"/>
      <c r="O54" s="82"/>
    </row>
    <row r="55" ht="12.75" customHeight="1">
      <c r="A55" s="82" t="s">
        <v>334</v>
      </c>
      <c r="B55" s="167">
        <f>IF(E53&gt;0,E55/E53,0)</f>
        <v>0.3219520973</v>
      </c>
      <c r="C55" s="82" t="s">
        <v>331</v>
      </c>
      <c r="D55" s="82"/>
      <c r="E55" s="181">
        <f>E53-E32</f>
        <v>132.5266679</v>
      </c>
      <c r="F55" s="82"/>
      <c r="G55" s="82" t="s">
        <v>335</v>
      </c>
      <c r="H55" s="82"/>
      <c r="I55" s="82"/>
      <c r="J55" s="82"/>
      <c r="K55" s="82"/>
      <c r="L55" s="82"/>
      <c r="M55" s="82"/>
      <c r="N55" s="82"/>
      <c r="O55" s="82"/>
    </row>
    <row r="56" ht="12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ht="12.75" customHeight="1">
      <c r="A57" s="82"/>
      <c r="B57" s="82"/>
      <c r="C57" s="82"/>
      <c r="D57" s="82"/>
      <c r="E57" s="184"/>
      <c r="F57" s="82"/>
      <c r="G57" s="82"/>
      <c r="H57" s="82"/>
      <c r="I57" s="82"/>
      <c r="J57" s="82"/>
      <c r="K57" s="82"/>
      <c r="L57" s="82"/>
      <c r="M57" s="82"/>
      <c r="N57" s="82"/>
      <c r="O57" s="82"/>
    </row>
  </sheetData>
  <mergeCells count="3">
    <mergeCell ref="B2:D2"/>
    <mergeCell ref="B3:D3"/>
    <mergeCell ref="E9:E10"/>
  </mergeCells>
  <printOptions/>
  <pageMargins bottom="0.83" footer="0.0" header="0.0" left="0.75" right="0.75" top="1.0"/>
  <pageSetup orientation="portrait"/>
  <headerFooter>
    <oddHeader>&amp;RDate: &amp;D  &amp;T</oddHeader>
    <oddFooter>&amp;C&amp;F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35.25"/>
    <col customWidth="1" min="3" max="3" width="40.75"/>
    <col customWidth="1" min="4" max="4" width="25.0"/>
    <col customWidth="1" min="5" max="5" width="35.88"/>
    <col customWidth="1" min="6" max="6" width="26.13"/>
    <col customWidth="1" min="7" max="7" width="16.13"/>
    <col customWidth="1" min="10" max="10" width="16.0"/>
  </cols>
  <sheetData>
    <row r="1" ht="15.0" customHeight="1">
      <c r="A1" s="189" t="s">
        <v>337</v>
      </c>
      <c r="B1" s="5"/>
      <c r="C1" s="5"/>
      <c r="D1" s="5"/>
      <c r="E1" s="5"/>
      <c r="F1" s="5"/>
      <c r="G1" s="5"/>
      <c r="H1" s="5"/>
      <c r="I1" s="5"/>
      <c r="J1" s="6"/>
      <c r="K1" s="190"/>
      <c r="L1" s="190"/>
      <c r="M1" s="191"/>
    </row>
    <row r="2">
      <c r="A2" s="192" t="s">
        <v>338</v>
      </c>
      <c r="B2" s="193" t="s">
        <v>339</v>
      </c>
      <c r="C2" s="193" t="s">
        <v>340</v>
      </c>
      <c r="D2" s="193" t="s">
        <v>341</v>
      </c>
      <c r="E2" s="193" t="s">
        <v>342</v>
      </c>
      <c r="F2" s="192" t="s">
        <v>343</v>
      </c>
      <c r="G2" s="192" t="s">
        <v>344</v>
      </c>
      <c r="H2" s="192" t="s">
        <v>345</v>
      </c>
      <c r="I2" s="192" t="s">
        <v>346</v>
      </c>
      <c r="J2" s="192" t="s">
        <v>347</v>
      </c>
      <c r="K2" s="190"/>
      <c r="L2" s="190"/>
      <c r="M2" s="191"/>
    </row>
    <row r="3">
      <c r="A3" s="194" t="s">
        <v>348</v>
      </c>
      <c r="B3" s="195">
        <v>0.9</v>
      </c>
      <c r="C3" s="196">
        <f t="shared" ref="C3:C7" si="1">B3* 497.33</f>
        <v>447.597</v>
      </c>
      <c r="D3" s="197">
        <v>0.0</v>
      </c>
      <c r="E3" s="196">
        <f t="shared" ref="E3:E7" si="2">D3*71.81</f>
        <v>0</v>
      </c>
      <c r="F3" s="196">
        <f t="shared" ref="F3:F7" si="3">C3+E3</f>
        <v>447.597</v>
      </c>
      <c r="G3" s="196">
        <f t="shared" ref="G3:G7" si="4">F3/$F$8</f>
        <v>0.7864444601</v>
      </c>
      <c r="H3" s="195">
        <v>0.0</v>
      </c>
      <c r="I3" s="198">
        <f t="shared" ref="I3:I7" si="5">H3*F3*1000</f>
        <v>0</v>
      </c>
      <c r="J3" s="198">
        <f t="shared" ref="J3:J7" si="6">I3/1.05506*8000</f>
        <v>0</v>
      </c>
      <c r="K3" s="190"/>
      <c r="M3" s="191"/>
    </row>
    <row r="4">
      <c r="A4" s="194" t="s">
        <v>349</v>
      </c>
      <c r="B4" s="195">
        <v>0.1</v>
      </c>
      <c r="C4" s="196">
        <f t="shared" si="1"/>
        <v>49.733</v>
      </c>
      <c r="D4" s="199">
        <v>0.087</v>
      </c>
      <c r="E4" s="196">
        <f t="shared" si="2"/>
        <v>6.24747</v>
      </c>
      <c r="F4" s="196">
        <f t="shared" si="3"/>
        <v>55.98047</v>
      </c>
      <c r="G4" s="196">
        <f t="shared" si="4"/>
        <v>0.09835975331</v>
      </c>
      <c r="H4" s="195">
        <v>726.1</v>
      </c>
      <c r="I4" s="198">
        <f t="shared" si="5"/>
        <v>40647419.27</v>
      </c>
      <c r="J4" s="198">
        <f t="shared" si="6"/>
        <v>308209347465</v>
      </c>
      <c r="K4" s="190"/>
      <c r="L4" s="190"/>
      <c r="M4" s="191"/>
    </row>
    <row r="5">
      <c r="A5" s="194" t="s">
        <v>350</v>
      </c>
      <c r="B5" s="195">
        <v>0.0</v>
      </c>
      <c r="C5" s="196">
        <f t="shared" si="1"/>
        <v>0</v>
      </c>
      <c r="D5" s="199">
        <v>0.802</v>
      </c>
      <c r="E5" s="196">
        <f t="shared" si="2"/>
        <v>57.59162</v>
      </c>
      <c r="F5" s="196">
        <f t="shared" si="3"/>
        <v>57.59162</v>
      </c>
      <c r="G5" s="196">
        <f t="shared" si="4"/>
        <v>0.1011906034</v>
      </c>
      <c r="H5" s="195">
        <v>1672.0</v>
      </c>
      <c r="I5" s="198">
        <f t="shared" si="5"/>
        <v>96293188.64</v>
      </c>
      <c r="J5" s="198">
        <f t="shared" si="6"/>
        <v>730143791936</v>
      </c>
      <c r="K5" s="190"/>
      <c r="L5" s="190"/>
      <c r="M5" s="191"/>
    </row>
    <row r="6">
      <c r="A6" s="194" t="s">
        <v>351</v>
      </c>
      <c r="B6" s="195">
        <v>0.0</v>
      </c>
      <c r="C6" s="196">
        <f t="shared" si="1"/>
        <v>0</v>
      </c>
      <c r="D6" s="199">
        <v>0.102</v>
      </c>
      <c r="E6" s="196">
        <f t="shared" si="2"/>
        <v>7.32462</v>
      </c>
      <c r="F6" s="196">
        <f t="shared" si="3"/>
        <v>7.32462</v>
      </c>
      <c r="G6" s="196">
        <f t="shared" si="4"/>
        <v>0.01286962786</v>
      </c>
      <c r="H6" s="195">
        <v>2726.3</v>
      </c>
      <c r="I6" s="198">
        <f t="shared" si="5"/>
        <v>19969111.51</v>
      </c>
      <c r="J6" s="198">
        <f t="shared" si="6"/>
        <v>151415930893</v>
      </c>
      <c r="K6" s="190"/>
      <c r="L6" s="190"/>
      <c r="M6" s="191"/>
    </row>
    <row r="7">
      <c r="A7" s="194" t="s">
        <v>352</v>
      </c>
      <c r="B7" s="195">
        <v>0.0</v>
      </c>
      <c r="C7" s="196">
        <f t="shared" si="1"/>
        <v>0</v>
      </c>
      <c r="D7" s="199">
        <v>0.009</v>
      </c>
      <c r="E7" s="196">
        <f t="shared" si="2"/>
        <v>0.64629</v>
      </c>
      <c r="F7" s="196">
        <f t="shared" si="3"/>
        <v>0.64629</v>
      </c>
      <c r="G7" s="196">
        <f t="shared" si="4"/>
        <v>0.001135555399</v>
      </c>
      <c r="H7" s="196">
        <f>-(-394*2+283)/2</f>
        <v>252.5</v>
      </c>
      <c r="I7" s="198">
        <f t="shared" si="5"/>
        <v>163188.225</v>
      </c>
      <c r="J7" s="198">
        <f t="shared" si="6"/>
        <v>1237375884</v>
      </c>
      <c r="K7" s="190"/>
      <c r="L7" s="190"/>
      <c r="M7" s="191"/>
    </row>
    <row r="8">
      <c r="A8" s="200" t="s">
        <v>353</v>
      </c>
      <c r="B8" s="201">
        <f t="shared" ref="B8:G8" si="7">SUM(B3:B7)</f>
        <v>1</v>
      </c>
      <c r="C8" s="201">
        <f t="shared" si="7"/>
        <v>497.33</v>
      </c>
      <c r="D8" s="201">
        <f t="shared" si="7"/>
        <v>1</v>
      </c>
      <c r="E8" s="201">
        <f t="shared" si="7"/>
        <v>71.81</v>
      </c>
      <c r="F8" s="201">
        <f t="shared" si="7"/>
        <v>569.14</v>
      </c>
      <c r="G8" s="201">
        <f t="shared" si="7"/>
        <v>1</v>
      </c>
      <c r="H8" s="200" t="s">
        <v>354</v>
      </c>
      <c r="I8" s="202">
        <f t="shared" ref="I8:J8" si="8">SUM(I3:I7)</f>
        <v>157072907.6</v>
      </c>
      <c r="J8" s="202">
        <f t="shared" si="8"/>
        <v>1191006446177</v>
      </c>
      <c r="K8" s="190"/>
      <c r="L8" s="190"/>
      <c r="M8" s="191"/>
    </row>
    <row r="9">
      <c r="A9" s="190"/>
      <c r="B9" s="190"/>
      <c r="C9" s="190"/>
      <c r="D9" s="203"/>
      <c r="E9" s="190"/>
      <c r="F9" s="203"/>
      <c r="G9" s="203"/>
      <c r="H9" s="203"/>
      <c r="I9" s="190"/>
      <c r="J9" s="190"/>
      <c r="K9" s="190"/>
      <c r="L9" s="190"/>
      <c r="M9" s="191"/>
    </row>
    <row r="10">
      <c r="A10" s="192" t="s">
        <v>338</v>
      </c>
      <c r="B10" s="193" t="s">
        <v>339</v>
      </c>
      <c r="C10" s="193" t="s">
        <v>355</v>
      </c>
      <c r="D10" s="192" t="s">
        <v>345</v>
      </c>
      <c r="E10" s="192" t="s">
        <v>346</v>
      </c>
      <c r="F10" s="192" t="s">
        <v>347</v>
      </c>
      <c r="G10" s="190"/>
      <c r="H10" s="190"/>
      <c r="I10" s="191"/>
    </row>
    <row r="11">
      <c r="A11" s="194" t="s">
        <v>356</v>
      </c>
      <c r="B11" s="204">
        <v>7.00999680970483E-13</v>
      </c>
      <c r="C11" s="196">
        <f t="shared" ref="C11:C14" si="9">B11* 167.184</f>
        <v>0.0000000001171959307</v>
      </c>
      <c r="D11" s="195">
        <v>876.548</v>
      </c>
      <c r="E11" s="198">
        <f t="shared" ref="E11:E14" si="10">D11*C11*1000</f>
        <v>0.0001027278586</v>
      </c>
      <c r="F11" s="198">
        <f t="shared" ref="F11:F14" si="11">E11/1.05506*8000</f>
        <v>0.7789347232</v>
      </c>
      <c r="G11" s="190"/>
      <c r="I11" s="191"/>
    </row>
    <row r="12">
      <c r="A12" s="194" t="s">
        <v>357</v>
      </c>
      <c r="B12" s="204">
        <v>0.444446117511361</v>
      </c>
      <c r="C12" s="196">
        <f t="shared" si="9"/>
        <v>74.30427971</v>
      </c>
      <c r="D12" s="195">
        <v>726.1</v>
      </c>
      <c r="E12" s="198">
        <f t="shared" si="10"/>
        <v>53952337.5</v>
      </c>
      <c r="F12" s="198">
        <f t="shared" si="11"/>
        <v>409093985157</v>
      </c>
      <c r="G12" s="190"/>
      <c r="H12" s="190"/>
      <c r="I12" s="191"/>
    </row>
    <row r="13">
      <c r="A13" s="194" t="s">
        <v>358</v>
      </c>
      <c r="B13" s="204">
        <v>0.534649587510754</v>
      </c>
      <c r="C13" s="196">
        <f t="shared" si="9"/>
        <v>89.38485664</v>
      </c>
      <c r="D13" s="195">
        <v>1672.0</v>
      </c>
      <c r="E13" s="198">
        <f t="shared" si="10"/>
        <v>149451480.3</v>
      </c>
      <c r="F13" s="198">
        <f t="shared" si="11"/>
        <v>1133216918844</v>
      </c>
      <c r="G13" s="190"/>
      <c r="H13" s="190"/>
      <c r="I13" s="191"/>
    </row>
    <row r="14">
      <c r="A14" s="194" t="s">
        <v>359</v>
      </c>
      <c r="B14" s="204">
        <v>0.020904294977183</v>
      </c>
      <c r="C14" s="196">
        <f t="shared" si="9"/>
        <v>3.494863651</v>
      </c>
      <c r="D14" s="195">
        <v>0.0</v>
      </c>
      <c r="E14" s="198">
        <f t="shared" si="10"/>
        <v>0</v>
      </c>
      <c r="F14" s="198">
        <f t="shared" si="11"/>
        <v>0</v>
      </c>
      <c r="G14" s="190"/>
      <c r="H14" s="190"/>
      <c r="I14" s="191"/>
    </row>
    <row r="15">
      <c r="A15" s="200" t="s">
        <v>353</v>
      </c>
      <c r="B15" s="201">
        <f t="shared" ref="B15:C15" si="12">SUM(B11:B14)</f>
        <v>1</v>
      </c>
      <c r="C15" s="201">
        <f t="shared" si="12"/>
        <v>167.184</v>
      </c>
      <c r="D15" s="200" t="s">
        <v>354</v>
      </c>
      <c r="E15" s="202">
        <f t="shared" ref="E15:F15" si="13">SUM(E11:E14)</f>
        <v>203403817.8</v>
      </c>
      <c r="F15" s="202">
        <f t="shared" si="13"/>
        <v>1542310904001</v>
      </c>
      <c r="G15" s="190"/>
      <c r="H15" s="190"/>
      <c r="I15" s="191"/>
    </row>
    <row r="16">
      <c r="A16" s="190"/>
      <c r="B16" s="190"/>
      <c r="C16" s="190"/>
      <c r="D16" s="203"/>
      <c r="E16" s="190"/>
      <c r="F16" s="203"/>
      <c r="G16" s="203"/>
      <c r="H16" s="203"/>
      <c r="I16" s="190"/>
      <c r="J16" s="190"/>
      <c r="K16" s="190"/>
      <c r="L16" s="190"/>
      <c r="M16" s="191"/>
    </row>
    <row r="17">
      <c r="A17" s="190"/>
      <c r="B17" s="190"/>
      <c r="C17" s="190"/>
      <c r="D17" s="203"/>
      <c r="E17" s="190"/>
      <c r="F17" s="203"/>
      <c r="G17" s="203"/>
      <c r="H17" s="203"/>
      <c r="I17" s="190"/>
      <c r="J17" s="190"/>
      <c r="K17" s="190"/>
      <c r="L17" s="190"/>
      <c r="M17" s="191"/>
    </row>
    <row r="18">
      <c r="A18" s="190"/>
      <c r="B18" s="190"/>
      <c r="C18" s="190"/>
      <c r="D18" s="203"/>
      <c r="E18" s="190"/>
      <c r="F18" s="203"/>
      <c r="G18" s="203"/>
      <c r="H18" s="203"/>
      <c r="I18" s="190"/>
      <c r="J18" s="190"/>
      <c r="K18" s="190"/>
      <c r="L18" s="190"/>
      <c r="M18" s="191"/>
    </row>
    <row r="19">
      <c r="A19" s="190"/>
      <c r="B19" s="190"/>
      <c r="C19" s="190" t="s">
        <v>360</v>
      </c>
      <c r="D19" s="203"/>
      <c r="E19" s="190" t="s">
        <v>360</v>
      </c>
      <c r="F19" s="203" t="s">
        <v>361</v>
      </c>
      <c r="G19" s="203" t="s">
        <v>362</v>
      </c>
      <c r="H19" s="203"/>
      <c r="I19" s="190"/>
      <c r="J19" s="190" t="s">
        <v>363</v>
      </c>
      <c r="K19" s="190"/>
      <c r="L19" s="190"/>
      <c r="M19" s="191"/>
    </row>
    <row r="20">
      <c r="A20" s="190"/>
      <c r="B20" s="190"/>
      <c r="C20" s="190"/>
      <c r="D20" s="203"/>
      <c r="E20" s="203"/>
      <c r="F20" s="203"/>
      <c r="G20" s="203"/>
      <c r="H20" s="203"/>
      <c r="I20" s="190"/>
      <c r="J20" s="190"/>
      <c r="K20" s="190"/>
      <c r="L20" s="190"/>
      <c r="M20" s="191"/>
    </row>
    <row r="21" ht="15.0" customHeight="1">
      <c r="A21" s="189" t="s">
        <v>364</v>
      </c>
      <c r="B21" s="5"/>
      <c r="C21" s="5"/>
      <c r="D21" s="5"/>
      <c r="E21" s="5"/>
      <c r="F21" s="5"/>
      <c r="G21" s="5"/>
      <c r="H21" s="5"/>
      <c r="I21" s="5"/>
      <c r="J21" s="6"/>
      <c r="K21" s="190"/>
      <c r="L21" s="190"/>
      <c r="M21" s="191"/>
    </row>
    <row r="22">
      <c r="A22" s="192" t="s">
        <v>338</v>
      </c>
      <c r="B22" s="192" t="s">
        <v>365</v>
      </c>
      <c r="C22" s="192" t="s">
        <v>366</v>
      </c>
      <c r="D22" s="192" t="s">
        <v>367</v>
      </c>
      <c r="E22" s="192" t="s">
        <v>368</v>
      </c>
      <c r="F22" s="192" t="s">
        <v>343</v>
      </c>
      <c r="G22" s="192" t="s">
        <v>344</v>
      </c>
      <c r="H22" s="192" t="s">
        <v>345</v>
      </c>
      <c r="I22" s="192" t="s">
        <v>346</v>
      </c>
      <c r="J22" s="192" t="s">
        <v>347</v>
      </c>
      <c r="K22" s="190"/>
      <c r="L22" s="190"/>
      <c r="M22" s="191"/>
    </row>
    <row r="23">
      <c r="A23" s="205" t="s">
        <v>369</v>
      </c>
      <c r="B23" s="196">
        <v>0.00154698654827619</v>
      </c>
      <c r="C23" s="196">
        <f t="shared" ref="C23:C27" si="14">B23*0.931161519404528</f>
        <v>0.001440494345</v>
      </c>
      <c r="D23" s="197">
        <v>0.0</v>
      </c>
      <c r="E23" s="196">
        <f t="shared" ref="E23:E27" si="15">D23* 2.55440505569293</f>
        <v>0</v>
      </c>
      <c r="F23" s="196">
        <f t="shared" ref="F23:F27" si="16">C23+E23</f>
        <v>0.001440494345</v>
      </c>
      <c r="G23" s="196">
        <f t="shared" ref="G23:G27" si="17">F23/$F$28</f>
        <v>0.0004132740872</v>
      </c>
      <c r="H23" s="196">
        <v>2057.7</v>
      </c>
      <c r="I23" s="198">
        <f t="shared" ref="I23:I27" si="18">H23*F23*1000</f>
        <v>2964.105213</v>
      </c>
      <c r="J23" s="198">
        <f t="shared" ref="J23:J28" si="19">I23/1.05506*8000</f>
        <v>22475348.99</v>
      </c>
      <c r="K23" s="190"/>
      <c r="L23" s="190"/>
      <c r="M23" s="191"/>
    </row>
    <row r="24">
      <c r="A24" s="205" t="s">
        <v>370</v>
      </c>
      <c r="B24" s="196">
        <v>0.280116505399036</v>
      </c>
      <c r="C24" s="196">
        <f t="shared" si="14"/>
        <v>0.2608337108</v>
      </c>
      <c r="D24" s="197">
        <v>7.16871111333908E-10</v>
      </c>
      <c r="E24" s="196">
        <f t="shared" si="15"/>
        <v>0.000000001831179191</v>
      </c>
      <c r="F24" s="196">
        <f t="shared" si="16"/>
        <v>0.2608337126</v>
      </c>
      <c r="G24" s="196">
        <f t="shared" si="17"/>
        <v>0.07483251488</v>
      </c>
      <c r="H24" s="196">
        <v>3271.0</v>
      </c>
      <c r="I24" s="198">
        <f t="shared" si="18"/>
        <v>853187.0739</v>
      </c>
      <c r="J24" s="198">
        <f t="shared" si="19"/>
        <v>6469297094</v>
      </c>
      <c r="K24" s="190"/>
      <c r="L24" s="190"/>
      <c r="M24" s="191"/>
    </row>
    <row r="25">
      <c r="A25" s="205" t="s">
        <v>371</v>
      </c>
      <c r="B25" s="196">
        <v>0.698049371659798</v>
      </c>
      <c r="C25" s="196">
        <f t="shared" si="14"/>
        <v>0.6499967135</v>
      </c>
      <c r="D25" s="197">
        <v>1.38188274760427E-28</v>
      </c>
      <c r="E25" s="196">
        <f t="shared" si="15"/>
        <v>0</v>
      </c>
      <c r="F25" s="196">
        <f t="shared" si="16"/>
        <v>0.6499967135</v>
      </c>
      <c r="G25" s="196">
        <f t="shared" si="17"/>
        <v>0.1864823694</v>
      </c>
      <c r="H25" s="196">
        <v>2219.9</v>
      </c>
      <c r="I25" s="198">
        <f t="shared" si="18"/>
        <v>1442927.704</v>
      </c>
      <c r="J25" s="198">
        <f t="shared" si="19"/>
        <v>10941009644</v>
      </c>
      <c r="K25" s="190"/>
      <c r="L25" s="190"/>
      <c r="M25" s="191"/>
    </row>
    <row r="26">
      <c r="A26" s="205" t="s">
        <v>372</v>
      </c>
      <c r="B26" s="196">
        <v>0.0202532005640167</v>
      </c>
      <c r="C26" s="196">
        <f t="shared" si="14"/>
        <v>0.01885900101</v>
      </c>
      <c r="D26" s="197">
        <v>0.326060374100327</v>
      </c>
      <c r="E26" s="196">
        <f t="shared" si="15"/>
        <v>0.8328902681</v>
      </c>
      <c r="F26" s="196">
        <f t="shared" si="16"/>
        <v>0.8517492691</v>
      </c>
      <c r="G26" s="196">
        <f t="shared" si="17"/>
        <v>0.2443646537</v>
      </c>
      <c r="H26" s="196">
        <v>4513.0</v>
      </c>
      <c r="I26" s="198">
        <f t="shared" si="18"/>
        <v>3843944.451</v>
      </c>
      <c r="J26" s="198">
        <f t="shared" si="19"/>
        <v>29146736309</v>
      </c>
      <c r="K26" s="190"/>
      <c r="L26" s="190"/>
      <c r="M26" s="191"/>
    </row>
    <row r="27">
      <c r="A27" s="205" t="s">
        <v>373</v>
      </c>
      <c r="B27" s="196">
        <v>3.39358288730762E-5</v>
      </c>
      <c r="C27" s="196">
        <f t="shared" si="14"/>
        <v>0.00003159973798</v>
      </c>
      <c r="D27" s="197">
        <v>0.673939625182802</v>
      </c>
      <c r="E27" s="196">
        <f t="shared" si="15"/>
        <v>1.721514786</v>
      </c>
      <c r="F27" s="196">
        <f t="shared" si="16"/>
        <v>1.721546386</v>
      </c>
      <c r="G27" s="196">
        <f t="shared" si="17"/>
        <v>0.493907188</v>
      </c>
      <c r="H27" s="196">
        <v>2986.0</v>
      </c>
      <c r="I27" s="198">
        <f t="shared" si="18"/>
        <v>5140537.507</v>
      </c>
      <c r="J27" s="198">
        <f t="shared" si="19"/>
        <v>38978162434</v>
      </c>
      <c r="K27" s="190"/>
      <c r="L27" s="190"/>
      <c r="M27" s="191"/>
    </row>
    <row r="28">
      <c r="A28" s="206" t="s">
        <v>353</v>
      </c>
      <c r="B28" s="201">
        <f t="shared" ref="B28:G28" si="20">SUM(B23:B27)</f>
        <v>1</v>
      </c>
      <c r="C28" s="201">
        <f t="shared" si="20"/>
        <v>0.9311615194</v>
      </c>
      <c r="D28" s="201">
        <f t="shared" si="20"/>
        <v>1</v>
      </c>
      <c r="E28" s="201">
        <f t="shared" si="20"/>
        <v>2.554405056</v>
      </c>
      <c r="F28" s="201">
        <f t="shared" si="20"/>
        <v>3.485566575</v>
      </c>
      <c r="G28" s="201">
        <f t="shared" si="20"/>
        <v>1</v>
      </c>
      <c r="H28" s="201" t="s">
        <v>354</v>
      </c>
      <c r="I28" s="202">
        <f>SUM(I23:I27)</f>
        <v>11283560.84</v>
      </c>
      <c r="J28" s="202">
        <f t="shared" si="19"/>
        <v>85557680830</v>
      </c>
      <c r="K28" s="190"/>
      <c r="L28" s="190"/>
      <c r="M28" s="191"/>
    </row>
    <row r="29" ht="15.0" customHeight="1">
      <c r="A29" s="191"/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</row>
    <row r="30" ht="15.0" customHeight="1">
      <c r="A30" s="191"/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1"/>
    </row>
  </sheetData>
  <mergeCells count="2">
    <mergeCell ref="A1:J1"/>
    <mergeCell ref="A21:J2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4.88"/>
    <col customWidth="1" min="2" max="2" width="33.0"/>
    <col customWidth="1" min="3" max="3" width="24.63"/>
  </cols>
  <sheetData>
    <row r="1">
      <c r="A1" s="207" t="s">
        <v>374</v>
      </c>
      <c r="B1" s="207" t="s">
        <v>337</v>
      </c>
      <c r="C1" s="207" t="s">
        <v>364</v>
      </c>
      <c r="D1" s="207" t="s">
        <v>375</v>
      </c>
    </row>
    <row r="2">
      <c r="A2" s="208" t="s">
        <v>376</v>
      </c>
      <c r="B2" s="209">
        <f>'COM Carbonylation Hmodern'!E54</f>
        <v>253.44453</v>
      </c>
      <c r="C2" s="209">
        <f>'COM Esterification'!E53</f>
        <v>411.63474</v>
      </c>
      <c r="D2" s="210">
        <f t="shared" ref="D2:D4" si="1">C2-B2</f>
        <v>158.19021</v>
      </c>
    </row>
    <row r="3">
      <c r="A3" s="208" t="s">
        <v>377</v>
      </c>
      <c r="B3" s="209">
        <f>'COM Carbonylation Hmodern'!E48</f>
        <v>176.1995741</v>
      </c>
      <c r="C3" s="209">
        <f>'COM Esterification'!E47</f>
        <v>301.9368928</v>
      </c>
      <c r="D3" s="210">
        <f t="shared" si="1"/>
        <v>125.7373187</v>
      </c>
    </row>
    <row r="4">
      <c r="A4" s="208" t="s">
        <v>378</v>
      </c>
      <c r="B4" s="209">
        <f>'COM Carbonylation Hmodern'!C11</f>
        <v>51.17273095</v>
      </c>
      <c r="C4" s="209">
        <f>'COM Esterification'!C11</f>
        <v>65.09618388</v>
      </c>
      <c r="D4" s="210">
        <f t="shared" si="1"/>
        <v>13.92345293</v>
      </c>
    </row>
    <row r="5">
      <c r="A5" s="208" t="s">
        <v>379</v>
      </c>
      <c r="B5" s="209">
        <f>'COM Carbonylation Hmodern'!B54*100</f>
        <v>113.2120874</v>
      </c>
      <c r="C5" s="209">
        <f>'COM Esterification'!B53*100</f>
        <v>126.387417</v>
      </c>
      <c r="D5" s="210">
        <f>0.75*(D2-D3)/D4*100</f>
        <v>174.8105775</v>
      </c>
    </row>
    <row r="6">
      <c r="A6" s="211"/>
      <c r="B6" s="211">
        <f>(1-0.25)*(B2-B3)/B4*100</f>
        <v>113.2120874</v>
      </c>
      <c r="C6" s="211">
        <f>0.75*(C2-C3)/C4*100</f>
        <v>126.387417</v>
      </c>
      <c r="D6" s="211"/>
    </row>
    <row r="7">
      <c r="A7" s="211"/>
      <c r="B7" s="211" t="s">
        <v>380</v>
      </c>
      <c r="C7" s="211"/>
      <c r="D7" s="212"/>
    </row>
    <row r="8">
      <c r="A8" s="211"/>
      <c r="B8" s="213" t="s">
        <v>381</v>
      </c>
    </row>
    <row r="9">
      <c r="A9" s="211"/>
    </row>
  </sheetData>
  <mergeCells count="1">
    <mergeCell ref="B8:D9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0" customHeight="1">
      <c r="A1" s="214" t="s">
        <v>382</v>
      </c>
      <c r="B1" s="215"/>
      <c r="C1" s="215"/>
      <c r="D1" s="215"/>
      <c r="E1" s="215"/>
      <c r="F1" s="215"/>
      <c r="G1" s="215"/>
      <c r="H1" s="215"/>
      <c r="I1" s="216"/>
    </row>
    <row r="2" ht="15.0" customHeight="1">
      <c r="A2" s="217"/>
      <c r="B2" s="218"/>
      <c r="C2" s="218"/>
      <c r="D2" s="218"/>
      <c r="E2" s="218"/>
      <c r="F2" s="218"/>
      <c r="G2" s="218"/>
      <c r="H2" s="218"/>
      <c r="I2" s="219"/>
    </row>
  </sheetData>
  <mergeCells count="1">
    <mergeCell ref="A1:I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