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in Price" sheetId="1" r:id="rId4"/>
    <sheet state="visible" name="Sizing H-mordenite" sheetId="2" r:id="rId5"/>
    <sheet state="visible" name="VGA - mordenite" sheetId="3" r:id="rId6"/>
    <sheet state="visible" name="COM - mordenite" sheetId="4" r:id="rId7"/>
    <sheet state="visible" name="Sizing ion exchange" sheetId="5" r:id="rId8"/>
    <sheet state="visible" name="VGA - ion-exchange" sheetId="6" r:id="rId9"/>
    <sheet state="visible" name="COM - ion exchange" sheetId="7" r:id="rId10"/>
    <sheet state="visible" name="Flash Tank Info for COM" sheetId="8" r:id="rId11"/>
  </sheets>
  <definedNames>
    <definedName localSheetId="6" name="ppd">'COM - ion exchange'!$B$6</definedName>
    <definedName localSheetId="6" name="PROD">'COM - ion exchange'!$B$6</definedName>
    <definedName name="PROD">'COM - mordenite'!$B$6</definedName>
    <definedName name="ppd">'COM - mordenite'!$B$6</definedName>
  </definedNames>
  <calcPr/>
  <extLst>
    <ext uri="GoogleSheetsCustomDataVersion1">
      <go:sheetsCustomData xmlns:go="http://customooxmlschemas.google.com/" r:id="rId12" roundtripDataSignature="AMtx7mgt+eerh8cColkmD2VpxJ27xOaoPA=="/>
    </ext>
  </extLst>
</workbook>
</file>

<file path=xl/sharedStrings.xml><?xml version="1.0" encoding="utf-8"?>
<sst xmlns="http://schemas.openxmlformats.org/spreadsheetml/2006/main" count="1577" uniqueCount="365">
  <si>
    <t>H-mordenite</t>
  </si>
  <si>
    <t>Ion exchange</t>
  </si>
  <si>
    <t>Catalysts</t>
  </si>
  <si>
    <t>Reactor 1</t>
  </si>
  <si>
    <t>Reactor 2</t>
  </si>
  <si>
    <t>Reboiler 1</t>
  </si>
  <si>
    <t>Condenser 1</t>
  </si>
  <si>
    <t>Reboiler 2</t>
  </si>
  <si>
    <t>Condenser 2</t>
  </si>
  <si>
    <t>Reboiler 3</t>
  </si>
  <si>
    <t>Condenser 3</t>
  </si>
  <si>
    <t>Flash tank</t>
  </si>
  <si>
    <t>Heater 1</t>
  </si>
  <si>
    <t>Heater 2</t>
  </si>
  <si>
    <t>Heater 3</t>
  </si>
  <si>
    <t>Heater 4</t>
  </si>
  <si>
    <t>Column 1</t>
  </si>
  <si>
    <t>Column 2</t>
  </si>
  <si>
    <t>Column 3</t>
  </si>
  <si>
    <t>Total CBM</t>
  </si>
  <si>
    <t>Ours</t>
  </si>
  <si>
    <t>Luyben's</t>
  </si>
  <si>
    <t>Reactor 1 (as fixed-head HEX) - dehydration</t>
  </si>
  <si>
    <t xml:space="preserve">2 reactors, 3 columns, 4 heaters, 1 flash tank, 3 reboilers, 3 condensers, 2 mixers, </t>
  </si>
  <si>
    <t>Things</t>
  </si>
  <si>
    <t>Quantity</t>
  </si>
  <si>
    <t>Unit</t>
  </si>
  <si>
    <t>Number of tubes</t>
  </si>
  <si>
    <t>pc</t>
  </si>
  <si>
    <t>Length of tube</t>
  </si>
  <si>
    <t>m</t>
  </si>
  <si>
    <t>Inner diameter</t>
  </si>
  <si>
    <t>inch</t>
  </si>
  <si>
    <t>Catalyst mass</t>
  </si>
  <si>
    <t>kg ($70/kg)</t>
  </si>
  <si>
    <t>Catalyst cost</t>
  </si>
  <si>
    <t>$</t>
  </si>
  <si>
    <t>Area of reactor</t>
  </si>
  <si>
    <t>1inch=0.0254m, 1m=3.28084ft (ft^2)</t>
  </si>
  <si>
    <t>C_B</t>
  </si>
  <si>
    <t>F_BM</t>
  </si>
  <si>
    <t>Constant - Shell &amp; Tube HEX</t>
  </si>
  <si>
    <t>Pressure</t>
  </si>
  <si>
    <t>psi</t>
  </si>
  <si>
    <t>F_P</t>
  </si>
  <si>
    <t>Constant</t>
  </si>
  <si>
    <t>F_M</t>
  </si>
  <si>
    <t>F_L</t>
  </si>
  <si>
    <t>C_BM</t>
  </si>
  <si>
    <t>Reactor 2 (as fixed-head HEX) - carbonylation</t>
  </si>
  <si>
    <t>psi (1 bar = 14.5 psi)</t>
  </si>
  <si>
    <t>Reboiler First column</t>
  </si>
  <si>
    <t>Heat Transfer Duty</t>
  </si>
  <si>
    <t>Gcal/hr</t>
  </si>
  <si>
    <t>BTU/hr</t>
  </si>
  <si>
    <t xml:space="preserve">Design Flux </t>
  </si>
  <si>
    <t>BTU/hr/ft^2 (phase change)</t>
  </si>
  <si>
    <t>ft^2</t>
  </si>
  <si>
    <t>Constant - Gas compressors</t>
  </si>
  <si>
    <t>Condenser First column</t>
  </si>
  <si>
    <t>Reboiler Second column</t>
  </si>
  <si>
    <t>Condenser Second column</t>
  </si>
  <si>
    <t>Reboiler Third column</t>
  </si>
  <si>
    <t>Condenser Third column</t>
  </si>
  <si>
    <t>Flash Tank</t>
  </si>
  <si>
    <t xml:space="preserve">Flow rate </t>
  </si>
  <si>
    <t>kmol/hr</t>
  </si>
  <si>
    <t>Internal Diameter</t>
  </si>
  <si>
    <t>xMeOH</t>
  </si>
  <si>
    <t>constant</t>
  </si>
  <si>
    <t>MW_meoh</t>
  </si>
  <si>
    <t>g/mol</t>
  </si>
  <si>
    <t>xDME</t>
  </si>
  <si>
    <t>MW_dme</t>
  </si>
  <si>
    <t>xH2O</t>
  </si>
  <si>
    <t>MW_h2o</t>
  </si>
  <si>
    <t>xCO</t>
  </si>
  <si>
    <t>MW_co</t>
  </si>
  <si>
    <t>xMeOAc</t>
  </si>
  <si>
    <t>MW_meoac</t>
  </si>
  <si>
    <t>xH2</t>
  </si>
  <si>
    <t>MW_h2</t>
  </si>
  <si>
    <t>xCh4</t>
  </si>
  <si>
    <t>MW_ch4</t>
  </si>
  <si>
    <t>m^3/hr</t>
  </si>
  <si>
    <t>rho_meoh</t>
  </si>
  <si>
    <t>g/m^3</t>
  </si>
  <si>
    <t>Volume</t>
  </si>
  <si>
    <t>m^3</t>
  </si>
  <si>
    <t>rho_dme</t>
  </si>
  <si>
    <t xml:space="preserve">Diameter </t>
  </si>
  <si>
    <t>rho_h2o</t>
  </si>
  <si>
    <t>Diameter</t>
  </si>
  <si>
    <t>ft</t>
  </si>
  <si>
    <t>rho_co</t>
  </si>
  <si>
    <t>Length</t>
  </si>
  <si>
    <t>rho_meoac</t>
  </si>
  <si>
    <t>C_PL</t>
  </si>
  <si>
    <t>rho_h2</t>
  </si>
  <si>
    <t>Density of metal</t>
  </si>
  <si>
    <t>lb/ft^3</t>
  </si>
  <si>
    <t>rho_ch4</t>
  </si>
  <si>
    <t>t_s</t>
  </si>
  <si>
    <t>W</t>
  </si>
  <si>
    <t>lb</t>
  </si>
  <si>
    <t>C_V</t>
  </si>
  <si>
    <t>C_P</t>
  </si>
  <si>
    <t>Constant - Vertical P. Vessel</t>
  </si>
  <si>
    <t>Heater (before column 1)</t>
  </si>
  <si>
    <t>Heat duty</t>
  </si>
  <si>
    <t>constant - Cr-Mo alloy steel</t>
  </si>
  <si>
    <t>psig</t>
  </si>
  <si>
    <t>Table 16.20 constant</t>
  </si>
  <si>
    <t>heater, field-fabricated constant</t>
  </si>
  <si>
    <t>Heater (before column 2)</t>
  </si>
  <si>
    <t>Heater (after column 2)</t>
  </si>
  <si>
    <t>Heater (before column 3)</t>
  </si>
  <si>
    <t>Mixer 1 and 2</t>
  </si>
  <si>
    <t>FREE</t>
  </si>
  <si>
    <t>Column 1 (Vertical Pressure Vessel)</t>
  </si>
  <si>
    <t>N_T</t>
  </si>
  <si>
    <t>Reflux/feed</t>
  </si>
  <si>
    <t>F_NT</t>
  </si>
  <si>
    <t>Length of column</t>
  </si>
  <si>
    <t>F_TT</t>
  </si>
  <si>
    <t>Constant - sieve tray</t>
  </si>
  <si>
    <t>Inflow rate</t>
  </si>
  <si>
    <t>F_TM</t>
  </si>
  <si>
    <t>Constant - carbon steel</t>
  </si>
  <si>
    <t>D_i</t>
  </si>
  <si>
    <t>C_BT</t>
  </si>
  <si>
    <t>C_T</t>
  </si>
  <si>
    <t>Column 2 (Vertical Pressure Vessel)</t>
  </si>
  <si>
    <t>Column 3 (Vertical Pressure Vessel)</t>
  </si>
  <si>
    <t>HOW TO SCALE UP?</t>
  </si>
  <si>
    <t>TOTAL C_BM ($)</t>
  </si>
  <si>
    <t>INFORMAL VENTURE GUIDANCE APPRAISAL  -E5</t>
  </si>
  <si>
    <r>
      <rPr>
        <rFont val="&quot;arial mt&quot;, Arial"/>
        <b/>
        <color theme="1"/>
        <sz val="16.0"/>
      </rPr>
      <t>FOR USE with C</t>
    </r>
    <r>
      <rPr>
        <rFont val="Arial MT"/>
        <b/>
        <color theme="1"/>
        <sz val="16.0"/>
        <vertAlign val="subscript"/>
      </rPr>
      <t>BM</t>
    </r>
    <r>
      <rPr>
        <rFont val="Arial MT"/>
        <b/>
        <color theme="1"/>
        <sz val="16.0"/>
      </rPr>
      <t xml:space="preserve"> (Bare-Module Cost) ESTIMATED per SEIDER, SEADER et al. )</t>
    </r>
  </si>
  <si>
    <t>See Table 16.10 for Relationship Between Equipment Purchase Price and Bare-module Cost</t>
  </si>
  <si>
    <t>TITLE:</t>
  </si>
  <si>
    <t>Project Cost Estimation</t>
  </si>
  <si>
    <t>SBU:</t>
  </si>
  <si>
    <t>CHEMICALS</t>
  </si>
  <si>
    <t>CASE:</t>
  </si>
  <si>
    <t>Cumene Level 1</t>
  </si>
  <si>
    <t xml:space="preserve">ACCT:  </t>
  </si>
  <si>
    <t>SCOPE:</t>
  </si>
  <si>
    <t>PROCESS ENGINEER</t>
  </si>
  <si>
    <t>SITE:</t>
  </si>
  <si>
    <t>US GULF COAST</t>
  </si>
  <si>
    <t>ESTIMATOR:</t>
  </si>
  <si>
    <t>Team T</t>
  </si>
  <si>
    <t>DATE:</t>
  </si>
  <si>
    <t>FILE:</t>
  </si>
  <si>
    <t>VGA Calculator</t>
  </si>
  <si>
    <t>RANGE</t>
  </si>
  <si>
    <t>OF %</t>
  </si>
  <si>
    <t>$M</t>
  </si>
  <si>
    <t>ENGINEERED EQUIPMENT</t>
  </si>
  <si>
    <t>MISC EQUIPMENT</t>
  </si>
  <si>
    <t>0-15</t>
  </si>
  <si>
    <t>SUBTOTAL A</t>
  </si>
  <si>
    <t>FIELD MTL / LABOR / INSUL</t>
  </si>
  <si>
    <t>10-40</t>
  </si>
  <si>
    <t>FIELD ERECTED EQUIPMENT  (STORAGE TANKS)</t>
  </si>
  <si>
    <t>EQUIP FDNS,SUPPORTS,PLATFORMS</t>
  </si>
  <si>
    <t>INSTALLED EQUIPMENT - Subtotal B</t>
  </si>
  <si>
    <t>FACTORED PIPING</t>
  </si>
  <si>
    <t>10-200</t>
  </si>
  <si>
    <t>FACTORED INSTRUMENTS</t>
  </si>
  <si>
    <t>10-75</t>
  </si>
  <si>
    <t>FACTORED ELECTRICAL</t>
  </si>
  <si>
    <t>5-30</t>
  </si>
  <si>
    <t>IDENTIFIED PIPING  (OSOH/UG LINES,JACKETED PIPE)</t>
  </si>
  <si>
    <t>IDENTIFIED INSTRUMENTS  (ANALYZERS,DCS)</t>
  </si>
  <si>
    <t>IDENTIFIED ELECTRICAL  (TRACING,SUBSTATIONS)</t>
  </si>
  <si>
    <t>SUBTOTAL C</t>
  </si>
  <si>
    <t>SPECIAL PROCESS ITEMS  (PACKAGED UNITS)</t>
  </si>
  <si>
    <t>PACKING (INCLUDES CATALYST)</t>
  </si>
  <si>
    <t>PUT CAT COST HERE</t>
  </si>
  <si>
    <t>OTHER  (T/C-T/T LOADING,PIPE BRIDGES)</t>
  </si>
  <si>
    <t>BUILDINGS,STRUCTURES</t>
  </si>
  <si>
    <t>SUBTOTAL D</t>
  </si>
  <si>
    <t>IDENTIFIED  P G &amp; S</t>
  </si>
  <si>
    <t>FACTORED  P G &amp; S</t>
  </si>
  <si>
    <t>0-40</t>
  </si>
  <si>
    <t>IDENTIFIED  D &amp; R</t>
  </si>
  <si>
    <t>FACTORED  D &amp; R</t>
  </si>
  <si>
    <t>0-10</t>
  </si>
  <si>
    <t>OTHER</t>
  </si>
  <si>
    <t>SUBTOTAL E</t>
  </si>
  <si>
    <t>PROJECT  CONTINGENCY</t>
  </si>
  <si>
    <t>15-30</t>
  </si>
  <si>
    <t>PROCESS CONTINGENCY</t>
  </si>
  <si>
    <t>0-25</t>
  </si>
  <si>
    <t>SUBTOTAL F</t>
  </si>
  <si>
    <t>LABOR / MATERIAL SPLIT</t>
  </si>
  <si>
    <t>15-60</t>
  </si>
  <si>
    <t>WORKING CONDITIONS</t>
  </si>
  <si>
    <t>FREIGHT, QA, PROCUREMENT</t>
  </si>
  <si>
    <t>3-8</t>
  </si>
  <si>
    <t>SALES TAX</t>
  </si>
  <si>
    <t>0-6.5</t>
  </si>
  <si>
    <t>CONTRACTOR LABOR DISTRIBUTIVES</t>
  </si>
  <si>
    <t>40-60</t>
  </si>
  <si>
    <t>NET TOTAL</t>
  </si>
  <si>
    <t>ABNORMAL PREMIUM TIME</t>
  </si>
  <si>
    <t>MINOR CHANGES</t>
  </si>
  <si>
    <t>0-5</t>
  </si>
  <si>
    <t>SUBTOTAL</t>
  </si>
  <si>
    <t>SEIDER, SEADER, et al., 4th Ed.</t>
  </si>
  <si>
    <t xml:space="preserve"> CCI</t>
  </si>
  <si>
    <t>AUTH</t>
  </si>
  <si>
    <t>2Q22</t>
  </si>
  <si>
    <t>M/C</t>
  </si>
  <si>
    <t>4Q23</t>
  </si>
  <si>
    <t>MPC</t>
  </si>
  <si>
    <t>3Q23</t>
  </si>
  <si>
    <t>PROJECTED</t>
  </si>
  <si>
    <t>ESCALATION</t>
  </si>
  <si>
    <t>DIRECT TOTAL</t>
  </si>
  <si>
    <t>ENGG &amp; HOME OFFICE</t>
  </si>
  <si>
    <t>14-25</t>
  </si>
  <si>
    <t>FIELD INDIRECTS</t>
  </si>
  <si>
    <t>2-10</t>
  </si>
  <si>
    <t>SPARES &amp; PORTABLES</t>
  </si>
  <si>
    <t>( IDENTIFIED,W/FRT,ESC,CONT)</t>
  </si>
  <si>
    <t>PROJECT LEVEL ALLOWANCES</t>
  </si>
  <si>
    <t>(W/ESC)</t>
  </si>
  <si>
    <t>PROJECT TOTAL</t>
  </si>
  <si>
    <t>Operating Cost Sheet</t>
  </si>
  <si>
    <t>(fill in the yellow boxes)</t>
  </si>
  <si>
    <t>Capacity</t>
  </si>
  <si>
    <t>MM kg/yr</t>
  </si>
  <si>
    <t>Production</t>
  </si>
  <si>
    <t>Op rate:</t>
  </si>
  <si>
    <t>Perm. Investment</t>
  </si>
  <si>
    <t>MM</t>
  </si>
  <si>
    <t>Catalyst* &amp; Spares</t>
  </si>
  <si>
    <t>(*if not already included in Perm. Investment)</t>
  </si>
  <si>
    <t>30 Day Raws Inventory</t>
  </si>
  <si>
    <t>(Working Capital)</t>
  </si>
  <si>
    <t>30 Day Product Inventory</t>
  </si>
  <si>
    <t>Total Investment</t>
  </si>
  <si>
    <t>QPU</t>
  </si>
  <si>
    <t>Price</t>
  </si>
  <si>
    <t>$MM/yr</t>
  </si>
  <si>
    <t>$/kg</t>
  </si>
  <si>
    <t>Ingredients:</t>
  </si>
  <si>
    <t>units/kg</t>
  </si>
  <si>
    <t>$/unit</t>
  </si>
  <si>
    <t>Units for the QPU</t>
  </si>
  <si>
    <t>MeOH</t>
  </si>
  <si>
    <t>699.3 kmol/hr MeOH fresh flow rate</t>
  </si>
  <si>
    <t>kg of ing/kg of MeOAc</t>
  </si>
  <si>
    <t xml:space="preserve">CO </t>
  </si>
  <si>
    <t>597 kmol/hr CO fresh flow rate</t>
  </si>
  <si>
    <t>Catalyst - just mordenite</t>
  </si>
  <si>
    <t>use catalyst cost from sizing, divide 2 since lifetime</t>
  </si>
  <si>
    <t>kg of cat/kg of MeOAc</t>
  </si>
  <si>
    <t>Total Ingredients</t>
  </si>
  <si>
    <t>Credits:</t>
  </si>
  <si>
    <t>Byproduct</t>
  </si>
  <si>
    <t>Waste Fuel</t>
  </si>
  <si>
    <t>$/MM Btu</t>
  </si>
  <si>
    <t>Btu/kg</t>
  </si>
  <si>
    <t>changed the formula (F20) myself so the units make sense</t>
  </si>
  <si>
    <t>Total credits:</t>
  </si>
  <si>
    <t>Utilities:</t>
  </si>
  <si>
    <t>Ori. #</t>
  </si>
  <si>
    <t>Original Units</t>
  </si>
  <si>
    <t>Steam - 100 psi</t>
  </si>
  <si>
    <t>price per thousand lbs</t>
  </si>
  <si>
    <t>klb/hr</t>
  </si>
  <si>
    <t>lb of steam/kg of MeOAc</t>
  </si>
  <si>
    <t>steam - 165 psi</t>
  </si>
  <si>
    <t>steam - 400 psi</t>
  </si>
  <si>
    <t>Electricity</t>
  </si>
  <si>
    <t>price per kW-hr</t>
  </si>
  <si>
    <t>kW</t>
  </si>
  <si>
    <t>kW/kg of MeOAc</t>
  </si>
  <si>
    <t>refrigerant</t>
  </si>
  <si>
    <t>28.0068 $/hr</t>
  </si>
  <si>
    <t>Cooling Water</t>
  </si>
  <si>
    <t>price per thousand gallons</t>
  </si>
  <si>
    <t>MMGal/hr</t>
  </si>
  <si>
    <t>gal of water/kg of MeOAc</t>
  </si>
  <si>
    <t>Total Utilities</t>
  </si>
  <si>
    <t>Waste Treatment</t>
  </si>
  <si>
    <t>IGNORE WASTE TREATMENT</t>
  </si>
  <si>
    <t xml:space="preserve">Notes: change steam price </t>
  </si>
  <si>
    <t>Gaseous Waste</t>
  </si>
  <si>
    <t>for other barg values</t>
  </si>
  <si>
    <t>Liquid Waste</t>
  </si>
  <si>
    <t>Solid Waste</t>
  </si>
  <si>
    <t>Total Waste Treatment</t>
  </si>
  <si>
    <t>Total Variable Cost</t>
  </si>
  <si>
    <t>Fixed Costs:</t>
  </si>
  <si>
    <t>Operators</t>
  </si>
  <si>
    <t>/hr</t>
  </si>
  <si>
    <t>(# operators = operators/shift, base on guidance in Seider &amp; Seader)</t>
  </si>
  <si>
    <t xml:space="preserve">  Other employ costs</t>
  </si>
  <si>
    <t>18 equipments, 2 equipments/1 worker + 1 project manager</t>
  </si>
  <si>
    <t>Unit Supervision</t>
  </si>
  <si>
    <t>Plant Overheads</t>
  </si>
  <si>
    <t>bar</t>
  </si>
  <si>
    <t>Maintenance</t>
  </si>
  <si>
    <t>Taxes &amp; Insur.</t>
  </si>
  <si>
    <t>(this is property tax, not tax on gross earnings)</t>
  </si>
  <si>
    <t>Depreciation</t>
  </si>
  <si>
    <t>(apparently using straight line method)</t>
  </si>
  <si>
    <t>Total Fixed Costs</t>
  </si>
  <si>
    <t>$11.45 for 41 bar</t>
  </si>
  <si>
    <t>Total Cash Cost</t>
  </si>
  <si>
    <t>(COM - Depreciation)</t>
  </si>
  <si>
    <t>Total Cost of Manufacture</t>
  </si>
  <si>
    <t>(COM)</t>
  </si>
  <si>
    <t>Business Overhead</t>
  </si>
  <si>
    <t>of costs</t>
  </si>
  <si>
    <t>Total Cost of Sales</t>
  </si>
  <si>
    <t>Tax Rate on Earnings</t>
  </si>
  <si>
    <t>NROI</t>
  </si>
  <si>
    <t>(based on Total Investment, i.e., including Working Capital)</t>
  </si>
  <si>
    <t>Cost &amp; Rtn:</t>
  </si>
  <si>
    <t>Return</t>
  </si>
  <si>
    <t>Capacity Used</t>
  </si>
  <si>
    <t>MM $</t>
  </si>
  <si>
    <t>x</t>
  </si>
  <si>
    <t>y</t>
  </si>
  <si>
    <t>Desired Return</t>
  </si>
  <si>
    <t>desired</t>
  </si>
  <si>
    <t>(required selling price to achieve 25% NROI)</t>
  </si>
  <si>
    <t>Return at Selling Price</t>
  </si>
  <si>
    <t>achieved</t>
  </si>
  <si>
    <t>(actual NROI based on actual selling price)</t>
  </si>
  <si>
    <t>Net Cash Flow</t>
  </si>
  <si>
    <t>of revenue</t>
  </si>
  <si>
    <t>(1-t)*(Revenue - Cost of Sales)+Depreciation</t>
  </si>
  <si>
    <t>Variable Margin</t>
  </si>
  <si>
    <t>(Revenue - Variable Cost)</t>
  </si>
  <si>
    <t>kg ($4.9/kg)</t>
  </si>
  <si>
    <r>
      <rPr>
        <rFont val="&quot;arial mt&quot;, Arial"/>
        <b/>
        <color theme="1"/>
        <sz val="16.0"/>
      </rPr>
      <t>FOR USE with C</t>
    </r>
    <r>
      <rPr>
        <rFont val="Arial MT"/>
        <b/>
        <color theme="1"/>
        <sz val="16.0"/>
        <vertAlign val="subscript"/>
      </rPr>
      <t>BM</t>
    </r>
    <r>
      <rPr>
        <rFont val="Arial MT"/>
        <b/>
        <color theme="1"/>
        <sz val="16.0"/>
      </rPr>
      <t xml:space="preserve"> (Bare-Module Cost) ESTIMATED per SEIDER, SEADER et al. )</t>
    </r>
  </si>
  <si>
    <t>705 kmol/hr MeOH fresh flow rate</t>
  </si>
  <si>
    <t>Catalyst - mordenite</t>
  </si>
  <si>
    <t>Catalyst - ion-exchange</t>
  </si>
  <si>
    <t>$/hr</t>
  </si>
  <si>
    <t>Type of chemicals</t>
  </si>
  <si>
    <t>Flow Rates (bottom c2) (kmol/hr)</t>
  </si>
  <si>
    <t>Flow rates (flash tank gas) (kmol/hr)</t>
  </si>
  <si>
    <t>Flow rates (distillate last column) (kmol/hr)</t>
  </si>
  <si>
    <t>Combined flow rate (kmol/hr)</t>
  </si>
  <si>
    <t>New mole frac</t>
  </si>
  <si>
    <t>H comb (kJ/mol)</t>
  </si>
  <si>
    <t>kJ/hr</t>
  </si>
  <si>
    <t>BTU/yr</t>
  </si>
  <si>
    <t>Methyl acetate</t>
  </si>
  <si>
    <t>Methanol</t>
  </si>
  <si>
    <t>Dimethyl ether</t>
  </si>
  <si>
    <t>Carbon monoxide</t>
  </si>
  <si>
    <t>hydrogen</t>
  </si>
  <si>
    <t>Water</t>
  </si>
  <si>
    <t>methane</t>
  </si>
  <si>
    <t>UNITY</t>
  </si>
  <si>
    <t>-</t>
  </si>
  <si>
    <t>Ion-exchange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</si>
</sst>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#,##0.0000"/>
    <numFmt numFmtId="165" formatCode="m/d/yyyy"/>
    <numFmt numFmtId="166" formatCode="mm/dd/yy_)"/>
    <numFmt numFmtId="167" formatCode="0_)"/>
    <numFmt numFmtId="168" formatCode="&quot;$&quot;#,##0.000_);[Red]\(&quot;$&quot;#,##0.000\)"/>
    <numFmt numFmtId="169" formatCode="&quot;$&quot;#,##0_);[Red]\(&quot;$&quot;#,##0\)"/>
    <numFmt numFmtId="170" formatCode="&quot;$&quot;#,##0_);\(&quot;$&quot;#,##0\)"/>
    <numFmt numFmtId="171" formatCode="#,##0.000"/>
    <numFmt numFmtId="172" formatCode="&quot;$&quot;#,##0.0_);[Red]\(&quot;$&quot;#,##0.0\)"/>
    <numFmt numFmtId="173" formatCode="&quot;$&quot;#,##0.00_);[Red]\(&quot;$&quot;#,##0.00\)"/>
    <numFmt numFmtId="174" formatCode="&quot;$&quot;#,##0.00_);\(&quot;$&quot;#,##0.00\)"/>
    <numFmt numFmtId="175" formatCode="_(&quot;$&quot;* #,##0.000_);_(&quot;$&quot;* \(#,##0.000\);_(&quot;$&quot;* &quot;-&quot;??_);_(@_)"/>
    <numFmt numFmtId="176" formatCode="#,##0.0"/>
  </numFmts>
  <fonts count="6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0"/>
      <name val="Arial"/>
      <scheme val="minor"/>
    </font>
    <font>
      <b/>
      <sz val="15.0"/>
      <color theme="1"/>
      <name val="Calibri"/>
    </font>
    <font/>
    <font>
      <sz val="15.0"/>
      <color theme="1"/>
      <name val="Arial"/>
    </font>
    <font>
      <sz val="15.0"/>
      <color theme="1"/>
      <name val="Calibri"/>
    </font>
    <font>
      <sz val="15.0"/>
      <color theme="1"/>
      <name val="Inconsolata"/>
    </font>
    <font>
      <b/>
      <sz val="14.0"/>
      <color theme="1"/>
      <name val="Arial"/>
    </font>
    <font>
      <sz val="11.0"/>
      <color theme="1"/>
      <name val="Calibri"/>
    </font>
    <font>
      <b/>
      <sz val="16.0"/>
      <color rgb="FF000000"/>
      <name val="Arial"/>
    </font>
    <font>
      <b/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Arial"/>
    </font>
    <font>
      <b/>
      <sz val="20.0"/>
      <color theme="1"/>
      <name val="Arial"/>
    </font>
    <font>
      <sz val="10.0"/>
      <color theme="1"/>
      <name val="Courier"/>
    </font>
    <font>
      <sz val="10.0"/>
      <color rgb="FF000000"/>
      <name val="Arial"/>
    </font>
    <font>
      <b/>
      <sz val="14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color theme="1"/>
      <name val="Courier"/>
    </font>
    <font>
      <b/>
      <color theme="1"/>
      <name val="Courier"/>
    </font>
    <font>
      <b/>
      <i/>
      <color theme="1"/>
      <name val="Courier"/>
    </font>
    <font>
      <b/>
      <i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b/>
      <u/>
      <color theme="1"/>
      <name val="Courier"/>
    </font>
    <font>
      <b/>
      <u/>
      <sz val="10.0"/>
      <color theme="1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i/>
      <sz val="10.0"/>
      <color theme="1"/>
      <name val="Courier"/>
    </font>
    <font>
      <color theme="1"/>
      <name val="Arial"/>
    </font>
    <font>
      <i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i/>
      <u/>
      <sz val="10.0"/>
      <color theme="1"/>
      <name val="Courier"/>
    </font>
    <font>
      <i/>
      <u/>
      <sz val="10.0"/>
      <color theme="1"/>
      <name val="Courier"/>
    </font>
    <font>
      <i/>
      <u/>
      <sz val="10.0"/>
      <color theme="1"/>
      <name val="Courier"/>
    </font>
    <font>
      <b/>
      <sz val="15.0"/>
      <color theme="1"/>
      <name val="Courier"/>
    </font>
    <font>
      <sz val="10.0"/>
      <color rgb="FF000000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sz val="10.0"/>
      <color theme="1"/>
      <name val="Arial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sz val="12.0"/>
      <color theme="1"/>
      <name val="Courier"/>
    </font>
    <font>
      <b/>
      <i/>
      <sz val="10.0"/>
      <color rgb="FF0000FF"/>
      <name val="Courier"/>
    </font>
    <font>
      <sz val="24.0"/>
      <color theme="1"/>
      <name val="Arial"/>
    </font>
    <font>
      <u/>
      <color rgb="FF000000"/>
      <name val="Docs-Courier"/>
    </font>
    <font>
      <b/>
      <sz val="20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61D6FF"/>
        <bgColor rgb="FF61D6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bottom/>
    </border>
    <border>
      <right/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3" xfId="0" applyFont="1" applyNumberFormat="1"/>
    <xf borderId="1" fillId="0" fontId="1" numFmtId="2" xfId="0" applyAlignment="1" applyBorder="1" applyFont="1" applyNumberFormat="1">
      <alignment horizontal="center"/>
    </xf>
    <xf borderId="0" fillId="0" fontId="1" numFmtId="0" xfId="0" applyFont="1"/>
    <xf borderId="1" fillId="0" fontId="1" numFmtId="3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0" fillId="3" fontId="3" numFmtId="3" xfId="0" applyFill="1" applyFont="1" applyNumberFormat="1"/>
    <xf borderId="0" fillId="0" fontId="1" numFmtId="0" xfId="0" applyAlignment="1" applyFont="1">
      <alignment horizontal="center" readingOrder="0"/>
    </xf>
    <xf borderId="2" fillId="2" fontId="4" numFmtId="4" xfId="0" applyAlignment="1" applyBorder="1" applyFont="1" applyNumberForma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vertical="center"/>
    </xf>
    <xf borderId="2" fillId="2" fontId="4" numFmtId="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readingOrder="0" shrinkToFit="0" vertical="center" wrapText="1"/>
    </xf>
    <xf borderId="1" fillId="2" fontId="4" numFmtId="4" xfId="0" applyAlignment="1" applyBorder="1" applyFont="1" applyNumberFormat="1">
      <alignment horizontal="center" vertical="center"/>
    </xf>
    <xf borderId="1" fillId="0" fontId="7" numFmtId="4" xfId="0" applyAlignment="1" applyBorder="1" applyFont="1" applyNumberFormat="1">
      <alignment horizontal="center" vertical="center"/>
    </xf>
    <xf borderId="1" fillId="0" fontId="7" numFmtId="3" xfId="0" applyAlignment="1" applyBorder="1" applyFont="1" applyNumberFormat="1">
      <alignment horizontal="center" readingOrder="0" vertical="center"/>
    </xf>
    <xf borderId="5" fillId="2" fontId="7" numFmtId="4" xfId="0" applyAlignment="1" applyBorder="1" applyFont="1" applyNumberFormat="1">
      <alignment horizontal="center" vertical="center"/>
    </xf>
    <xf borderId="6" fillId="2" fontId="7" numFmtId="4" xfId="0" applyAlignment="1" applyBorder="1" applyFont="1" applyNumberFormat="1">
      <alignment horizontal="center" vertical="center"/>
    </xf>
    <xf borderId="7" fillId="2" fontId="7" numFmtId="4" xfId="0" applyAlignment="1" applyBorder="1" applyFont="1" applyNumberFormat="1">
      <alignment horizontal="center" vertical="center"/>
    </xf>
    <xf borderId="1" fillId="0" fontId="7" numFmtId="4" xfId="0" applyAlignment="1" applyBorder="1" applyFont="1" applyNumberFormat="1">
      <alignment horizontal="center" readingOrder="0" vertical="center"/>
    </xf>
    <xf borderId="8" fillId="2" fontId="7" numFmtId="4" xfId="0" applyAlignment="1" applyBorder="1" applyFont="1" applyNumberFormat="1">
      <alignment horizontal="center" vertical="center"/>
    </xf>
    <xf borderId="0" fillId="2" fontId="7" numFmtId="4" xfId="0" applyAlignment="1" applyFont="1" applyNumberFormat="1">
      <alignment horizontal="center" vertical="center"/>
    </xf>
    <xf borderId="9" fillId="2" fontId="7" numFmtId="4" xfId="0" applyAlignment="1" applyBorder="1" applyFont="1" applyNumberFormat="1">
      <alignment horizontal="center" vertical="center"/>
    </xf>
    <xf borderId="1" fillId="0" fontId="7" numFmtId="3" xfId="0" applyAlignment="1" applyBorder="1" applyFont="1" applyNumberFormat="1">
      <alignment horizontal="center" vertical="center"/>
    </xf>
    <xf borderId="1" fillId="4" fontId="4" numFmtId="4" xfId="0" applyAlignment="1" applyBorder="1" applyFill="1" applyFont="1" applyNumberFormat="1">
      <alignment horizontal="center" vertical="center"/>
    </xf>
    <xf borderId="1" fillId="4" fontId="4" numFmtId="3" xfId="0" applyAlignment="1" applyBorder="1" applyFont="1" applyNumberFormat="1">
      <alignment horizontal="center" readingOrder="0" vertical="center"/>
    </xf>
    <xf borderId="10" fillId="0" fontId="7" numFmtId="4" xfId="0" applyAlignment="1" applyBorder="1" applyFont="1" applyNumberFormat="1">
      <alignment horizontal="center" vertical="center"/>
    </xf>
    <xf borderId="11" fillId="0" fontId="5" numFmtId="0" xfId="0" applyBorder="1" applyFont="1"/>
    <xf borderId="12" fillId="0" fontId="5" numFmtId="0" xfId="0" applyBorder="1" applyFont="1"/>
    <xf borderId="1" fillId="4" fontId="4" numFmtId="3" xfId="0" applyAlignment="1" applyBorder="1" applyFont="1" applyNumberFormat="1">
      <alignment horizontal="center" vertical="center"/>
    </xf>
    <xf borderId="1" fillId="0" fontId="4" numFmtId="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vertical="center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0" fillId="2" fontId="4" numFmtId="4" xfId="0" applyAlignment="1" applyFont="1" applyNumberFormat="1">
      <alignment horizontal="center"/>
    </xf>
    <xf borderId="1" fillId="0" fontId="4" numFmtId="4" xfId="0" applyAlignment="1" applyBorder="1" applyFont="1" applyNumberFormat="1">
      <alignment horizontal="center"/>
    </xf>
    <xf borderId="1" fillId="0" fontId="7" numFmtId="4" xfId="0" applyAlignment="1" applyBorder="1" applyFont="1" applyNumberFormat="1">
      <alignment horizontal="center"/>
    </xf>
    <xf borderId="1" fillId="0" fontId="7" numFmtId="4" xfId="0" applyAlignment="1" applyBorder="1" applyFont="1" applyNumberFormat="1">
      <alignment horizontal="center" readingOrder="0"/>
    </xf>
    <xf borderId="1" fillId="0" fontId="6" numFmtId="4" xfId="0" applyAlignment="1" applyBorder="1" applyFont="1" applyNumberFormat="1">
      <alignment horizontal="center" vertical="bottom"/>
    </xf>
    <xf borderId="1" fillId="0" fontId="7" numFmtId="164" xfId="0" applyAlignment="1" applyBorder="1" applyFont="1" applyNumberFormat="1">
      <alignment horizontal="center" readingOrder="0"/>
    </xf>
    <xf borderId="10" fillId="0" fontId="7" numFmtId="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1" fillId="0" fontId="7" numFmtId="3" xfId="0" applyAlignment="1" applyBorder="1" applyFont="1" applyNumberFormat="1">
      <alignment horizontal="center"/>
    </xf>
    <xf borderId="10" fillId="0" fontId="7" numFmtId="0" xfId="0" applyAlignment="1" applyBorder="1" applyFont="1">
      <alignment horizontal="center"/>
    </xf>
    <xf borderId="1" fillId="0" fontId="6" numFmtId="3" xfId="0" applyAlignment="1" applyBorder="1" applyFont="1" applyNumberFormat="1">
      <alignment horizontal="center" vertical="bottom"/>
    </xf>
    <xf borderId="1" fillId="4" fontId="4" numFmtId="4" xfId="0" applyAlignment="1" applyBorder="1" applyFont="1" applyNumberFormat="1">
      <alignment horizontal="center"/>
    </xf>
    <xf borderId="1" fillId="4" fontId="4" numFmtId="3" xfId="0" applyAlignment="1" applyBorder="1" applyFont="1" applyNumberFormat="1">
      <alignment horizontal="center"/>
    </xf>
    <xf borderId="2" fillId="2" fontId="4" numFmtId="4" xfId="0" applyAlignment="1" applyBorder="1" applyFont="1" applyNumberFormat="1">
      <alignment horizontal="center" readingOrder="0"/>
    </xf>
    <xf borderId="1" fillId="5" fontId="8" numFmtId="4" xfId="0" applyAlignment="1" applyBorder="1" applyFill="1" applyFont="1" applyNumberFormat="1">
      <alignment horizontal="center" vertical="bottom"/>
    </xf>
    <xf borderId="2" fillId="0" fontId="7" numFmtId="4" xfId="0" applyAlignment="1" applyBorder="1" applyFont="1" applyNumberFormat="1">
      <alignment horizontal="center" readingOrder="0" vertical="center"/>
    </xf>
    <xf borderId="1" fillId="5" fontId="7" numFmtId="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0" fillId="2" fontId="4" numFmtId="4" xfId="0" applyAlignment="1" applyFont="1" applyNumberFormat="1">
      <alignment horizontal="center" readingOrder="0"/>
    </xf>
    <xf borderId="1" fillId="5" fontId="7" numFmtId="4" xfId="0" applyAlignment="1" applyBorder="1" applyFont="1" applyNumberFormat="1">
      <alignment horizontal="center"/>
    </xf>
    <xf borderId="5" fillId="0" fontId="6" numFmtId="4" xfId="0" applyAlignment="1" applyBorder="1" applyFont="1" applyNumberFormat="1">
      <alignment horizontal="center"/>
    </xf>
    <xf borderId="1" fillId="0" fontId="7" numFmtId="164" xfId="0" applyAlignment="1" applyBorder="1" applyFont="1" applyNumberFormat="1">
      <alignment horizontal="center"/>
    </xf>
    <xf borderId="5" fillId="6" fontId="4" numFmtId="4" xfId="0" applyAlignment="1" applyBorder="1" applyFill="1" applyFont="1" applyNumberFormat="1">
      <alignment horizontal="center" vertical="center"/>
    </xf>
    <xf borderId="5" fillId="6" fontId="4" numFmtId="3" xfId="0" applyAlignment="1" applyBorder="1" applyFont="1" applyNumberForma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16" fillId="7" fontId="12" numFmtId="0" xfId="0" applyBorder="1" applyFill="1" applyFont="1"/>
    <xf borderId="16" fillId="7" fontId="10" numFmtId="0" xfId="0" applyBorder="1" applyFont="1"/>
    <xf borderId="16" fillId="7" fontId="12" numFmtId="0" xfId="0" applyAlignment="1" applyBorder="1" applyFont="1">
      <alignment horizontal="right"/>
    </xf>
    <xf borderId="16" fillId="7" fontId="13" numFmtId="165" xfId="0" applyAlignment="1" applyBorder="1" applyFont="1" applyNumberFormat="1">
      <alignment horizontal="center"/>
    </xf>
    <xf borderId="16" fillId="7" fontId="10" numFmtId="166" xfId="0" applyBorder="1" applyFont="1" applyNumberForma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/>
    </xf>
    <xf borderId="0" fillId="0" fontId="14" numFmtId="0" xfId="0" applyFont="1"/>
    <xf borderId="16" fillId="7" fontId="15" numFmtId="167" xfId="0" applyAlignment="1" applyBorder="1" applyFont="1" applyNumberFormat="1">
      <alignment horizontal="right"/>
    </xf>
    <xf borderId="16" fillId="7" fontId="15" numFmtId="9" xfId="0" applyAlignment="1" applyBorder="1" applyFont="1" applyNumberFormat="1">
      <alignment horizontal="right"/>
    </xf>
    <xf borderId="0" fillId="0" fontId="15" numFmtId="9" xfId="0" applyAlignment="1" applyFont="1" applyNumberFormat="1">
      <alignment horizontal="center"/>
    </xf>
    <xf borderId="16" fillId="8" fontId="15" numFmtId="167" xfId="0" applyAlignment="1" applyBorder="1" applyFill="1" applyFont="1" applyNumberFormat="1">
      <alignment horizontal="right"/>
    </xf>
    <xf borderId="16" fillId="8" fontId="15" numFmtId="9" xfId="0" applyAlignment="1" applyBorder="1" applyFont="1" applyNumberFormat="1">
      <alignment horizontal="right"/>
    </xf>
    <xf borderId="16" fillId="7" fontId="10" numFmtId="167" xfId="0" applyBorder="1" applyFont="1" applyNumberFormat="1"/>
    <xf borderId="0" fillId="0" fontId="13" numFmtId="0" xfId="0" applyFont="1"/>
    <xf borderId="0" fillId="0" fontId="10" numFmtId="167" xfId="0" applyFont="1" applyNumberFormat="1"/>
    <xf borderId="16" fillId="7" fontId="15" numFmtId="0" xfId="0" applyAlignment="1" applyBorder="1" applyFont="1">
      <alignment horizontal="right"/>
    </xf>
    <xf borderId="0" fillId="0" fontId="16" numFmtId="0" xfId="0" applyAlignment="1" applyFont="1">
      <alignment horizontal="right"/>
    </xf>
    <xf borderId="16" fillId="7" fontId="12" numFmtId="16" xfId="0" applyBorder="1" applyFont="1" applyNumberFormat="1"/>
    <xf borderId="0" fillId="0" fontId="10" numFmtId="9" xfId="0" applyFont="1" applyNumberFormat="1"/>
    <xf borderId="0" fillId="0" fontId="17" numFmtId="0" xfId="0" applyAlignment="1" applyFont="1">
      <alignment horizontal="center"/>
    </xf>
    <xf borderId="16" fillId="8" fontId="17" numFmtId="4" xfId="0" applyAlignment="1" applyBorder="1" applyFont="1" applyNumberFormat="1">
      <alignment horizontal="right"/>
    </xf>
    <xf borderId="0" fillId="0" fontId="18" numFmtId="0" xfId="0" applyFont="1"/>
    <xf borderId="0" fillId="0" fontId="19" numFmtId="168" xfId="0" applyFont="1" applyNumberFormat="1"/>
    <xf borderId="0" fillId="0" fontId="20" numFmtId="0" xfId="0" applyAlignment="1" applyFont="1">
      <alignment horizontal="center"/>
    </xf>
    <xf borderId="2" fillId="7" fontId="18" numFmtId="0" xfId="0" applyAlignment="1" applyBorder="1" applyFont="1">
      <alignment horizontal="center"/>
    </xf>
    <xf borderId="0" fillId="0" fontId="21" numFmtId="0" xfId="0" applyAlignment="1" applyFont="1">
      <alignment horizontal="right"/>
    </xf>
    <xf borderId="0" fillId="0" fontId="22" numFmtId="0" xfId="0" applyFont="1"/>
    <xf borderId="0" fillId="0" fontId="23" numFmtId="168" xfId="0" applyFont="1" applyNumberFormat="1"/>
    <xf borderId="0" fillId="0" fontId="18" numFmtId="0" xfId="0" applyAlignment="1" applyFont="1">
      <alignment horizontal="left"/>
    </xf>
    <xf borderId="0" fillId="0" fontId="18" numFmtId="1" xfId="0" applyFont="1" applyNumberFormat="1"/>
    <xf borderId="1" fillId="7" fontId="18" numFmtId="1" xfId="0" applyBorder="1" applyFont="1" applyNumberFormat="1"/>
    <xf borderId="1" fillId="7" fontId="18" numFmtId="9" xfId="0" applyAlignment="1" applyBorder="1" applyFont="1" applyNumberFormat="1">
      <alignment horizontal="left"/>
    </xf>
    <xf borderId="1" fillId="7" fontId="18" numFmtId="169" xfId="0" applyBorder="1" applyFont="1" applyNumberFormat="1"/>
    <xf borderId="0" fillId="0" fontId="24" numFmtId="0" xfId="0" applyFont="1"/>
    <xf borderId="0" fillId="0" fontId="18" numFmtId="169" xfId="0" applyFont="1" applyNumberFormat="1"/>
    <xf borderId="0" fillId="0" fontId="18" numFmtId="0" xfId="0" applyAlignment="1" applyFont="1">
      <alignment shrinkToFit="0" wrapText="1"/>
    </xf>
    <xf borderId="0" fillId="0" fontId="25" numFmtId="0" xfId="0" applyAlignment="1" applyFont="1">
      <alignment horizontal="left"/>
    </xf>
    <xf borderId="0" fillId="0" fontId="26" numFmtId="170" xfId="0" applyFont="1" applyNumberFormat="1"/>
    <xf borderId="0" fillId="0" fontId="27" numFmtId="169" xfId="0" applyAlignment="1" applyFont="1" applyNumberFormat="1">
      <alignment horizontal="right"/>
    </xf>
    <xf borderId="0" fillId="0" fontId="24" numFmtId="0" xfId="0" applyAlignment="1" applyFont="1">
      <alignment horizontal="right"/>
    </xf>
    <xf borderId="0" fillId="0" fontId="24" numFmtId="168" xfId="0" applyAlignment="1" applyFont="1" applyNumberFormat="1">
      <alignment horizontal="right"/>
    </xf>
    <xf borderId="0" fillId="0" fontId="24" numFmtId="0" xfId="0" applyAlignment="1" applyFont="1">
      <alignment horizontal="left"/>
    </xf>
    <xf borderId="0" fillId="0" fontId="18" numFmtId="0" xfId="0" applyAlignment="1" applyFont="1">
      <alignment horizontal="right"/>
    </xf>
    <xf borderId="1" fillId="2" fontId="24" numFmtId="0" xfId="0" applyAlignment="1" applyBorder="1" applyFont="1">
      <alignment horizontal="center"/>
    </xf>
    <xf borderId="0" fillId="2" fontId="24" numFmtId="0" xfId="0" applyAlignment="1" applyFont="1">
      <alignment horizontal="center"/>
    </xf>
    <xf borderId="0" fillId="0" fontId="28" numFmtId="0" xfId="0" applyAlignment="1" applyFont="1">
      <alignment vertical="bottom"/>
    </xf>
    <xf borderId="1" fillId="7" fontId="28" numFmtId="171" xfId="0" applyAlignment="1" applyBorder="1" applyFont="1" applyNumberFormat="1">
      <alignment horizontal="right" vertical="bottom"/>
    </xf>
    <xf borderId="1" fillId="7" fontId="28" numFmtId="168" xfId="0" applyAlignment="1" applyBorder="1" applyFont="1" applyNumberFormat="1">
      <alignment horizontal="right" vertical="bottom"/>
    </xf>
    <xf borderId="0" fillId="0" fontId="19" numFmtId="172" xfId="0" applyFont="1" applyNumberFormat="1"/>
    <xf borderId="16" fillId="6" fontId="29" numFmtId="0" xfId="0" applyAlignment="1" applyBorder="1" applyFont="1">
      <alignment shrinkToFit="0" vertical="bottom" wrapText="0"/>
    </xf>
    <xf borderId="16" fillId="6" fontId="18" numFmtId="0" xfId="0" applyBorder="1" applyFont="1"/>
    <xf borderId="1" fillId="5" fontId="18" numFmtId="0" xfId="0" applyAlignment="1" applyBorder="1" applyFont="1">
      <alignment horizontal="center" readingOrder="0"/>
    </xf>
    <xf borderId="0" fillId="5" fontId="18" numFmtId="0" xfId="0" applyAlignment="1" applyFont="1">
      <alignment horizontal="center"/>
    </xf>
    <xf borderId="17" fillId="6" fontId="30" numFmtId="0" xfId="0" applyAlignment="1" applyBorder="1" applyFont="1">
      <alignment shrinkToFit="0" vertical="bottom" wrapText="0"/>
    </xf>
    <xf borderId="16" fillId="6" fontId="31" numFmtId="0" xfId="0" applyBorder="1" applyFont="1"/>
    <xf borderId="0" fillId="0" fontId="32" numFmtId="0" xfId="0" applyAlignment="1" applyFont="1">
      <alignment readingOrder="0"/>
    </xf>
    <xf borderId="1" fillId="7" fontId="18" numFmtId="173" xfId="0" applyAlignment="1" applyBorder="1" applyFont="1" applyNumberFormat="1">
      <alignment horizontal="right" readingOrder="0"/>
    </xf>
    <xf borderId="0" fillId="0" fontId="33" numFmtId="0" xfId="0" applyFont="1"/>
    <xf borderId="0" fillId="0" fontId="34" numFmtId="172" xfId="0" applyFont="1" applyNumberFormat="1"/>
    <xf borderId="0" fillId="0" fontId="35" numFmtId="168" xfId="0" applyFont="1" applyNumberFormat="1"/>
    <xf borderId="17" fillId="6" fontId="36" numFmtId="0" xfId="0" applyAlignment="1" applyBorder="1" applyFont="1">
      <alignment shrinkToFit="0" vertical="bottom" wrapText="0"/>
    </xf>
    <xf borderId="16" fillId="6" fontId="37" numFmtId="0" xfId="0" applyBorder="1" applyFont="1"/>
    <xf borderId="0" fillId="5" fontId="18" numFmtId="171" xfId="0" applyAlignment="1" applyFont="1" applyNumberFormat="1">
      <alignment horizontal="center"/>
    </xf>
    <xf borderId="0" fillId="0" fontId="31" numFmtId="0" xfId="0" applyAlignment="1" applyFont="1">
      <alignment horizontal="left"/>
    </xf>
    <xf borderId="0" fillId="0" fontId="31" numFmtId="171" xfId="0" applyFont="1" applyNumberFormat="1"/>
    <xf borderId="0" fillId="0" fontId="31" numFmtId="168" xfId="0" applyFont="1" applyNumberFormat="1"/>
    <xf borderId="0" fillId="0" fontId="31" numFmtId="0" xfId="0" applyFont="1"/>
    <xf borderId="0" fillId="0" fontId="31" numFmtId="172" xfId="0" applyFont="1" applyNumberFormat="1"/>
    <xf borderId="0" fillId="0" fontId="19" numFmtId="171" xfId="0" applyFont="1" applyNumberFormat="1"/>
    <xf borderId="1" fillId="7" fontId="19" numFmtId="171" xfId="0" applyBorder="1" applyFont="1" applyNumberFormat="1"/>
    <xf borderId="1" fillId="7" fontId="19" numFmtId="168" xfId="0" applyBorder="1" applyFont="1" applyNumberFormat="1"/>
    <xf borderId="0" fillId="0" fontId="38" numFmtId="0" xfId="0" applyFont="1"/>
    <xf borderId="1" fillId="7" fontId="39" numFmtId="171" xfId="0" applyBorder="1" applyFont="1" applyNumberFormat="1"/>
    <xf borderId="1" fillId="7" fontId="40" numFmtId="168" xfId="0" applyBorder="1" applyFont="1" applyNumberFormat="1"/>
    <xf borderId="0" fillId="0" fontId="41" numFmtId="168" xfId="0" applyAlignment="1" applyFont="1" applyNumberFormat="1">
      <alignment horizontal="left"/>
    </xf>
    <xf borderId="0" fillId="0" fontId="42" numFmtId="172" xfId="0" applyFont="1" applyNumberFormat="1"/>
    <xf borderId="0" fillId="0" fontId="43" numFmtId="168" xfId="0" applyFont="1" applyNumberFormat="1"/>
    <xf borderId="1" fillId="7" fontId="44" numFmtId="3" xfId="0" applyBorder="1" applyFont="1" applyNumberFormat="1"/>
    <xf borderId="16" fillId="9" fontId="31" numFmtId="0" xfId="0" applyBorder="1" applyFill="1" applyFont="1"/>
    <xf borderId="0" fillId="0" fontId="45" numFmtId="0" xfId="0" applyFont="1"/>
    <xf borderId="0" fillId="0" fontId="45" numFmtId="171" xfId="0" applyFont="1" applyNumberFormat="1"/>
    <xf borderId="0" fillId="0" fontId="45" numFmtId="168" xfId="0" applyFont="1" applyNumberFormat="1"/>
    <xf borderId="0" fillId="0" fontId="45" numFmtId="172" xfId="0" applyFont="1" applyNumberFormat="1"/>
    <xf borderId="0" fillId="0" fontId="24" numFmtId="0" xfId="0" applyAlignment="1" applyFont="1">
      <alignment horizontal="center"/>
    </xf>
    <xf borderId="0" fillId="0" fontId="18" numFmtId="0" xfId="0" applyAlignment="1" applyFont="1">
      <alignment horizontal="left" readingOrder="0"/>
    </xf>
    <xf borderId="1" fillId="7" fontId="18" numFmtId="171" xfId="0" applyAlignment="1" applyBorder="1" applyFont="1" applyNumberFormat="1">
      <alignment horizontal="right"/>
    </xf>
    <xf borderId="1" fillId="7" fontId="18" numFmtId="174" xfId="0" applyAlignment="1" applyBorder="1" applyFont="1" applyNumberFormat="1">
      <alignment horizontal="center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horizontal="center"/>
    </xf>
    <xf borderId="1" fillId="0" fontId="18" numFmtId="171" xfId="0" applyAlignment="1" applyBorder="1" applyFont="1" applyNumberFormat="1">
      <alignment horizontal="center" readingOrder="0"/>
    </xf>
    <xf borderId="0" fillId="0" fontId="18" numFmtId="171" xfId="0" applyAlignment="1" applyFont="1" applyNumberFormat="1">
      <alignment horizontal="center"/>
    </xf>
    <xf borderId="1" fillId="7" fontId="18" numFmtId="175" xfId="0" applyAlignment="1" applyBorder="1" applyFont="1" applyNumberFormat="1">
      <alignment horizontal="center"/>
    </xf>
    <xf borderId="0" fillId="0" fontId="28" numFmtId="0" xfId="0" applyAlignment="1" applyFont="1">
      <alignment vertical="bottom"/>
    </xf>
    <xf borderId="2" fillId="2" fontId="46" numFmtId="171" xfId="0" applyAlignment="1" applyBorder="1" applyFont="1" applyNumberFormat="1">
      <alignment vertical="bottom"/>
    </xf>
    <xf borderId="0" fillId="0" fontId="46" numFmtId="0" xfId="0" applyAlignment="1" applyFont="1">
      <alignment vertical="bottom"/>
    </xf>
    <xf borderId="0" fillId="0" fontId="28" numFmtId="172" xfId="0" applyAlignment="1" applyFont="1" applyNumberFormat="1">
      <alignment horizontal="right" vertical="bottom"/>
    </xf>
    <xf borderId="0" fillId="0" fontId="46" numFmtId="168" xfId="0" applyAlignment="1" applyFont="1" applyNumberFormat="1">
      <alignment vertical="bottom"/>
    </xf>
    <xf borderId="18" fillId="0" fontId="28" numFmtId="0" xfId="0" applyAlignment="1" applyBorder="1" applyFont="1">
      <alignment readingOrder="0" shrinkToFit="0" vertical="bottom" wrapText="0"/>
    </xf>
    <xf borderId="0" fillId="0" fontId="47" numFmtId="0" xfId="0" applyAlignment="1" applyFont="1">
      <alignment horizontal="center" readingOrder="0" vertical="bottom"/>
    </xf>
    <xf borderId="0" fillId="0" fontId="47" numFmtId="0" xfId="0" applyAlignment="1" applyFont="1">
      <alignment horizontal="center" vertical="bottom"/>
    </xf>
    <xf borderId="1" fillId="2" fontId="46" numFmtId="176" xfId="0" applyAlignment="1" applyBorder="1" applyFont="1" applyNumberFormat="1">
      <alignment vertical="bottom"/>
    </xf>
    <xf borderId="0" fillId="0" fontId="46" numFmtId="176" xfId="0" applyAlignment="1" applyFont="1" applyNumberFormat="1">
      <alignment vertical="bottom"/>
    </xf>
    <xf borderId="1" fillId="7" fontId="48" numFmtId="171" xfId="0" applyAlignment="1" applyBorder="1" applyFont="1" applyNumberFormat="1">
      <alignment horizontal="right"/>
    </xf>
    <xf borderId="1" fillId="7" fontId="49" numFmtId="175" xfId="0" applyAlignment="1" applyBorder="1" applyFont="1" applyNumberFormat="1">
      <alignment horizontal="center"/>
    </xf>
    <xf borderId="0" fillId="0" fontId="50" numFmtId="0" xfId="0" applyFont="1"/>
    <xf borderId="0" fillId="0" fontId="51" numFmtId="0" xfId="0" applyAlignment="1" applyFont="1">
      <alignment horizontal="center" readingOrder="0"/>
    </xf>
    <xf borderId="0" fillId="0" fontId="52" numFmtId="0" xfId="0" applyAlignment="1" applyFont="1">
      <alignment horizontal="center"/>
    </xf>
    <xf borderId="1" fillId="0" fontId="18" numFmtId="176" xfId="0" applyAlignment="1" applyBorder="1" applyFont="1" applyNumberFormat="1">
      <alignment horizontal="center" readingOrder="0"/>
    </xf>
    <xf borderId="0" fillId="0" fontId="18" numFmtId="176" xfId="0" applyAlignment="1" applyFont="1" applyNumberFormat="1">
      <alignment horizontal="center"/>
    </xf>
    <xf borderId="0" fillId="0" fontId="45" numFmtId="0" xfId="0" applyAlignment="1" applyFont="1">
      <alignment horizontal="left"/>
    </xf>
    <xf borderId="5" fillId="2" fontId="53" numFmtId="0" xfId="0" applyAlignment="1" applyBorder="1" applyFont="1">
      <alignment horizontal="center" vertical="center"/>
    </xf>
    <xf borderId="16" fillId="5" fontId="54" numFmtId="0" xfId="0" applyAlignment="1" applyBorder="1" applyFont="1">
      <alignment horizontal="left"/>
    </xf>
    <xf borderId="0" fillId="5" fontId="54" numFmtId="0" xfId="0" applyAlignment="1" applyFont="1">
      <alignment horizontal="left"/>
    </xf>
    <xf borderId="1" fillId="7" fontId="55" numFmtId="171" xfId="0" applyBorder="1" applyFont="1" applyNumberFormat="1"/>
    <xf borderId="1" fillId="7" fontId="56" numFmtId="168" xfId="0" applyBorder="1" applyFont="1" applyNumberFormat="1"/>
    <xf borderId="1" fillId="7" fontId="18" numFmtId="0" xfId="0" applyBorder="1" applyFont="1"/>
    <xf borderId="16" fillId="10" fontId="57" numFmtId="169" xfId="0" applyBorder="1" applyFill="1" applyFont="1" applyNumberFormat="1"/>
    <xf quotePrefix="1" borderId="0" fillId="0" fontId="18" numFmtId="0" xfId="0" applyFont="1"/>
    <xf borderId="16" fillId="10" fontId="18" numFmtId="9" xfId="0" applyBorder="1" applyFont="1" applyNumberFormat="1"/>
    <xf borderId="0" fillId="0" fontId="24" numFmtId="0" xfId="0" applyAlignment="1" applyFont="1">
      <alignment readingOrder="0"/>
    </xf>
    <xf borderId="1" fillId="2" fontId="24" numFmtId="0" xfId="0" applyAlignment="1" applyBorder="1" applyFont="1">
      <alignment horizontal="center" readingOrder="0"/>
    </xf>
    <xf borderId="0" fillId="0" fontId="18" numFmtId="0" xfId="0" applyAlignment="1" applyFont="1">
      <alignment readingOrder="0"/>
    </xf>
    <xf borderId="1" fillId="0" fontId="18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center"/>
    </xf>
    <xf borderId="0" fillId="0" fontId="24" numFmtId="172" xfId="0" applyFont="1" applyNumberFormat="1"/>
    <xf borderId="0" fillId="0" fontId="24" numFmtId="168" xfId="0" applyFont="1" applyNumberFormat="1"/>
    <xf borderId="16" fillId="10" fontId="19" numFmtId="9" xfId="0" applyBorder="1" applyFont="1" applyNumberFormat="1"/>
    <xf borderId="0" fillId="0" fontId="19" numFmtId="9" xfId="0" applyFont="1" applyNumberFormat="1"/>
    <xf borderId="16" fillId="7" fontId="18" numFmtId="9" xfId="0" applyBorder="1" applyFont="1" applyNumberFormat="1"/>
    <xf borderId="0" fillId="0" fontId="18" numFmtId="9" xfId="0" applyFont="1" applyNumberFormat="1"/>
    <xf borderId="0" fillId="0" fontId="58" numFmtId="0" xfId="0" applyAlignment="1" applyFont="1">
      <alignment horizontal="left"/>
    </xf>
    <xf borderId="0" fillId="0" fontId="59" numFmtId="172" xfId="0" applyAlignment="1" applyFont="1" applyNumberFormat="1">
      <alignment horizontal="right"/>
    </xf>
    <xf borderId="0" fillId="0" fontId="60" numFmtId="168" xfId="0" applyAlignment="1" applyFont="1" applyNumberFormat="1">
      <alignment horizontal="right"/>
    </xf>
    <xf borderId="0" fillId="0" fontId="61" numFmtId="0" xfId="0" applyFont="1"/>
    <xf borderId="0" fillId="0" fontId="61" numFmtId="9" xfId="0" applyFont="1" applyNumberFormat="1"/>
    <xf borderId="0" fillId="0" fontId="61" numFmtId="0" xfId="0" applyAlignment="1" applyFont="1">
      <alignment horizontal="right"/>
    </xf>
    <xf borderId="0" fillId="0" fontId="61" numFmtId="172" xfId="0" applyFont="1" applyNumberFormat="1"/>
    <xf borderId="0" fillId="0" fontId="61" numFmtId="168" xfId="0" applyFont="1" applyNumberFormat="1"/>
    <xf borderId="0" fillId="0" fontId="62" numFmtId="0" xfId="0" applyAlignment="1" applyFont="1">
      <alignment horizontal="left" shrinkToFit="0" wrapText="1"/>
    </xf>
    <xf borderId="0" fillId="0" fontId="62" numFmtId="9" xfId="0" applyFont="1" applyNumberFormat="1"/>
    <xf borderId="0" fillId="0" fontId="62" numFmtId="0" xfId="0" applyFont="1"/>
    <xf borderId="0" fillId="0" fontId="62" numFmtId="172" xfId="0" applyFont="1" applyNumberFormat="1"/>
    <xf borderId="1" fillId="7" fontId="62" numFmtId="168" xfId="0" applyBorder="1" applyFont="1" applyNumberFormat="1"/>
    <xf borderId="0" fillId="0" fontId="18" numFmtId="172" xfId="0" applyFont="1" applyNumberFormat="1"/>
    <xf borderId="0" fillId="0" fontId="18" numFmtId="2" xfId="0" applyFont="1" applyNumberFormat="1"/>
    <xf borderId="0" fillId="2" fontId="13" numFmtId="4" xfId="0" applyAlignment="1" applyFont="1" applyNumberFormat="1">
      <alignment horizontal="center" readingOrder="0"/>
    </xf>
    <xf borderId="1" fillId="0" fontId="13" numFmtId="4" xfId="0" applyAlignment="1" applyBorder="1" applyFont="1" applyNumberFormat="1">
      <alignment horizontal="center"/>
    </xf>
    <xf borderId="1" fillId="0" fontId="14" numFmtId="4" xfId="0" applyAlignment="1" applyBorder="1" applyFont="1" applyNumberFormat="1">
      <alignment horizontal="center"/>
    </xf>
    <xf borderId="1" fillId="0" fontId="14" numFmtId="4" xfId="0" applyAlignment="1" applyBorder="1" applyFont="1" applyNumberFormat="1">
      <alignment horizontal="center" readingOrder="0"/>
    </xf>
    <xf borderId="10" fillId="0" fontId="14" numFmtId="4" xfId="0" applyAlignment="1" applyBorder="1" applyFont="1" applyNumberFormat="1">
      <alignment horizontal="center"/>
    </xf>
    <xf borderId="1" fillId="5" fontId="14" numFmtId="4" xfId="0" applyAlignment="1" applyBorder="1" applyFont="1" applyNumberFormat="1">
      <alignment horizontal="center"/>
    </xf>
    <xf borderId="5" fillId="0" fontId="63" numFmtId="4" xfId="0" applyAlignment="1" applyBorder="1" applyFont="1" applyNumberFormat="1">
      <alignment horizontal="center"/>
    </xf>
    <xf borderId="1" fillId="0" fontId="10" numFmtId="4" xfId="0" applyAlignment="1" applyBorder="1" applyFont="1" applyNumberFormat="1">
      <alignment horizontal="center"/>
    </xf>
    <xf borderId="1" fillId="0" fontId="10" numFmtId="4" xfId="0" applyAlignment="1" applyBorder="1" applyFont="1" applyNumberFormat="1">
      <alignment horizontal="center" readingOrder="0"/>
    </xf>
    <xf borderId="1" fillId="0" fontId="14" numFmtId="3" xfId="0" applyAlignment="1" applyBorder="1" applyFont="1" applyNumberFormat="1">
      <alignment horizontal="center"/>
    </xf>
    <xf borderId="1" fillId="0" fontId="14" numFmtId="164" xfId="0" applyAlignment="1" applyBorder="1" applyFont="1" applyNumberFormat="1">
      <alignment horizontal="center"/>
    </xf>
    <xf borderId="1" fillId="4" fontId="13" numFmtId="4" xfId="0" applyAlignment="1" applyBorder="1" applyFont="1" applyNumberFormat="1">
      <alignment horizontal="center"/>
    </xf>
    <xf borderId="1" fillId="4" fontId="13" numFmtId="3" xfId="0" applyAlignment="1" applyBorder="1" applyFont="1" applyNumberFormat="1">
      <alignment horizontal="center"/>
    </xf>
    <xf borderId="16" fillId="6" fontId="29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5" fontId="64" numFmtId="0" xfId="0" applyAlignment="1" applyFont="1">
      <alignment horizontal="left" readingOrder="0"/>
    </xf>
    <xf borderId="0" fillId="0" fontId="46" numFmtId="0" xfId="0" applyAlignment="1" applyFont="1">
      <alignment readingOrder="0" vertical="bottom"/>
    </xf>
    <xf borderId="2" fillId="2" fontId="65" numFmtId="0" xfId="0" applyAlignment="1" applyBorder="1" applyFont="1">
      <alignment horizontal="center" readingOrder="0"/>
    </xf>
    <xf borderId="0" fillId="0" fontId="66" numFmtId="0" xfId="0" applyAlignment="1" applyFont="1">
      <alignment horizontal="center"/>
    </xf>
    <xf borderId="0" fillId="0" fontId="57" numFmtId="0" xfId="0" applyAlignment="1" applyFont="1">
      <alignment horizontal="center"/>
    </xf>
    <xf borderId="1" fillId="2" fontId="67" numFmtId="0" xfId="0" applyAlignment="1" applyBorder="1" applyFont="1">
      <alignment horizontal="center"/>
    </xf>
    <xf borderId="1" fillId="2" fontId="67" numFmtId="0" xfId="0" applyAlignment="1" applyBorder="1" applyFont="1">
      <alignment horizontal="center" readingOrder="0"/>
    </xf>
    <xf borderId="1" fillId="0" fontId="68" numFmtId="0" xfId="0" applyAlignment="1" applyBorder="1" applyFont="1">
      <alignment horizontal="center" vertical="bottom"/>
    </xf>
    <xf borderId="1" fillId="0" fontId="66" numFmtId="2" xfId="0" applyAlignment="1" applyBorder="1" applyFont="1" applyNumberFormat="1">
      <alignment horizontal="center" readingOrder="0"/>
    </xf>
    <xf borderId="1" fillId="0" fontId="66" numFmtId="2" xfId="0" applyAlignment="1" applyBorder="1" applyFont="1" applyNumberFormat="1">
      <alignment horizontal="center"/>
    </xf>
    <xf borderId="1" fillId="0" fontId="68" numFmtId="2" xfId="0" applyAlignment="1" applyBorder="1" applyFont="1" applyNumberFormat="1">
      <alignment horizontal="center" vertical="bottom"/>
    </xf>
    <xf borderId="1" fillId="0" fontId="66" numFmtId="3" xfId="0" applyAlignment="1" applyBorder="1" applyFont="1" applyNumberFormat="1">
      <alignment horizontal="center"/>
    </xf>
    <xf borderId="0" fillId="0" fontId="68" numFmtId="0" xfId="0" applyAlignment="1" applyFont="1">
      <alignment horizontal="center" readingOrder="0" vertical="bottom"/>
    </xf>
    <xf borderId="0" fillId="0" fontId="68" numFmtId="0" xfId="0" applyAlignment="1" applyFont="1">
      <alignment horizontal="center" vertical="bottom"/>
    </xf>
    <xf borderId="1" fillId="7" fontId="67" numFmtId="4" xfId="0" applyAlignment="1" applyBorder="1" applyFont="1" applyNumberFormat="1">
      <alignment horizontal="center"/>
    </xf>
    <xf borderId="1" fillId="7" fontId="67" numFmtId="2" xfId="0" applyAlignment="1" applyBorder="1" applyFont="1" applyNumberFormat="1">
      <alignment horizontal="center"/>
    </xf>
    <xf borderId="1" fillId="7" fontId="67" numFmtId="3" xfId="0" applyAlignment="1" applyBorder="1" applyFont="1" applyNumberFormat="1">
      <alignment horizontal="center"/>
    </xf>
    <xf borderId="0" fillId="0" fontId="66" numFmtId="11" xfId="0" applyAlignment="1" applyFont="1" applyNumberFormat="1">
      <alignment horizontal="center"/>
    </xf>
    <xf borderId="1" fillId="0" fontId="67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3.5"/>
  </cols>
  <sheetData>
    <row r="1">
      <c r="B1" s="1" t="s">
        <v>0</v>
      </c>
      <c r="C1" s="1" t="s">
        <v>1</v>
      </c>
      <c r="E1" s="2" t="s">
        <v>2</v>
      </c>
      <c r="F1" s="3" t="s">
        <v>0</v>
      </c>
      <c r="G1" s="3" t="s">
        <v>1</v>
      </c>
      <c r="I1" s="2" t="s">
        <v>2</v>
      </c>
      <c r="J1" s="3" t="s">
        <v>0</v>
      </c>
      <c r="K1" s="3" t="s">
        <v>1</v>
      </c>
    </row>
    <row r="2">
      <c r="A2" s="1" t="s">
        <v>3</v>
      </c>
      <c r="B2" s="4">
        <f>'Sizing H-mordenite'!B16</f>
        <v>243510.3348</v>
      </c>
      <c r="C2" s="4">
        <f>'Sizing ion exchange'!B16</f>
        <v>8104640.778</v>
      </c>
      <c r="E2" s="2" t="s">
        <v>3</v>
      </c>
      <c r="F2" s="5">
        <f t="shared" ref="F2:G2" si="1">B2/10^6</f>
        <v>0.2435103348</v>
      </c>
      <c r="G2" s="5">
        <f t="shared" si="1"/>
        <v>8.104640778</v>
      </c>
      <c r="H2" s="6">
        <f>G2/F2</f>
        <v>33.2825331</v>
      </c>
      <c r="I2" s="2" t="s">
        <v>3</v>
      </c>
      <c r="J2" s="7">
        <f>'Sizing H-mordenite'!B9</f>
        <v>8961.991428</v>
      </c>
      <c r="K2" s="7">
        <f>'Sizing ion exchange'!B9</f>
        <v>190107.9493</v>
      </c>
    </row>
    <row r="3">
      <c r="A3" s="1" t="s">
        <v>4</v>
      </c>
      <c r="B3" s="4">
        <f>'Sizing H-mordenite'!B31</f>
        <v>10293728.93</v>
      </c>
      <c r="C3" s="4">
        <f>'Sizing ion exchange'!B31</f>
        <v>10293728.93</v>
      </c>
      <c r="E3" s="2" t="s">
        <v>4</v>
      </c>
      <c r="F3" s="5">
        <f t="shared" ref="F3:G3" si="2">B3/10^6</f>
        <v>10.29372893</v>
      </c>
      <c r="G3" s="5">
        <f t="shared" si="2"/>
        <v>10.29372893</v>
      </c>
      <c r="I3" s="2" t="s">
        <v>4</v>
      </c>
      <c r="J3" s="7">
        <f>'Sizing H-mordenite'!B24</f>
        <v>216704.4502</v>
      </c>
      <c r="K3" s="7">
        <f>'Sizing ion exchange'!B24</f>
        <v>216704.4502</v>
      </c>
    </row>
    <row r="4">
      <c r="A4" s="1" t="s">
        <v>5</v>
      </c>
      <c r="B4" s="4">
        <f>'Sizing H-mordenite'!B44</f>
        <v>72851.67857</v>
      </c>
      <c r="C4" s="4">
        <f>'Sizing ion exchange'!B44</f>
        <v>66372.6929</v>
      </c>
      <c r="E4" s="2" t="s">
        <v>5</v>
      </c>
      <c r="F4" s="5">
        <f t="shared" ref="F4:G4" si="3">B4/10^6</f>
        <v>0.07285167857</v>
      </c>
      <c r="G4" s="5">
        <f t="shared" si="3"/>
        <v>0.0663726929</v>
      </c>
      <c r="I4" s="2" t="s">
        <v>5</v>
      </c>
      <c r="J4" s="8">
        <f>'Sizing H-mordenite'!B37</f>
        <v>3377.048871</v>
      </c>
      <c r="K4" s="8">
        <f>'Sizing ion exchange'!B37</f>
        <v>2936.164471</v>
      </c>
    </row>
    <row r="5">
      <c r="A5" s="1" t="s">
        <v>6</v>
      </c>
      <c r="B5" s="4">
        <f>'Sizing H-mordenite'!B57</f>
        <v>81145.06645</v>
      </c>
      <c r="C5" s="4">
        <f>'Sizing ion exchange'!B57</f>
        <v>73556.79119</v>
      </c>
      <c r="E5" s="2" t="s">
        <v>6</v>
      </c>
      <c r="F5" s="5">
        <f t="shared" ref="F5:G5" si="4">B5/10^6</f>
        <v>0.08114506645</v>
      </c>
      <c r="G5" s="5">
        <f t="shared" si="4"/>
        <v>0.07355679119</v>
      </c>
      <c r="I5" s="2" t="s">
        <v>6</v>
      </c>
      <c r="J5" s="8">
        <f>'Sizing H-mordenite'!B50</f>
        <v>3943.856025</v>
      </c>
      <c r="K5" s="8">
        <f>'Sizing ion exchange'!B50</f>
        <v>3425.156823</v>
      </c>
    </row>
    <row r="6">
      <c r="A6" s="1" t="s">
        <v>7</v>
      </c>
      <c r="B6" s="4">
        <f>'Sizing H-mordenite'!B70</f>
        <v>39566.96671</v>
      </c>
      <c r="C6" s="4">
        <f>'Sizing ion exchange'!B70</f>
        <v>36975.53749</v>
      </c>
      <c r="E6" s="2" t="s">
        <v>7</v>
      </c>
      <c r="F6" s="5">
        <f t="shared" ref="F6:G6" si="5">B6/10^6</f>
        <v>0.03956696671</v>
      </c>
      <c r="G6" s="5">
        <f t="shared" si="5"/>
        <v>0.03697553749</v>
      </c>
      <c r="I6" s="2" t="s">
        <v>7</v>
      </c>
      <c r="J6" s="8">
        <f>'Sizing H-mordenite'!B63</f>
        <v>1197.663004</v>
      </c>
      <c r="K6" s="8">
        <f>'Sizing ion exchange'!B63</f>
        <v>1033.874534</v>
      </c>
    </row>
    <row r="7">
      <c r="A7" s="1" t="s">
        <v>8</v>
      </c>
      <c r="B7" s="4">
        <f>'Sizing H-mordenite'!B83</f>
        <v>38188.43904</v>
      </c>
      <c r="C7" s="4">
        <f>'Sizing ion exchange'!B83</f>
        <v>35783.99575</v>
      </c>
      <c r="E7" s="2" t="s">
        <v>8</v>
      </c>
      <c r="F7" s="5">
        <f t="shared" ref="F7:G7" si="6">B7/10^6</f>
        <v>0.03818843904</v>
      </c>
      <c r="G7" s="5">
        <f t="shared" si="6"/>
        <v>0.03578399575</v>
      </c>
      <c r="I7" s="2" t="s">
        <v>8</v>
      </c>
      <c r="J7" s="8">
        <f>'Sizing H-mordenite'!B76</f>
        <v>1110.201215</v>
      </c>
      <c r="K7" s="8">
        <f>'Sizing ion exchange'!B76</f>
        <v>959.5002674</v>
      </c>
    </row>
    <row r="8">
      <c r="A8" s="1" t="s">
        <v>9</v>
      </c>
      <c r="B8" s="4">
        <f>'Sizing H-mordenite'!B96</f>
        <v>40409.78401</v>
      </c>
      <c r="C8" s="4">
        <f>'Sizing ion exchange'!B96</f>
        <v>96081.83542</v>
      </c>
      <c r="E8" s="2" t="s">
        <v>9</v>
      </c>
      <c r="F8" s="5">
        <f t="shared" ref="F8:G8" si="7">B8/10^6</f>
        <v>0.04040978401</v>
      </c>
      <c r="G8" s="5">
        <f t="shared" si="7"/>
        <v>0.09608183542</v>
      </c>
      <c r="I8" s="2" t="s">
        <v>9</v>
      </c>
      <c r="J8" s="8">
        <f>'Sizing H-mordenite'!B89</f>
        <v>1108.201181</v>
      </c>
      <c r="K8" s="8">
        <f>'Sizing ion exchange'!B89</f>
        <v>2.479910764</v>
      </c>
    </row>
    <row r="9">
      <c r="A9" s="1" t="s">
        <v>10</v>
      </c>
      <c r="B9" s="4">
        <f>'Sizing H-mordenite'!B109</f>
        <v>60156.2665</v>
      </c>
      <c r="C9" s="4">
        <f>'Sizing ion exchange'!B109</f>
        <v>26398.70985</v>
      </c>
      <c r="E9" s="2" t="s">
        <v>10</v>
      </c>
      <c r="F9" s="5">
        <f t="shared" ref="F9:G9" si="8">B9/10^6</f>
        <v>0.0601562665</v>
      </c>
      <c r="G9" s="5">
        <f t="shared" si="8"/>
        <v>0.02639870985</v>
      </c>
      <c r="I9" s="2" t="s">
        <v>10</v>
      </c>
      <c r="J9" s="8">
        <f>'Sizing H-mordenite'!B102</f>
        <v>2336.610734</v>
      </c>
      <c r="K9" s="8">
        <f>'Sizing ion exchange'!B102</f>
        <v>37.39872435</v>
      </c>
    </row>
    <row r="10">
      <c r="A10" s="1" t="s">
        <v>11</v>
      </c>
      <c r="B10" s="4">
        <f>'Sizing H-mordenite'!B132</f>
        <v>94548.82409</v>
      </c>
      <c r="C10" s="4">
        <f>'Sizing ion exchange'!B132</f>
        <v>277076.8339</v>
      </c>
      <c r="E10" s="2" t="s">
        <v>11</v>
      </c>
      <c r="F10" s="5">
        <f t="shared" ref="F10:G10" si="9">B10/10^6</f>
        <v>0.09454882409</v>
      </c>
      <c r="G10" s="5">
        <f t="shared" si="9"/>
        <v>0.2770768339</v>
      </c>
    </row>
    <row r="11">
      <c r="A11" s="1" t="s">
        <v>12</v>
      </c>
      <c r="B11" s="9">
        <f>'Sizing H-mordenite'!B142</f>
        <v>1698442.822</v>
      </c>
      <c r="C11" s="9">
        <f>'Sizing ion exchange'!B142</f>
        <v>332415.7981</v>
      </c>
      <c r="E11" s="2" t="s">
        <v>12</v>
      </c>
      <c r="F11" s="5">
        <f t="shared" ref="F11:G11" si="10">B11/10^6</f>
        <v>1.698442822</v>
      </c>
      <c r="G11" s="5">
        <f t="shared" si="10"/>
        <v>0.3324157981</v>
      </c>
    </row>
    <row r="12">
      <c r="A12" s="1" t="s">
        <v>13</v>
      </c>
      <c r="B12" s="4">
        <f>'Sizing H-mordenite'!B152</f>
        <v>177378.0318</v>
      </c>
      <c r="C12" s="4">
        <f>'Sizing ion exchange'!B152</f>
        <v>158059.3647</v>
      </c>
      <c r="E12" s="2" t="s">
        <v>13</v>
      </c>
      <c r="F12" s="5">
        <f t="shared" ref="F12:G12" si="11">B12/10^6</f>
        <v>0.1773780318</v>
      </c>
      <c r="G12" s="5">
        <f t="shared" si="11"/>
        <v>0.1580593647</v>
      </c>
    </row>
    <row r="13">
      <c r="A13" s="1" t="s">
        <v>14</v>
      </c>
      <c r="B13" s="4">
        <f>'Sizing H-mordenite'!B162</f>
        <v>353058.0368</v>
      </c>
      <c r="C13" s="4">
        <f>'Sizing ion exchange'!B162</f>
        <v>315303.9496</v>
      </c>
      <c r="E13" s="2" t="s">
        <v>14</v>
      </c>
      <c r="F13" s="5">
        <f t="shared" ref="F13:G13" si="12">B13/10^6</f>
        <v>0.3530580368</v>
      </c>
      <c r="G13" s="5">
        <f t="shared" si="12"/>
        <v>0.3153039496</v>
      </c>
    </row>
    <row r="14">
      <c r="A14" s="1" t="s">
        <v>15</v>
      </c>
      <c r="B14" s="9">
        <f>'Sizing H-mordenite'!B172</f>
        <v>1214831.073</v>
      </c>
      <c r="C14" s="9">
        <f>'Sizing ion exchange'!B172</f>
        <v>65317.29664</v>
      </c>
      <c r="E14" s="2" t="s">
        <v>15</v>
      </c>
      <c r="F14" s="5">
        <f t="shared" ref="F14:G14" si="13">B14/10^6</f>
        <v>1.214831073</v>
      </c>
      <c r="G14" s="5">
        <f t="shared" si="13"/>
        <v>0.06531729664</v>
      </c>
    </row>
    <row r="15">
      <c r="A15" s="1" t="s">
        <v>16</v>
      </c>
      <c r="B15" s="4">
        <f>'Sizing H-mordenite'!B195</f>
        <v>1640938.419</v>
      </c>
      <c r="C15" s="4">
        <f>'Sizing ion exchange'!B195</f>
        <v>1404463.916</v>
      </c>
      <c r="E15" s="2" t="s">
        <v>16</v>
      </c>
      <c r="F15" s="5">
        <f t="shared" ref="F15:G15" si="14">B15/10^6</f>
        <v>1.640938419</v>
      </c>
      <c r="G15" s="5">
        <f t="shared" si="14"/>
        <v>1.404463916</v>
      </c>
    </row>
    <row r="16">
      <c r="A16" s="1" t="s">
        <v>17</v>
      </c>
      <c r="B16" s="4">
        <f>'Sizing H-mordenite'!B216</f>
        <v>961810.4352</v>
      </c>
      <c r="C16" s="4">
        <f>'Sizing ion exchange'!B216</f>
        <v>855060.6687</v>
      </c>
      <c r="E16" s="2" t="s">
        <v>17</v>
      </c>
      <c r="F16" s="5">
        <f t="shared" ref="F16:G16" si="15">B16/10^6</f>
        <v>0.9618104352</v>
      </c>
      <c r="G16" s="5">
        <f t="shared" si="15"/>
        <v>0.8550606687</v>
      </c>
    </row>
    <row r="17">
      <c r="A17" s="1" t="s">
        <v>18</v>
      </c>
      <c r="B17" s="4">
        <f>'Sizing H-mordenite'!B237</f>
        <v>642027.2135</v>
      </c>
      <c r="C17" s="4">
        <f>'Sizing ion exchange'!B237</f>
        <v>238574.7066</v>
      </c>
      <c r="E17" s="2" t="s">
        <v>18</v>
      </c>
      <c r="F17" s="5">
        <f t="shared" ref="F17:G17" si="16">B17/10^6</f>
        <v>0.6420272135</v>
      </c>
      <c r="G17" s="5">
        <f t="shared" si="16"/>
        <v>0.2385747066</v>
      </c>
    </row>
    <row r="18">
      <c r="B18" s="4">
        <f t="shared" ref="B18:C18" si="17">SUM(B2:B17)</f>
        <v>17652592.33</v>
      </c>
      <c r="C18" s="4">
        <f t="shared" si="17"/>
        <v>22379811.81</v>
      </c>
      <c r="E18" s="2" t="s">
        <v>19</v>
      </c>
      <c r="F18" s="5">
        <f t="shared" ref="F18:G18" si="18">B18/10^6</f>
        <v>17.65259233</v>
      </c>
      <c r="G18" s="5">
        <f t="shared" si="18"/>
        <v>22.37981181</v>
      </c>
    </row>
    <row r="20">
      <c r="B20" s="10" t="s">
        <v>2</v>
      </c>
    </row>
    <row r="21">
      <c r="A21" s="1" t="s">
        <v>3</v>
      </c>
      <c r="B21" s="4">
        <f>'Sizing H-mordenite'!B8</f>
        <v>154420</v>
      </c>
      <c r="C21" s="4">
        <f>'Sizing ion exchange'!B8</f>
        <v>333175.5</v>
      </c>
    </row>
    <row r="22">
      <c r="A22" s="1" t="s">
        <v>4</v>
      </c>
      <c r="B22" s="4">
        <f>'Sizing H-mordenite'!B23</f>
        <v>4200000</v>
      </c>
      <c r="C22" s="4">
        <f>'Sizing ion exchange'!B23</f>
        <v>4200000</v>
      </c>
    </row>
  </sheetData>
  <mergeCells count="1">
    <mergeCell ref="B20:C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17.63"/>
    <col customWidth="1" min="3" max="3" width="36.63"/>
    <col customWidth="1" min="4" max="4" width="25.38"/>
    <col customWidth="1" min="5" max="5" width="15.13"/>
    <col customWidth="1" min="6" max="6" width="26.13"/>
    <col customWidth="1" min="7" max="7" width="43.5"/>
  </cols>
  <sheetData>
    <row r="1" ht="15.75" customHeight="1">
      <c r="A1" s="11" t="s">
        <v>20</v>
      </c>
      <c r="B1" s="12"/>
      <c r="C1" s="13"/>
      <c r="D1" s="11" t="s">
        <v>21</v>
      </c>
      <c r="E1" s="12"/>
      <c r="F1" s="13"/>
      <c r="G1" s="14"/>
    </row>
    <row r="2" ht="15.75" customHeight="1">
      <c r="A2" s="15" t="s">
        <v>22</v>
      </c>
      <c r="B2" s="12"/>
      <c r="C2" s="12"/>
      <c r="D2" s="12"/>
      <c r="E2" s="12"/>
      <c r="F2" s="13"/>
      <c r="G2" s="16" t="s">
        <v>23</v>
      </c>
    </row>
    <row r="3" ht="15.75" customHeight="1">
      <c r="A3" s="17" t="s">
        <v>24</v>
      </c>
      <c r="B3" s="17" t="s">
        <v>25</v>
      </c>
      <c r="C3" s="17" t="s">
        <v>26</v>
      </c>
      <c r="D3" s="17" t="s">
        <v>24</v>
      </c>
      <c r="E3" s="17" t="s">
        <v>25</v>
      </c>
      <c r="F3" s="17" t="s">
        <v>26</v>
      </c>
    </row>
    <row r="4" ht="15.75" customHeight="1">
      <c r="A4" s="18" t="s">
        <v>27</v>
      </c>
      <c r="B4" s="19">
        <v>1850.0</v>
      </c>
      <c r="C4" s="18" t="s">
        <v>28</v>
      </c>
      <c r="D4" s="20"/>
      <c r="E4" s="21"/>
      <c r="F4" s="22"/>
    </row>
    <row r="5" ht="15.75" customHeight="1">
      <c r="A5" s="18" t="s">
        <v>29</v>
      </c>
      <c r="B5" s="23">
        <v>5.64</v>
      </c>
      <c r="C5" s="18" t="s">
        <v>30</v>
      </c>
      <c r="D5" s="24"/>
      <c r="E5" s="25"/>
      <c r="F5" s="26"/>
    </row>
    <row r="6" ht="15.75" customHeight="1">
      <c r="A6" s="18" t="s">
        <v>31</v>
      </c>
      <c r="B6" s="27">
        <f>0.0254/0.0254</f>
        <v>1</v>
      </c>
      <c r="C6" s="18" t="s">
        <v>32</v>
      </c>
      <c r="D6" s="24"/>
      <c r="E6" s="25"/>
      <c r="F6" s="26"/>
    </row>
    <row r="7" ht="15.75" customHeight="1">
      <c r="A7" s="18" t="s">
        <v>33</v>
      </c>
      <c r="B7" s="19">
        <v>2206.0</v>
      </c>
      <c r="C7" s="23" t="s">
        <v>34</v>
      </c>
      <c r="D7" s="24"/>
      <c r="E7" s="25"/>
      <c r="F7" s="26"/>
    </row>
    <row r="8" ht="15.75" customHeight="1">
      <c r="A8" s="28" t="s">
        <v>35</v>
      </c>
      <c r="B8" s="29">
        <f>B7*70</f>
        <v>154420</v>
      </c>
      <c r="C8" s="28" t="s">
        <v>36</v>
      </c>
      <c r="D8" s="24"/>
      <c r="E8" s="25"/>
      <c r="F8" s="26"/>
    </row>
    <row r="9" ht="15.75" customHeight="1">
      <c r="A9" s="18" t="s">
        <v>37</v>
      </c>
      <c r="B9" s="27">
        <f>2*PI()*B6*0.0254/2*B5*B4*(3.28084)^2</f>
        <v>8961.991428</v>
      </c>
      <c r="C9" s="18" t="s">
        <v>38</v>
      </c>
      <c r="D9" s="24"/>
      <c r="E9" s="25"/>
      <c r="F9" s="26"/>
    </row>
    <row r="10" ht="15.75" customHeight="1">
      <c r="A10" s="18" t="s">
        <v>39</v>
      </c>
      <c r="B10" s="27">
        <f>EXP(11.4185-0.9228*LN(B9)+0.09861*(LN(B9))^2)</f>
        <v>72226.77566</v>
      </c>
      <c r="C10" s="18" t="s">
        <v>36</v>
      </c>
      <c r="D10" s="24"/>
      <c r="E10" s="25"/>
      <c r="F10" s="26"/>
    </row>
    <row r="11" ht="15.75" customHeight="1">
      <c r="A11" s="18" t="s">
        <v>40</v>
      </c>
      <c r="B11" s="18">
        <v>3.17</v>
      </c>
      <c r="C11" s="18" t="s">
        <v>41</v>
      </c>
      <c r="D11" s="24"/>
      <c r="E11" s="25"/>
      <c r="F11" s="26"/>
    </row>
    <row r="12" ht="15.75" customHeight="1">
      <c r="A12" s="18" t="s">
        <v>42</v>
      </c>
      <c r="B12" s="18">
        <f>24*14.5038</f>
        <v>348.0912</v>
      </c>
      <c r="C12" s="18" t="s">
        <v>43</v>
      </c>
      <c r="D12" s="24"/>
      <c r="E12" s="25"/>
      <c r="F12" s="26"/>
      <c r="G12" s="14">
        <f>B7*70</f>
        <v>154420</v>
      </c>
    </row>
    <row r="13" ht="15.75" customHeight="1">
      <c r="A13" s="18" t="s">
        <v>44</v>
      </c>
      <c r="B13" s="18">
        <f>0.9803+0.018*(B12/100)+0.0017*(B12/100)^2</f>
        <v>1.063554888</v>
      </c>
      <c r="C13" s="30" t="s">
        <v>45</v>
      </c>
      <c r="D13" s="24"/>
      <c r="E13" s="25"/>
      <c r="F13" s="26"/>
      <c r="G13" s="14"/>
    </row>
    <row r="14" ht="15.75" customHeight="1">
      <c r="A14" s="18" t="s">
        <v>46</v>
      </c>
      <c r="B14" s="18">
        <v>1.0</v>
      </c>
      <c r="C14" s="31"/>
      <c r="D14" s="24"/>
      <c r="E14" s="25"/>
      <c r="F14" s="26"/>
      <c r="G14" s="14"/>
    </row>
    <row r="15" ht="15.75" customHeight="1">
      <c r="A15" s="18" t="s">
        <v>47</v>
      </c>
      <c r="B15" s="18">
        <v>1.0</v>
      </c>
      <c r="C15" s="32"/>
      <c r="D15" s="24"/>
      <c r="E15" s="25"/>
      <c r="F15" s="26"/>
      <c r="G15" s="14"/>
    </row>
    <row r="16" ht="15.75" customHeight="1">
      <c r="A16" s="28" t="s">
        <v>48</v>
      </c>
      <c r="B16" s="33">
        <f>B11*B13*B14*B15*B10</f>
        <v>243510.3348</v>
      </c>
      <c r="C16" s="28" t="s">
        <v>36</v>
      </c>
      <c r="D16" s="24"/>
      <c r="E16" s="25"/>
      <c r="F16" s="26"/>
      <c r="G16" s="14"/>
    </row>
    <row r="17" ht="15.75" customHeight="1">
      <c r="A17" s="15" t="s">
        <v>49</v>
      </c>
      <c r="B17" s="12"/>
      <c r="C17" s="12"/>
      <c r="D17" s="12"/>
      <c r="E17" s="12"/>
      <c r="F17" s="13"/>
      <c r="G17" s="14"/>
    </row>
    <row r="18" ht="15.75" customHeight="1">
      <c r="A18" s="17" t="s">
        <v>24</v>
      </c>
      <c r="B18" s="17" t="s">
        <v>25</v>
      </c>
      <c r="C18" s="17" t="s">
        <v>26</v>
      </c>
      <c r="D18" s="17" t="s">
        <v>24</v>
      </c>
      <c r="E18" s="17" t="s">
        <v>25</v>
      </c>
      <c r="F18" s="17" t="s">
        <v>26</v>
      </c>
      <c r="G18" s="14"/>
    </row>
    <row r="19" ht="15.75" customHeight="1">
      <c r="A19" s="18" t="s">
        <v>27</v>
      </c>
      <c r="B19" s="19">
        <v>15400.0</v>
      </c>
      <c r="C19" s="18" t="s">
        <v>28</v>
      </c>
      <c r="D19" s="20"/>
      <c r="E19" s="21"/>
      <c r="F19" s="22"/>
      <c r="G19" s="14"/>
    </row>
    <row r="20" ht="15.75" customHeight="1">
      <c r="A20" s="18" t="s">
        <v>29</v>
      </c>
      <c r="B20" s="23">
        <f>53.75/3.28084</f>
        <v>16.38299948</v>
      </c>
      <c r="C20" s="18" t="s">
        <v>30</v>
      </c>
      <c r="D20" s="24"/>
      <c r="E20" s="25"/>
      <c r="F20" s="26"/>
      <c r="G20" s="14"/>
    </row>
    <row r="21" ht="15.75" customHeight="1">
      <c r="A21" s="18" t="s">
        <v>31</v>
      </c>
      <c r="B21" s="27">
        <f>0.0254/0.0254</f>
        <v>1</v>
      </c>
      <c r="C21" s="18" t="s">
        <v>32</v>
      </c>
      <c r="D21" s="24"/>
      <c r="E21" s="25"/>
      <c r="F21" s="26"/>
      <c r="G21" s="14"/>
    </row>
    <row r="22" ht="15.75" customHeight="1">
      <c r="A22" s="18" t="s">
        <v>33</v>
      </c>
      <c r="B22" s="19">
        <v>60000.0</v>
      </c>
      <c r="C22" s="23" t="s">
        <v>34</v>
      </c>
      <c r="D22" s="24"/>
      <c r="E22" s="25"/>
      <c r="F22" s="26"/>
      <c r="G22" s="14"/>
    </row>
    <row r="23" ht="15.75" customHeight="1">
      <c r="A23" s="28" t="s">
        <v>35</v>
      </c>
      <c r="B23" s="29">
        <f>B22*70</f>
        <v>4200000</v>
      </c>
      <c r="C23" s="28" t="s">
        <v>36</v>
      </c>
      <c r="D23" s="24"/>
      <c r="E23" s="25"/>
      <c r="F23" s="26"/>
      <c r="G23" s="14"/>
    </row>
    <row r="24" ht="15.75" customHeight="1">
      <c r="A24" s="18" t="s">
        <v>37</v>
      </c>
      <c r="B24" s="27">
        <f>2*PI()*B21*0.0254/2*B20*B19*(3.28084)^2</f>
        <v>216704.4502</v>
      </c>
      <c r="C24" s="18" t="s">
        <v>38</v>
      </c>
      <c r="D24" s="24"/>
      <c r="E24" s="25"/>
      <c r="F24" s="26"/>
      <c r="G24" s="14"/>
    </row>
    <row r="25" ht="15.75" customHeight="1">
      <c r="A25" s="18" t="s">
        <v>39</v>
      </c>
      <c r="B25" s="27">
        <f>EXP(11.4185-0.9228*LN(B24)+0.09861*(LN(B24))^2)</f>
        <v>3160304.078</v>
      </c>
      <c r="C25" s="18" t="s">
        <v>36</v>
      </c>
      <c r="D25" s="24"/>
      <c r="E25" s="25"/>
      <c r="F25" s="26"/>
      <c r="G25" s="14"/>
    </row>
    <row r="26" ht="15.75" customHeight="1">
      <c r="A26" s="18" t="s">
        <v>40</v>
      </c>
      <c r="B26" s="18">
        <v>3.17</v>
      </c>
      <c r="C26" s="18" t="s">
        <v>41</v>
      </c>
      <c r="D26" s="24"/>
      <c r="E26" s="25"/>
      <c r="F26" s="26"/>
      <c r="G26" s="14"/>
    </row>
    <row r="27" ht="15.75" customHeight="1">
      <c r="A27" s="18" t="s">
        <v>42</v>
      </c>
      <c r="B27" s="18">
        <f>15*14.5038</f>
        <v>217.557</v>
      </c>
      <c r="C27" s="23" t="s">
        <v>50</v>
      </c>
      <c r="D27" s="24"/>
      <c r="E27" s="25"/>
      <c r="F27" s="26"/>
      <c r="G27" s="14"/>
    </row>
    <row r="28" ht="15.75" customHeight="1">
      <c r="A28" s="18" t="s">
        <v>44</v>
      </c>
      <c r="B28" s="18">
        <f>0.9803+0.018*(B27/100)+0.0017*(B27/100)^2</f>
        <v>1.027506538</v>
      </c>
      <c r="C28" s="30" t="s">
        <v>45</v>
      </c>
      <c r="D28" s="24"/>
      <c r="E28" s="25"/>
      <c r="F28" s="26"/>
      <c r="G28" s="14"/>
    </row>
    <row r="29" ht="15.75" customHeight="1">
      <c r="A29" s="18" t="s">
        <v>46</v>
      </c>
      <c r="B29" s="18">
        <v>1.0</v>
      </c>
      <c r="C29" s="31"/>
      <c r="D29" s="24"/>
      <c r="E29" s="25"/>
      <c r="F29" s="26"/>
      <c r="G29" s="14"/>
    </row>
    <row r="30" ht="15.75" customHeight="1">
      <c r="A30" s="18" t="s">
        <v>47</v>
      </c>
      <c r="B30" s="18">
        <v>1.0</v>
      </c>
      <c r="C30" s="32"/>
      <c r="D30" s="24"/>
      <c r="E30" s="25"/>
      <c r="F30" s="26"/>
      <c r="G30" s="14"/>
    </row>
    <row r="31" ht="15.75" customHeight="1">
      <c r="A31" s="28" t="s">
        <v>48</v>
      </c>
      <c r="B31" s="33">
        <f>B26*B28*B29*B30*B25</f>
        <v>10293728.93</v>
      </c>
      <c r="C31" s="28" t="s">
        <v>36</v>
      </c>
      <c r="D31" s="24"/>
      <c r="E31" s="25"/>
      <c r="F31" s="26"/>
      <c r="G31" s="14"/>
    </row>
    <row r="32" ht="15.75" customHeight="1">
      <c r="A32" s="15" t="s">
        <v>51</v>
      </c>
      <c r="B32" s="12"/>
      <c r="C32" s="12"/>
      <c r="D32" s="12"/>
      <c r="E32" s="12"/>
      <c r="F32" s="13"/>
      <c r="G32" s="14"/>
    </row>
    <row r="33" ht="15.75" customHeight="1">
      <c r="A33" s="34" t="s">
        <v>24</v>
      </c>
      <c r="B33" s="34" t="s">
        <v>25</v>
      </c>
      <c r="C33" s="34" t="s">
        <v>26</v>
      </c>
      <c r="D33" s="34" t="s">
        <v>24</v>
      </c>
      <c r="E33" s="34" t="s">
        <v>25</v>
      </c>
      <c r="F33" s="34" t="s">
        <v>26</v>
      </c>
      <c r="G33" s="14"/>
    </row>
    <row r="34" ht="15.75" customHeight="1">
      <c r="A34" s="18" t="s">
        <v>52</v>
      </c>
      <c r="B34" s="23">
        <v>8.51002</v>
      </c>
      <c r="C34" s="18" t="s">
        <v>53</v>
      </c>
      <c r="D34" s="35"/>
      <c r="E34" s="36"/>
      <c r="F34" s="37"/>
      <c r="G34" s="14"/>
    </row>
    <row r="35" ht="15.75" customHeight="1">
      <c r="A35" s="18" t="s">
        <v>52</v>
      </c>
      <c r="B35" s="27">
        <f>B34*3968320.722</f>
        <v>33770488.71</v>
      </c>
      <c r="C35" s="18" t="s">
        <v>54</v>
      </c>
      <c r="D35" s="38"/>
      <c r="F35" s="39"/>
      <c r="G35" s="14"/>
    </row>
    <row r="36" ht="15.75" customHeight="1">
      <c r="A36" s="18" t="s">
        <v>55</v>
      </c>
      <c r="B36" s="18">
        <v>10000.0</v>
      </c>
      <c r="C36" s="18" t="s">
        <v>56</v>
      </c>
      <c r="D36" s="38"/>
      <c r="F36" s="39"/>
      <c r="G36" s="14"/>
    </row>
    <row r="37" ht="15.75" customHeight="1">
      <c r="A37" s="18" t="s">
        <v>37</v>
      </c>
      <c r="B37" s="18">
        <f>B35/B36</f>
        <v>3377.048871</v>
      </c>
      <c r="C37" s="18" t="s">
        <v>57</v>
      </c>
      <c r="D37" s="38"/>
      <c r="F37" s="39"/>
      <c r="G37" s="14"/>
    </row>
    <row r="38" ht="15.75" customHeight="1">
      <c r="A38" s="18" t="s">
        <v>39</v>
      </c>
      <c r="B38" s="27">
        <f>EXP(11.4185-0.9228*LN(B37)+0.09861*(LN(B37))^2)</f>
        <v>33873.42205</v>
      </c>
      <c r="C38" s="18" t="s">
        <v>36</v>
      </c>
      <c r="D38" s="38"/>
      <c r="F38" s="39"/>
      <c r="G38" s="14"/>
    </row>
    <row r="39" ht="15.75" customHeight="1">
      <c r="A39" s="18" t="s">
        <v>40</v>
      </c>
      <c r="B39" s="18">
        <v>2.15</v>
      </c>
      <c r="C39" s="18" t="s">
        <v>58</v>
      </c>
      <c r="D39" s="38"/>
      <c r="F39" s="39"/>
      <c r="G39" s="14"/>
    </row>
    <row r="40" ht="15.75" customHeight="1">
      <c r="A40" s="18" t="s">
        <v>42</v>
      </c>
      <c r="B40" s="18">
        <f>7*14.5038</f>
        <v>101.5266</v>
      </c>
      <c r="C40" s="18" t="s">
        <v>43</v>
      </c>
      <c r="D40" s="38"/>
      <c r="F40" s="39"/>
      <c r="G40" s="14"/>
    </row>
    <row r="41" ht="15.75" customHeight="1">
      <c r="A41" s="18" t="s">
        <v>44</v>
      </c>
      <c r="B41" s="18">
        <f>0.9803+0.018*(B40/100)+0.0017*(B40/100)^2</f>
        <v>1.000327089</v>
      </c>
      <c r="C41" s="30" t="s">
        <v>45</v>
      </c>
      <c r="D41" s="38"/>
      <c r="F41" s="39"/>
      <c r="G41" s="14"/>
    </row>
    <row r="42" ht="15.75" customHeight="1">
      <c r="A42" s="18" t="s">
        <v>46</v>
      </c>
      <c r="B42" s="18">
        <v>1.0</v>
      </c>
      <c r="C42" s="31"/>
      <c r="D42" s="38"/>
      <c r="F42" s="39"/>
      <c r="G42" s="14"/>
    </row>
    <row r="43" ht="15.75" customHeight="1">
      <c r="A43" s="18" t="s">
        <v>47</v>
      </c>
      <c r="B43" s="18">
        <v>1.0</v>
      </c>
      <c r="C43" s="32"/>
      <c r="D43" s="38"/>
      <c r="F43" s="39"/>
      <c r="G43" s="14"/>
    </row>
    <row r="44" ht="15.75" customHeight="1">
      <c r="A44" s="28" t="s">
        <v>48</v>
      </c>
      <c r="B44" s="33">
        <f>B43*B42*B41*B39*B38</f>
        <v>72851.67857</v>
      </c>
      <c r="C44" s="28" t="s">
        <v>36</v>
      </c>
      <c r="D44" s="40"/>
      <c r="E44" s="41"/>
      <c r="F44" s="42"/>
      <c r="G44" s="14"/>
    </row>
    <row r="45" ht="15.75" customHeight="1">
      <c r="A45" s="15" t="s">
        <v>59</v>
      </c>
      <c r="B45" s="12"/>
      <c r="C45" s="12"/>
      <c r="D45" s="12"/>
      <c r="E45" s="12"/>
      <c r="F45" s="13"/>
      <c r="G45" s="14"/>
    </row>
    <row r="46" ht="15.75" customHeight="1">
      <c r="A46" s="34" t="s">
        <v>24</v>
      </c>
      <c r="B46" s="34" t="s">
        <v>25</v>
      </c>
      <c r="C46" s="34" t="s">
        <v>26</v>
      </c>
      <c r="D46" s="34" t="s">
        <v>24</v>
      </c>
      <c r="E46" s="34" t="s">
        <v>25</v>
      </c>
      <c r="F46" s="34" t="s">
        <v>26</v>
      </c>
      <c r="G46" s="14"/>
    </row>
    <row r="47" ht="15.75" customHeight="1">
      <c r="A47" s="18" t="s">
        <v>52</v>
      </c>
      <c r="B47" s="23">
        <v>-9.93835</v>
      </c>
      <c r="C47" s="18" t="s">
        <v>53</v>
      </c>
      <c r="D47" s="35"/>
      <c r="E47" s="36"/>
      <c r="F47" s="37"/>
      <c r="G47" s="14"/>
    </row>
    <row r="48" ht="15.75" customHeight="1">
      <c r="A48" s="18" t="s">
        <v>52</v>
      </c>
      <c r="B48" s="27">
        <f>ABS(B47*3968320.722)</f>
        <v>39438560.25</v>
      </c>
      <c r="C48" s="18" t="s">
        <v>54</v>
      </c>
      <c r="D48" s="38"/>
      <c r="F48" s="39"/>
      <c r="G48" s="14"/>
    </row>
    <row r="49" ht="15.75" customHeight="1">
      <c r="A49" s="18" t="s">
        <v>55</v>
      </c>
      <c r="B49" s="18">
        <v>10000.0</v>
      </c>
      <c r="C49" s="18" t="s">
        <v>56</v>
      </c>
      <c r="D49" s="38"/>
      <c r="F49" s="39"/>
      <c r="G49" s="14"/>
    </row>
    <row r="50" ht="15.75" customHeight="1">
      <c r="A50" s="18" t="s">
        <v>37</v>
      </c>
      <c r="B50" s="18">
        <f>B48/B49</f>
        <v>3943.856025</v>
      </c>
      <c r="C50" s="18" t="s">
        <v>57</v>
      </c>
      <c r="D50" s="38"/>
      <c r="F50" s="39"/>
      <c r="G50" s="14"/>
    </row>
    <row r="51" ht="15.75" customHeight="1">
      <c r="A51" s="18" t="s">
        <v>39</v>
      </c>
      <c r="B51" s="18">
        <f>EXP(11.4185-0.9228*LN(B50)+0.09861*(LN(B50))^2)</f>
        <v>37729.55047</v>
      </c>
      <c r="C51" s="18" t="s">
        <v>36</v>
      </c>
      <c r="D51" s="38"/>
      <c r="F51" s="39"/>
      <c r="G51" s="14"/>
    </row>
    <row r="52" ht="15.75" customHeight="1">
      <c r="A52" s="18" t="s">
        <v>40</v>
      </c>
      <c r="B52" s="18">
        <v>2.15</v>
      </c>
      <c r="C52" s="18" t="s">
        <v>58</v>
      </c>
      <c r="D52" s="38"/>
      <c r="F52" s="39"/>
      <c r="G52" s="14"/>
    </row>
    <row r="53" ht="15.75" customHeight="1">
      <c r="A53" s="18" t="s">
        <v>42</v>
      </c>
      <c r="B53" s="18">
        <f>7*14.5038</f>
        <v>101.5266</v>
      </c>
      <c r="C53" s="18" t="s">
        <v>43</v>
      </c>
      <c r="D53" s="38"/>
      <c r="F53" s="39"/>
      <c r="G53" s="14"/>
    </row>
    <row r="54" ht="15.75" customHeight="1">
      <c r="A54" s="18" t="s">
        <v>44</v>
      </c>
      <c r="B54" s="18">
        <f>0.9803+0.018*(B53/100)+0.0017*(B53/100)^2</f>
        <v>1.000327089</v>
      </c>
      <c r="C54" s="30" t="s">
        <v>45</v>
      </c>
      <c r="D54" s="38"/>
      <c r="F54" s="39"/>
      <c r="G54" s="14"/>
    </row>
    <row r="55" ht="15.75" customHeight="1">
      <c r="A55" s="18" t="s">
        <v>46</v>
      </c>
      <c r="B55" s="18">
        <v>1.0</v>
      </c>
      <c r="C55" s="31"/>
      <c r="D55" s="38"/>
      <c r="F55" s="39"/>
      <c r="G55" s="14"/>
    </row>
    <row r="56" ht="15.75" customHeight="1">
      <c r="A56" s="18" t="s">
        <v>47</v>
      </c>
      <c r="B56" s="18">
        <v>1.0</v>
      </c>
      <c r="C56" s="32"/>
      <c r="D56" s="38"/>
      <c r="F56" s="39"/>
      <c r="G56" s="14"/>
    </row>
    <row r="57" ht="15.75" customHeight="1">
      <c r="A57" s="28" t="s">
        <v>48</v>
      </c>
      <c r="B57" s="33">
        <f>B56*B55*B54*B52*B51</f>
        <v>81145.06645</v>
      </c>
      <c r="C57" s="28" t="s">
        <v>36</v>
      </c>
      <c r="D57" s="40"/>
      <c r="E57" s="41"/>
      <c r="F57" s="42"/>
      <c r="G57" s="14"/>
    </row>
    <row r="58" ht="15.75" customHeight="1">
      <c r="A58" s="15" t="s">
        <v>60</v>
      </c>
      <c r="B58" s="12"/>
      <c r="C58" s="12"/>
      <c r="D58" s="12"/>
      <c r="E58" s="12"/>
      <c r="F58" s="13"/>
      <c r="G58" s="14"/>
    </row>
    <row r="59" ht="15.75" customHeight="1">
      <c r="A59" s="34" t="s">
        <v>24</v>
      </c>
      <c r="B59" s="34" t="s">
        <v>25</v>
      </c>
      <c r="C59" s="34" t="s">
        <v>26</v>
      </c>
      <c r="D59" s="34" t="s">
        <v>24</v>
      </c>
      <c r="E59" s="34" t="s">
        <v>25</v>
      </c>
      <c r="F59" s="34" t="s">
        <v>26</v>
      </c>
      <c r="G59" s="14"/>
    </row>
    <row r="60" ht="15.75" customHeight="1">
      <c r="A60" s="18" t="s">
        <v>52</v>
      </c>
      <c r="B60" s="23">
        <v>3.01806</v>
      </c>
      <c r="C60" s="18" t="s">
        <v>53</v>
      </c>
      <c r="D60" s="35"/>
      <c r="E60" s="36"/>
      <c r="F60" s="37"/>
      <c r="G60" s="14"/>
    </row>
    <row r="61" ht="15.75" customHeight="1">
      <c r="A61" s="18" t="s">
        <v>52</v>
      </c>
      <c r="B61" s="27">
        <f>B60*3968320.722</f>
        <v>11976630.04</v>
      </c>
      <c r="C61" s="18" t="s">
        <v>54</v>
      </c>
      <c r="D61" s="38"/>
      <c r="F61" s="39"/>
      <c r="G61" s="14"/>
    </row>
    <row r="62" ht="15.75" customHeight="1">
      <c r="A62" s="18" t="s">
        <v>55</v>
      </c>
      <c r="B62" s="18">
        <v>10000.0</v>
      </c>
      <c r="C62" s="18" t="s">
        <v>56</v>
      </c>
      <c r="D62" s="38"/>
      <c r="F62" s="39"/>
      <c r="G62" s="14"/>
    </row>
    <row r="63" ht="15.75" customHeight="1">
      <c r="A63" s="18" t="s">
        <v>37</v>
      </c>
      <c r="B63" s="18">
        <f>B61/B62</f>
        <v>1197.663004</v>
      </c>
      <c r="C63" s="18" t="s">
        <v>57</v>
      </c>
      <c r="D63" s="38"/>
      <c r="F63" s="39"/>
      <c r="G63" s="14"/>
    </row>
    <row r="64" ht="15.75" customHeight="1">
      <c r="A64" s="18" t="s">
        <v>39</v>
      </c>
      <c r="B64" s="27">
        <f>EXP(11.4185-0.9228*LN(B63)+0.09861*(LN(B63))^2)</f>
        <v>18618.20796</v>
      </c>
      <c r="C64" s="18" t="s">
        <v>36</v>
      </c>
      <c r="D64" s="38"/>
      <c r="F64" s="39"/>
      <c r="G64" s="14"/>
    </row>
    <row r="65" ht="15.75" customHeight="1">
      <c r="A65" s="18" t="s">
        <v>40</v>
      </c>
      <c r="B65" s="18">
        <v>2.15</v>
      </c>
      <c r="C65" s="18" t="s">
        <v>58</v>
      </c>
      <c r="D65" s="38"/>
      <c r="F65" s="39"/>
      <c r="G65" s="14"/>
    </row>
    <row r="66" ht="15.75" customHeight="1">
      <c r="A66" s="18" t="s">
        <v>42</v>
      </c>
      <c r="B66" s="18">
        <f>3*14.5038</f>
        <v>43.5114</v>
      </c>
      <c r="C66" s="18" t="s">
        <v>43</v>
      </c>
      <c r="D66" s="38"/>
      <c r="F66" s="39"/>
      <c r="G66" s="14"/>
    </row>
    <row r="67" ht="15.75" customHeight="1">
      <c r="A67" s="18" t="s">
        <v>44</v>
      </c>
      <c r="B67" s="18">
        <f>0.9803+0.018*(B66/100)+0.0017*(B66/100)^2</f>
        <v>0.9884539031</v>
      </c>
      <c r="C67" s="30" t="s">
        <v>45</v>
      </c>
      <c r="D67" s="38"/>
      <c r="F67" s="39"/>
      <c r="G67" s="14"/>
    </row>
    <row r="68" ht="15.75" customHeight="1">
      <c r="A68" s="18" t="s">
        <v>46</v>
      </c>
      <c r="B68" s="18">
        <v>1.0</v>
      </c>
      <c r="C68" s="31"/>
      <c r="D68" s="38"/>
      <c r="F68" s="39"/>
      <c r="G68" s="14"/>
    </row>
    <row r="69" ht="15.75" customHeight="1">
      <c r="A69" s="18" t="s">
        <v>47</v>
      </c>
      <c r="B69" s="18">
        <v>1.0</v>
      </c>
      <c r="C69" s="32"/>
      <c r="D69" s="38"/>
      <c r="F69" s="39"/>
      <c r="G69" s="14"/>
    </row>
    <row r="70" ht="15.75" customHeight="1">
      <c r="A70" s="28" t="s">
        <v>48</v>
      </c>
      <c r="B70" s="33">
        <f>B69*B68*B67*B65*B64</f>
        <v>39566.96671</v>
      </c>
      <c r="C70" s="28" t="s">
        <v>36</v>
      </c>
      <c r="D70" s="40"/>
      <c r="E70" s="41"/>
      <c r="F70" s="42"/>
      <c r="G70" s="14"/>
    </row>
    <row r="71" ht="15.75" customHeight="1">
      <c r="A71" s="15" t="s">
        <v>61</v>
      </c>
      <c r="B71" s="12"/>
      <c r="C71" s="12"/>
      <c r="D71" s="12"/>
      <c r="E71" s="12"/>
      <c r="F71" s="13"/>
      <c r="G71" s="14"/>
    </row>
    <row r="72" ht="15.75" customHeight="1">
      <c r="A72" s="34" t="s">
        <v>24</v>
      </c>
      <c r="B72" s="34" t="s">
        <v>25</v>
      </c>
      <c r="C72" s="34" t="s">
        <v>26</v>
      </c>
      <c r="D72" s="34" t="s">
        <v>24</v>
      </c>
      <c r="E72" s="34" t="s">
        <v>25</v>
      </c>
      <c r="F72" s="34" t="s">
        <v>26</v>
      </c>
      <c r="G72" s="14"/>
    </row>
    <row r="73" ht="15.75" customHeight="1">
      <c r="A73" s="18" t="s">
        <v>52</v>
      </c>
      <c r="B73" s="23">
        <v>-2.79766</v>
      </c>
      <c r="C73" s="18" t="s">
        <v>53</v>
      </c>
      <c r="D73" s="35"/>
      <c r="E73" s="36"/>
      <c r="F73" s="37"/>
      <c r="G73" s="14"/>
    </row>
    <row r="74" ht="15.75" customHeight="1">
      <c r="A74" s="18" t="s">
        <v>52</v>
      </c>
      <c r="B74" s="27">
        <f>ABS(B73*3968320.722)</f>
        <v>11102012.15</v>
      </c>
      <c r="C74" s="18" t="s">
        <v>54</v>
      </c>
      <c r="D74" s="38"/>
      <c r="F74" s="39"/>
      <c r="G74" s="14"/>
    </row>
    <row r="75" ht="15.75" customHeight="1">
      <c r="A75" s="18" t="s">
        <v>55</v>
      </c>
      <c r="B75" s="18">
        <v>10000.0</v>
      </c>
      <c r="C75" s="18" t="s">
        <v>56</v>
      </c>
      <c r="D75" s="38"/>
      <c r="F75" s="39"/>
      <c r="G75" s="14"/>
    </row>
    <row r="76" ht="15.75" customHeight="1">
      <c r="A76" s="18" t="s">
        <v>37</v>
      </c>
      <c r="B76" s="18">
        <f>B74/B75</f>
        <v>1110.201215</v>
      </c>
      <c r="C76" s="18" t="s">
        <v>57</v>
      </c>
      <c r="D76" s="38"/>
      <c r="F76" s="39"/>
      <c r="G76" s="14"/>
    </row>
    <row r="77" ht="15.75" customHeight="1">
      <c r="A77" s="18" t="s">
        <v>39</v>
      </c>
      <c r="B77" s="18">
        <f>EXP(11.4185-0.9228*LN(B76)+0.09861*(LN(B76))^2)</f>
        <v>17969.54275</v>
      </c>
      <c r="C77" s="18" t="s">
        <v>36</v>
      </c>
      <c r="D77" s="38"/>
      <c r="F77" s="39"/>
      <c r="G77" s="14"/>
    </row>
    <row r="78" ht="15.75" customHeight="1">
      <c r="A78" s="18" t="s">
        <v>40</v>
      </c>
      <c r="B78" s="18">
        <v>2.15</v>
      </c>
      <c r="C78" s="18" t="s">
        <v>58</v>
      </c>
      <c r="D78" s="38"/>
      <c r="F78" s="39"/>
      <c r="G78" s="14"/>
    </row>
    <row r="79" ht="15.75" customHeight="1">
      <c r="A79" s="18" t="s">
        <v>42</v>
      </c>
      <c r="B79" s="18">
        <f>3*14.5038</f>
        <v>43.5114</v>
      </c>
      <c r="C79" s="18" t="s">
        <v>43</v>
      </c>
      <c r="D79" s="38"/>
      <c r="F79" s="39"/>
      <c r="G79" s="14"/>
    </row>
    <row r="80" ht="15.75" customHeight="1">
      <c r="A80" s="18" t="s">
        <v>44</v>
      </c>
      <c r="B80" s="18">
        <f>0.9803+0.018*(B79/100)+0.0017*(B79/100)^2</f>
        <v>0.9884539031</v>
      </c>
      <c r="C80" s="30" t="s">
        <v>45</v>
      </c>
      <c r="D80" s="38"/>
      <c r="F80" s="39"/>
      <c r="G80" s="14"/>
    </row>
    <row r="81" ht="15.75" customHeight="1">
      <c r="A81" s="18" t="s">
        <v>46</v>
      </c>
      <c r="B81" s="18">
        <v>1.0</v>
      </c>
      <c r="C81" s="31"/>
      <c r="D81" s="38"/>
      <c r="F81" s="39"/>
      <c r="G81" s="14"/>
    </row>
    <row r="82" ht="15.75" customHeight="1">
      <c r="A82" s="18" t="s">
        <v>47</v>
      </c>
      <c r="B82" s="18">
        <v>1.0</v>
      </c>
      <c r="C82" s="32"/>
      <c r="D82" s="38"/>
      <c r="F82" s="39"/>
      <c r="G82" s="14"/>
    </row>
    <row r="83" ht="15.75" customHeight="1">
      <c r="A83" s="28" t="s">
        <v>48</v>
      </c>
      <c r="B83" s="33">
        <f>B82*B81*B80*B78*B77</f>
        <v>38188.43904</v>
      </c>
      <c r="C83" s="28" t="s">
        <v>36</v>
      </c>
      <c r="D83" s="40"/>
      <c r="E83" s="41"/>
      <c r="F83" s="42"/>
      <c r="G83" s="14"/>
    </row>
    <row r="84" ht="15.75" customHeight="1">
      <c r="A84" s="15" t="s">
        <v>62</v>
      </c>
      <c r="B84" s="12"/>
      <c r="C84" s="12"/>
      <c r="D84" s="12"/>
      <c r="E84" s="12"/>
      <c r="F84" s="13"/>
      <c r="G84" s="14"/>
    </row>
    <row r="85" ht="15.75" customHeight="1">
      <c r="A85" s="34" t="s">
        <v>24</v>
      </c>
      <c r="B85" s="34" t="s">
        <v>25</v>
      </c>
      <c r="C85" s="34" t="s">
        <v>26</v>
      </c>
      <c r="D85" s="34" t="s">
        <v>24</v>
      </c>
      <c r="E85" s="34" t="s">
        <v>25</v>
      </c>
      <c r="F85" s="34" t="s">
        <v>26</v>
      </c>
      <c r="G85" s="14"/>
    </row>
    <row r="86" ht="15.75" customHeight="1">
      <c r="A86" s="18" t="s">
        <v>52</v>
      </c>
      <c r="B86" s="23">
        <v>2.79262</v>
      </c>
      <c r="C86" s="18" t="s">
        <v>53</v>
      </c>
      <c r="D86" s="35"/>
      <c r="E86" s="36"/>
      <c r="F86" s="37"/>
      <c r="G86" s="14"/>
    </row>
    <row r="87" ht="15.75" customHeight="1">
      <c r="A87" s="18" t="s">
        <v>52</v>
      </c>
      <c r="B87" s="27">
        <f>B86*3968320.722</f>
        <v>11082011.81</v>
      </c>
      <c r="C87" s="18" t="s">
        <v>54</v>
      </c>
      <c r="D87" s="38"/>
      <c r="F87" s="39"/>
      <c r="G87" s="14"/>
    </row>
    <row r="88" ht="15.75" customHeight="1">
      <c r="A88" s="18" t="s">
        <v>55</v>
      </c>
      <c r="B88" s="18">
        <v>10000.0</v>
      </c>
      <c r="C88" s="18" t="s">
        <v>56</v>
      </c>
      <c r="D88" s="38"/>
      <c r="F88" s="39"/>
      <c r="G88" s="14"/>
    </row>
    <row r="89" ht="15.75" customHeight="1">
      <c r="A89" s="18" t="s">
        <v>37</v>
      </c>
      <c r="B89" s="18">
        <f>B87/B88</f>
        <v>1108.201181</v>
      </c>
      <c r="C89" s="18" t="s">
        <v>57</v>
      </c>
      <c r="D89" s="38"/>
      <c r="F89" s="39"/>
      <c r="G89" s="14"/>
    </row>
    <row r="90" ht="15.75" customHeight="1">
      <c r="A90" s="18" t="s">
        <v>39</v>
      </c>
      <c r="B90" s="27">
        <f>EXP(11.4185-0.9228*LN(B89)+0.09861*(LN(B89))^2)</f>
        <v>17954.64469</v>
      </c>
      <c r="C90" s="18" t="s">
        <v>36</v>
      </c>
      <c r="D90" s="38"/>
      <c r="F90" s="39"/>
      <c r="G90" s="14"/>
    </row>
    <row r="91" ht="15.75" customHeight="1">
      <c r="A91" s="18" t="s">
        <v>40</v>
      </c>
      <c r="B91" s="18">
        <v>2.15</v>
      </c>
      <c r="C91" s="18" t="s">
        <v>58</v>
      </c>
      <c r="D91" s="38"/>
      <c r="F91" s="39"/>
      <c r="G91" s="14"/>
    </row>
    <row r="92" ht="15.75" customHeight="1">
      <c r="A92" s="18" t="s">
        <v>42</v>
      </c>
      <c r="B92" s="18">
        <f>20*14.5038</f>
        <v>290.076</v>
      </c>
      <c r="C92" s="18" t="s">
        <v>43</v>
      </c>
      <c r="D92" s="38"/>
      <c r="F92" s="39"/>
      <c r="G92" s="14"/>
    </row>
    <row r="93" ht="15.75" customHeight="1">
      <c r="A93" s="18" t="s">
        <v>44</v>
      </c>
      <c r="B93" s="18">
        <f>0.9803+0.018*(B92/100)+0.0017*(B92/100)^2</f>
        <v>1.046818175</v>
      </c>
      <c r="C93" s="30" t="s">
        <v>45</v>
      </c>
      <c r="D93" s="38"/>
      <c r="F93" s="39"/>
      <c r="G93" s="14"/>
    </row>
    <row r="94" ht="15.75" customHeight="1">
      <c r="A94" s="18" t="s">
        <v>46</v>
      </c>
      <c r="B94" s="18">
        <v>1.0</v>
      </c>
      <c r="C94" s="31"/>
      <c r="D94" s="38"/>
      <c r="F94" s="39"/>
      <c r="G94" s="14"/>
    </row>
    <row r="95" ht="15.75" customHeight="1">
      <c r="A95" s="18" t="s">
        <v>47</v>
      </c>
      <c r="B95" s="18">
        <v>1.0</v>
      </c>
      <c r="C95" s="32"/>
      <c r="D95" s="38"/>
      <c r="F95" s="39"/>
      <c r="G95" s="14"/>
    </row>
    <row r="96" ht="15.75" customHeight="1">
      <c r="A96" s="28" t="s">
        <v>48</v>
      </c>
      <c r="B96" s="33">
        <f>B95*B94*B93*B91*B90</f>
        <v>40409.78401</v>
      </c>
      <c r="C96" s="28" t="s">
        <v>36</v>
      </c>
      <c r="D96" s="40"/>
      <c r="E96" s="41"/>
      <c r="F96" s="42"/>
      <c r="G96" s="14"/>
    </row>
    <row r="97" ht="15.75" customHeight="1">
      <c r="A97" s="15" t="s">
        <v>63</v>
      </c>
      <c r="B97" s="12"/>
      <c r="C97" s="12"/>
      <c r="D97" s="12"/>
      <c r="E97" s="12"/>
      <c r="F97" s="13"/>
      <c r="G97" s="14"/>
    </row>
    <row r="98" ht="15.75" customHeight="1">
      <c r="A98" s="34" t="s">
        <v>24</v>
      </c>
      <c r="B98" s="34" t="s">
        <v>25</v>
      </c>
      <c r="C98" s="34" t="s">
        <v>26</v>
      </c>
      <c r="D98" s="34" t="s">
        <v>24</v>
      </c>
      <c r="E98" s="34" t="s">
        <v>25</v>
      </c>
      <c r="F98" s="34" t="s">
        <v>26</v>
      </c>
      <c r="G98" s="14"/>
    </row>
    <row r="99" ht="15.75" customHeight="1">
      <c r="A99" s="18" t="s">
        <v>52</v>
      </c>
      <c r="B99" s="23">
        <v>-5.88816</v>
      </c>
      <c r="C99" s="18" t="s">
        <v>53</v>
      </c>
      <c r="D99" s="35"/>
      <c r="E99" s="36"/>
      <c r="F99" s="37"/>
      <c r="G99" s="14"/>
    </row>
    <row r="100" ht="15.75" customHeight="1">
      <c r="A100" s="18" t="s">
        <v>52</v>
      </c>
      <c r="B100" s="27">
        <f>ABS(B99*3968320.722)</f>
        <v>23366107.34</v>
      </c>
      <c r="C100" s="18" t="s">
        <v>54</v>
      </c>
      <c r="D100" s="38"/>
      <c r="F100" s="39"/>
      <c r="G100" s="14"/>
    </row>
    <row r="101" ht="15.75" customHeight="1">
      <c r="A101" s="18" t="s">
        <v>55</v>
      </c>
      <c r="B101" s="18">
        <v>10000.0</v>
      </c>
      <c r="C101" s="18" t="s">
        <v>56</v>
      </c>
      <c r="D101" s="38"/>
      <c r="F101" s="39"/>
      <c r="G101" s="14"/>
    </row>
    <row r="102" ht="15.75" customHeight="1">
      <c r="A102" s="18" t="s">
        <v>37</v>
      </c>
      <c r="B102" s="18">
        <f>B100/B101</f>
        <v>2336.610734</v>
      </c>
      <c r="C102" s="18" t="s">
        <v>57</v>
      </c>
      <c r="D102" s="38"/>
      <c r="F102" s="39"/>
      <c r="G102" s="14"/>
    </row>
    <row r="103" ht="15.75" customHeight="1">
      <c r="A103" s="18" t="s">
        <v>39</v>
      </c>
      <c r="B103" s="18">
        <f>EXP(11.4185-0.9228*LN(B102)+0.09861*(LN(B102))^2)</f>
        <v>26728.28913</v>
      </c>
      <c r="C103" s="18" t="s">
        <v>36</v>
      </c>
      <c r="D103" s="38"/>
      <c r="F103" s="39"/>
      <c r="G103" s="14"/>
    </row>
    <row r="104" ht="15.75" customHeight="1">
      <c r="A104" s="18" t="s">
        <v>40</v>
      </c>
      <c r="B104" s="18">
        <v>2.15</v>
      </c>
      <c r="C104" s="18" t="s">
        <v>58</v>
      </c>
      <c r="D104" s="38"/>
      <c r="F104" s="39"/>
      <c r="G104" s="14"/>
    </row>
    <row r="105" ht="15.75" customHeight="1">
      <c r="A105" s="18" t="s">
        <v>42</v>
      </c>
      <c r="B105" s="18">
        <f>20*14.5038</f>
        <v>290.076</v>
      </c>
      <c r="C105" s="18" t="s">
        <v>43</v>
      </c>
      <c r="D105" s="38"/>
      <c r="F105" s="39"/>
      <c r="G105" s="14"/>
    </row>
    <row r="106" ht="15.75" customHeight="1">
      <c r="A106" s="18" t="s">
        <v>44</v>
      </c>
      <c r="B106" s="18">
        <f>0.9803+0.018*(B105/100)+0.0017*(B105/100)^2</f>
        <v>1.046818175</v>
      </c>
      <c r="C106" s="30" t="s">
        <v>45</v>
      </c>
      <c r="D106" s="38"/>
      <c r="F106" s="39"/>
      <c r="G106" s="14"/>
    </row>
    <row r="107" ht="15.75" customHeight="1">
      <c r="A107" s="18" t="s">
        <v>46</v>
      </c>
      <c r="B107" s="18">
        <v>1.0</v>
      </c>
      <c r="C107" s="31"/>
      <c r="D107" s="38"/>
      <c r="F107" s="39"/>
      <c r="G107" s="14"/>
    </row>
    <row r="108" ht="15.75" customHeight="1">
      <c r="A108" s="18" t="s">
        <v>47</v>
      </c>
      <c r="B108" s="18">
        <v>1.0</v>
      </c>
      <c r="C108" s="32"/>
      <c r="D108" s="38"/>
      <c r="F108" s="39"/>
      <c r="G108" s="14"/>
    </row>
    <row r="109" ht="15.75" customHeight="1">
      <c r="A109" s="28" t="s">
        <v>48</v>
      </c>
      <c r="B109" s="33">
        <f>B108*B107*B106*B104*B103</f>
        <v>60156.2665</v>
      </c>
      <c r="C109" s="28" t="s">
        <v>36</v>
      </c>
      <c r="D109" s="40"/>
      <c r="E109" s="41"/>
      <c r="F109" s="42"/>
      <c r="G109" s="14"/>
    </row>
    <row r="110" ht="15.75" customHeight="1">
      <c r="A110" s="43" t="s">
        <v>64</v>
      </c>
      <c r="G110" s="14"/>
    </row>
    <row r="111" ht="15.75" customHeight="1">
      <c r="A111" s="44" t="s">
        <v>24</v>
      </c>
      <c r="B111" s="44" t="s">
        <v>25</v>
      </c>
      <c r="C111" s="44" t="s">
        <v>26</v>
      </c>
      <c r="D111" s="44" t="s">
        <v>24</v>
      </c>
      <c r="E111" s="44" t="s">
        <v>25</v>
      </c>
      <c r="F111" s="44" t="s">
        <v>26</v>
      </c>
      <c r="G111" s="14"/>
    </row>
    <row r="112" ht="15.75" customHeight="1">
      <c r="A112" s="45" t="s">
        <v>65</v>
      </c>
      <c r="B112" s="46">
        <v>618.343</v>
      </c>
      <c r="C112" s="45" t="s">
        <v>66</v>
      </c>
      <c r="D112" s="45" t="s">
        <v>67</v>
      </c>
      <c r="E112" s="45">
        <v>1.26</v>
      </c>
      <c r="F112" s="45" t="s">
        <v>30</v>
      </c>
      <c r="G112" s="14"/>
    </row>
    <row r="113" ht="15.75" customHeight="1">
      <c r="A113" s="47" t="s">
        <v>68</v>
      </c>
      <c r="B113" s="48">
        <v>0.0260254155578164</v>
      </c>
      <c r="C113" s="49" t="s">
        <v>69</v>
      </c>
      <c r="D113" s="45" t="s">
        <v>70</v>
      </c>
      <c r="E113" s="45">
        <v>32.04</v>
      </c>
      <c r="F113" s="49" t="s">
        <v>71</v>
      </c>
      <c r="G113" s="14"/>
    </row>
    <row r="114" ht="15.75" customHeight="1">
      <c r="A114" s="47" t="s">
        <v>72</v>
      </c>
      <c r="B114" s="48">
        <v>0.00358237077815787</v>
      </c>
      <c r="C114" s="31"/>
      <c r="D114" s="45" t="s">
        <v>73</v>
      </c>
      <c r="E114" s="45">
        <v>46.07</v>
      </c>
      <c r="F114" s="31"/>
      <c r="G114" s="14"/>
    </row>
    <row r="115" ht="15.75" customHeight="1">
      <c r="A115" s="47" t="s">
        <v>74</v>
      </c>
      <c r="B115" s="48">
        <v>5.67060807609999E-5</v>
      </c>
      <c r="C115" s="31"/>
      <c r="D115" s="45" t="s">
        <v>75</v>
      </c>
      <c r="E115" s="45">
        <v>18.02</v>
      </c>
      <c r="F115" s="31"/>
      <c r="G115" s="14"/>
    </row>
    <row r="116" ht="15.75" customHeight="1">
      <c r="A116" s="47" t="s">
        <v>76</v>
      </c>
      <c r="B116" s="48">
        <v>0.427467979225775</v>
      </c>
      <c r="C116" s="31"/>
      <c r="D116" s="45" t="s">
        <v>77</v>
      </c>
      <c r="E116" s="45">
        <v>28.0</v>
      </c>
      <c r="F116" s="31"/>
      <c r="G116" s="14"/>
    </row>
    <row r="117" ht="15.75" customHeight="1">
      <c r="A117" s="47" t="s">
        <v>78</v>
      </c>
      <c r="B117" s="48">
        <v>0.538015850819573</v>
      </c>
      <c r="C117" s="31"/>
      <c r="D117" s="45" t="s">
        <v>79</v>
      </c>
      <c r="E117" s="45">
        <v>74.08</v>
      </c>
      <c r="F117" s="31"/>
      <c r="G117" s="14"/>
    </row>
    <row r="118" ht="15.75" customHeight="1">
      <c r="A118" s="47" t="s">
        <v>80</v>
      </c>
      <c r="B118" s="48">
        <v>0.00485167753791618</v>
      </c>
      <c r="C118" s="31"/>
      <c r="D118" s="50" t="s">
        <v>81</v>
      </c>
      <c r="E118" s="45">
        <v>2.0</v>
      </c>
      <c r="F118" s="31"/>
      <c r="G118" s="14"/>
    </row>
    <row r="119" ht="15.75" customHeight="1">
      <c r="A119" s="47" t="s">
        <v>82</v>
      </c>
      <c r="B119" s="48">
        <v>0.0</v>
      </c>
      <c r="C119" s="32"/>
      <c r="D119" s="50" t="s">
        <v>83</v>
      </c>
      <c r="E119" s="45">
        <v>16.0</v>
      </c>
      <c r="F119" s="32"/>
      <c r="G119" s="14"/>
    </row>
    <row r="120" ht="15.75" customHeight="1">
      <c r="A120" s="45" t="s">
        <v>65</v>
      </c>
      <c r="B120" s="45">
        <f>B112*1000*(B113*E113+B114*E114+B115*E115+B116*E116+B117*E117+B118*E118+B119*E119)/(B113*E120+B114*E121+B115*E122+B116*E123+B117*E124+B118*E125+B119*E126)</f>
        <v>62.51520039</v>
      </c>
      <c r="C120" s="45" t="s">
        <v>84</v>
      </c>
      <c r="D120" s="50" t="s">
        <v>85</v>
      </c>
      <c r="E120" s="51">
        <f>792*1000</f>
        <v>792000</v>
      </c>
      <c r="F120" s="52" t="s">
        <v>86</v>
      </c>
      <c r="G120" s="14"/>
    </row>
    <row r="121" ht="15.75" customHeight="1">
      <c r="A121" s="45" t="s">
        <v>87</v>
      </c>
      <c r="B121" s="45">
        <f>B120/60*5*2</f>
        <v>10.41920007</v>
      </c>
      <c r="C121" s="45" t="s">
        <v>88</v>
      </c>
      <c r="D121" s="45" t="s">
        <v>89</v>
      </c>
      <c r="E121" s="51">
        <v>2110.0</v>
      </c>
      <c r="F121" s="31"/>
      <c r="G121" s="14"/>
    </row>
    <row r="122" ht="15.75" customHeight="1">
      <c r="A122" s="45" t="s">
        <v>90</v>
      </c>
      <c r="B122" s="45">
        <f>(4*B121/2.5/PI())^(1/3)</f>
        <v>1.744220939</v>
      </c>
      <c r="C122" s="45" t="s">
        <v>30</v>
      </c>
      <c r="D122" s="50" t="s">
        <v>91</v>
      </c>
      <c r="E122" s="51">
        <v>997000.0</v>
      </c>
      <c r="F122" s="31"/>
      <c r="G122" s="14"/>
    </row>
    <row r="123" ht="15.75" customHeight="1">
      <c r="A123" s="45" t="s">
        <v>92</v>
      </c>
      <c r="B123" s="45">
        <f>3.28*B122</f>
        <v>5.721044679</v>
      </c>
      <c r="C123" s="45" t="s">
        <v>93</v>
      </c>
      <c r="D123" s="45" t="s">
        <v>94</v>
      </c>
      <c r="E123" s="51">
        <v>1140.0</v>
      </c>
      <c r="F123" s="31"/>
      <c r="G123" s="14"/>
    </row>
    <row r="124" ht="15.75" customHeight="1">
      <c r="A124" s="45" t="s">
        <v>95</v>
      </c>
      <c r="B124" s="45">
        <f>B123*2.5</f>
        <v>14.3026117</v>
      </c>
      <c r="C124" s="45" t="s">
        <v>93</v>
      </c>
      <c r="D124" s="45" t="s">
        <v>96</v>
      </c>
      <c r="E124" s="51">
        <v>932000.0</v>
      </c>
      <c r="F124" s="31"/>
      <c r="G124" s="14"/>
    </row>
    <row r="125" ht="15.75" customHeight="1">
      <c r="A125" s="45" t="s">
        <v>97</v>
      </c>
      <c r="B125" s="51">
        <f>341*B123^(0.63316)*B124^(0.80161)</f>
        <v>8680.60435</v>
      </c>
      <c r="C125" s="45" t="s">
        <v>36</v>
      </c>
      <c r="D125" s="45" t="s">
        <v>98</v>
      </c>
      <c r="E125" s="53">
        <v>83.75</v>
      </c>
      <c r="F125" s="31"/>
      <c r="G125" s="14"/>
    </row>
    <row r="126" ht="15.75" customHeight="1">
      <c r="A126" s="45" t="s">
        <v>99</v>
      </c>
      <c r="B126" s="45">
        <v>490.0</v>
      </c>
      <c r="C126" s="45" t="s">
        <v>100</v>
      </c>
      <c r="D126" s="50" t="s">
        <v>101</v>
      </c>
      <c r="E126" s="53">
        <v>657.0</v>
      </c>
      <c r="F126" s="32"/>
      <c r="G126" s="14"/>
    </row>
    <row r="127" ht="15.75" customHeight="1">
      <c r="A127" s="45" t="s">
        <v>102</v>
      </c>
      <c r="B127" s="45">
        <v>0.014</v>
      </c>
      <c r="C127" s="45" t="s">
        <v>93</v>
      </c>
      <c r="D127" s="35"/>
      <c r="E127" s="36"/>
      <c r="F127" s="37"/>
      <c r="G127" s="14"/>
    </row>
    <row r="128" ht="15.75" customHeight="1">
      <c r="A128" s="45" t="s">
        <v>103</v>
      </c>
      <c r="B128" s="45">
        <f>B126*B127*PI()*(B123+B127)*(B124+0.8*B123)</f>
        <v>2333.458457</v>
      </c>
      <c r="C128" s="45" t="s">
        <v>104</v>
      </c>
      <c r="D128" s="38"/>
      <c r="F128" s="39"/>
      <c r="G128" s="14"/>
    </row>
    <row r="129" ht="15.75" customHeight="1">
      <c r="A129" s="45" t="s">
        <v>105</v>
      </c>
      <c r="B129" s="51">
        <f>EXP(5.6336+0.4599*LN(B128)+0.00582*(LN(B128))^2)</f>
        <v>14047.47836</v>
      </c>
      <c r="C129" s="45" t="s">
        <v>36</v>
      </c>
      <c r="D129" s="38"/>
      <c r="F129" s="39"/>
      <c r="G129" s="14"/>
    </row>
    <row r="130" ht="15.75" customHeight="1">
      <c r="A130" s="45" t="s">
        <v>106</v>
      </c>
      <c r="B130" s="51">
        <f>B129+B125</f>
        <v>22728.08271</v>
      </c>
      <c r="C130" s="45" t="s">
        <v>36</v>
      </c>
      <c r="D130" s="38"/>
      <c r="F130" s="39"/>
      <c r="G130" s="14"/>
    </row>
    <row r="131" ht="15.75" customHeight="1">
      <c r="A131" s="45" t="s">
        <v>40</v>
      </c>
      <c r="B131" s="45">
        <v>4.16</v>
      </c>
      <c r="C131" s="45" t="s">
        <v>107</v>
      </c>
      <c r="D131" s="38"/>
      <c r="F131" s="39"/>
      <c r="G131" s="14"/>
    </row>
    <row r="132" ht="15.75" customHeight="1">
      <c r="A132" s="54" t="s">
        <v>48</v>
      </c>
      <c r="B132" s="55">
        <f>B131*B130</f>
        <v>94548.82409</v>
      </c>
      <c r="C132" s="54" t="s">
        <v>36</v>
      </c>
      <c r="D132" s="40"/>
      <c r="E132" s="41"/>
      <c r="F132" s="42"/>
      <c r="G132" s="14"/>
    </row>
    <row r="133" ht="15.75" customHeight="1">
      <c r="A133" s="56" t="s">
        <v>108</v>
      </c>
      <c r="B133" s="12"/>
      <c r="C133" s="12"/>
      <c r="D133" s="12"/>
      <c r="E133" s="12"/>
      <c r="F133" s="13"/>
      <c r="G133" s="14"/>
    </row>
    <row r="134" ht="15.75" customHeight="1">
      <c r="A134" s="45" t="s">
        <v>109</v>
      </c>
      <c r="B134" s="46">
        <v>-7.94599</v>
      </c>
      <c r="C134" s="45" t="s">
        <v>53</v>
      </c>
      <c r="D134" s="20"/>
      <c r="E134" s="36"/>
      <c r="F134" s="37"/>
      <c r="G134" s="14"/>
    </row>
    <row r="135" ht="15.75" customHeight="1">
      <c r="A135" s="45" t="s">
        <v>109</v>
      </c>
      <c r="B135" s="57">
        <f>ABS(B134*3968320.722)</f>
        <v>31532236.77</v>
      </c>
      <c r="C135" s="45" t="s">
        <v>54</v>
      </c>
      <c r="D135" s="38"/>
      <c r="F135" s="39"/>
      <c r="G135" s="14"/>
    </row>
    <row r="136" ht="15.75" customHeight="1">
      <c r="A136" s="45" t="s">
        <v>39</v>
      </c>
      <c r="B136" s="45">
        <f>exp(-0.15241+0.785*ln(B135))</f>
        <v>661198.2258</v>
      </c>
      <c r="C136" s="45"/>
      <c r="D136" s="38"/>
      <c r="F136" s="39"/>
      <c r="G136" s="14"/>
    </row>
    <row r="137" ht="15.75" customHeight="1">
      <c r="A137" s="45" t="s">
        <v>46</v>
      </c>
      <c r="B137" s="45">
        <v>1.4</v>
      </c>
      <c r="C137" s="45" t="s">
        <v>110</v>
      </c>
      <c r="D137" s="38"/>
      <c r="F137" s="39"/>
      <c r="G137" s="14"/>
    </row>
    <row r="138" ht="15.75" customHeight="1">
      <c r="A138" s="45" t="s">
        <v>42</v>
      </c>
      <c r="B138" s="45">
        <f>10*14.5038</f>
        <v>145.038</v>
      </c>
      <c r="C138" s="45" t="s">
        <v>111</v>
      </c>
      <c r="D138" s="38"/>
      <c r="F138" s="39"/>
      <c r="G138" s="14"/>
    </row>
    <row r="139" ht="15.75" customHeight="1">
      <c r="A139" s="45" t="s">
        <v>44</v>
      </c>
      <c r="B139" s="45">
        <f>0.986-0.0035*B138/500+0.0175*(B138/500)^2</f>
        <v>0.9864572555</v>
      </c>
      <c r="C139" s="45" t="s">
        <v>112</v>
      </c>
      <c r="D139" s="38"/>
      <c r="F139" s="39"/>
      <c r="G139" s="14"/>
    </row>
    <row r="140" ht="15.75" customHeight="1">
      <c r="A140" s="45" t="s">
        <v>106</v>
      </c>
      <c r="B140" s="45">
        <f>B139*B137*B136</f>
        <v>913141.302</v>
      </c>
      <c r="C140" s="45" t="s">
        <v>36</v>
      </c>
      <c r="D140" s="38"/>
      <c r="F140" s="39"/>
      <c r="G140" s="14"/>
    </row>
    <row r="141" ht="15.75" customHeight="1">
      <c r="A141" s="45" t="s">
        <v>40</v>
      </c>
      <c r="B141" s="45">
        <v>1.86</v>
      </c>
      <c r="C141" s="45" t="s">
        <v>113</v>
      </c>
      <c r="D141" s="38"/>
      <c r="F141" s="39"/>
      <c r="G141" s="14"/>
    </row>
    <row r="142" ht="15.75" customHeight="1">
      <c r="A142" s="54" t="s">
        <v>48</v>
      </c>
      <c r="B142" s="55">
        <f>B141*B140</f>
        <v>1698442.822</v>
      </c>
      <c r="C142" s="54" t="s">
        <v>36</v>
      </c>
      <c r="D142" s="40"/>
      <c r="E142" s="41"/>
      <c r="F142" s="42"/>
      <c r="G142" s="14"/>
    </row>
    <row r="143" ht="15.75" customHeight="1">
      <c r="A143" s="56" t="s">
        <v>114</v>
      </c>
      <c r="B143" s="12"/>
      <c r="C143" s="12"/>
      <c r="D143" s="12"/>
      <c r="E143" s="12"/>
      <c r="F143" s="13"/>
      <c r="G143" s="14"/>
    </row>
    <row r="144" ht="15.75" customHeight="1">
      <c r="A144" s="45" t="s">
        <v>109</v>
      </c>
      <c r="B144" s="46">
        <v>-0.447329</v>
      </c>
      <c r="C144" s="45" t="s">
        <v>53</v>
      </c>
      <c r="D144" s="20"/>
      <c r="E144" s="36"/>
      <c r="F144" s="37"/>
      <c r="G144" s="14"/>
    </row>
    <row r="145" ht="15.75" customHeight="1">
      <c r="A145" s="45" t="s">
        <v>109</v>
      </c>
      <c r="B145" s="57">
        <f>ABS(B144*3968320.722)</f>
        <v>1775144.94</v>
      </c>
      <c r="C145" s="45" t="s">
        <v>54</v>
      </c>
      <c r="D145" s="38"/>
      <c r="F145" s="39"/>
      <c r="G145" s="14"/>
    </row>
    <row r="146" ht="15.75" customHeight="1">
      <c r="A146" s="45" t="s">
        <v>39</v>
      </c>
      <c r="B146" s="45">
        <f>exp(-0.15241+0.785*ln(B145))</f>
        <v>69096.76675</v>
      </c>
      <c r="C146" s="45"/>
      <c r="D146" s="38"/>
      <c r="F146" s="39"/>
      <c r="G146" s="14"/>
    </row>
    <row r="147" ht="15.75" customHeight="1">
      <c r="A147" s="45" t="s">
        <v>46</v>
      </c>
      <c r="B147" s="45">
        <v>1.4</v>
      </c>
      <c r="C147" s="45" t="s">
        <v>110</v>
      </c>
      <c r="D147" s="38"/>
      <c r="F147" s="39"/>
      <c r="G147" s="14"/>
    </row>
    <row r="148" ht="15.75" customHeight="1">
      <c r="A148" s="45" t="s">
        <v>42</v>
      </c>
      <c r="B148" s="45">
        <f>3*14.5038</f>
        <v>43.5114</v>
      </c>
      <c r="C148" s="45" t="s">
        <v>111</v>
      </c>
      <c r="D148" s="38"/>
      <c r="F148" s="39"/>
      <c r="G148" s="14"/>
    </row>
    <row r="149" ht="15.75" customHeight="1">
      <c r="A149" s="45" t="s">
        <v>44</v>
      </c>
      <c r="B149" s="45">
        <f>0.986-0.0035*B148/500+0.0175*(B148/500)^2</f>
        <v>0.9858279471</v>
      </c>
      <c r="C149" s="45" t="s">
        <v>112</v>
      </c>
      <c r="D149" s="38"/>
      <c r="F149" s="39"/>
      <c r="G149" s="14"/>
    </row>
    <row r="150" ht="15.75" customHeight="1">
      <c r="A150" s="45" t="s">
        <v>106</v>
      </c>
      <c r="B150" s="45">
        <f>B149*B147*B146</f>
        <v>95364.5332</v>
      </c>
      <c r="C150" s="45" t="s">
        <v>36</v>
      </c>
      <c r="D150" s="38"/>
      <c r="F150" s="39"/>
      <c r="G150" s="14"/>
    </row>
    <row r="151" ht="15.75" customHeight="1">
      <c r="A151" s="45" t="s">
        <v>40</v>
      </c>
      <c r="B151" s="45">
        <v>1.86</v>
      </c>
      <c r="C151" s="45" t="s">
        <v>113</v>
      </c>
      <c r="D151" s="38"/>
      <c r="F151" s="39"/>
      <c r="G151" s="14"/>
    </row>
    <row r="152" ht="15.75" customHeight="1">
      <c r="A152" s="54" t="s">
        <v>48</v>
      </c>
      <c r="B152" s="55">
        <f>B151*B150</f>
        <v>177378.0318</v>
      </c>
      <c r="C152" s="54" t="s">
        <v>36</v>
      </c>
      <c r="D152" s="40"/>
      <c r="E152" s="41"/>
      <c r="F152" s="42"/>
      <c r="G152" s="14"/>
    </row>
    <row r="153" ht="15.75" customHeight="1">
      <c r="A153" s="56" t="s">
        <v>115</v>
      </c>
      <c r="B153" s="12"/>
      <c r="C153" s="12"/>
      <c r="D153" s="12"/>
      <c r="E153" s="12"/>
      <c r="F153" s="13"/>
      <c r="G153" s="14"/>
    </row>
    <row r="154" ht="15.75" customHeight="1">
      <c r="A154" s="45" t="s">
        <v>109</v>
      </c>
      <c r="B154" s="46">
        <v>1.07423</v>
      </c>
      <c r="C154" s="45" t="s">
        <v>53</v>
      </c>
      <c r="D154" s="20"/>
      <c r="E154" s="36"/>
      <c r="F154" s="37"/>
      <c r="G154" s="14"/>
    </row>
    <row r="155" ht="15.75" customHeight="1">
      <c r="A155" s="45" t="s">
        <v>109</v>
      </c>
      <c r="B155" s="57">
        <f>ABS(B154*3968320.722)</f>
        <v>4262889.169</v>
      </c>
      <c r="C155" s="45" t="s">
        <v>54</v>
      </c>
      <c r="D155" s="38"/>
      <c r="F155" s="39"/>
      <c r="G155" s="14"/>
    </row>
    <row r="156" ht="15.75" customHeight="1">
      <c r="A156" s="45" t="s">
        <v>39</v>
      </c>
      <c r="B156" s="45">
        <f>exp(-0.15241+0.785*ln(B155))</f>
        <v>137444.337</v>
      </c>
      <c r="C156" s="45"/>
      <c r="D156" s="38"/>
      <c r="F156" s="39"/>
      <c r="G156" s="14"/>
    </row>
    <row r="157" ht="15.75" customHeight="1">
      <c r="A157" s="45" t="s">
        <v>46</v>
      </c>
      <c r="B157" s="45">
        <v>1.4</v>
      </c>
      <c r="C157" s="45" t="s">
        <v>110</v>
      </c>
      <c r="D157" s="38"/>
      <c r="F157" s="39"/>
      <c r="G157" s="14"/>
    </row>
    <row r="158" ht="15.75" customHeight="1">
      <c r="A158" s="45" t="s">
        <v>42</v>
      </c>
      <c r="B158" s="45">
        <f>10*14.5038</f>
        <v>145.038</v>
      </c>
      <c r="C158" s="45" t="s">
        <v>111</v>
      </c>
      <c r="D158" s="38"/>
      <c r="F158" s="39"/>
      <c r="G158" s="14"/>
    </row>
    <row r="159" ht="15.75" customHeight="1">
      <c r="A159" s="45" t="s">
        <v>44</v>
      </c>
      <c r="B159" s="45">
        <f>0.986-0.0035*B158/500+0.0175*(B158/500)^2</f>
        <v>0.9864572555</v>
      </c>
      <c r="C159" s="45" t="s">
        <v>112</v>
      </c>
      <c r="D159" s="38"/>
      <c r="F159" s="39"/>
      <c r="G159" s="14"/>
    </row>
    <row r="160" ht="15.75" customHeight="1">
      <c r="A160" s="45" t="s">
        <v>106</v>
      </c>
      <c r="B160" s="45">
        <f>B159*B157*B156</f>
        <v>189816.1488</v>
      </c>
      <c r="C160" s="45" t="s">
        <v>36</v>
      </c>
      <c r="D160" s="38"/>
      <c r="F160" s="39"/>
      <c r="G160" s="14"/>
    </row>
    <row r="161" ht="15.75" customHeight="1">
      <c r="A161" s="45" t="s">
        <v>40</v>
      </c>
      <c r="B161" s="45">
        <v>1.86</v>
      </c>
      <c r="C161" s="45" t="s">
        <v>113</v>
      </c>
      <c r="D161" s="38"/>
      <c r="F161" s="39"/>
      <c r="G161" s="14"/>
    </row>
    <row r="162" ht="15.75" customHeight="1">
      <c r="A162" s="54" t="s">
        <v>48</v>
      </c>
      <c r="B162" s="55">
        <f>B161*B160</f>
        <v>353058.0368</v>
      </c>
      <c r="C162" s="54" t="s">
        <v>36</v>
      </c>
      <c r="D162" s="40"/>
      <c r="E162" s="41"/>
      <c r="F162" s="42"/>
      <c r="G162" s="14"/>
    </row>
    <row r="163" ht="15.75" customHeight="1">
      <c r="A163" s="56" t="s">
        <v>116</v>
      </c>
      <c r="B163" s="12"/>
      <c r="C163" s="12"/>
      <c r="D163" s="12"/>
      <c r="E163" s="12"/>
      <c r="F163" s="13"/>
      <c r="G163" s="14"/>
    </row>
    <row r="164" ht="15.75" customHeight="1">
      <c r="A164" s="45" t="s">
        <v>109</v>
      </c>
      <c r="B164" s="46">
        <v>5.14378</v>
      </c>
      <c r="C164" s="45" t="s">
        <v>53</v>
      </c>
      <c r="D164" s="20"/>
      <c r="E164" s="36"/>
      <c r="F164" s="37"/>
      <c r="G164" s="14"/>
    </row>
    <row r="165" ht="15.75" customHeight="1">
      <c r="A165" s="45" t="s">
        <v>109</v>
      </c>
      <c r="B165" s="57">
        <f>ABS(B164*3968320.722)</f>
        <v>20412168.76</v>
      </c>
      <c r="C165" s="45" t="s">
        <v>54</v>
      </c>
      <c r="D165" s="38"/>
      <c r="F165" s="39"/>
      <c r="G165" s="14"/>
    </row>
    <row r="166" ht="15.75" customHeight="1">
      <c r="A166" s="45" t="s">
        <v>39</v>
      </c>
      <c r="B166" s="45">
        <f>exp(-0.15241+0.785*ln(B165))</f>
        <v>469972.1912</v>
      </c>
      <c r="C166" s="45"/>
      <c r="D166" s="38"/>
      <c r="F166" s="39"/>
      <c r="G166" s="14"/>
    </row>
    <row r="167" ht="15.75" customHeight="1">
      <c r="A167" s="45" t="s">
        <v>46</v>
      </c>
      <c r="B167" s="45">
        <v>1.4</v>
      </c>
      <c r="C167" s="45" t="s">
        <v>110</v>
      </c>
      <c r="D167" s="38"/>
      <c r="F167" s="39"/>
      <c r="G167" s="14"/>
    </row>
    <row r="168" ht="15.75" customHeight="1">
      <c r="A168" s="45" t="s">
        <v>42</v>
      </c>
      <c r="B168" s="45">
        <f>25*14.5038</f>
        <v>362.595</v>
      </c>
      <c r="C168" s="45" t="s">
        <v>111</v>
      </c>
      <c r="D168" s="38"/>
      <c r="F168" s="39"/>
      <c r="G168" s="14"/>
    </row>
    <row r="169" ht="15.75" customHeight="1">
      <c r="A169" s="45" t="s">
        <v>44</v>
      </c>
      <c r="B169" s="45">
        <f>0.986-0.0035*B168/500+0.0175*(B168/500)^2</f>
        <v>0.9926650944</v>
      </c>
      <c r="C169" s="45" t="s">
        <v>112</v>
      </c>
      <c r="D169" s="38"/>
      <c r="F169" s="39"/>
      <c r="G169" s="14"/>
    </row>
    <row r="170" ht="15.75" customHeight="1">
      <c r="A170" s="45" t="s">
        <v>106</v>
      </c>
      <c r="B170" s="45">
        <f>B169*B167*B166</f>
        <v>653134.9854</v>
      </c>
      <c r="C170" s="45" t="s">
        <v>36</v>
      </c>
      <c r="D170" s="38"/>
      <c r="F170" s="39"/>
      <c r="G170" s="14"/>
    </row>
    <row r="171" ht="15.75" customHeight="1">
      <c r="A171" s="45" t="s">
        <v>40</v>
      </c>
      <c r="B171" s="45">
        <v>1.86</v>
      </c>
      <c r="C171" s="45" t="s">
        <v>113</v>
      </c>
      <c r="D171" s="38"/>
      <c r="F171" s="39"/>
      <c r="G171" s="14"/>
    </row>
    <row r="172" ht="15.75" customHeight="1">
      <c r="A172" s="54" t="s">
        <v>48</v>
      </c>
      <c r="B172" s="55">
        <f>B171*B170</f>
        <v>1214831.073</v>
      </c>
      <c r="C172" s="54" t="s">
        <v>36</v>
      </c>
      <c r="D172" s="40"/>
      <c r="E172" s="41"/>
      <c r="F172" s="42"/>
      <c r="G172" s="14"/>
    </row>
    <row r="173" ht="15.75" customHeight="1">
      <c r="A173" s="56" t="s">
        <v>117</v>
      </c>
      <c r="B173" s="12"/>
      <c r="C173" s="12"/>
      <c r="D173" s="12"/>
      <c r="E173" s="12"/>
      <c r="F173" s="13"/>
      <c r="G173" s="14"/>
    </row>
    <row r="174" ht="15.75" customHeight="1">
      <c r="A174" s="58" t="s">
        <v>118</v>
      </c>
      <c r="B174" s="12"/>
      <c r="C174" s="12"/>
      <c r="D174" s="12"/>
      <c r="E174" s="12"/>
      <c r="F174" s="13"/>
      <c r="G174" s="14"/>
    </row>
    <row r="175" ht="15.75" customHeight="1">
      <c r="A175" s="15" t="s">
        <v>119</v>
      </c>
      <c r="B175" s="12"/>
      <c r="C175" s="12"/>
      <c r="D175" s="12"/>
      <c r="E175" s="12"/>
      <c r="F175" s="13"/>
      <c r="G175" s="14"/>
    </row>
    <row r="176" ht="15.75" customHeight="1">
      <c r="A176" s="34" t="s">
        <v>24</v>
      </c>
      <c r="B176" s="34" t="s">
        <v>25</v>
      </c>
      <c r="C176" s="34" t="s">
        <v>26</v>
      </c>
      <c r="D176" s="34" t="s">
        <v>24</v>
      </c>
      <c r="E176" s="34" t="s">
        <v>25</v>
      </c>
      <c r="F176" s="34" t="s">
        <v>26</v>
      </c>
      <c r="G176" s="14"/>
    </row>
    <row r="177" ht="15.75" customHeight="1">
      <c r="A177" s="18" t="s">
        <v>120</v>
      </c>
      <c r="B177" s="23">
        <v>15.0</v>
      </c>
      <c r="C177" s="18" t="s">
        <v>28</v>
      </c>
      <c r="D177" s="18" t="s">
        <v>120</v>
      </c>
      <c r="E177" s="23">
        <v>15.0</v>
      </c>
      <c r="F177" s="18" t="s">
        <v>28</v>
      </c>
      <c r="G177" s="14"/>
    </row>
    <row r="178" ht="15.75" customHeight="1">
      <c r="A178" s="18" t="s">
        <v>121</v>
      </c>
      <c r="B178" s="18">
        <v>0.44</v>
      </c>
      <c r="C178" s="30" t="s">
        <v>45</v>
      </c>
      <c r="D178" s="18" t="s">
        <v>67</v>
      </c>
      <c r="E178" s="23">
        <v>4.5</v>
      </c>
      <c r="F178" s="18" t="s">
        <v>30</v>
      </c>
      <c r="G178" s="14"/>
    </row>
    <row r="179" ht="15.75" customHeight="1">
      <c r="A179" s="18" t="s">
        <v>122</v>
      </c>
      <c r="B179" s="18">
        <f>2.25/1.0414^B177</f>
        <v>1.224387587</v>
      </c>
      <c r="C179" s="32"/>
      <c r="D179" s="18" t="s">
        <v>123</v>
      </c>
      <c r="E179" s="18">
        <f>E177*2+15</f>
        <v>45</v>
      </c>
      <c r="F179" s="18" t="s">
        <v>93</v>
      </c>
      <c r="G179" s="14"/>
    </row>
    <row r="180" ht="15.75" customHeight="1">
      <c r="A180" s="18" t="s">
        <v>124</v>
      </c>
      <c r="B180" s="18">
        <v>1.0</v>
      </c>
      <c r="C180" s="18" t="s">
        <v>125</v>
      </c>
      <c r="D180" s="18" t="s">
        <v>126</v>
      </c>
      <c r="E180" s="23">
        <v>800.0</v>
      </c>
      <c r="F180" s="18" t="s">
        <v>66</v>
      </c>
      <c r="G180" s="14"/>
    </row>
    <row r="181" ht="15.75" customHeight="1">
      <c r="A181" s="59" t="s">
        <v>127</v>
      </c>
      <c r="B181" s="59">
        <v>1.0</v>
      </c>
      <c r="C181" s="59" t="s">
        <v>128</v>
      </c>
      <c r="D181" s="35"/>
      <c r="E181" s="36"/>
      <c r="F181" s="37"/>
      <c r="G181" s="14"/>
    </row>
    <row r="182" ht="15.75" customHeight="1">
      <c r="A182" s="60" t="s">
        <v>126</v>
      </c>
      <c r="B182" s="61">
        <v>816.328</v>
      </c>
      <c r="C182" s="60" t="s">
        <v>66</v>
      </c>
      <c r="D182" s="38"/>
      <c r="F182" s="39"/>
      <c r="G182" s="14"/>
    </row>
    <row r="183" ht="15.75" customHeight="1">
      <c r="A183" s="18" t="s">
        <v>129</v>
      </c>
      <c r="B183" s="18">
        <f>E178*B182/E180*3.28</f>
        <v>15.0612516</v>
      </c>
      <c r="C183" s="18" t="s">
        <v>93</v>
      </c>
      <c r="D183" s="38"/>
      <c r="F183" s="39"/>
      <c r="G183" s="14"/>
    </row>
    <row r="184" ht="15.75" customHeight="1">
      <c r="A184" s="18" t="s">
        <v>130</v>
      </c>
      <c r="B184" s="18">
        <f>468*EXP(0.1482*B183)</f>
        <v>4361.388649</v>
      </c>
      <c r="C184" s="18" t="s">
        <v>36</v>
      </c>
      <c r="D184" s="38"/>
      <c r="F184" s="39"/>
      <c r="G184" s="14"/>
    </row>
    <row r="185" ht="15.75" customHeight="1">
      <c r="A185" s="18" t="s">
        <v>131</v>
      </c>
      <c r="B185" s="18">
        <f>B177*B179*B180*B181*B184</f>
        <v>80100.45185</v>
      </c>
      <c r="C185" s="18" t="s">
        <v>36</v>
      </c>
      <c r="D185" s="38"/>
      <c r="F185" s="39"/>
      <c r="G185" s="14"/>
    </row>
    <row r="186" ht="15.75" customHeight="1">
      <c r="A186" s="18" t="s">
        <v>123</v>
      </c>
      <c r="B186" s="18">
        <f>B177*2+15</f>
        <v>45</v>
      </c>
      <c r="C186" s="18" t="s">
        <v>93</v>
      </c>
      <c r="D186" s="38"/>
      <c r="F186" s="39"/>
      <c r="G186" s="14"/>
    </row>
    <row r="187" ht="15.75" customHeight="1">
      <c r="A187" s="18" t="s">
        <v>97</v>
      </c>
      <c r="B187" s="18">
        <f>341*(B183^0.63316)*(B186^0.80161)</f>
        <v>40156.93643</v>
      </c>
      <c r="C187" s="18" t="s">
        <v>36</v>
      </c>
      <c r="D187" s="38"/>
      <c r="F187" s="39"/>
      <c r="G187" s="14"/>
    </row>
    <row r="188" ht="15.75" customHeight="1">
      <c r="A188" s="18" t="s">
        <v>46</v>
      </c>
      <c r="B188" s="18">
        <v>1.0</v>
      </c>
      <c r="C188" s="59" t="s">
        <v>128</v>
      </c>
      <c r="D188" s="38"/>
      <c r="F188" s="39"/>
      <c r="G188" s="14"/>
    </row>
    <row r="189" ht="15.75" customHeight="1">
      <c r="A189" s="18" t="s">
        <v>99</v>
      </c>
      <c r="B189" s="18">
        <v>490.0</v>
      </c>
      <c r="C189" s="18" t="s">
        <v>100</v>
      </c>
      <c r="D189" s="38"/>
      <c r="F189" s="39"/>
      <c r="G189" s="14"/>
    </row>
    <row r="190" ht="15.75" customHeight="1">
      <c r="A190" s="18" t="s">
        <v>102</v>
      </c>
      <c r="B190" s="18">
        <v>0.1043</v>
      </c>
      <c r="C190" s="18" t="s">
        <v>93</v>
      </c>
      <c r="D190" s="38"/>
      <c r="F190" s="39"/>
      <c r="G190" s="14"/>
    </row>
    <row r="191" ht="15.75" customHeight="1">
      <c r="A191" s="18" t="s">
        <v>103</v>
      </c>
      <c r="B191" s="18">
        <f>B189*B190*PI()*(B183+B190)*(B186+0.8*B183)</f>
        <v>138910.9617</v>
      </c>
      <c r="C191" s="18" t="s">
        <v>104</v>
      </c>
      <c r="D191" s="38"/>
      <c r="F191" s="39"/>
      <c r="G191" s="14"/>
    </row>
    <row r="192" ht="15.75" customHeight="1">
      <c r="A192" s="18" t="s">
        <v>105</v>
      </c>
      <c r="B192" s="18">
        <f>EXP(7.139+0.18255*LN(B191)+0.02297*(LN(B191))^2)</f>
        <v>274198.9624</v>
      </c>
      <c r="C192" s="18" t="s">
        <v>36</v>
      </c>
      <c r="D192" s="38"/>
      <c r="F192" s="39"/>
      <c r="G192" s="14"/>
    </row>
    <row r="193" ht="15.75" customHeight="1">
      <c r="A193" s="18" t="s">
        <v>106</v>
      </c>
      <c r="B193" s="18">
        <f>B188*B192+B187+B185</f>
        <v>394456.3507</v>
      </c>
      <c r="C193" s="18" t="s">
        <v>36</v>
      </c>
      <c r="D193" s="38"/>
      <c r="F193" s="39"/>
      <c r="G193" s="14"/>
    </row>
    <row r="194" ht="15.75" customHeight="1">
      <c r="A194" s="18" t="s">
        <v>40</v>
      </c>
      <c r="B194" s="18">
        <v>4.16</v>
      </c>
      <c r="C194" s="18" t="s">
        <v>107</v>
      </c>
      <c r="D194" s="38"/>
      <c r="F194" s="39"/>
      <c r="G194" s="14"/>
    </row>
    <row r="195" ht="15.75" customHeight="1">
      <c r="A195" s="28" t="s">
        <v>48</v>
      </c>
      <c r="B195" s="33">
        <f>B193*B194</f>
        <v>1640938.419</v>
      </c>
      <c r="C195" s="28" t="s">
        <v>36</v>
      </c>
      <c r="D195" s="40"/>
      <c r="E195" s="41"/>
      <c r="F195" s="42"/>
      <c r="G195" s="14"/>
    </row>
    <row r="196" ht="15.75" customHeight="1">
      <c r="A196" s="15" t="s">
        <v>132</v>
      </c>
      <c r="B196" s="12"/>
      <c r="C196" s="12"/>
      <c r="D196" s="12"/>
      <c r="E196" s="12"/>
      <c r="F196" s="13"/>
      <c r="G196" s="14"/>
    </row>
    <row r="197" ht="15.75" customHeight="1">
      <c r="A197" s="34" t="s">
        <v>24</v>
      </c>
      <c r="B197" s="34" t="s">
        <v>25</v>
      </c>
      <c r="C197" s="34" t="s">
        <v>26</v>
      </c>
      <c r="D197" s="34" t="s">
        <v>24</v>
      </c>
      <c r="E197" s="34" t="s">
        <v>25</v>
      </c>
      <c r="F197" s="34" t="s">
        <v>26</v>
      </c>
      <c r="G197" s="14"/>
    </row>
    <row r="198" ht="15.75" customHeight="1">
      <c r="A198" s="18" t="s">
        <v>120</v>
      </c>
      <c r="B198" s="23">
        <v>15.0</v>
      </c>
      <c r="C198" s="18" t="s">
        <v>28</v>
      </c>
      <c r="D198" s="18" t="s">
        <v>120</v>
      </c>
      <c r="E198" s="23">
        <v>15.0</v>
      </c>
      <c r="F198" s="18" t="s">
        <v>28</v>
      </c>
      <c r="G198" s="14"/>
    </row>
    <row r="199" ht="15.75" customHeight="1">
      <c r="A199" s="18" t="s">
        <v>121</v>
      </c>
      <c r="B199" s="18">
        <v>0.44</v>
      </c>
      <c r="C199" s="30" t="s">
        <v>45</v>
      </c>
      <c r="D199" s="18" t="s">
        <v>67</v>
      </c>
      <c r="E199" s="23">
        <v>2.25</v>
      </c>
      <c r="F199" s="18" t="s">
        <v>30</v>
      </c>
      <c r="G199" s="14"/>
    </row>
    <row r="200" ht="15.75" customHeight="1">
      <c r="A200" s="18" t="s">
        <v>122</v>
      </c>
      <c r="B200" s="18">
        <f>2.25/1.0414^B198</f>
        <v>1.224387587</v>
      </c>
      <c r="C200" s="32"/>
      <c r="D200" s="18" t="s">
        <v>123</v>
      </c>
      <c r="E200" s="18">
        <f>E198*2+15</f>
        <v>45</v>
      </c>
      <c r="F200" s="18" t="s">
        <v>93</v>
      </c>
      <c r="G200" s="14"/>
    </row>
    <row r="201" ht="15.75" customHeight="1">
      <c r="A201" s="18" t="s">
        <v>124</v>
      </c>
      <c r="B201" s="18">
        <v>1.0</v>
      </c>
      <c r="C201" s="18" t="s">
        <v>125</v>
      </c>
      <c r="D201" s="18" t="s">
        <v>126</v>
      </c>
      <c r="E201" s="23">
        <v>400.0</v>
      </c>
      <c r="F201" s="18" t="s">
        <v>66</v>
      </c>
      <c r="G201" s="14"/>
    </row>
    <row r="202" ht="15.75" customHeight="1">
      <c r="A202" s="59" t="s">
        <v>127</v>
      </c>
      <c r="B202" s="59">
        <v>1.0</v>
      </c>
      <c r="C202" s="59" t="s">
        <v>128</v>
      </c>
      <c r="D202" s="35"/>
      <c r="E202" s="36"/>
      <c r="F202" s="37"/>
      <c r="G202" s="14"/>
    </row>
    <row r="203" ht="15.75" customHeight="1">
      <c r="A203" s="60" t="s">
        <v>126</v>
      </c>
      <c r="B203" s="61">
        <v>465.307</v>
      </c>
      <c r="C203" s="60" t="s">
        <v>66</v>
      </c>
      <c r="D203" s="38"/>
      <c r="F203" s="39"/>
      <c r="G203" s="14"/>
    </row>
    <row r="204" ht="15.75" customHeight="1">
      <c r="A204" s="18" t="s">
        <v>129</v>
      </c>
      <c r="B204" s="18">
        <f>E199*B203/E201*3.28</f>
        <v>8.58491415</v>
      </c>
      <c r="C204" s="18" t="s">
        <v>93</v>
      </c>
      <c r="D204" s="38"/>
      <c r="F204" s="39"/>
      <c r="G204" s="14"/>
    </row>
    <row r="205" ht="15.75" customHeight="1">
      <c r="A205" s="18" t="s">
        <v>130</v>
      </c>
      <c r="B205" s="18">
        <f>468*EXP(0.1482*B204)</f>
        <v>1670.29005</v>
      </c>
      <c r="C205" s="18" t="s">
        <v>36</v>
      </c>
      <c r="D205" s="38"/>
      <c r="F205" s="39"/>
      <c r="G205" s="14"/>
    </row>
    <row r="206" ht="15.75" customHeight="1">
      <c r="A206" s="18" t="s">
        <v>131</v>
      </c>
      <c r="B206" s="18">
        <f>B198*B200*B201*B202*B205</f>
        <v>30676.23606</v>
      </c>
      <c r="C206" s="18" t="s">
        <v>36</v>
      </c>
      <c r="D206" s="38"/>
      <c r="F206" s="39"/>
      <c r="G206" s="14"/>
    </row>
    <row r="207" ht="15.75" customHeight="1">
      <c r="A207" s="18" t="s">
        <v>123</v>
      </c>
      <c r="B207" s="18">
        <f>B198*2+15</f>
        <v>45</v>
      </c>
      <c r="C207" s="18" t="s">
        <v>93</v>
      </c>
      <c r="D207" s="38"/>
      <c r="F207" s="39"/>
      <c r="G207" s="14"/>
    </row>
    <row r="208" ht="15.75" customHeight="1">
      <c r="A208" s="18" t="s">
        <v>97</v>
      </c>
      <c r="B208" s="18">
        <f>341*(B204^0.63316)*(B207^0.80161)</f>
        <v>28131.33357</v>
      </c>
      <c r="C208" s="18" t="s">
        <v>36</v>
      </c>
      <c r="D208" s="38"/>
      <c r="F208" s="39"/>
      <c r="G208" s="14"/>
    </row>
    <row r="209" ht="15.75" customHeight="1">
      <c r="A209" s="18" t="s">
        <v>46</v>
      </c>
      <c r="B209" s="18">
        <v>1.0</v>
      </c>
      <c r="C209" s="59" t="s">
        <v>128</v>
      </c>
      <c r="D209" s="38"/>
      <c r="F209" s="39"/>
      <c r="G209" s="14"/>
    </row>
    <row r="210" ht="15.75" customHeight="1">
      <c r="A210" s="18" t="s">
        <v>99</v>
      </c>
      <c r="B210" s="18">
        <v>490.0</v>
      </c>
      <c r="C210" s="18" t="s">
        <v>100</v>
      </c>
      <c r="D210" s="38"/>
      <c r="F210" s="39"/>
      <c r="G210" s="14"/>
    </row>
    <row r="211" ht="15.75" customHeight="1">
      <c r="A211" s="18" t="s">
        <v>102</v>
      </c>
      <c r="B211" s="18">
        <v>0.1043</v>
      </c>
      <c r="C211" s="18" t="s">
        <v>93</v>
      </c>
      <c r="D211" s="38"/>
      <c r="F211" s="39"/>
      <c r="G211" s="14"/>
    </row>
    <row r="212" ht="15.75" customHeight="1">
      <c r="A212" s="18" t="s">
        <v>103</v>
      </c>
      <c r="B212" s="18">
        <f>B210*B211*PI()*(B204+B211)*(B207+0.8*B204)</f>
        <v>72361.85459</v>
      </c>
      <c r="C212" s="18" t="s">
        <v>104</v>
      </c>
      <c r="D212" s="38"/>
      <c r="F212" s="39"/>
      <c r="G212" s="14"/>
    </row>
    <row r="213" ht="15.75" customHeight="1">
      <c r="A213" s="18" t="s">
        <v>105</v>
      </c>
      <c r="B213" s="18">
        <f>EXP(7.139+0.18255*LN(B212)+0.02297*(LN(B212))^2)</f>
        <v>172396.8619</v>
      </c>
      <c r="C213" s="18" t="s">
        <v>36</v>
      </c>
      <c r="D213" s="38"/>
      <c r="F213" s="39"/>
      <c r="G213" s="14"/>
    </row>
    <row r="214" ht="15.75" customHeight="1">
      <c r="A214" s="18" t="s">
        <v>106</v>
      </c>
      <c r="B214" s="18">
        <f>B209*B213+B208+B206</f>
        <v>231204.4315</v>
      </c>
      <c r="C214" s="18" t="s">
        <v>36</v>
      </c>
      <c r="D214" s="38"/>
      <c r="F214" s="39"/>
      <c r="G214" s="14"/>
    </row>
    <row r="215" ht="15.75" customHeight="1">
      <c r="A215" s="18" t="s">
        <v>40</v>
      </c>
      <c r="B215" s="18">
        <v>4.16</v>
      </c>
      <c r="C215" s="18" t="s">
        <v>107</v>
      </c>
      <c r="D215" s="38"/>
      <c r="F215" s="39"/>
      <c r="G215" s="14"/>
    </row>
    <row r="216" ht="15.75" customHeight="1">
      <c r="A216" s="28" t="s">
        <v>48</v>
      </c>
      <c r="B216" s="33">
        <f>B214*B215</f>
        <v>961810.4352</v>
      </c>
      <c r="C216" s="28" t="s">
        <v>36</v>
      </c>
      <c r="D216" s="40"/>
      <c r="E216" s="41"/>
      <c r="F216" s="42"/>
      <c r="G216" s="14"/>
    </row>
    <row r="217" ht="15.75" customHeight="1">
      <c r="A217" s="62" t="s">
        <v>133</v>
      </c>
      <c r="G217" s="14"/>
    </row>
    <row r="218" ht="15.75" customHeight="1">
      <c r="A218" s="44" t="s">
        <v>24</v>
      </c>
      <c r="B218" s="44" t="s">
        <v>25</v>
      </c>
      <c r="C218" s="44" t="s">
        <v>26</v>
      </c>
      <c r="D218" s="44" t="s">
        <v>24</v>
      </c>
      <c r="E218" s="44" t="s">
        <v>25</v>
      </c>
      <c r="F218" s="44" t="s">
        <v>26</v>
      </c>
      <c r="G218" s="14"/>
    </row>
    <row r="219" ht="15.75" customHeight="1">
      <c r="A219" s="45" t="s">
        <v>120</v>
      </c>
      <c r="B219" s="45">
        <v>15.0</v>
      </c>
      <c r="C219" s="45" t="s">
        <v>28</v>
      </c>
      <c r="D219" s="45" t="s">
        <v>120</v>
      </c>
      <c r="E219" s="46">
        <v>15.0</v>
      </c>
      <c r="F219" s="45" t="s">
        <v>28</v>
      </c>
      <c r="G219" s="14"/>
    </row>
    <row r="220" ht="15.75" customHeight="1">
      <c r="A220" s="45" t="s">
        <v>121</v>
      </c>
      <c r="B220" s="45">
        <v>0.25</v>
      </c>
      <c r="C220" s="49" t="s">
        <v>45</v>
      </c>
      <c r="D220" s="45" t="s">
        <v>67</v>
      </c>
      <c r="E220" s="45">
        <v>1.36</v>
      </c>
      <c r="F220" s="45" t="s">
        <v>30</v>
      </c>
      <c r="G220" s="14"/>
    </row>
    <row r="221" ht="15.75" customHeight="1">
      <c r="A221" s="45" t="s">
        <v>122</v>
      </c>
      <c r="B221" s="45">
        <f>2.25/1.0414^B219</f>
        <v>1.224387587</v>
      </c>
      <c r="C221" s="32"/>
      <c r="D221" s="45" t="s">
        <v>123</v>
      </c>
      <c r="E221" s="45">
        <f>E219*2+15</f>
        <v>45</v>
      </c>
      <c r="F221" s="45" t="s">
        <v>93</v>
      </c>
      <c r="G221" s="14"/>
    </row>
    <row r="222" ht="15.75" customHeight="1">
      <c r="A222" s="45" t="s">
        <v>124</v>
      </c>
      <c r="B222" s="45">
        <v>1.0</v>
      </c>
      <c r="C222" s="45" t="s">
        <v>125</v>
      </c>
      <c r="D222" s="45" t="s">
        <v>126</v>
      </c>
      <c r="E222" s="46">
        <v>300.0</v>
      </c>
      <c r="F222" s="45" t="s">
        <v>66</v>
      </c>
      <c r="G222" s="14"/>
    </row>
    <row r="223" ht="15.75" customHeight="1">
      <c r="A223" s="63" t="s">
        <v>127</v>
      </c>
      <c r="B223" s="63">
        <v>1.0</v>
      </c>
      <c r="C223" s="63" t="s">
        <v>128</v>
      </c>
      <c r="D223" s="64" t="s">
        <v>134</v>
      </c>
      <c r="E223" s="36"/>
      <c r="F223" s="37"/>
      <c r="G223" s="14"/>
    </row>
    <row r="224" ht="15.75" customHeight="1">
      <c r="A224" s="45" t="s">
        <v>126</v>
      </c>
      <c r="B224" s="46">
        <v>339.443</v>
      </c>
      <c r="C224" s="45" t="s">
        <v>66</v>
      </c>
      <c r="D224" s="38"/>
      <c r="F224" s="39"/>
      <c r="G224" s="14"/>
    </row>
    <row r="225" ht="15.75" customHeight="1">
      <c r="A225" s="45" t="s">
        <v>129</v>
      </c>
      <c r="B225" s="45">
        <f>E220*B224/E222*3.28</f>
        <v>5.047291115</v>
      </c>
      <c r="C225" s="45" t="s">
        <v>93</v>
      </c>
      <c r="D225" s="38"/>
      <c r="F225" s="39"/>
      <c r="G225" s="14"/>
    </row>
    <row r="226" ht="15.75" customHeight="1">
      <c r="A226" s="45" t="s">
        <v>130</v>
      </c>
      <c r="B226" s="51">
        <f>468*EXP(0.1482*B225)</f>
        <v>988.7849233</v>
      </c>
      <c r="C226" s="45" t="s">
        <v>36</v>
      </c>
      <c r="D226" s="38"/>
      <c r="F226" s="39"/>
      <c r="G226" s="14"/>
    </row>
    <row r="227" ht="15.75" customHeight="1">
      <c r="A227" s="45" t="s">
        <v>131</v>
      </c>
      <c r="B227" s="51">
        <f>B219*B221*B222*B223*B226</f>
        <v>18159.83979</v>
      </c>
      <c r="C227" s="45" t="s">
        <v>36</v>
      </c>
      <c r="D227" s="38"/>
      <c r="F227" s="39"/>
      <c r="G227" s="14"/>
    </row>
    <row r="228" ht="15.75" customHeight="1">
      <c r="A228" s="45" t="s">
        <v>123</v>
      </c>
      <c r="B228" s="45">
        <f>B219*2+15</f>
        <v>45</v>
      </c>
      <c r="C228" s="45" t="s">
        <v>93</v>
      </c>
      <c r="D228" s="38"/>
      <c r="F228" s="39"/>
      <c r="G228" s="14"/>
    </row>
    <row r="229" ht="15.75" customHeight="1">
      <c r="A229" s="45" t="s">
        <v>97</v>
      </c>
      <c r="B229" s="51">
        <f>341*(B225^0.63316)*(B228^0.80161)</f>
        <v>20097.15073</v>
      </c>
      <c r="C229" s="45" t="s">
        <v>36</v>
      </c>
      <c r="D229" s="38"/>
      <c r="F229" s="39"/>
      <c r="G229" s="14"/>
    </row>
    <row r="230" ht="15.75" customHeight="1">
      <c r="A230" s="45" t="s">
        <v>46</v>
      </c>
      <c r="B230" s="45">
        <v>1.0</v>
      </c>
      <c r="C230" s="63" t="s">
        <v>128</v>
      </c>
      <c r="D230" s="38"/>
      <c r="F230" s="39"/>
      <c r="G230" s="14"/>
    </row>
    <row r="231" ht="15.75" customHeight="1">
      <c r="A231" s="45" t="s">
        <v>99</v>
      </c>
      <c r="B231" s="45">
        <v>490.0</v>
      </c>
      <c r="C231" s="45" t="s">
        <v>100</v>
      </c>
      <c r="D231" s="38"/>
      <c r="F231" s="39"/>
      <c r="G231" s="14"/>
    </row>
    <row r="232" ht="15.75" customHeight="1">
      <c r="A232" s="45" t="s">
        <v>102</v>
      </c>
      <c r="B232" s="65">
        <v>0.1043</v>
      </c>
      <c r="C232" s="45" t="s">
        <v>93</v>
      </c>
      <c r="D232" s="38"/>
      <c r="F232" s="39"/>
      <c r="G232" s="14"/>
    </row>
    <row r="233" ht="15.75" customHeight="1">
      <c r="A233" s="45" t="s">
        <v>103</v>
      </c>
      <c r="B233" s="45">
        <f>B231*B232*PI()*(B225+B232)*(B228+0.8*B225)</f>
        <v>40560.46413</v>
      </c>
      <c r="C233" s="45" t="s">
        <v>104</v>
      </c>
      <c r="D233" s="38"/>
      <c r="F233" s="39"/>
      <c r="G233" s="14"/>
    </row>
    <row r="234" ht="15.75" customHeight="1">
      <c r="A234" s="45" t="s">
        <v>105</v>
      </c>
      <c r="B234" s="51">
        <f>EXP(7.139+0.18255*LN(B233)+0.02297*(LN(B233))^2)</f>
        <v>116076.4743</v>
      </c>
      <c r="C234" s="45" t="s">
        <v>36</v>
      </c>
      <c r="D234" s="38"/>
      <c r="F234" s="39"/>
      <c r="G234" s="14"/>
    </row>
    <row r="235" ht="15.75" customHeight="1">
      <c r="A235" s="45" t="s">
        <v>106</v>
      </c>
      <c r="B235" s="51">
        <f>B230*B234+B229+B227</f>
        <v>154333.4648</v>
      </c>
      <c r="C235" s="45" t="s">
        <v>36</v>
      </c>
      <c r="D235" s="38"/>
      <c r="F235" s="39"/>
      <c r="G235" s="14"/>
    </row>
    <row r="236" ht="15.75" customHeight="1">
      <c r="A236" s="45" t="s">
        <v>40</v>
      </c>
      <c r="B236" s="45">
        <v>4.16</v>
      </c>
      <c r="C236" s="45" t="s">
        <v>107</v>
      </c>
      <c r="D236" s="38"/>
      <c r="F236" s="39"/>
      <c r="G236" s="14"/>
    </row>
    <row r="237" ht="15.75" customHeight="1">
      <c r="A237" s="54" t="s">
        <v>48</v>
      </c>
      <c r="B237" s="55">
        <f>B235*B236</f>
        <v>642027.2135</v>
      </c>
      <c r="C237" s="54" t="s">
        <v>36</v>
      </c>
      <c r="D237" s="40"/>
      <c r="E237" s="41"/>
      <c r="F237" s="42"/>
      <c r="G237" s="14"/>
    </row>
    <row r="238" ht="15.75" customHeight="1">
      <c r="A238" s="66" t="s">
        <v>135</v>
      </c>
      <c r="B238" s="36"/>
      <c r="C238" s="37"/>
      <c r="D238" s="67">
        <f>sum(B16,B31,B44,B57,B70,B83,B96,B109,B132,B142,B152,B162,B172,B195,B216,B237)</f>
        <v>17652592.33</v>
      </c>
      <c r="E238" s="36"/>
      <c r="F238" s="37"/>
      <c r="G238" s="14"/>
    </row>
    <row r="239" ht="15.75" customHeight="1">
      <c r="A239" s="40"/>
      <c r="B239" s="41"/>
      <c r="C239" s="42"/>
      <c r="D239" s="40"/>
      <c r="E239" s="41"/>
      <c r="F239" s="42"/>
      <c r="G239" s="14"/>
    </row>
    <row r="240" ht="15.75" customHeight="1">
      <c r="A240" s="14"/>
      <c r="B240" s="14"/>
      <c r="C240" s="14"/>
      <c r="D240" s="14"/>
      <c r="E240" s="14"/>
      <c r="F240" s="14"/>
      <c r="G240" s="14"/>
    </row>
  </sheetData>
  <mergeCells count="51">
    <mergeCell ref="A1:C1"/>
    <mergeCell ref="D1:F1"/>
    <mergeCell ref="A2:F2"/>
    <mergeCell ref="G2:G11"/>
    <mergeCell ref="C13:C15"/>
    <mergeCell ref="A17:F17"/>
    <mergeCell ref="A32:F32"/>
    <mergeCell ref="C28:C30"/>
    <mergeCell ref="D34:F44"/>
    <mergeCell ref="C41:C43"/>
    <mergeCell ref="A45:F45"/>
    <mergeCell ref="D47:F57"/>
    <mergeCell ref="C54:C56"/>
    <mergeCell ref="A58:F58"/>
    <mergeCell ref="D60:F70"/>
    <mergeCell ref="C67:C69"/>
    <mergeCell ref="A71:F71"/>
    <mergeCell ref="D73:F83"/>
    <mergeCell ref="C80:C82"/>
    <mergeCell ref="A84:F84"/>
    <mergeCell ref="D86:F96"/>
    <mergeCell ref="C93:C95"/>
    <mergeCell ref="A97:F97"/>
    <mergeCell ref="D99:F109"/>
    <mergeCell ref="C106:C108"/>
    <mergeCell ref="A110:F110"/>
    <mergeCell ref="C113:C119"/>
    <mergeCell ref="F113:F119"/>
    <mergeCell ref="F120:F126"/>
    <mergeCell ref="D127:F132"/>
    <mergeCell ref="A133:F133"/>
    <mergeCell ref="D134:F142"/>
    <mergeCell ref="A143:F143"/>
    <mergeCell ref="D144:F152"/>
    <mergeCell ref="A153:F153"/>
    <mergeCell ref="D154:F162"/>
    <mergeCell ref="A163:F163"/>
    <mergeCell ref="D164:F172"/>
    <mergeCell ref="A173:F173"/>
    <mergeCell ref="A174:F174"/>
    <mergeCell ref="A175:F175"/>
    <mergeCell ref="C178:C179"/>
    <mergeCell ref="A238:C239"/>
    <mergeCell ref="D238:F239"/>
    <mergeCell ref="D181:F195"/>
    <mergeCell ref="A196:F196"/>
    <mergeCell ref="C199:C200"/>
    <mergeCell ref="D202:F216"/>
    <mergeCell ref="A217:F217"/>
    <mergeCell ref="C220:C221"/>
    <mergeCell ref="D223:F2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4" max="14" width="21.38"/>
  </cols>
  <sheetData>
    <row r="1" ht="15.75" customHeight="1">
      <c r="A1" s="68" t="s">
        <v>136</v>
      </c>
      <c r="B1" s="69"/>
      <c r="C1" s="69"/>
      <c r="D1" s="69"/>
      <c r="E1" s="69"/>
      <c r="F1" s="69"/>
      <c r="G1" s="70" t="s">
        <v>137</v>
      </c>
      <c r="H1" s="69"/>
      <c r="I1" s="69"/>
      <c r="J1" s="69"/>
      <c r="K1" s="69"/>
      <c r="L1" s="69"/>
      <c r="M1" s="69"/>
      <c r="N1" s="69"/>
    </row>
    <row r="2" ht="15.75" customHeight="1">
      <c r="A2" s="69"/>
      <c r="B2" s="69"/>
      <c r="C2" s="69"/>
      <c r="D2" s="69"/>
      <c r="E2" s="69"/>
      <c r="F2" s="69"/>
      <c r="G2" s="68" t="s">
        <v>138</v>
      </c>
      <c r="H2" s="69"/>
      <c r="I2" s="69"/>
      <c r="J2" s="69"/>
      <c r="K2" s="69"/>
      <c r="L2" s="69"/>
      <c r="M2" s="69"/>
      <c r="N2" s="69"/>
    </row>
    <row r="3" ht="15.75" customHeight="1">
      <c r="A3" s="71" t="s">
        <v>139</v>
      </c>
      <c r="B3" s="72" t="s">
        <v>140</v>
      </c>
      <c r="C3" s="73"/>
      <c r="D3" s="73"/>
      <c r="E3" s="73"/>
      <c r="F3" s="73"/>
      <c r="G3" s="71"/>
      <c r="H3" s="71"/>
      <c r="I3" s="71"/>
      <c r="J3" s="71"/>
      <c r="K3" s="71" t="s">
        <v>141</v>
      </c>
      <c r="L3" s="72" t="s">
        <v>142</v>
      </c>
      <c r="M3" s="73"/>
      <c r="N3" s="69"/>
    </row>
    <row r="4" ht="15.75" customHeight="1">
      <c r="A4" s="71" t="s">
        <v>143</v>
      </c>
      <c r="B4" s="72" t="s">
        <v>144</v>
      </c>
      <c r="C4" s="73"/>
      <c r="D4" s="73"/>
      <c r="E4" s="73"/>
      <c r="F4" s="73"/>
      <c r="G4" s="71"/>
      <c r="H4" s="71"/>
      <c r="I4" s="71"/>
      <c r="J4" s="71"/>
      <c r="K4" s="71" t="s">
        <v>145</v>
      </c>
      <c r="L4" s="74">
        <v>123456.0</v>
      </c>
      <c r="M4" s="73"/>
      <c r="N4" s="69"/>
    </row>
    <row r="5" ht="15.75" customHeight="1">
      <c r="A5" s="71" t="s">
        <v>146</v>
      </c>
      <c r="B5" s="72" t="s">
        <v>147</v>
      </c>
      <c r="C5" s="73"/>
      <c r="D5" s="73"/>
      <c r="E5" s="73"/>
      <c r="F5" s="73"/>
      <c r="G5" s="71"/>
      <c r="H5" s="71"/>
      <c r="I5" s="71"/>
      <c r="J5" s="71"/>
      <c r="K5" s="71" t="s">
        <v>148</v>
      </c>
      <c r="L5" s="72" t="s">
        <v>149</v>
      </c>
      <c r="M5" s="73"/>
      <c r="N5" s="69"/>
    </row>
    <row r="6" ht="15.75" customHeight="1">
      <c r="A6" s="71" t="s">
        <v>150</v>
      </c>
      <c r="B6" s="73" t="s">
        <v>151</v>
      </c>
      <c r="C6" s="73"/>
      <c r="D6" s="73"/>
      <c r="E6" s="73"/>
      <c r="F6" s="73"/>
      <c r="G6" s="71"/>
      <c r="H6" s="71"/>
      <c r="I6" s="71"/>
      <c r="J6" s="71"/>
      <c r="K6" s="71" t="s">
        <v>152</v>
      </c>
      <c r="L6" s="75">
        <v>44616.0</v>
      </c>
      <c r="M6" s="76"/>
      <c r="N6" s="69"/>
    </row>
    <row r="7" ht="15.75" customHeight="1">
      <c r="A7" s="71" t="s">
        <v>153</v>
      </c>
      <c r="B7" s="72" t="s">
        <v>154</v>
      </c>
      <c r="C7" s="73"/>
      <c r="D7" s="73"/>
      <c r="E7" s="73"/>
      <c r="F7" s="73"/>
      <c r="G7" s="71"/>
      <c r="H7" s="71"/>
      <c r="I7" s="71"/>
      <c r="J7" s="71"/>
      <c r="K7" s="71"/>
      <c r="L7" s="71"/>
      <c r="M7" s="71"/>
      <c r="N7" s="69"/>
    </row>
    <row r="8" ht="15.75" customHeight="1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1" t="s">
        <v>155</v>
      </c>
      <c r="N8" s="69"/>
    </row>
    <row r="9" ht="15.75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77" t="s">
        <v>156</v>
      </c>
      <c r="N9" s="78" t="s">
        <v>157</v>
      </c>
    </row>
    <row r="10" ht="15.75" customHeight="1">
      <c r="A10" s="79" t="s">
        <v>158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80">
        <f>'Sizing H-mordenite'!D238/1000</f>
        <v>17652.59233</v>
      </c>
    </row>
    <row r="11" ht="15.75" customHeight="1">
      <c r="A11" s="79" t="s">
        <v>159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81">
        <v>0.1</v>
      </c>
      <c r="M11" s="82" t="s">
        <v>160</v>
      </c>
      <c r="N11" s="83">
        <f>L11*N10</f>
        <v>1765.259233</v>
      </c>
    </row>
    <row r="12" ht="15.75" customHeight="1">
      <c r="A12" s="69"/>
      <c r="B12" s="71" t="s">
        <v>161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83">
        <f>SUM(N10:N11)</f>
        <v>19417.85156</v>
      </c>
    </row>
    <row r="13" ht="15.75" customHeight="1">
      <c r="A13" s="79" t="s">
        <v>162</v>
      </c>
      <c r="B13" s="69"/>
      <c r="C13" s="69"/>
      <c r="D13" s="69"/>
      <c r="E13" s="69"/>
      <c r="F13" s="81">
        <v>0.05</v>
      </c>
      <c r="G13" s="81">
        <v>0.1</v>
      </c>
      <c r="H13" s="81">
        <v>0.1</v>
      </c>
      <c r="I13" s="69"/>
      <c r="J13" s="69"/>
      <c r="K13" s="69"/>
      <c r="L13" s="84">
        <v>0.0</v>
      </c>
      <c r="M13" s="82" t="s">
        <v>163</v>
      </c>
      <c r="N13" s="83">
        <f>ROUND(+L13*N12,-1)</f>
        <v>0</v>
      </c>
    </row>
    <row r="14" ht="15.75" customHeight="1">
      <c r="A14" s="79" t="s">
        <v>164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85"/>
    </row>
    <row r="15" ht="15.75" customHeight="1">
      <c r="A15" s="79" t="s">
        <v>165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81">
        <v>0.0</v>
      </c>
      <c r="M15" s="82" t="s">
        <v>160</v>
      </c>
      <c r="N15" s="83">
        <f>ROUND(+L15*(N12+N14),-1)</f>
        <v>0</v>
      </c>
    </row>
    <row r="16" ht="15.75" customHeight="1">
      <c r="A16" s="69"/>
      <c r="B16" s="71" t="s">
        <v>166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83">
        <f>SUM(N12:N15)</f>
        <v>19417.85156</v>
      </c>
    </row>
    <row r="17" ht="15.75" customHeight="1">
      <c r="A17" s="79" t="s">
        <v>167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81">
        <v>0.0</v>
      </c>
      <c r="M17" s="82" t="s">
        <v>168</v>
      </c>
      <c r="N17" s="83">
        <f>ROUND(+L17*N16,-1)</f>
        <v>0</v>
      </c>
    </row>
    <row r="18" ht="15.75" customHeight="1">
      <c r="A18" s="79" t="s">
        <v>169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81">
        <v>0.0</v>
      </c>
      <c r="M18" s="82" t="s">
        <v>170</v>
      </c>
      <c r="N18" s="83">
        <f>ROUND(+L18*N16,-1)</f>
        <v>0</v>
      </c>
    </row>
    <row r="19" ht="15.75" customHeight="1">
      <c r="A19" s="79" t="s">
        <v>171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81">
        <v>0.0</v>
      </c>
      <c r="M19" s="82" t="s">
        <v>172</v>
      </c>
      <c r="N19" s="83">
        <f>ROUND(+L19*N16,-1)</f>
        <v>0</v>
      </c>
    </row>
    <row r="20" ht="15.75" customHeight="1">
      <c r="A20" s="79" t="s">
        <v>173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80">
        <v>0.0</v>
      </c>
    </row>
    <row r="21" ht="15.75" customHeight="1">
      <c r="A21" s="79" t="s">
        <v>174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80">
        <v>0.0</v>
      </c>
    </row>
    <row r="22" ht="15.75" customHeight="1">
      <c r="A22" s="79" t="s">
        <v>175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80">
        <v>0.0</v>
      </c>
    </row>
    <row r="23" ht="15.75" customHeight="1">
      <c r="A23" s="69"/>
      <c r="B23" s="71" t="s">
        <v>176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83">
        <f>SUM(N16:N22)</f>
        <v>19417.85156</v>
      </c>
    </row>
    <row r="24" ht="15.75" customHeight="1">
      <c r="A24" s="79" t="s">
        <v>177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85"/>
    </row>
    <row r="25" ht="15.75" customHeight="1">
      <c r="A25" s="79" t="s">
        <v>178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86" t="s">
        <v>179</v>
      </c>
      <c r="N25" s="80">
        <f>('Sizing H-mordenite'!B8+'Sizing H-mordenite'!B23)/2/1000</f>
        <v>2177.21</v>
      </c>
    </row>
    <row r="26" ht="15.75" customHeight="1">
      <c r="A26" s="79" t="s">
        <v>180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80">
        <v>0.0</v>
      </c>
    </row>
    <row r="27" ht="15.75" customHeight="1">
      <c r="A27" s="79" t="s">
        <v>181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81">
        <v>0.1</v>
      </c>
      <c r="M27" s="82" t="s">
        <v>160</v>
      </c>
      <c r="N27" s="83">
        <f>ROUND(+L27*N23,-1)</f>
        <v>1940</v>
      </c>
    </row>
    <row r="28" ht="15.75" customHeight="1">
      <c r="A28" s="69"/>
      <c r="B28" s="71" t="s">
        <v>182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83">
        <f>SUM(N23:N27)</f>
        <v>23535.06156</v>
      </c>
    </row>
    <row r="29" ht="15.75" customHeight="1">
      <c r="A29" s="79" t="s">
        <v>183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80">
        <v>0.0</v>
      </c>
    </row>
    <row r="30" ht="15.75" customHeight="1">
      <c r="A30" s="79" t="s">
        <v>184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81">
        <v>0.1</v>
      </c>
      <c r="M30" s="82" t="s">
        <v>185</v>
      </c>
      <c r="N30" s="83">
        <f>ROUND(+L30*N28,-1)</f>
        <v>2350</v>
      </c>
    </row>
    <row r="31" ht="15.75" customHeight="1">
      <c r="A31" s="79" t="s">
        <v>186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85"/>
    </row>
    <row r="32" ht="15.75" customHeight="1">
      <c r="A32" s="79" t="s">
        <v>187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81">
        <v>0.05</v>
      </c>
      <c r="M32" s="82" t="s">
        <v>188</v>
      </c>
      <c r="N32" s="83">
        <f>ROUND(+L32*N28,-1)</f>
        <v>1180</v>
      </c>
    </row>
    <row r="33" ht="15.75" customHeight="1">
      <c r="A33" s="69" t="s">
        <v>189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85"/>
    </row>
    <row r="34" ht="15.75" customHeight="1">
      <c r="A34" s="69"/>
      <c r="B34" s="71" t="s">
        <v>190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83">
        <f>SUM(N28:N33)</f>
        <v>27065.06156</v>
      </c>
    </row>
    <row r="35" ht="15.75" customHeight="1">
      <c r="A35" s="79" t="s">
        <v>191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1">
        <v>0.2</v>
      </c>
      <c r="M35" s="82" t="s">
        <v>192</v>
      </c>
      <c r="N35" s="83">
        <f>ROUND(+L35*N34,0)</f>
        <v>5413</v>
      </c>
    </row>
    <row r="36" ht="15.75" customHeight="1">
      <c r="A36" s="79" t="s">
        <v>193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81">
        <v>0.1</v>
      </c>
      <c r="M36" s="82" t="s">
        <v>194</v>
      </c>
      <c r="N36" s="83">
        <f>ROUND(+L36*N34,0)</f>
        <v>2707</v>
      </c>
    </row>
    <row r="37" ht="15.75" customHeight="1">
      <c r="A37" s="69"/>
      <c r="B37" s="71" t="s">
        <v>195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83">
        <f>SUM(N34:N36)</f>
        <v>35185.06156</v>
      </c>
    </row>
    <row r="38" ht="15.75" customHeight="1">
      <c r="A38" s="79" t="s">
        <v>196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81">
        <v>0.3</v>
      </c>
      <c r="M38" s="82" t="s">
        <v>197</v>
      </c>
      <c r="N38" s="87"/>
    </row>
    <row r="39" ht="15.75" customHeight="1">
      <c r="A39" s="79" t="s">
        <v>198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81">
        <v>0.0</v>
      </c>
      <c r="M39" s="82" t="s">
        <v>160</v>
      </c>
      <c r="N39" s="83">
        <f>ROUND(ROUND(+L39*L38*N37,0),-1)</f>
        <v>0</v>
      </c>
    </row>
    <row r="40" ht="15.75" customHeight="1">
      <c r="A40" s="79" t="s">
        <v>199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1">
        <v>0.0</v>
      </c>
      <c r="M40" s="82" t="s">
        <v>200</v>
      </c>
      <c r="N40" s="83">
        <f>ROUND(ROUND(+L40*(1-L38)*N37,0),-1)</f>
        <v>0</v>
      </c>
    </row>
    <row r="41" ht="15.75" customHeight="1">
      <c r="A41" s="69" t="s">
        <v>201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1">
        <v>0.0</v>
      </c>
      <c r="M41" s="82" t="s">
        <v>202</v>
      </c>
      <c r="N41" s="83">
        <f>ROUND(ROUND(+L41*(1-L38)*N37,0),-1)</f>
        <v>0</v>
      </c>
    </row>
    <row r="42" ht="15.75" customHeight="1">
      <c r="A42" s="79" t="s">
        <v>203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1">
        <v>0.0</v>
      </c>
      <c r="M42" s="82" t="s">
        <v>204</v>
      </c>
      <c r="N42" s="83">
        <f>ROUND(+L42*L38*N37+L42*N39,-1)</f>
        <v>0</v>
      </c>
    </row>
    <row r="43" ht="15.75" customHeight="1">
      <c r="A43" s="69"/>
      <c r="B43" s="69" t="s">
        <v>205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83">
        <f>SUM(N37:N42)</f>
        <v>35185.06156</v>
      </c>
    </row>
    <row r="44" ht="15.75" customHeight="1">
      <c r="A44" s="79" t="s">
        <v>206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81">
        <v>0.03</v>
      </c>
      <c r="M44" s="82" t="s">
        <v>188</v>
      </c>
      <c r="N44" s="83">
        <f>L44*N43*L38</f>
        <v>316.665554</v>
      </c>
    </row>
    <row r="45" ht="15.75" customHeight="1">
      <c r="A45" s="79" t="s">
        <v>207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81">
        <v>0.03</v>
      </c>
      <c r="M45" s="82" t="s">
        <v>208</v>
      </c>
      <c r="N45" s="83">
        <f>ROUND(+L45*N43,-1)</f>
        <v>1060</v>
      </c>
    </row>
    <row r="46" ht="15.75" customHeight="1">
      <c r="A46" s="69"/>
      <c r="B46" s="69" t="s">
        <v>209</v>
      </c>
      <c r="C46" s="69"/>
      <c r="D46" s="69"/>
      <c r="E46" s="69"/>
      <c r="F46" s="69"/>
      <c r="G46" s="69"/>
      <c r="H46" s="71" t="s">
        <v>210</v>
      </c>
      <c r="I46" s="69"/>
      <c r="J46" s="71"/>
      <c r="K46" s="71" t="s">
        <v>211</v>
      </c>
      <c r="L46" s="88">
        <v>567.0</v>
      </c>
      <c r="M46" s="69"/>
      <c r="N46" s="83">
        <f>SUM(N43:N45)</f>
        <v>36561.72711</v>
      </c>
    </row>
    <row r="47" ht="15.75" customHeight="1">
      <c r="A47" s="89" t="s">
        <v>212</v>
      </c>
      <c r="B47" s="90" t="s">
        <v>213</v>
      </c>
      <c r="C47" s="89" t="s">
        <v>214</v>
      </c>
      <c r="D47" s="73" t="s">
        <v>215</v>
      </c>
      <c r="E47" s="89" t="s">
        <v>216</v>
      </c>
      <c r="F47" s="73" t="s">
        <v>217</v>
      </c>
      <c r="G47" s="69"/>
      <c r="H47" s="69"/>
      <c r="I47" s="69"/>
      <c r="J47" s="71" t="s">
        <v>218</v>
      </c>
      <c r="K47" s="71" t="s">
        <v>211</v>
      </c>
      <c r="L47" s="88">
        <v>747.0</v>
      </c>
      <c r="M47" s="69"/>
      <c r="N47" s="87"/>
    </row>
    <row r="48" ht="15.75" customHeight="1">
      <c r="A48" s="79" t="s">
        <v>219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84">
        <f>L47/L46-1</f>
        <v>0.3174603175</v>
      </c>
      <c r="M48" s="91"/>
      <c r="N48" s="83">
        <f>ROUND(ROUND(+L48*N46,0),-1)</f>
        <v>11610</v>
      </c>
    </row>
    <row r="49" ht="15.75" customHeight="1">
      <c r="A49" s="69"/>
      <c r="B49" s="79" t="s">
        <v>220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83">
        <f>SUM(N46:N48)</f>
        <v>48171.72711</v>
      </c>
    </row>
    <row r="50" ht="15.75" customHeight="1">
      <c r="A50" s="79" t="s">
        <v>221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81">
        <v>0.1</v>
      </c>
      <c r="M50" s="82" t="s">
        <v>222</v>
      </c>
      <c r="N50" s="83">
        <f>ROUND(ROUND(+L50*N49/(1-L50-L51),0),-1)</f>
        <v>5350</v>
      </c>
    </row>
    <row r="51" ht="15.75" customHeight="1">
      <c r="A51" s="79" t="s">
        <v>223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81">
        <v>0.0</v>
      </c>
      <c r="M51" s="82" t="s">
        <v>224</v>
      </c>
      <c r="N51" s="83">
        <f>ROUND(ROUND(+L51*N49/(1-L51-L50),0),-1)</f>
        <v>0</v>
      </c>
    </row>
    <row r="52" ht="15.75" customHeight="1">
      <c r="A52" s="79" t="s">
        <v>225</v>
      </c>
      <c r="B52" s="69"/>
      <c r="C52" s="69"/>
      <c r="D52" s="69"/>
      <c r="E52" s="79" t="s">
        <v>226</v>
      </c>
      <c r="F52" s="69"/>
      <c r="G52" s="69"/>
      <c r="H52" s="69"/>
      <c r="I52" s="69"/>
      <c r="J52" s="69"/>
      <c r="K52" s="69"/>
      <c r="L52" s="69"/>
      <c r="M52" s="69"/>
      <c r="N52" s="80">
        <v>0.0</v>
      </c>
    </row>
    <row r="53" ht="15.75" customHeight="1">
      <c r="A53" s="79" t="s">
        <v>227</v>
      </c>
      <c r="B53" s="69"/>
      <c r="C53" s="69"/>
      <c r="D53" s="69"/>
      <c r="E53" s="69"/>
      <c r="F53" s="69" t="s">
        <v>228</v>
      </c>
      <c r="G53" s="69"/>
      <c r="H53" s="69"/>
      <c r="I53" s="69"/>
      <c r="J53" s="69"/>
      <c r="K53" s="69"/>
      <c r="L53" s="69"/>
      <c r="M53" s="69"/>
      <c r="N53" s="80">
        <v>0.0</v>
      </c>
    </row>
    <row r="54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92" t="s">
        <v>229</v>
      </c>
      <c r="N54" s="93">
        <f>SUM(N49:N53)</f>
        <v>53521.72711</v>
      </c>
    </row>
    <row r="55" ht="15.75" customHeight="1"/>
  </sheetData>
  <mergeCells count="1">
    <mergeCell ref="L54:M5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0"/>
    <col customWidth="1" min="2" max="2" width="10.38"/>
    <col customWidth="1" min="3" max="3" width="10.5"/>
    <col customWidth="1" min="4" max="4" width="10.13"/>
    <col customWidth="1" min="5" max="5" width="8.63"/>
    <col customWidth="1" min="6" max="6" width="10.63"/>
    <col customWidth="1" min="7" max="12" width="8.13"/>
    <col customWidth="1" min="13" max="13" width="14.88"/>
    <col customWidth="1" min="14" max="14" width="14.5"/>
    <col customWidth="1" min="15" max="17" width="29.13"/>
  </cols>
  <sheetData>
    <row r="1" ht="12.75" customHeight="1">
      <c r="A1" s="94"/>
      <c r="B1" s="94"/>
      <c r="C1" s="94"/>
      <c r="D1" s="94"/>
      <c r="E1" s="94"/>
      <c r="F1" s="95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ht="12.75" customHeight="1">
      <c r="A2" s="94"/>
      <c r="B2" s="96" t="s">
        <v>230</v>
      </c>
      <c r="E2" s="94"/>
      <c r="F2" s="95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ht="12.75" customHeight="1">
      <c r="A3" s="94"/>
      <c r="B3" s="97" t="s">
        <v>231</v>
      </c>
      <c r="C3" s="12"/>
      <c r="D3" s="13"/>
      <c r="E3" s="94"/>
      <c r="F3" s="95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ht="12.75" customHeight="1">
      <c r="A4" s="98"/>
      <c r="B4" s="99"/>
      <c r="C4" s="99"/>
      <c r="D4" s="99"/>
      <c r="E4" s="99"/>
      <c r="F4" s="100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ht="12.75" customHeight="1">
      <c r="A5" s="101" t="s">
        <v>232</v>
      </c>
      <c r="B5" s="102">
        <f>B6/E6</f>
        <v>186.305586</v>
      </c>
      <c r="C5" s="101" t="s">
        <v>233</v>
      </c>
      <c r="D5" s="94"/>
      <c r="E5" s="94"/>
      <c r="F5" s="95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ht="12.75" customHeight="1">
      <c r="A6" s="101" t="s">
        <v>234</v>
      </c>
      <c r="B6" s="103">
        <f>170097*1000/10^6</f>
        <v>170.097</v>
      </c>
      <c r="C6" s="101" t="s">
        <v>233</v>
      </c>
      <c r="D6" s="94" t="s">
        <v>235</v>
      </c>
      <c r="E6" s="104">
        <v>0.913</v>
      </c>
      <c r="F6" s="95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</row>
    <row r="7" ht="12.75" customHeight="1">
      <c r="A7" s="101" t="s">
        <v>236</v>
      </c>
      <c r="B7" s="94"/>
      <c r="C7" s="103">
        <f>'VGA - mordenite'!N54*1000/10^6</f>
        <v>53.52172711</v>
      </c>
      <c r="D7" s="101" t="s">
        <v>237</v>
      </c>
      <c r="E7" s="94"/>
      <c r="F7" s="95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</row>
    <row r="8" ht="12.75" customHeight="1">
      <c r="A8" s="101" t="s">
        <v>238</v>
      </c>
      <c r="B8" s="94"/>
      <c r="C8" s="105">
        <v>0.0</v>
      </c>
      <c r="D8" s="101" t="s">
        <v>237</v>
      </c>
      <c r="E8" s="94" t="s">
        <v>239</v>
      </c>
      <c r="F8" s="95"/>
      <c r="G8" s="94"/>
      <c r="H8" s="94"/>
      <c r="I8" s="94"/>
      <c r="J8" s="94"/>
      <c r="K8" s="106"/>
      <c r="L8" s="94"/>
      <c r="M8" s="94"/>
      <c r="N8" s="94"/>
      <c r="O8" s="94"/>
      <c r="P8" s="94"/>
      <c r="Q8" s="94"/>
    </row>
    <row r="9" ht="12.75" customHeight="1">
      <c r="A9" s="101" t="s">
        <v>240</v>
      </c>
      <c r="B9" s="94"/>
      <c r="C9" s="107">
        <f>E17/12</f>
        <v>10.59081393</v>
      </c>
      <c r="D9" s="101" t="s">
        <v>237</v>
      </c>
      <c r="E9" s="108" t="s">
        <v>241</v>
      </c>
      <c r="F9" s="95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</row>
    <row r="10" ht="12.75" customHeight="1">
      <c r="A10" s="109" t="s">
        <v>242</v>
      </c>
      <c r="B10" s="110"/>
      <c r="C10" s="111">
        <f>E48/12</f>
        <v>11.18298778</v>
      </c>
      <c r="D10" s="109" t="s">
        <v>237</v>
      </c>
      <c r="F10" s="95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</row>
    <row r="11" ht="12.75" customHeight="1">
      <c r="A11" s="101" t="s">
        <v>243</v>
      </c>
      <c r="B11" s="94"/>
      <c r="C11" s="107">
        <f>SUM(C7:C10)</f>
        <v>75.29552882</v>
      </c>
      <c r="D11" s="101" t="s">
        <v>237</v>
      </c>
      <c r="E11" s="94"/>
      <c r="F11" s="95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</row>
    <row r="12" ht="12.75" customHeight="1">
      <c r="A12" s="106"/>
      <c r="B12" s="112" t="s">
        <v>244</v>
      </c>
      <c r="C12" s="112" t="s">
        <v>245</v>
      </c>
      <c r="D12" s="106"/>
      <c r="E12" s="112" t="s">
        <v>246</v>
      </c>
      <c r="F12" s="113" t="s">
        <v>247</v>
      </c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</row>
    <row r="13" ht="12.75" customHeight="1">
      <c r="A13" s="114" t="s">
        <v>248</v>
      </c>
      <c r="B13" s="115" t="s">
        <v>249</v>
      </c>
      <c r="C13" s="115" t="s">
        <v>250</v>
      </c>
      <c r="D13" s="94"/>
      <c r="E13" s="94"/>
      <c r="F13" s="95"/>
      <c r="G13" s="94"/>
      <c r="H13" s="94"/>
      <c r="I13" s="94"/>
      <c r="J13" s="94"/>
      <c r="K13" s="94"/>
      <c r="L13" s="94"/>
      <c r="M13" s="94"/>
      <c r="N13" s="94"/>
      <c r="O13" s="116" t="s">
        <v>251</v>
      </c>
      <c r="P13" s="117"/>
      <c r="Q13" s="117"/>
    </row>
    <row r="14" ht="12.75" customHeight="1">
      <c r="A14" s="118" t="s">
        <v>252</v>
      </c>
      <c r="B14" s="119">
        <f>699.3*32.04*8000/(B6*10^6)</f>
        <v>1.053778585</v>
      </c>
      <c r="C14" s="120">
        <f>620/1000</f>
        <v>0.62</v>
      </c>
      <c r="D14" s="94"/>
      <c r="E14" s="121">
        <f>F14*PROD</f>
        <v>111.1316371</v>
      </c>
      <c r="F14" s="95">
        <f t="shared" ref="F14:F16" si="1">B14*C14</f>
        <v>0.6533427228</v>
      </c>
      <c r="G14" s="94"/>
      <c r="H14" s="122" t="s">
        <v>253</v>
      </c>
      <c r="I14" s="123"/>
      <c r="J14" s="123"/>
      <c r="K14" s="123"/>
      <c r="L14" s="123"/>
      <c r="M14" s="123"/>
      <c r="N14" s="94"/>
      <c r="O14" s="124" t="s">
        <v>254</v>
      </c>
      <c r="P14" s="125"/>
      <c r="Q14" s="125"/>
    </row>
    <row r="15" ht="12.75" customHeight="1">
      <c r="A15" s="118" t="s">
        <v>255</v>
      </c>
      <c r="B15" s="119">
        <f>300*28.01*8000/(B6*10^6)</f>
        <v>0.3952097921</v>
      </c>
      <c r="C15" s="120">
        <f>205/1000</f>
        <v>0.205</v>
      </c>
      <c r="D15" s="94"/>
      <c r="E15" s="121">
        <f>F15*PROD</f>
        <v>13.78092</v>
      </c>
      <c r="F15" s="95">
        <f t="shared" si="1"/>
        <v>0.08101800737</v>
      </c>
      <c r="G15" s="94"/>
      <c r="H15" s="126" t="s">
        <v>256</v>
      </c>
      <c r="I15" s="127"/>
      <c r="J15" s="123"/>
      <c r="K15" s="123"/>
      <c r="L15" s="123"/>
      <c r="M15" s="123"/>
      <c r="N15" s="94"/>
      <c r="O15" s="124" t="s">
        <v>254</v>
      </c>
      <c r="P15" s="125"/>
      <c r="Q15" s="125"/>
    </row>
    <row r="16" ht="12.75" customHeight="1">
      <c r="A16" s="128" t="s">
        <v>257</v>
      </c>
      <c r="B16" s="119">
        <f>('Sizing H-mordenite'!B7+'Sizing H-mordenite'!B22)/2/(B6*10^6)</f>
        <v>0.0001828544889</v>
      </c>
      <c r="C16" s="129">
        <v>70.0</v>
      </c>
      <c r="D16" s="130"/>
      <c r="E16" s="131">
        <f>F16*PROD</f>
        <v>2.17721</v>
      </c>
      <c r="F16" s="132">
        <f t="shared" si="1"/>
        <v>0.01279981422</v>
      </c>
      <c r="G16" s="130"/>
      <c r="H16" s="133" t="s">
        <v>258</v>
      </c>
      <c r="I16" s="134"/>
      <c r="J16" s="134"/>
      <c r="K16" s="134"/>
      <c r="L16" s="134"/>
      <c r="M16" s="134"/>
      <c r="N16" s="130"/>
      <c r="O16" s="124" t="s">
        <v>259</v>
      </c>
      <c r="P16" s="135"/>
      <c r="Q16" s="135"/>
    </row>
    <row r="17" ht="12.75" customHeight="1">
      <c r="A17" s="136" t="s">
        <v>260</v>
      </c>
      <c r="B17" s="137"/>
      <c r="C17" s="138"/>
      <c r="D17" s="139"/>
      <c r="E17" s="140">
        <f t="shared" ref="E17:F17" si="2">SUM(E14:E16)</f>
        <v>127.0897671</v>
      </c>
      <c r="F17" s="138">
        <f t="shared" si="2"/>
        <v>0.7471605444</v>
      </c>
      <c r="G17" s="94"/>
      <c r="H17" s="94"/>
      <c r="I17" s="94"/>
      <c r="J17" s="139"/>
      <c r="K17" s="139"/>
      <c r="L17" s="139"/>
      <c r="M17" s="139"/>
      <c r="N17" s="139"/>
      <c r="O17" s="139"/>
      <c r="P17" s="139"/>
      <c r="Q17" s="139"/>
    </row>
    <row r="18" ht="12.75" customHeight="1">
      <c r="A18" s="114" t="s">
        <v>261</v>
      </c>
      <c r="B18" s="141"/>
      <c r="C18" s="95"/>
      <c r="D18" s="94"/>
      <c r="E18" s="121"/>
      <c r="F18" s="95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</row>
    <row r="19" ht="12.75" customHeight="1">
      <c r="A19" s="94" t="s">
        <v>262</v>
      </c>
      <c r="B19" s="142"/>
      <c r="C19" s="143"/>
      <c r="D19" s="94"/>
      <c r="E19" s="121">
        <f>F19*PROD</f>
        <v>0</v>
      </c>
      <c r="F19" s="95">
        <f>B19*C19</f>
        <v>0</v>
      </c>
      <c r="G19" s="94"/>
      <c r="H19" s="144"/>
      <c r="I19" s="144"/>
      <c r="J19" s="144"/>
      <c r="K19" s="144"/>
      <c r="L19" s="144"/>
      <c r="M19" s="144"/>
      <c r="N19" s="144"/>
      <c r="O19" s="144"/>
      <c r="P19" s="144"/>
      <c r="Q19" s="144"/>
    </row>
    <row r="20" ht="12.75" customHeight="1">
      <c r="A20" s="144" t="s">
        <v>263</v>
      </c>
      <c r="B20" s="145"/>
      <c r="C20" s="146">
        <v>3.61</v>
      </c>
      <c r="D20" s="147" t="s">
        <v>264</v>
      </c>
      <c r="E20" s="148">
        <f>F20*PROD</f>
        <v>10.68700742</v>
      </c>
      <c r="F20" s="149">
        <f>G20*C20/1000000</f>
        <v>0.06282890012</v>
      </c>
      <c r="G20" s="150">
        <f>'Flash Tank Info for COM'!I10/(B6*10^6)+10000</f>
        <v>17404.12746</v>
      </c>
      <c r="H20" s="147" t="s">
        <v>265</v>
      </c>
      <c r="I20" s="151" t="s">
        <v>266</v>
      </c>
      <c r="J20" s="151"/>
      <c r="K20" s="151"/>
      <c r="L20" s="151"/>
      <c r="M20" s="151"/>
      <c r="N20" s="151"/>
      <c r="O20" s="152"/>
      <c r="P20" s="152"/>
      <c r="Q20" s="152"/>
    </row>
    <row r="21" ht="12.75" customHeight="1">
      <c r="A21" s="152" t="s">
        <v>267</v>
      </c>
      <c r="B21" s="153"/>
      <c r="C21" s="154"/>
      <c r="D21" s="152"/>
      <c r="E21" s="155">
        <f t="shared" ref="E21:F21" si="3">SUM(E19:E20)</f>
        <v>10.68700742</v>
      </c>
      <c r="F21" s="154">
        <f t="shared" si="3"/>
        <v>0.06282890012</v>
      </c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</row>
    <row r="22" ht="12.75" customHeight="1">
      <c r="A22" s="136" t="s">
        <v>268</v>
      </c>
      <c r="B22" s="153"/>
      <c r="C22" s="154"/>
      <c r="D22" s="152"/>
      <c r="E22" s="155"/>
      <c r="F22" s="154"/>
      <c r="G22" s="152"/>
      <c r="H22" s="94"/>
      <c r="I22" s="94"/>
      <c r="J22" s="94"/>
      <c r="K22" s="94"/>
      <c r="L22" s="156" t="s">
        <v>269</v>
      </c>
      <c r="M22" s="156" t="s">
        <v>270</v>
      </c>
      <c r="N22" s="94"/>
      <c r="O22" s="94"/>
      <c r="P22" s="94"/>
      <c r="Q22" s="94"/>
    </row>
    <row r="23" ht="12.75" customHeight="1">
      <c r="A23" s="157" t="s">
        <v>271</v>
      </c>
      <c r="B23" s="158">
        <f>51.4714*1000*8000/(B6*10^6)</f>
        <v>2.420802248</v>
      </c>
      <c r="C23" s="159">
        <f t="shared" ref="C23:C25" si="4">P42</f>
        <v>1.925988225</v>
      </c>
      <c r="D23" s="94"/>
      <c r="E23" s="121">
        <f>F23*PROD</f>
        <v>0.7930664828</v>
      </c>
      <c r="F23" s="95">
        <f t="shared" ref="F23:F25" si="5">B23*C23/1000</f>
        <v>0.004662436626</v>
      </c>
      <c r="G23" s="94" t="s">
        <v>272</v>
      </c>
      <c r="H23" s="94"/>
      <c r="I23" s="94"/>
      <c r="J23" s="94"/>
      <c r="K23" s="94"/>
      <c r="L23" s="160">
        <v>51.4714</v>
      </c>
      <c r="M23" s="161" t="s">
        <v>273</v>
      </c>
      <c r="N23" s="94"/>
      <c r="O23" s="162" t="s">
        <v>274</v>
      </c>
      <c r="P23" s="163"/>
      <c r="Q23" s="163"/>
    </row>
    <row r="24" ht="12.75" customHeight="1">
      <c r="A24" s="157" t="s">
        <v>275</v>
      </c>
      <c r="B24" s="158">
        <f>12.8953*1000*8000/(B6*10^6)</f>
        <v>0.6064915901</v>
      </c>
      <c r="C24" s="159">
        <f t="shared" si="4"/>
        <v>3.177880572</v>
      </c>
      <c r="D24" s="94"/>
      <c r="E24" s="121">
        <f>F24*PROD</f>
        <v>0.3278377867</v>
      </c>
      <c r="F24" s="95">
        <f t="shared" si="5"/>
        <v>0.001927357841</v>
      </c>
      <c r="G24" s="94" t="s">
        <v>272</v>
      </c>
      <c r="H24" s="94"/>
      <c r="I24" s="94"/>
      <c r="J24" s="94"/>
      <c r="K24" s="94"/>
      <c r="L24" s="160">
        <v>12.8953</v>
      </c>
      <c r="M24" s="161" t="s">
        <v>273</v>
      </c>
      <c r="N24" s="94"/>
      <c r="O24" s="162" t="s">
        <v>274</v>
      </c>
      <c r="P24" s="163"/>
      <c r="Q24" s="163"/>
    </row>
    <row r="25" ht="12.75" customHeight="1">
      <c r="A25" s="157" t="s">
        <v>276</v>
      </c>
      <c r="B25" s="158">
        <f>5.46193*1000*8000/(B6*10^6)</f>
        <v>0.2568854242</v>
      </c>
      <c r="C25" s="159">
        <f t="shared" si="4"/>
        <v>7.703952902</v>
      </c>
      <c r="D25" s="94"/>
      <c r="E25" s="121">
        <f>F25*PROD</f>
        <v>0.3366276118</v>
      </c>
      <c r="F25" s="95">
        <f t="shared" si="5"/>
        <v>0.001979033209</v>
      </c>
      <c r="G25" s="94" t="s">
        <v>272</v>
      </c>
      <c r="H25" s="94"/>
      <c r="I25" s="94"/>
      <c r="J25" s="94"/>
      <c r="K25" s="94"/>
      <c r="L25" s="160">
        <v>5.46193</v>
      </c>
      <c r="M25" s="161" t="s">
        <v>273</v>
      </c>
      <c r="N25" s="94"/>
      <c r="O25" s="162" t="s">
        <v>274</v>
      </c>
      <c r="P25" s="163"/>
      <c r="Q25" s="163"/>
    </row>
    <row r="26" ht="12.75" customHeight="1">
      <c r="A26" s="101" t="s">
        <v>277</v>
      </c>
      <c r="B26" s="158">
        <f>97.08*8000/(B6*10^6)</f>
        <v>0.004565865359</v>
      </c>
      <c r="C26" s="164">
        <v>0.061</v>
      </c>
      <c r="D26" s="94"/>
      <c r="E26" s="121">
        <f>F26*PROD</f>
        <v>0.04737504</v>
      </c>
      <c r="F26" s="95">
        <f>B26*C26</f>
        <v>0.0002785177869</v>
      </c>
      <c r="G26" s="94" t="s">
        <v>278</v>
      </c>
      <c r="H26" s="94"/>
      <c r="I26" s="94"/>
      <c r="J26" s="94"/>
      <c r="K26" s="94"/>
      <c r="L26" s="160">
        <v>97.08</v>
      </c>
      <c r="M26" s="161" t="s">
        <v>279</v>
      </c>
      <c r="N26" s="94"/>
      <c r="O26" s="162" t="s">
        <v>280</v>
      </c>
      <c r="P26" s="163"/>
      <c r="Q26" s="163"/>
    </row>
    <row r="27" ht="12.75" customHeight="1">
      <c r="A27" s="165" t="s">
        <v>281</v>
      </c>
      <c r="B27" s="166"/>
      <c r="C27" s="13"/>
      <c r="D27" s="167"/>
      <c r="E27" s="168">
        <f>28.0068*8000/10^6</f>
        <v>0.2240544</v>
      </c>
      <c r="F27" s="169">
        <f>E27/B6</f>
        <v>0.001317215471</v>
      </c>
      <c r="G27" s="170" t="s">
        <v>282</v>
      </c>
      <c r="H27" s="167"/>
      <c r="I27" s="167"/>
      <c r="J27" s="167"/>
      <c r="K27" s="167"/>
      <c r="L27" s="171">
        <v>329.492</v>
      </c>
      <c r="M27" s="172" t="s">
        <v>273</v>
      </c>
      <c r="N27" s="167"/>
      <c r="O27" s="173"/>
      <c r="P27" s="174"/>
      <c r="Q27" s="174"/>
    </row>
    <row r="28" ht="12.75" customHeight="1">
      <c r="A28" s="109" t="s">
        <v>283</v>
      </c>
      <c r="B28" s="175">
        <f>0.502751*10^6*8000/(B6*10^6)</f>
        <v>23.64537881</v>
      </c>
      <c r="C28" s="176">
        <v>0.075</v>
      </c>
      <c r="D28" s="177"/>
      <c r="E28" s="131">
        <f>F28*PROD</f>
        <v>0.3016506</v>
      </c>
      <c r="F28" s="132">
        <f>B28*C28/1000</f>
        <v>0.001773403411</v>
      </c>
      <c r="G28" s="130" t="s">
        <v>284</v>
      </c>
      <c r="H28" s="177"/>
      <c r="I28" s="177"/>
      <c r="J28" s="177"/>
      <c r="K28" s="177"/>
      <c r="L28" s="178">
        <v>0.502751</v>
      </c>
      <c r="M28" s="179" t="s">
        <v>285</v>
      </c>
      <c r="N28" s="177"/>
      <c r="O28" s="180" t="s">
        <v>286</v>
      </c>
      <c r="P28" s="181"/>
      <c r="Q28" s="181"/>
    </row>
    <row r="29" ht="12.75" customHeight="1">
      <c r="A29" s="182" t="s">
        <v>287</v>
      </c>
      <c r="B29" s="153"/>
      <c r="C29" s="154"/>
      <c r="D29" s="152"/>
      <c r="E29" s="155">
        <f t="shared" ref="E29:F29" si="6">SUM(E23:E28)</f>
        <v>2.030611921</v>
      </c>
      <c r="F29" s="154">
        <f t="shared" si="6"/>
        <v>0.01193796435</v>
      </c>
      <c r="G29" s="152"/>
      <c r="H29" s="94"/>
      <c r="I29" s="94"/>
      <c r="J29" s="94"/>
      <c r="K29" s="94"/>
      <c r="L29" s="94"/>
      <c r="M29" s="94"/>
      <c r="N29" s="94"/>
      <c r="O29" s="94"/>
      <c r="P29" s="94"/>
      <c r="Q29" s="94"/>
    </row>
    <row r="30" ht="12.75" customHeight="1">
      <c r="A30" s="114" t="s">
        <v>288</v>
      </c>
      <c r="B30" s="141"/>
      <c r="C30" s="95"/>
      <c r="D30" s="94"/>
      <c r="E30" s="121"/>
      <c r="F30" s="95"/>
      <c r="G30" s="94"/>
      <c r="H30" s="94"/>
      <c r="I30" s="94"/>
      <c r="J30" s="94"/>
      <c r="K30" s="94"/>
      <c r="L30" s="183" t="s">
        <v>289</v>
      </c>
      <c r="M30" s="36"/>
      <c r="N30" s="37"/>
      <c r="O30" s="94" t="s">
        <v>290</v>
      </c>
      <c r="P30" s="94"/>
      <c r="Q30" s="94"/>
    </row>
    <row r="31" ht="12.75" customHeight="1">
      <c r="A31" s="101" t="s">
        <v>291</v>
      </c>
      <c r="B31" s="142"/>
      <c r="C31" s="143"/>
      <c r="D31" s="94"/>
      <c r="E31" s="121">
        <f>F31*PROD</f>
        <v>0</v>
      </c>
      <c r="F31" s="95">
        <f t="shared" ref="F31:F33" si="7">B31*C31</f>
        <v>0</v>
      </c>
      <c r="G31" s="94"/>
      <c r="H31" s="94"/>
      <c r="I31" s="94"/>
      <c r="J31" s="94"/>
      <c r="K31" s="94"/>
      <c r="L31" s="38"/>
      <c r="N31" s="39"/>
      <c r="O31" s="184" t="s">
        <v>292</v>
      </c>
      <c r="P31" s="185"/>
      <c r="Q31" s="185"/>
    </row>
    <row r="32" ht="12.75" customHeight="1">
      <c r="A32" s="101" t="s">
        <v>293</v>
      </c>
      <c r="B32" s="142"/>
      <c r="C32" s="143"/>
      <c r="D32" s="94"/>
      <c r="E32" s="121">
        <f>F32*PROD</f>
        <v>0</v>
      </c>
      <c r="F32" s="95">
        <f t="shared" si="7"/>
        <v>0</v>
      </c>
      <c r="G32" s="94"/>
      <c r="H32" s="130"/>
      <c r="I32" s="130"/>
      <c r="J32" s="130"/>
      <c r="K32" s="130"/>
      <c r="L32" s="38"/>
      <c r="N32" s="39"/>
      <c r="O32" s="130"/>
      <c r="P32" s="130"/>
      <c r="Q32" s="130"/>
    </row>
    <row r="33" ht="12.75" customHeight="1">
      <c r="A33" s="109" t="s">
        <v>294</v>
      </c>
      <c r="B33" s="186"/>
      <c r="C33" s="187"/>
      <c r="D33" s="130"/>
      <c r="E33" s="131">
        <f>F33*PROD</f>
        <v>0</v>
      </c>
      <c r="F33" s="132">
        <f t="shared" si="7"/>
        <v>0</v>
      </c>
      <c r="G33" s="130"/>
      <c r="H33" s="152"/>
      <c r="I33" s="152"/>
      <c r="J33" s="152"/>
      <c r="K33" s="152"/>
      <c r="L33" s="38"/>
      <c r="N33" s="39"/>
      <c r="O33" s="152"/>
      <c r="P33" s="152"/>
      <c r="Q33" s="152"/>
    </row>
    <row r="34" ht="12.75" customHeight="1">
      <c r="A34" s="152" t="s">
        <v>295</v>
      </c>
      <c r="B34" s="152"/>
      <c r="C34" s="152"/>
      <c r="D34" s="152"/>
      <c r="E34" s="155">
        <f t="shared" ref="E34:F34" si="8">SUM(E31:E33)</f>
        <v>0</v>
      </c>
      <c r="F34" s="154">
        <f t="shared" si="8"/>
        <v>0</v>
      </c>
      <c r="G34" s="152"/>
      <c r="H34" s="94"/>
      <c r="I34" s="94"/>
      <c r="J34" s="94"/>
      <c r="K34" s="94"/>
      <c r="L34" s="40"/>
      <c r="M34" s="41"/>
      <c r="N34" s="42"/>
      <c r="O34" s="94"/>
      <c r="P34" s="94"/>
      <c r="Q34" s="94"/>
    </row>
    <row r="35" ht="12.75" customHeight="1">
      <c r="A35" s="136" t="s">
        <v>296</v>
      </c>
      <c r="B35" s="139"/>
      <c r="C35" s="139"/>
      <c r="D35" s="139"/>
      <c r="E35" s="140">
        <f t="shared" ref="E35:F35" si="9">E17+E29+E34-E21</f>
        <v>118.4333716</v>
      </c>
      <c r="F35" s="138">
        <f t="shared" si="9"/>
        <v>0.6962696086</v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</row>
    <row r="36" ht="12.75" customHeight="1">
      <c r="A36" s="136"/>
      <c r="B36" s="139"/>
      <c r="C36" s="139"/>
      <c r="D36" s="139"/>
      <c r="E36" s="140"/>
      <c r="F36" s="138"/>
      <c r="G36" s="94"/>
      <c r="H36" s="94"/>
      <c r="I36" s="94"/>
      <c r="J36" s="139"/>
      <c r="K36" s="139"/>
      <c r="L36" s="139"/>
      <c r="M36" s="139"/>
      <c r="N36" s="139"/>
      <c r="O36" s="139"/>
      <c r="P36" s="139"/>
      <c r="Q36" s="139"/>
    </row>
    <row r="37" ht="12.75" customHeight="1">
      <c r="A37" s="114" t="s">
        <v>297</v>
      </c>
      <c r="C37" s="94"/>
      <c r="D37" s="94"/>
      <c r="E37" s="121"/>
      <c r="F37" s="95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</row>
    <row r="38" ht="12.75" customHeight="1">
      <c r="A38" s="101" t="s">
        <v>298</v>
      </c>
      <c r="B38" s="188">
        <f>18/2+1</f>
        <v>10</v>
      </c>
      <c r="C38" s="189">
        <v>32.0</v>
      </c>
      <c r="D38" s="190" t="s">
        <v>299</v>
      </c>
      <c r="E38" s="121">
        <f>B38*C38*(365*24)/1000000</f>
        <v>2.8032</v>
      </c>
      <c r="F38" s="95">
        <f>E38/PROD</f>
        <v>0.01648000847</v>
      </c>
      <c r="G38" s="94" t="s">
        <v>300</v>
      </c>
      <c r="H38" s="139"/>
      <c r="I38" s="139"/>
      <c r="J38" s="94"/>
      <c r="K38" s="94"/>
      <c r="L38" s="94"/>
      <c r="M38" s="94"/>
      <c r="N38" s="94"/>
    </row>
    <row r="39" ht="12.75" customHeight="1">
      <c r="A39" s="101" t="s">
        <v>301</v>
      </c>
      <c r="B39" s="94"/>
      <c r="C39" s="191">
        <v>0.45</v>
      </c>
      <c r="D39" s="94"/>
      <c r="E39" s="121">
        <f t="shared" ref="E39:E41" si="10">E$38*C39</f>
        <v>1.26144</v>
      </c>
      <c r="F39" s="95">
        <f>E39/PROD</f>
        <v>0.00741600381</v>
      </c>
      <c r="G39" s="94"/>
      <c r="H39" s="192" t="s">
        <v>302</v>
      </c>
      <c r="I39" s="94"/>
      <c r="J39" s="94"/>
      <c r="K39" s="94"/>
      <c r="L39" s="94"/>
      <c r="M39" s="94"/>
      <c r="N39" s="94"/>
      <c r="O39" s="94"/>
      <c r="P39" s="94"/>
      <c r="Q39" s="94"/>
    </row>
    <row r="40" ht="12.75" customHeight="1">
      <c r="A40" s="101" t="s">
        <v>303</v>
      </c>
      <c r="B40" s="94"/>
      <c r="C40" s="191">
        <v>1.0</v>
      </c>
      <c r="D40" s="94"/>
      <c r="E40" s="121">
        <f t="shared" si="10"/>
        <v>2.8032</v>
      </c>
      <c r="F40" s="95">
        <f>E40/PROD</f>
        <v>0.01648000847</v>
      </c>
      <c r="G40" s="139"/>
      <c r="H40" s="94"/>
      <c r="I40" s="94"/>
      <c r="J40" s="94"/>
      <c r="K40" s="94"/>
      <c r="L40" s="94"/>
      <c r="M40" s="94"/>
      <c r="N40" s="94"/>
      <c r="O40" s="94"/>
      <c r="P40" s="94"/>
      <c r="Q40" s="94"/>
    </row>
    <row r="41" ht="12.75" customHeight="1">
      <c r="A41" s="101" t="s">
        <v>304</v>
      </c>
      <c r="B41" s="94"/>
      <c r="C41" s="191">
        <v>0.5</v>
      </c>
      <c r="D41" s="94"/>
      <c r="E41" s="121">
        <f t="shared" si="10"/>
        <v>1.4016</v>
      </c>
      <c r="F41" s="95">
        <f>E41/PROD</f>
        <v>0.008240004233</v>
      </c>
      <c r="G41" s="139"/>
      <c r="H41" s="94"/>
      <c r="I41" s="94"/>
      <c r="J41" s="94"/>
      <c r="K41" s="94"/>
      <c r="L41" s="94"/>
      <c r="M41" s="94"/>
      <c r="N41" s="193" t="s">
        <v>43</v>
      </c>
      <c r="O41" s="193" t="s">
        <v>305</v>
      </c>
      <c r="P41" s="193" t="s">
        <v>36</v>
      </c>
      <c r="Q41" s="194"/>
    </row>
    <row r="42" ht="12.75" customHeight="1">
      <c r="A42" s="101" t="s">
        <v>306</v>
      </c>
      <c r="B42" s="191">
        <v>0.03</v>
      </c>
      <c r="C42" s="94"/>
      <c r="D42" s="94"/>
      <c r="E42" s="121">
        <f t="shared" ref="E42:E44" si="11">B42*$C$7</f>
        <v>1.605651813</v>
      </c>
      <c r="F42" s="95">
        <f>E42/PROD</f>
        <v>0.009439624528</v>
      </c>
      <c r="G42" s="94"/>
      <c r="H42" s="106"/>
      <c r="I42" s="106"/>
      <c r="J42" s="94"/>
      <c r="K42" s="94"/>
      <c r="L42" s="94"/>
      <c r="M42" s="94"/>
      <c r="N42" s="195">
        <v>100.0</v>
      </c>
      <c r="O42" s="196">
        <f t="shared" ref="O42:O44" si="12">N42/14.5</f>
        <v>6.896551724</v>
      </c>
      <c r="P42" s="196">
        <f t="shared" ref="P42:P44" si="13">11.45/41*O42</f>
        <v>1.925988225</v>
      </c>
      <c r="Q42" s="94"/>
    </row>
    <row r="43" ht="12.75" customHeight="1">
      <c r="A43" s="101" t="s">
        <v>307</v>
      </c>
      <c r="B43" s="191">
        <v>0.02</v>
      </c>
      <c r="C43" s="94"/>
      <c r="D43" s="94"/>
      <c r="E43" s="121">
        <f t="shared" si="11"/>
        <v>1.070434542</v>
      </c>
      <c r="F43" s="95">
        <f>E43/PROD</f>
        <v>0.006293083019</v>
      </c>
      <c r="G43" s="94" t="s">
        <v>308</v>
      </c>
      <c r="H43" s="106"/>
      <c r="I43" s="106"/>
      <c r="J43" s="94"/>
      <c r="K43" s="94"/>
      <c r="L43" s="94"/>
      <c r="M43" s="94"/>
      <c r="N43" s="195">
        <v>165.0</v>
      </c>
      <c r="O43" s="196">
        <f t="shared" si="12"/>
        <v>11.37931034</v>
      </c>
      <c r="P43" s="196">
        <f t="shared" si="13"/>
        <v>3.177880572</v>
      </c>
      <c r="Q43" s="94"/>
    </row>
    <row r="44" ht="12.75" customHeight="1">
      <c r="A44" s="101" t="s">
        <v>309</v>
      </c>
      <c r="B44" s="191">
        <v>0.09</v>
      </c>
      <c r="C44" s="94"/>
      <c r="D44" s="94"/>
      <c r="E44" s="121">
        <f t="shared" si="11"/>
        <v>4.81695544</v>
      </c>
      <c r="F44" s="95">
        <f>E44/PROD</f>
        <v>0.02831887358</v>
      </c>
      <c r="G44" s="94" t="s">
        <v>310</v>
      </c>
      <c r="H44" s="94"/>
      <c r="I44" s="94"/>
      <c r="J44" s="94"/>
      <c r="K44" s="94"/>
      <c r="L44" s="94"/>
      <c r="M44" s="94"/>
      <c r="N44" s="195">
        <v>400.0</v>
      </c>
      <c r="O44" s="196">
        <f t="shared" si="12"/>
        <v>27.5862069</v>
      </c>
      <c r="P44" s="196">
        <f t="shared" si="13"/>
        <v>7.703952902</v>
      </c>
      <c r="Q44" s="94"/>
    </row>
    <row r="45" ht="12.75" customHeight="1">
      <c r="A45" s="136" t="s">
        <v>311</v>
      </c>
      <c r="B45" s="139"/>
      <c r="C45" s="139"/>
      <c r="D45" s="139"/>
      <c r="E45" s="140">
        <f t="shared" ref="E45:F45" si="14">SUM(E38:E44)</f>
        <v>15.7624818</v>
      </c>
      <c r="F45" s="138">
        <f t="shared" si="14"/>
        <v>0.09266760611</v>
      </c>
      <c r="G45" s="94"/>
      <c r="H45" s="94"/>
      <c r="I45" s="94"/>
      <c r="J45" s="139"/>
      <c r="K45" s="139"/>
      <c r="L45" s="139"/>
      <c r="M45" s="139"/>
      <c r="N45" s="139"/>
      <c r="O45" s="139"/>
      <c r="P45" s="139"/>
      <c r="Q45" s="139"/>
    </row>
    <row r="46" ht="12.75" customHeight="1">
      <c r="A46" s="101"/>
      <c r="B46" s="94"/>
      <c r="C46" s="94"/>
      <c r="D46" s="94"/>
      <c r="E46" s="121"/>
      <c r="F46" s="95"/>
      <c r="G46" s="94"/>
      <c r="H46" s="94"/>
      <c r="I46" s="94"/>
      <c r="J46" s="94"/>
      <c r="K46" s="94"/>
      <c r="L46" s="94"/>
      <c r="M46" s="94"/>
      <c r="N46" s="94"/>
      <c r="O46" s="194" t="s">
        <v>312</v>
      </c>
      <c r="P46" s="94"/>
      <c r="Q46" s="94"/>
    </row>
    <row r="47" ht="12.75" customHeight="1">
      <c r="A47" s="114" t="s">
        <v>313</v>
      </c>
      <c r="B47" s="106"/>
      <c r="C47" s="106"/>
      <c r="D47" s="106"/>
      <c r="E47" s="197">
        <f t="shared" ref="E47:F47" si="15">E35+E45-E44</f>
        <v>129.378898</v>
      </c>
      <c r="F47" s="198">
        <f t="shared" si="15"/>
        <v>0.7606183411</v>
      </c>
      <c r="G47" s="94" t="s">
        <v>314</v>
      </c>
      <c r="H47" s="94"/>
      <c r="I47" s="94"/>
      <c r="J47" s="106"/>
      <c r="K47" s="106"/>
      <c r="L47" s="106"/>
      <c r="M47" s="106"/>
      <c r="N47" s="106"/>
      <c r="O47" s="106"/>
      <c r="P47" s="106"/>
      <c r="Q47" s="106"/>
    </row>
    <row r="48" ht="12.75" customHeight="1">
      <c r="A48" s="114" t="s">
        <v>315</v>
      </c>
      <c r="B48" s="106"/>
      <c r="C48" s="106"/>
      <c r="D48" s="106"/>
      <c r="E48" s="197">
        <f t="shared" ref="E48:F48" si="16">E35+E45</f>
        <v>134.1958534</v>
      </c>
      <c r="F48" s="198">
        <f t="shared" si="16"/>
        <v>0.7889372147</v>
      </c>
      <c r="G48" s="94" t="s">
        <v>316</v>
      </c>
      <c r="H48" s="94"/>
      <c r="I48" s="94"/>
      <c r="J48" s="106"/>
      <c r="K48" s="106"/>
      <c r="L48" s="106"/>
      <c r="M48" s="106"/>
      <c r="N48" s="106"/>
      <c r="O48" s="106"/>
      <c r="P48" s="106"/>
      <c r="Q48" s="106"/>
    </row>
    <row r="49" ht="12.75" customHeight="1">
      <c r="A49" s="101" t="s">
        <v>317</v>
      </c>
      <c r="B49" s="94"/>
      <c r="C49" s="199">
        <v>0.06</v>
      </c>
      <c r="D49" s="101" t="s">
        <v>318</v>
      </c>
      <c r="E49" s="121">
        <f>PROD*F49</f>
        <v>8.051751205</v>
      </c>
      <c r="F49" s="95">
        <f>C49*F48</f>
        <v>0.04733623288</v>
      </c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</row>
    <row r="50" ht="12.75" customHeight="1">
      <c r="A50" s="114" t="s">
        <v>319</v>
      </c>
      <c r="B50" s="94"/>
      <c r="C50" s="200"/>
      <c r="D50" s="101"/>
      <c r="E50" s="197">
        <f t="shared" ref="E50:F50" si="17">E48+E49</f>
        <v>142.2476046</v>
      </c>
      <c r="F50" s="198">
        <f t="shared" si="17"/>
        <v>0.8362734476</v>
      </c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ht="12.75" customHeight="1">
      <c r="A51" s="101" t="s">
        <v>320</v>
      </c>
      <c r="B51" s="94"/>
      <c r="C51" s="199">
        <v>0.25</v>
      </c>
      <c r="D51" s="101"/>
      <c r="E51" s="197"/>
      <c r="F51" s="198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</row>
    <row r="52" ht="12.75" customHeight="1">
      <c r="A52" s="101" t="s">
        <v>321</v>
      </c>
      <c r="B52" s="94"/>
      <c r="C52" s="201">
        <v>0.25</v>
      </c>
      <c r="D52" s="115"/>
      <c r="E52" s="121">
        <f>C52*C11/(1-C51)</f>
        <v>25.09850961</v>
      </c>
      <c r="F52" s="95">
        <f>E52/PROD</f>
        <v>0.1475540992</v>
      </c>
      <c r="G52" s="94" t="s">
        <v>322</v>
      </c>
      <c r="H52" s="94"/>
      <c r="I52" s="94"/>
      <c r="J52" s="94"/>
      <c r="K52" s="94"/>
      <c r="L52" s="94"/>
      <c r="M52" s="94"/>
      <c r="N52" s="94"/>
      <c r="O52" s="94"/>
      <c r="P52" s="94"/>
      <c r="Q52" s="94"/>
    </row>
    <row r="53" ht="12.75" customHeight="1">
      <c r="A53" s="101"/>
      <c r="B53" s="94"/>
      <c r="C53" s="202"/>
      <c r="D53" s="115"/>
      <c r="E53" s="121"/>
      <c r="F53" s="95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</row>
    <row r="54" ht="12.75" customHeight="1">
      <c r="A54" s="203" t="s">
        <v>323</v>
      </c>
      <c r="B54" s="99" t="s">
        <v>324</v>
      </c>
      <c r="C54" s="99"/>
      <c r="D54" s="98" t="s">
        <v>325</v>
      </c>
      <c r="E54" s="204" t="s">
        <v>326</v>
      </c>
      <c r="F54" s="205" t="s">
        <v>247</v>
      </c>
      <c r="G54" s="94"/>
      <c r="H54" s="94"/>
      <c r="I54" s="94"/>
      <c r="J54" s="99"/>
      <c r="K54" s="99"/>
      <c r="L54" s="99"/>
      <c r="M54" s="1" t="s">
        <v>327</v>
      </c>
      <c r="N54" s="1" t="s">
        <v>328</v>
      </c>
    </row>
    <row r="55" ht="12.75" customHeight="1">
      <c r="A55" s="206" t="s">
        <v>329</v>
      </c>
      <c r="B55" s="207">
        <f>C52</f>
        <v>0.25</v>
      </c>
      <c r="C55" s="208" t="s">
        <v>330</v>
      </c>
      <c r="D55" s="207">
        <f>E6</f>
        <v>0.913</v>
      </c>
      <c r="E55" s="209">
        <f t="shared" ref="E55:F55" si="18">E50+E52</f>
        <v>167.3461142</v>
      </c>
      <c r="F55" s="210">
        <f t="shared" si="18"/>
        <v>0.9838275468</v>
      </c>
      <c r="G55" s="94" t="s">
        <v>331</v>
      </c>
      <c r="H55" s="94"/>
      <c r="I55" s="94"/>
      <c r="J55" s="206"/>
      <c r="K55" s="206"/>
      <c r="L55" s="206"/>
      <c r="M55" s="1">
        <v>597.0</v>
      </c>
      <c r="N55" s="1">
        <f>1.073*1000</f>
        <v>1073</v>
      </c>
      <c r="O55" s="6">
        <f>slope(N55:N57,M55:M57)*100</f>
        <v>29.96394634</v>
      </c>
    </row>
    <row r="56" ht="12.75" customHeight="1">
      <c r="A56" s="211" t="s">
        <v>332</v>
      </c>
      <c r="B56" s="212">
        <f>(1-C51)*(E56-E50)/C11</f>
        <v>-1.416892943</v>
      </c>
      <c r="C56" s="213" t="s">
        <v>333</v>
      </c>
      <c r="D56" s="213"/>
      <c r="E56" s="214">
        <f>F56*PROD</f>
        <v>0</v>
      </c>
      <c r="F56" s="215"/>
      <c r="G56" s="94" t="s">
        <v>334</v>
      </c>
      <c r="H56" s="213"/>
      <c r="I56" s="213"/>
      <c r="J56" s="213"/>
      <c r="K56" s="213"/>
      <c r="L56" s="213"/>
      <c r="M56" s="1">
        <v>400.0</v>
      </c>
      <c r="N56" s="1">
        <v>1014.0</v>
      </c>
    </row>
    <row r="57" ht="12.75" customHeight="1">
      <c r="A57" s="94" t="s">
        <v>335</v>
      </c>
      <c r="B57" s="202">
        <f>IF(E56&gt;0,E57/E56,0)</f>
        <v>0</v>
      </c>
      <c r="C57" s="94" t="s">
        <v>336</v>
      </c>
      <c r="D57" s="94"/>
      <c r="E57" s="216">
        <f>(1-C51)*(E56-E50)+E44</f>
        <v>-101.868748</v>
      </c>
      <c r="F57" s="94"/>
      <c r="G57" s="94" t="s">
        <v>337</v>
      </c>
      <c r="H57" s="94"/>
      <c r="I57" s="94"/>
      <c r="J57" s="94"/>
      <c r="K57" s="94"/>
      <c r="L57" s="94"/>
      <c r="M57" s="1">
        <v>300.0</v>
      </c>
      <c r="N57" s="1">
        <v>984.0</v>
      </c>
    </row>
    <row r="58" ht="12.75" customHeight="1">
      <c r="A58" s="94" t="s">
        <v>338</v>
      </c>
      <c r="B58" s="202">
        <f>IF(E56&gt;0,E58/E56,0)</f>
        <v>0</v>
      </c>
      <c r="C58" s="94" t="s">
        <v>336</v>
      </c>
      <c r="D58" s="94"/>
      <c r="E58" s="216">
        <f>E56-E35</f>
        <v>-118.4333716</v>
      </c>
      <c r="F58" s="94"/>
      <c r="G58" s="94" t="s">
        <v>339</v>
      </c>
      <c r="H58" s="94"/>
      <c r="I58" s="94"/>
      <c r="J58" s="94"/>
      <c r="K58" s="94"/>
      <c r="L58" s="94"/>
    </row>
    <row r="59" ht="12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</row>
    <row r="60" ht="12.75" customHeight="1">
      <c r="A60" s="94"/>
      <c r="B60" s="94"/>
      <c r="C60" s="94"/>
      <c r="D60" s="94"/>
      <c r="E60" s="217"/>
      <c r="F60" s="94"/>
      <c r="G60" s="94"/>
      <c r="H60" s="94"/>
      <c r="I60" s="94"/>
      <c r="J60" s="94"/>
      <c r="K60" s="94"/>
      <c r="L60" s="94"/>
    </row>
  </sheetData>
  <mergeCells count="5">
    <mergeCell ref="B2:D2"/>
    <mergeCell ref="B3:D3"/>
    <mergeCell ref="E9:E10"/>
    <mergeCell ref="B27:C27"/>
    <mergeCell ref="L30:N34"/>
  </mergeCells>
  <printOptions/>
  <pageMargins bottom="0.83" footer="0.0" header="0.0" left="0.75" right="0.75" top="1.0"/>
  <pageSetup orientation="portrait"/>
  <headerFooter>
    <oddHeader>&amp;RDate: &amp;D  &amp;T</oddHeader>
    <oddFooter>&amp;C&amp;F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17.63"/>
    <col customWidth="1" min="3" max="3" width="36.63"/>
    <col customWidth="1" min="4" max="4" width="25.38"/>
    <col customWidth="1" min="5" max="5" width="15.13"/>
    <col customWidth="1" min="6" max="6" width="26.13"/>
    <col customWidth="1" min="7" max="7" width="43.5"/>
  </cols>
  <sheetData>
    <row r="1" ht="15.75" customHeight="1">
      <c r="A1" s="11" t="s">
        <v>20</v>
      </c>
      <c r="B1" s="12"/>
      <c r="C1" s="13"/>
      <c r="D1" s="11" t="s">
        <v>21</v>
      </c>
      <c r="E1" s="12"/>
      <c r="F1" s="13"/>
      <c r="G1" s="14"/>
    </row>
    <row r="2" ht="15.75" customHeight="1">
      <c r="A2" s="15" t="s">
        <v>22</v>
      </c>
      <c r="B2" s="12"/>
      <c r="C2" s="12"/>
      <c r="D2" s="12"/>
      <c r="E2" s="12"/>
      <c r="F2" s="13"/>
      <c r="G2" s="16" t="s">
        <v>23</v>
      </c>
    </row>
    <row r="3" ht="15.75" customHeight="1">
      <c r="A3" s="17" t="s">
        <v>24</v>
      </c>
      <c r="B3" s="17" t="s">
        <v>25</v>
      </c>
      <c r="C3" s="17" t="s">
        <v>26</v>
      </c>
      <c r="D3" s="17" t="s">
        <v>24</v>
      </c>
      <c r="E3" s="17" t="s">
        <v>25</v>
      </c>
      <c r="F3" s="17" t="s">
        <v>26</v>
      </c>
    </row>
    <row r="4" ht="15.75" customHeight="1">
      <c r="A4" s="18" t="s">
        <v>27</v>
      </c>
      <c r="B4" s="19">
        <v>14100.0</v>
      </c>
      <c r="C4" s="18" t="s">
        <v>28</v>
      </c>
      <c r="D4" s="20"/>
      <c r="E4" s="21"/>
      <c r="F4" s="22"/>
    </row>
    <row r="5" ht="15.75" customHeight="1">
      <c r="A5" s="18" t="s">
        <v>29</v>
      </c>
      <c r="B5" s="23">
        <f>51.5/3.2808</f>
        <v>15.69739088</v>
      </c>
      <c r="C5" s="18" t="s">
        <v>30</v>
      </c>
      <c r="D5" s="24"/>
      <c r="E5" s="25"/>
      <c r="F5" s="26"/>
    </row>
    <row r="6" ht="15.75" customHeight="1">
      <c r="A6" s="18" t="s">
        <v>31</v>
      </c>
      <c r="B6" s="27">
        <f>0.0254/0.0254</f>
        <v>1</v>
      </c>
      <c r="C6" s="18" t="s">
        <v>32</v>
      </c>
      <c r="D6" s="24"/>
      <c r="E6" s="25"/>
      <c r="F6" s="26"/>
    </row>
    <row r="7" ht="15.75" customHeight="1">
      <c r="A7" s="18" t="s">
        <v>33</v>
      </c>
      <c r="B7" s="19">
        <v>67995.0</v>
      </c>
      <c r="C7" s="23" t="s">
        <v>340</v>
      </c>
      <c r="D7" s="24">
        <f>B4*B5*3.28084*PI()*(1/12)</f>
        <v>190107.9432</v>
      </c>
      <c r="E7" s="25"/>
      <c r="F7" s="26"/>
    </row>
    <row r="8" ht="15.75" customHeight="1">
      <c r="A8" s="28" t="s">
        <v>35</v>
      </c>
      <c r="B8" s="29">
        <f>B7*4.9</f>
        <v>333175.5</v>
      </c>
      <c r="C8" s="28" t="s">
        <v>36</v>
      </c>
      <c r="D8" s="24"/>
      <c r="E8" s="25"/>
      <c r="F8" s="26"/>
    </row>
    <row r="9" ht="15.75" customHeight="1">
      <c r="A9" s="18" t="s">
        <v>37</v>
      </c>
      <c r="B9" s="27">
        <f>2*PI()*B6*0.0254/2*B5*B4*(3.28084)^2</f>
        <v>190107.9493</v>
      </c>
      <c r="C9" s="18" t="s">
        <v>38</v>
      </c>
      <c r="D9" s="24"/>
      <c r="E9" s="25"/>
      <c r="F9" s="26"/>
    </row>
    <row r="10" ht="15.75" customHeight="1">
      <c r="A10" s="18" t="s">
        <v>39</v>
      </c>
      <c r="B10" s="27">
        <f>EXP(11.4185-0.9228*LN(B9)+0.09861*(LN(B9))^2)</f>
        <v>2601025.75</v>
      </c>
      <c r="C10" s="18" t="s">
        <v>36</v>
      </c>
      <c r="D10" s="24"/>
      <c r="E10" s="25"/>
      <c r="F10" s="26"/>
    </row>
    <row r="11" ht="15.75" customHeight="1">
      <c r="A11" s="18" t="s">
        <v>40</v>
      </c>
      <c r="B11" s="18">
        <v>3.17</v>
      </c>
      <c r="C11" s="18" t="s">
        <v>41</v>
      </c>
      <c r="D11" s="24"/>
      <c r="E11" s="25"/>
      <c r="F11" s="26"/>
    </row>
    <row r="12" ht="15.75" customHeight="1">
      <c r="A12" s="18" t="s">
        <v>42</v>
      </c>
      <c r="B12" s="18">
        <f>1*14.5038</f>
        <v>14.5038</v>
      </c>
      <c r="C12" s="18" t="s">
        <v>43</v>
      </c>
      <c r="D12" s="24"/>
      <c r="E12" s="25"/>
      <c r="F12" s="26"/>
      <c r="G12" s="14">
        <f>B7*70</f>
        <v>4759650</v>
      </c>
    </row>
    <row r="13" ht="15.75" customHeight="1">
      <c r="A13" s="18" t="s">
        <v>44</v>
      </c>
      <c r="B13" s="18">
        <f>0.9803+0.018*(B12/100)+0.0017*(B12/100)^2</f>
        <v>0.9829464452</v>
      </c>
      <c r="C13" s="30" t="s">
        <v>45</v>
      </c>
      <c r="D13" s="24"/>
      <c r="E13" s="25"/>
      <c r="F13" s="26"/>
      <c r="G13" s="14"/>
    </row>
    <row r="14" ht="15.75" customHeight="1">
      <c r="A14" s="18" t="s">
        <v>46</v>
      </c>
      <c r="B14" s="18">
        <v>1.0</v>
      </c>
      <c r="C14" s="31"/>
      <c r="D14" s="24"/>
      <c r="E14" s="25"/>
      <c r="F14" s="26"/>
      <c r="G14" s="14"/>
    </row>
    <row r="15" ht="15.75" customHeight="1">
      <c r="A15" s="18" t="s">
        <v>47</v>
      </c>
      <c r="B15" s="18">
        <v>1.0</v>
      </c>
      <c r="C15" s="32"/>
      <c r="D15" s="24"/>
      <c r="E15" s="25"/>
      <c r="F15" s="26"/>
      <c r="G15" s="14"/>
    </row>
    <row r="16" ht="15.75" customHeight="1">
      <c r="A16" s="28" t="s">
        <v>48</v>
      </c>
      <c r="B16" s="33">
        <f>B11*B13*B14*B15*B10</f>
        <v>8104640.778</v>
      </c>
      <c r="C16" s="28" t="s">
        <v>36</v>
      </c>
      <c r="D16" s="24"/>
      <c r="E16" s="25"/>
      <c r="F16" s="26"/>
      <c r="G16" s="14"/>
    </row>
    <row r="17" ht="15.75" customHeight="1">
      <c r="A17" s="15" t="s">
        <v>49</v>
      </c>
      <c r="B17" s="12"/>
      <c r="C17" s="12"/>
      <c r="D17" s="12"/>
      <c r="E17" s="12"/>
      <c r="F17" s="13"/>
      <c r="G17" s="14"/>
    </row>
    <row r="18" ht="15.75" customHeight="1">
      <c r="A18" s="17" t="s">
        <v>24</v>
      </c>
      <c r="B18" s="17" t="s">
        <v>25</v>
      </c>
      <c r="C18" s="17" t="s">
        <v>26</v>
      </c>
      <c r="D18" s="17" t="s">
        <v>24</v>
      </c>
      <c r="E18" s="17" t="s">
        <v>25</v>
      </c>
      <c r="F18" s="17" t="s">
        <v>26</v>
      </c>
      <c r="G18" s="14"/>
    </row>
    <row r="19" ht="15.75" customHeight="1">
      <c r="A19" s="18" t="s">
        <v>27</v>
      </c>
      <c r="B19" s="19">
        <v>15400.0</v>
      </c>
      <c r="C19" s="18" t="s">
        <v>28</v>
      </c>
      <c r="D19" s="20"/>
      <c r="E19" s="21"/>
      <c r="F19" s="22"/>
      <c r="G19" s="14"/>
    </row>
    <row r="20" ht="15.75" customHeight="1">
      <c r="A20" s="18" t="s">
        <v>29</v>
      </c>
      <c r="B20" s="23">
        <f>53.75/3.28084</f>
        <v>16.38299948</v>
      </c>
      <c r="C20" s="18" t="s">
        <v>30</v>
      </c>
      <c r="D20" s="24"/>
      <c r="E20" s="25"/>
      <c r="F20" s="26"/>
      <c r="G20" s="14"/>
    </row>
    <row r="21" ht="15.75" customHeight="1">
      <c r="A21" s="18" t="s">
        <v>31</v>
      </c>
      <c r="B21" s="27">
        <f>0.0254/0.0254</f>
        <v>1</v>
      </c>
      <c r="C21" s="18" t="s">
        <v>32</v>
      </c>
      <c r="D21" s="24"/>
      <c r="E21" s="25"/>
      <c r="F21" s="26"/>
      <c r="G21" s="14"/>
    </row>
    <row r="22" ht="15.75" customHeight="1">
      <c r="A22" s="18" t="s">
        <v>33</v>
      </c>
      <c r="B22" s="19">
        <v>60000.0</v>
      </c>
      <c r="C22" s="23" t="s">
        <v>34</v>
      </c>
      <c r="D22" s="24"/>
      <c r="E22" s="25"/>
      <c r="F22" s="26"/>
      <c r="G22" s="14"/>
    </row>
    <row r="23" ht="15.75" customHeight="1">
      <c r="A23" s="28" t="s">
        <v>35</v>
      </c>
      <c r="B23" s="29">
        <f>B22*70</f>
        <v>4200000</v>
      </c>
      <c r="C23" s="28" t="s">
        <v>36</v>
      </c>
      <c r="D23" s="24"/>
      <c r="E23" s="25"/>
      <c r="F23" s="26"/>
      <c r="G23" s="14"/>
    </row>
    <row r="24" ht="15.75" customHeight="1">
      <c r="A24" s="18" t="s">
        <v>37</v>
      </c>
      <c r="B24" s="27">
        <f>2*PI()*B21*0.0254/2*B20*B19*(3.28084)^2</f>
        <v>216704.4502</v>
      </c>
      <c r="C24" s="18" t="s">
        <v>38</v>
      </c>
      <c r="D24" s="24"/>
      <c r="E24" s="25"/>
      <c r="F24" s="26"/>
      <c r="G24" s="14"/>
    </row>
    <row r="25" ht="15.75" customHeight="1">
      <c r="A25" s="18" t="s">
        <v>39</v>
      </c>
      <c r="B25" s="27">
        <f>EXP(11.4185-0.9228*LN(B24)+0.09861*(LN(B24))^2)</f>
        <v>3160304.078</v>
      </c>
      <c r="C25" s="18" t="s">
        <v>36</v>
      </c>
      <c r="D25" s="24"/>
      <c r="E25" s="25"/>
      <c r="F25" s="26"/>
      <c r="G25" s="14"/>
    </row>
    <row r="26" ht="15.75" customHeight="1">
      <c r="A26" s="18" t="s">
        <v>40</v>
      </c>
      <c r="B26" s="18">
        <v>3.17</v>
      </c>
      <c r="C26" s="18" t="s">
        <v>41</v>
      </c>
      <c r="D26" s="24"/>
      <c r="E26" s="25"/>
      <c r="F26" s="26"/>
      <c r="G26" s="14"/>
    </row>
    <row r="27" ht="15.75" customHeight="1">
      <c r="A27" s="18" t="s">
        <v>42</v>
      </c>
      <c r="B27" s="18">
        <f>15*14.5038</f>
        <v>217.557</v>
      </c>
      <c r="C27" s="23" t="s">
        <v>50</v>
      </c>
      <c r="D27" s="24"/>
      <c r="E27" s="25"/>
      <c r="F27" s="26"/>
      <c r="G27" s="14"/>
    </row>
    <row r="28" ht="15.75" customHeight="1">
      <c r="A28" s="18" t="s">
        <v>44</v>
      </c>
      <c r="B28" s="18">
        <f>0.9803+0.018*(B27/100)+0.0017*(B27/100)^2</f>
        <v>1.027506538</v>
      </c>
      <c r="C28" s="30" t="s">
        <v>45</v>
      </c>
      <c r="D28" s="24"/>
      <c r="E28" s="25"/>
      <c r="F28" s="26"/>
      <c r="G28" s="14"/>
    </row>
    <row r="29" ht="15.75" customHeight="1">
      <c r="A29" s="18" t="s">
        <v>46</v>
      </c>
      <c r="B29" s="18">
        <v>1.0</v>
      </c>
      <c r="C29" s="31"/>
      <c r="D29" s="24"/>
      <c r="E29" s="25"/>
      <c r="F29" s="26"/>
      <c r="G29" s="14"/>
    </row>
    <row r="30" ht="15.75" customHeight="1">
      <c r="A30" s="18" t="s">
        <v>47</v>
      </c>
      <c r="B30" s="18">
        <v>1.0</v>
      </c>
      <c r="C30" s="32"/>
      <c r="D30" s="24"/>
      <c r="E30" s="25"/>
      <c r="F30" s="26"/>
      <c r="G30" s="14"/>
    </row>
    <row r="31" ht="15.75" customHeight="1">
      <c r="A31" s="28" t="s">
        <v>48</v>
      </c>
      <c r="B31" s="33">
        <f>B26*B28*B29*B30*B25</f>
        <v>10293728.93</v>
      </c>
      <c r="C31" s="28" t="s">
        <v>36</v>
      </c>
      <c r="D31" s="24"/>
      <c r="E31" s="25"/>
      <c r="F31" s="26"/>
      <c r="G31" s="14"/>
    </row>
    <row r="32" ht="15.75" customHeight="1">
      <c r="A32" s="15" t="s">
        <v>51</v>
      </c>
      <c r="B32" s="12"/>
      <c r="C32" s="12"/>
      <c r="D32" s="12"/>
      <c r="E32" s="12"/>
      <c r="F32" s="13"/>
      <c r="G32" s="14"/>
    </row>
    <row r="33" ht="15.75" customHeight="1">
      <c r="A33" s="34" t="s">
        <v>24</v>
      </c>
      <c r="B33" s="34" t="s">
        <v>25</v>
      </c>
      <c r="C33" s="34" t="s">
        <v>26</v>
      </c>
      <c r="D33" s="34" t="s">
        <v>24</v>
      </c>
      <c r="E33" s="34" t="s">
        <v>25</v>
      </c>
      <c r="F33" s="34" t="s">
        <v>26</v>
      </c>
      <c r="G33" s="14"/>
    </row>
    <row r="34" ht="15.75" customHeight="1">
      <c r="A34" s="18" t="s">
        <v>52</v>
      </c>
      <c r="B34" s="23">
        <v>7.39901</v>
      </c>
      <c r="C34" s="18" t="s">
        <v>53</v>
      </c>
      <c r="D34" s="35"/>
      <c r="E34" s="36"/>
      <c r="F34" s="37"/>
      <c r="G34" s="14"/>
    </row>
    <row r="35" ht="15.75" customHeight="1">
      <c r="A35" s="18" t="s">
        <v>52</v>
      </c>
      <c r="B35" s="27">
        <f>B34*3968320.722</f>
        <v>29361644.71</v>
      </c>
      <c r="C35" s="18" t="s">
        <v>54</v>
      </c>
      <c r="D35" s="38"/>
      <c r="F35" s="39"/>
      <c r="G35" s="14"/>
    </row>
    <row r="36" ht="15.75" customHeight="1">
      <c r="A36" s="18" t="s">
        <v>55</v>
      </c>
      <c r="B36" s="18">
        <v>10000.0</v>
      </c>
      <c r="C36" s="18" t="s">
        <v>56</v>
      </c>
      <c r="D36" s="38"/>
      <c r="F36" s="39"/>
      <c r="G36" s="14"/>
    </row>
    <row r="37" ht="15.75" customHeight="1">
      <c r="A37" s="18" t="s">
        <v>37</v>
      </c>
      <c r="B37" s="18">
        <f>B35/B36</f>
        <v>2936.164471</v>
      </c>
      <c r="C37" s="18" t="s">
        <v>57</v>
      </c>
      <c r="D37" s="38"/>
      <c r="F37" s="39"/>
      <c r="G37" s="14"/>
    </row>
    <row r="38" ht="15.75" customHeight="1">
      <c r="A38" s="18" t="s">
        <v>39</v>
      </c>
      <c r="B38" s="27">
        <f>EXP(11.4185-0.9228*LN(B37)+0.09861*(LN(B37))^2)</f>
        <v>30860.9257</v>
      </c>
      <c r="C38" s="18" t="s">
        <v>36</v>
      </c>
      <c r="D38" s="38"/>
      <c r="F38" s="39"/>
      <c r="G38" s="14"/>
    </row>
    <row r="39" ht="15.75" customHeight="1">
      <c r="A39" s="18" t="s">
        <v>40</v>
      </c>
      <c r="B39" s="18">
        <v>2.15</v>
      </c>
      <c r="C39" s="18" t="s">
        <v>58</v>
      </c>
      <c r="D39" s="38"/>
      <c r="F39" s="39"/>
      <c r="G39" s="14"/>
    </row>
    <row r="40" ht="15.75" customHeight="1">
      <c r="A40" s="18" t="s">
        <v>42</v>
      </c>
      <c r="B40" s="18">
        <f>7*14.5038</f>
        <v>101.5266</v>
      </c>
      <c r="C40" s="18" t="s">
        <v>43</v>
      </c>
      <c r="D40" s="38"/>
      <c r="F40" s="39"/>
      <c r="G40" s="14"/>
    </row>
    <row r="41" ht="15.75" customHeight="1">
      <c r="A41" s="18" t="s">
        <v>44</v>
      </c>
      <c r="B41" s="18">
        <f>0.9803+0.018*(B40/100)+0.0017*(B40/100)^2</f>
        <v>1.000327089</v>
      </c>
      <c r="C41" s="30" t="s">
        <v>45</v>
      </c>
      <c r="D41" s="38"/>
      <c r="F41" s="39"/>
      <c r="G41" s="14"/>
    </row>
    <row r="42" ht="15.75" customHeight="1">
      <c r="A42" s="18" t="s">
        <v>46</v>
      </c>
      <c r="B42" s="18">
        <v>1.0</v>
      </c>
      <c r="C42" s="31"/>
      <c r="D42" s="38"/>
      <c r="F42" s="39"/>
      <c r="G42" s="14"/>
    </row>
    <row r="43" ht="15.75" customHeight="1">
      <c r="A43" s="18" t="s">
        <v>47</v>
      </c>
      <c r="B43" s="18">
        <v>1.0</v>
      </c>
      <c r="C43" s="32"/>
      <c r="D43" s="38"/>
      <c r="F43" s="39"/>
      <c r="G43" s="14"/>
    </row>
    <row r="44" ht="15.75" customHeight="1">
      <c r="A44" s="28" t="s">
        <v>48</v>
      </c>
      <c r="B44" s="33">
        <f>B43*B42*B41*B39*B38</f>
        <v>66372.6929</v>
      </c>
      <c r="C44" s="28" t="s">
        <v>36</v>
      </c>
      <c r="D44" s="40"/>
      <c r="E44" s="41"/>
      <c r="F44" s="42"/>
      <c r="G44" s="14"/>
    </row>
    <row r="45" ht="15.75" customHeight="1">
      <c r="A45" s="15" t="s">
        <v>59</v>
      </c>
      <c r="B45" s="12"/>
      <c r="C45" s="12"/>
      <c r="D45" s="12"/>
      <c r="E45" s="12"/>
      <c r="F45" s="13"/>
      <c r="G45" s="14"/>
    </row>
    <row r="46" ht="15.75" customHeight="1">
      <c r="A46" s="34" t="s">
        <v>24</v>
      </c>
      <c r="B46" s="34" t="s">
        <v>25</v>
      </c>
      <c r="C46" s="34" t="s">
        <v>26</v>
      </c>
      <c r="D46" s="34" t="s">
        <v>24</v>
      </c>
      <c r="E46" s="34" t="s">
        <v>25</v>
      </c>
      <c r="F46" s="34" t="s">
        <v>26</v>
      </c>
      <c r="G46" s="14"/>
    </row>
    <row r="47" ht="15.75" customHeight="1">
      <c r="A47" s="18" t="s">
        <v>52</v>
      </c>
      <c r="B47" s="23">
        <v>-8.63125</v>
      </c>
      <c r="C47" s="18" t="s">
        <v>53</v>
      </c>
      <c r="D47" s="35"/>
      <c r="E47" s="36"/>
      <c r="F47" s="37"/>
      <c r="G47" s="14"/>
    </row>
    <row r="48" ht="15.75" customHeight="1">
      <c r="A48" s="18" t="s">
        <v>52</v>
      </c>
      <c r="B48" s="27">
        <f>ABS(B47*3968320.722)</f>
        <v>34251568.23</v>
      </c>
      <c r="C48" s="18" t="s">
        <v>54</v>
      </c>
      <c r="D48" s="38"/>
      <c r="F48" s="39"/>
      <c r="G48" s="14"/>
    </row>
    <row r="49" ht="15.75" customHeight="1">
      <c r="A49" s="18" t="s">
        <v>55</v>
      </c>
      <c r="B49" s="18">
        <v>10000.0</v>
      </c>
      <c r="C49" s="18" t="s">
        <v>56</v>
      </c>
      <c r="D49" s="38"/>
      <c r="F49" s="39"/>
      <c r="G49" s="14"/>
    </row>
    <row r="50" ht="15.75" customHeight="1">
      <c r="A50" s="18" t="s">
        <v>37</v>
      </c>
      <c r="B50" s="18">
        <f>B48/B49</f>
        <v>3425.156823</v>
      </c>
      <c r="C50" s="18" t="s">
        <v>57</v>
      </c>
      <c r="D50" s="38"/>
      <c r="F50" s="39"/>
      <c r="G50" s="14"/>
    </row>
    <row r="51" ht="15.75" customHeight="1">
      <c r="A51" s="18" t="s">
        <v>39</v>
      </c>
      <c r="B51" s="18">
        <f>EXP(11.4185-0.9228*LN(B50)+0.09861*(LN(B50))^2)</f>
        <v>34201.27417</v>
      </c>
      <c r="C51" s="18" t="s">
        <v>36</v>
      </c>
      <c r="D51" s="38"/>
      <c r="F51" s="39"/>
      <c r="G51" s="14"/>
    </row>
    <row r="52" ht="15.75" customHeight="1">
      <c r="A52" s="18" t="s">
        <v>40</v>
      </c>
      <c r="B52" s="18">
        <v>2.15</v>
      </c>
      <c r="C52" s="18" t="s">
        <v>58</v>
      </c>
      <c r="D52" s="38"/>
      <c r="F52" s="39"/>
      <c r="G52" s="14"/>
    </row>
    <row r="53" ht="15.75" customHeight="1">
      <c r="A53" s="18" t="s">
        <v>42</v>
      </c>
      <c r="B53" s="18">
        <f>7*14.5038</f>
        <v>101.5266</v>
      </c>
      <c r="C53" s="18" t="s">
        <v>43</v>
      </c>
      <c r="D53" s="38"/>
      <c r="F53" s="39"/>
      <c r="G53" s="14"/>
    </row>
    <row r="54" ht="15.75" customHeight="1">
      <c r="A54" s="18" t="s">
        <v>44</v>
      </c>
      <c r="B54" s="18">
        <f>0.9803+0.018*(B53/100)+0.0017*(B53/100)^2</f>
        <v>1.000327089</v>
      </c>
      <c r="C54" s="30" t="s">
        <v>45</v>
      </c>
      <c r="D54" s="38"/>
      <c r="F54" s="39"/>
      <c r="G54" s="14"/>
    </row>
    <row r="55" ht="15.75" customHeight="1">
      <c r="A55" s="18" t="s">
        <v>46</v>
      </c>
      <c r="B55" s="18">
        <v>1.0</v>
      </c>
      <c r="C55" s="31"/>
      <c r="D55" s="38"/>
      <c r="F55" s="39"/>
      <c r="G55" s="14"/>
    </row>
    <row r="56" ht="15.75" customHeight="1">
      <c r="A56" s="18" t="s">
        <v>47</v>
      </c>
      <c r="B56" s="18">
        <v>1.0</v>
      </c>
      <c r="C56" s="32"/>
      <c r="D56" s="38"/>
      <c r="F56" s="39"/>
      <c r="G56" s="14"/>
    </row>
    <row r="57" ht="15.75" customHeight="1">
      <c r="A57" s="28" t="s">
        <v>48</v>
      </c>
      <c r="B57" s="33">
        <f>B56*B55*B54*B52*B51</f>
        <v>73556.79119</v>
      </c>
      <c r="C57" s="28" t="s">
        <v>36</v>
      </c>
      <c r="D57" s="40"/>
      <c r="E57" s="41"/>
      <c r="F57" s="42"/>
      <c r="G57" s="14"/>
    </row>
    <row r="58" ht="15.75" customHeight="1">
      <c r="A58" s="15" t="s">
        <v>60</v>
      </c>
      <c r="B58" s="12"/>
      <c r="C58" s="12"/>
      <c r="D58" s="12"/>
      <c r="E58" s="12"/>
      <c r="F58" s="13"/>
      <c r="G58" s="14"/>
    </row>
    <row r="59" ht="15.75" customHeight="1">
      <c r="A59" s="34" t="s">
        <v>24</v>
      </c>
      <c r="B59" s="34" t="s">
        <v>25</v>
      </c>
      <c r="C59" s="34" t="s">
        <v>26</v>
      </c>
      <c r="D59" s="34" t="s">
        <v>24</v>
      </c>
      <c r="E59" s="34" t="s">
        <v>25</v>
      </c>
      <c r="F59" s="34" t="s">
        <v>26</v>
      </c>
      <c r="G59" s="14"/>
    </row>
    <row r="60" ht="15.75" customHeight="1">
      <c r="A60" s="18" t="s">
        <v>52</v>
      </c>
      <c r="B60" s="23">
        <v>2.60532</v>
      </c>
      <c r="C60" s="18" t="s">
        <v>53</v>
      </c>
      <c r="D60" s="35"/>
      <c r="E60" s="36"/>
      <c r="F60" s="37"/>
      <c r="G60" s="14"/>
    </row>
    <row r="61" ht="15.75" customHeight="1">
      <c r="A61" s="18" t="s">
        <v>52</v>
      </c>
      <c r="B61" s="27">
        <f>B60*3968320.722</f>
        <v>10338745.34</v>
      </c>
      <c r="C61" s="18" t="s">
        <v>54</v>
      </c>
      <c r="D61" s="38"/>
      <c r="F61" s="39"/>
      <c r="G61" s="14"/>
    </row>
    <row r="62" ht="15.75" customHeight="1">
      <c r="A62" s="18" t="s">
        <v>55</v>
      </c>
      <c r="B62" s="18">
        <v>10000.0</v>
      </c>
      <c r="C62" s="18" t="s">
        <v>56</v>
      </c>
      <c r="D62" s="38"/>
      <c r="F62" s="39"/>
      <c r="G62" s="14"/>
    </row>
    <row r="63" ht="15.75" customHeight="1">
      <c r="A63" s="18" t="s">
        <v>37</v>
      </c>
      <c r="B63" s="18">
        <f>B61/B62</f>
        <v>1033.874534</v>
      </c>
      <c r="C63" s="18" t="s">
        <v>57</v>
      </c>
      <c r="D63" s="38"/>
      <c r="F63" s="39"/>
      <c r="G63" s="14"/>
    </row>
    <row r="64" ht="15.75" customHeight="1">
      <c r="A64" s="18" t="s">
        <v>39</v>
      </c>
      <c r="B64" s="27">
        <f>EXP(11.4185-0.9228*LN(B63)+0.09861*(LN(B63))^2)</f>
        <v>17398.81279</v>
      </c>
      <c r="C64" s="18" t="s">
        <v>36</v>
      </c>
      <c r="D64" s="38"/>
      <c r="F64" s="39"/>
      <c r="G64" s="14"/>
    </row>
    <row r="65" ht="15.75" customHeight="1">
      <c r="A65" s="18" t="s">
        <v>40</v>
      </c>
      <c r="B65" s="18">
        <v>2.15</v>
      </c>
      <c r="C65" s="18" t="s">
        <v>58</v>
      </c>
      <c r="D65" s="38"/>
      <c r="F65" s="39"/>
      <c r="G65" s="14"/>
    </row>
    <row r="66" ht="15.75" customHeight="1">
      <c r="A66" s="18" t="s">
        <v>42</v>
      </c>
      <c r="B66" s="18">
        <f>3*14.5038</f>
        <v>43.5114</v>
      </c>
      <c r="C66" s="18" t="s">
        <v>43</v>
      </c>
      <c r="D66" s="38"/>
      <c r="F66" s="39"/>
      <c r="G66" s="14"/>
    </row>
    <row r="67" ht="15.75" customHeight="1">
      <c r="A67" s="18" t="s">
        <v>44</v>
      </c>
      <c r="B67" s="18">
        <f>0.9803+0.018*(B66/100)+0.0017*(B66/100)^2</f>
        <v>0.9884539031</v>
      </c>
      <c r="C67" s="30" t="s">
        <v>45</v>
      </c>
      <c r="D67" s="38"/>
      <c r="F67" s="39"/>
      <c r="G67" s="14"/>
    </row>
    <row r="68" ht="15.75" customHeight="1">
      <c r="A68" s="18" t="s">
        <v>46</v>
      </c>
      <c r="B68" s="18">
        <v>1.0</v>
      </c>
      <c r="C68" s="31"/>
      <c r="D68" s="38"/>
      <c r="F68" s="39"/>
      <c r="G68" s="14"/>
    </row>
    <row r="69" ht="15.75" customHeight="1">
      <c r="A69" s="18" t="s">
        <v>47</v>
      </c>
      <c r="B69" s="18">
        <v>1.0</v>
      </c>
      <c r="C69" s="32"/>
      <c r="D69" s="38"/>
      <c r="F69" s="39"/>
      <c r="G69" s="14"/>
    </row>
    <row r="70" ht="15.75" customHeight="1">
      <c r="A70" s="28" t="s">
        <v>48</v>
      </c>
      <c r="B70" s="33">
        <f>B69*B68*B67*B65*B64</f>
        <v>36975.53749</v>
      </c>
      <c r="C70" s="28" t="s">
        <v>36</v>
      </c>
      <c r="D70" s="40"/>
      <c r="E70" s="41"/>
      <c r="F70" s="42"/>
      <c r="G70" s="14"/>
    </row>
    <row r="71" ht="15.75" customHeight="1">
      <c r="A71" s="15" t="s">
        <v>61</v>
      </c>
      <c r="B71" s="12"/>
      <c r="C71" s="12"/>
      <c r="D71" s="12"/>
      <c r="E71" s="12"/>
      <c r="F71" s="13"/>
      <c r="G71" s="14"/>
    </row>
    <row r="72" ht="15.75" customHeight="1">
      <c r="A72" s="34" t="s">
        <v>24</v>
      </c>
      <c r="B72" s="34" t="s">
        <v>25</v>
      </c>
      <c r="C72" s="34" t="s">
        <v>26</v>
      </c>
      <c r="D72" s="34" t="s">
        <v>24</v>
      </c>
      <c r="E72" s="34" t="s">
        <v>25</v>
      </c>
      <c r="F72" s="34" t="s">
        <v>26</v>
      </c>
      <c r="G72" s="14"/>
    </row>
    <row r="73" ht="15.75" customHeight="1">
      <c r="A73" s="18" t="s">
        <v>52</v>
      </c>
      <c r="B73" s="23">
        <v>-2.4179</v>
      </c>
      <c r="C73" s="18" t="s">
        <v>53</v>
      </c>
      <c r="D73" s="35"/>
      <c r="E73" s="36"/>
      <c r="F73" s="37"/>
      <c r="G73" s="14"/>
    </row>
    <row r="74" ht="15.75" customHeight="1">
      <c r="A74" s="18" t="s">
        <v>52</v>
      </c>
      <c r="B74" s="27">
        <f>ABS(B73*3968320.722)</f>
        <v>9595002.674</v>
      </c>
      <c r="C74" s="18" t="s">
        <v>54</v>
      </c>
      <c r="D74" s="38"/>
      <c r="F74" s="39"/>
      <c r="G74" s="14"/>
    </row>
    <row r="75" ht="15.75" customHeight="1">
      <c r="A75" s="18" t="s">
        <v>55</v>
      </c>
      <c r="B75" s="18">
        <v>10000.0</v>
      </c>
      <c r="C75" s="18" t="s">
        <v>56</v>
      </c>
      <c r="D75" s="38"/>
      <c r="F75" s="39"/>
      <c r="G75" s="14"/>
    </row>
    <row r="76" ht="15.75" customHeight="1">
      <c r="A76" s="18" t="s">
        <v>37</v>
      </c>
      <c r="B76" s="18">
        <f>B74/B75</f>
        <v>959.5002674</v>
      </c>
      <c r="C76" s="18" t="s">
        <v>57</v>
      </c>
      <c r="D76" s="38"/>
      <c r="F76" s="39"/>
      <c r="G76" s="14"/>
    </row>
    <row r="77" ht="15.75" customHeight="1">
      <c r="A77" s="18" t="s">
        <v>39</v>
      </c>
      <c r="B77" s="18">
        <f>EXP(11.4185-0.9228*LN(B76)+0.09861*(LN(B76))^2)</f>
        <v>16838.13368</v>
      </c>
      <c r="C77" s="18" t="s">
        <v>36</v>
      </c>
      <c r="D77" s="38"/>
      <c r="F77" s="39"/>
      <c r="G77" s="14"/>
    </row>
    <row r="78" ht="15.75" customHeight="1">
      <c r="A78" s="18" t="s">
        <v>40</v>
      </c>
      <c r="B78" s="18">
        <v>2.15</v>
      </c>
      <c r="C78" s="18" t="s">
        <v>58</v>
      </c>
      <c r="D78" s="38"/>
      <c r="F78" s="39"/>
      <c r="G78" s="14"/>
    </row>
    <row r="79" ht="15.75" customHeight="1">
      <c r="A79" s="18" t="s">
        <v>42</v>
      </c>
      <c r="B79" s="18">
        <f>3*14.5038</f>
        <v>43.5114</v>
      </c>
      <c r="C79" s="18" t="s">
        <v>43</v>
      </c>
      <c r="D79" s="38"/>
      <c r="F79" s="39"/>
      <c r="G79" s="14"/>
    </row>
    <row r="80" ht="15.75" customHeight="1">
      <c r="A80" s="18" t="s">
        <v>44</v>
      </c>
      <c r="B80" s="18">
        <f>0.9803+0.018*(B79/100)+0.0017*(B79/100)^2</f>
        <v>0.9884539031</v>
      </c>
      <c r="C80" s="30" t="s">
        <v>45</v>
      </c>
      <c r="D80" s="38"/>
      <c r="F80" s="39"/>
      <c r="G80" s="14"/>
    </row>
    <row r="81" ht="15.75" customHeight="1">
      <c r="A81" s="18" t="s">
        <v>46</v>
      </c>
      <c r="B81" s="18">
        <v>1.0</v>
      </c>
      <c r="C81" s="31"/>
      <c r="D81" s="38"/>
      <c r="F81" s="39"/>
      <c r="G81" s="14"/>
    </row>
    <row r="82" ht="15.75" customHeight="1">
      <c r="A82" s="18" t="s">
        <v>47</v>
      </c>
      <c r="B82" s="18">
        <v>1.0</v>
      </c>
      <c r="C82" s="32"/>
      <c r="D82" s="38"/>
      <c r="F82" s="39"/>
      <c r="G82" s="14"/>
    </row>
    <row r="83" ht="15.75" customHeight="1">
      <c r="A83" s="28" t="s">
        <v>48</v>
      </c>
      <c r="B83" s="33">
        <f>B82*B81*B80*B78*B77</f>
        <v>35783.99575</v>
      </c>
      <c r="C83" s="28" t="s">
        <v>36</v>
      </c>
      <c r="D83" s="40"/>
      <c r="E83" s="41"/>
      <c r="F83" s="42"/>
      <c r="G83" s="14"/>
    </row>
    <row r="84" ht="15.75" customHeight="1">
      <c r="A84" s="15" t="s">
        <v>62</v>
      </c>
      <c r="B84" s="12"/>
      <c r="C84" s="12"/>
      <c r="D84" s="12"/>
      <c r="E84" s="12"/>
      <c r="F84" s="13"/>
      <c r="G84" s="14"/>
    </row>
    <row r="85" ht="15.75" customHeight="1">
      <c r="A85" s="34" t="s">
        <v>24</v>
      </c>
      <c r="B85" s="34" t="s">
        <v>25</v>
      </c>
      <c r="C85" s="34" t="s">
        <v>26</v>
      </c>
      <c r="D85" s="34" t="s">
        <v>24</v>
      </c>
      <c r="E85" s="34" t="s">
        <v>25</v>
      </c>
      <c r="F85" s="34" t="s">
        <v>26</v>
      </c>
      <c r="G85" s="14"/>
    </row>
    <row r="86" ht="15.75" customHeight="1">
      <c r="A86" s="18" t="s">
        <v>52</v>
      </c>
      <c r="B86" s="23">
        <v>0.00624927</v>
      </c>
      <c r="C86" s="18" t="s">
        <v>53</v>
      </c>
      <c r="D86" s="35"/>
      <c r="E86" s="36"/>
      <c r="F86" s="37"/>
      <c r="G86" s="14"/>
    </row>
    <row r="87" ht="15.75" customHeight="1">
      <c r="A87" s="18" t="s">
        <v>52</v>
      </c>
      <c r="B87" s="27">
        <f>B86*3968320.722</f>
        <v>24799.10764</v>
      </c>
      <c r="C87" s="18" t="s">
        <v>54</v>
      </c>
      <c r="D87" s="38"/>
      <c r="F87" s="39"/>
      <c r="G87" s="14"/>
    </row>
    <row r="88" ht="15.75" customHeight="1">
      <c r="A88" s="18" t="s">
        <v>55</v>
      </c>
      <c r="B88" s="18">
        <v>10000.0</v>
      </c>
      <c r="C88" s="18" t="s">
        <v>56</v>
      </c>
      <c r="D88" s="38"/>
      <c r="F88" s="39"/>
      <c r="G88" s="14"/>
    </row>
    <row r="89" ht="15.75" customHeight="1">
      <c r="A89" s="18" t="s">
        <v>37</v>
      </c>
      <c r="B89" s="18">
        <f>B87/B88</f>
        <v>2.479910764</v>
      </c>
      <c r="C89" s="18" t="s">
        <v>57</v>
      </c>
      <c r="D89" s="38"/>
      <c r="F89" s="39"/>
      <c r="G89" s="14"/>
    </row>
    <row r="90" ht="15.75" customHeight="1">
      <c r="A90" s="18" t="s">
        <v>39</v>
      </c>
      <c r="B90" s="27">
        <f>EXP(11.4185-0.9228*LN(B89)+0.09861*(LN(B89))^2)</f>
        <v>42690.53295</v>
      </c>
      <c r="C90" s="18" t="s">
        <v>36</v>
      </c>
      <c r="D90" s="38"/>
      <c r="F90" s="39"/>
      <c r="G90" s="14"/>
    </row>
    <row r="91" ht="15.75" customHeight="1">
      <c r="A91" s="18" t="s">
        <v>40</v>
      </c>
      <c r="B91" s="18">
        <v>2.15</v>
      </c>
      <c r="C91" s="18" t="s">
        <v>58</v>
      </c>
      <c r="D91" s="38"/>
      <c r="F91" s="39"/>
      <c r="G91" s="14"/>
    </row>
    <row r="92" ht="15.75" customHeight="1">
      <c r="A92" s="18" t="s">
        <v>42</v>
      </c>
      <c r="B92" s="18">
        <f>20*14.5038</f>
        <v>290.076</v>
      </c>
      <c r="C92" s="18" t="s">
        <v>43</v>
      </c>
      <c r="D92" s="38"/>
      <c r="F92" s="39"/>
      <c r="G92" s="14"/>
    </row>
    <row r="93" ht="15.75" customHeight="1">
      <c r="A93" s="18" t="s">
        <v>44</v>
      </c>
      <c r="B93" s="18">
        <f>0.9803+0.018*(B92/100)+0.0017*(B92/100)^2</f>
        <v>1.046818175</v>
      </c>
      <c r="C93" s="30" t="s">
        <v>45</v>
      </c>
      <c r="D93" s="38"/>
      <c r="F93" s="39"/>
      <c r="G93" s="14"/>
    </row>
    <row r="94" ht="15.75" customHeight="1">
      <c r="A94" s="18" t="s">
        <v>46</v>
      </c>
      <c r="B94" s="18">
        <v>1.0</v>
      </c>
      <c r="C94" s="31"/>
      <c r="D94" s="38"/>
      <c r="F94" s="39"/>
      <c r="G94" s="14"/>
    </row>
    <row r="95" ht="15.75" customHeight="1">
      <c r="A95" s="18" t="s">
        <v>47</v>
      </c>
      <c r="B95" s="18">
        <v>1.0</v>
      </c>
      <c r="C95" s="32"/>
      <c r="D95" s="38"/>
      <c r="F95" s="39"/>
      <c r="G95" s="14"/>
    </row>
    <row r="96" ht="15.75" customHeight="1">
      <c r="A96" s="28" t="s">
        <v>48</v>
      </c>
      <c r="B96" s="33">
        <f>B95*B94*B93*B91*B90</f>
        <v>96081.83542</v>
      </c>
      <c r="C96" s="28" t="s">
        <v>36</v>
      </c>
      <c r="D96" s="40"/>
      <c r="E96" s="41"/>
      <c r="F96" s="42"/>
      <c r="G96" s="14"/>
    </row>
    <row r="97" ht="15.75" customHeight="1">
      <c r="A97" s="15" t="s">
        <v>63</v>
      </c>
      <c r="B97" s="12"/>
      <c r="C97" s="12"/>
      <c r="D97" s="12"/>
      <c r="E97" s="12"/>
      <c r="F97" s="13"/>
      <c r="G97" s="14"/>
    </row>
    <row r="98" ht="15.75" customHeight="1">
      <c r="A98" s="34" t="s">
        <v>24</v>
      </c>
      <c r="B98" s="34" t="s">
        <v>25</v>
      </c>
      <c r="C98" s="34" t="s">
        <v>26</v>
      </c>
      <c r="D98" s="34" t="s">
        <v>24</v>
      </c>
      <c r="E98" s="34" t="s">
        <v>25</v>
      </c>
      <c r="F98" s="34" t="s">
        <v>26</v>
      </c>
      <c r="G98" s="14"/>
    </row>
    <row r="99" ht="15.75" customHeight="1">
      <c r="A99" s="18" t="s">
        <v>52</v>
      </c>
      <c r="B99" s="23">
        <v>-0.0942432</v>
      </c>
      <c r="C99" s="18" t="s">
        <v>53</v>
      </c>
      <c r="D99" s="35"/>
      <c r="E99" s="36"/>
      <c r="F99" s="37"/>
      <c r="G99" s="14"/>
    </row>
    <row r="100" ht="15.75" customHeight="1">
      <c r="A100" s="18" t="s">
        <v>52</v>
      </c>
      <c r="B100" s="27">
        <f>ABS(B99*3968320.722)</f>
        <v>373987.2435</v>
      </c>
      <c r="C100" s="18" t="s">
        <v>54</v>
      </c>
      <c r="D100" s="38"/>
      <c r="F100" s="39"/>
      <c r="G100" s="14"/>
    </row>
    <row r="101" ht="15.75" customHeight="1">
      <c r="A101" s="18" t="s">
        <v>55</v>
      </c>
      <c r="B101" s="18">
        <v>10000.0</v>
      </c>
      <c r="C101" s="18" t="s">
        <v>56</v>
      </c>
      <c r="D101" s="38"/>
      <c r="F101" s="39"/>
      <c r="G101" s="14"/>
    </row>
    <row r="102" ht="15.75" customHeight="1">
      <c r="A102" s="18" t="s">
        <v>37</v>
      </c>
      <c r="B102" s="18">
        <f>B100/B101</f>
        <v>37.39872435</v>
      </c>
      <c r="C102" s="18" t="s">
        <v>57</v>
      </c>
      <c r="D102" s="38"/>
      <c r="F102" s="39"/>
      <c r="G102" s="14"/>
    </row>
    <row r="103" ht="15.75" customHeight="1">
      <c r="A103" s="18" t="s">
        <v>39</v>
      </c>
      <c r="B103" s="18">
        <f>EXP(11.4185-0.9228*LN(B102)+0.09861*(LN(B102))^2)</f>
        <v>11729.32415</v>
      </c>
      <c r="C103" s="18" t="s">
        <v>36</v>
      </c>
      <c r="D103" s="38"/>
      <c r="F103" s="39"/>
      <c r="G103" s="14"/>
    </row>
    <row r="104" ht="15.75" customHeight="1">
      <c r="A104" s="18" t="s">
        <v>40</v>
      </c>
      <c r="B104" s="18">
        <v>2.15</v>
      </c>
      <c r="C104" s="18" t="s">
        <v>58</v>
      </c>
      <c r="D104" s="38"/>
      <c r="F104" s="39"/>
      <c r="G104" s="14"/>
    </row>
    <row r="105" ht="15.75" customHeight="1">
      <c r="A105" s="18" t="s">
        <v>42</v>
      </c>
      <c r="B105" s="18">
        <f>20*14.5038</f>
        <v>290.076</v>
      </c>
      <c r="C105" s="18" t="s">
        <v>43</v>
      </c>
      <c r="D105" s="38"/>
      <c r="F105" s="39"/>
      <c r="G105" s="14"/>
    </row>
    <row r="106" ht="15.75" customHeight="1">
      <c r="A106" s="18" t="s">
        <v>44</v>
      </c>
      <c r="B106" s="18">
        <f>0.9803+0.018*(B105/100)+0.0017*(B105/100)^2</f>
        <v>1.046818175</v>
      </c>
      <c r="C106" s="30" t="s">
        <v>45</v>
      </c>
      <c r="D106" s="38"/>
      <c r="F106" s="39"/>
      <c r="G106" s="14"/>
    </row>
    <row r="107" ht="15.75" customHeight="1">
      <c r="A107" s="18" t="s">
        <v>46</v>
      </c>
      <c r="B107" s="18">
        <v>1.0</v>
      </c>
      <c r="C107" s="31"/>
      <c r="D107" s="38"/>
      <c r="F107" s="39"/>
      <c r="G107" s="14"/>
    </row>
    <row r="108" ht="15.75" customHeight="1">
      <c r="A108" s="18" t="s">
        <v>47</v>
      </c>
      <c r="B108" s="18">
        <v>1.0</v>
      </c>
      <c r="C108" s="32"/>
      <c r="D108" s="38"/>
      <c r="F108" s="39"/>
      <c r="G108" s="14"/>
    </row>
    <row r="109" ht="15.75" customHeight="1">
      <c r="A109" s="28" t="s">
        <v>48</v>
      </c>
      <c r="B109" s="33">
        <f>B108*B107*B106*B104*B103</f>
        <v>26398.70985</v>
      </c>
      <c r="C109" s="28" t="s">
        <v>36</v>
      </c>
      <c r="D109" s="40"/>
      <c r="E109" s="41"/>
      <c r="F109" s="42"/>
      <c r="G109" s="14"/>
    </row>
    <row r="110" ht="15.75" customHeight="1">
      <c r="A110" s="43" t="s">
        <v>64</v>
      </c>
      <c r="G110" s="14"/>
    </row>
    <row r="111" ht="15.75" customHeight="1">
      <c r="A111" s="44" t="s">
        <v>24</v>
      </c>
      <c r="B111" s="44" t="s">
        <v>25</v>
      </c>
      <c r="C111" s="44" t="s">
        <v>26</v>
      </c>
      <c r="D111" s="44" t="s">
        <v>24</v>
      </c>
      <c r="E111" s="44" t="s">
        <v>25</v>
      </c>
      <c r="F111" s="44" t="s">
        <v>26</v>
      </c>
      <c r="G111" s="14"/>
    </row>
    <row r="112" ht="15.75" customHeight="1">
      <c r="A112" s="45" t="s">
        <v>65</v>
      </c>
      <c r="B112" s="46">
        <v>882.346</v>
      </c>
      <c r="C112" s="45" t="s">
        <v>66</v>
      </c>
      <c r="D112" s="45" t="s">
        <v>67</v>
      </c>
      <c r="E112" s="45">
        <v>1.26</v>
      </c>
      <c r="F112" s="45" t="s">
        <v>30</v>
      </c>
      <c r="G112" s="14"/>
    </row>
    <row r="113" ht="15.75" customHeight="1">
      <c r="A113" s="47" t="s">
        <v>68</v>
      </c>
      <c r="B113" s="48">
        <v>0.0168037163488793</v>
      </c>
      <c r="C113" s="49" t="s">
        <v>69</v>
      </c>
      <c r="D113" s="45" t="s">
        <v>70</v>
      </c>
      <c r="E113" s="45">
        <v>32.04</v>
      </c>
      <c r="F113" s="49" t="s">
        <v>71</v>
      </c>
      <c r="G113" s="14"/>
    </row>
    <row r="114" ht="15.75" customHeight="1">
      <c r="A114" s="47" t="s">
        <v>72</v>
      </c>
      <c r="B114" s="48">
        <v>0.303151937695321</v>
      </c>
      <c r="C114" s="31"/>
      <c r="D114" s="45" t="s">
        <v>73</v>
      </c>
      <c r="E114" s="45">
        <v>46.07</v>
      </c>
      <c r="F114" s="31"/>
      <c r="G114" s="14"/>
    </row>
    <row r="115" ht="15.75" customHeight="1">
      <c r="A115" s="47" t="s">
        <v>74</v>
      </c>
      <c r="B115" s="48">
        <v>3.88717531140297E-5</v>
      </c>
      <c r="C115" s="31"/>
      <c r="D115" s="45" t="s">
        <v>75</v>
      </c>
      <c r="E115" s="45">
        <v>18.02</v>
      </c>
      <c r="F115" s="31"/>
      <c r="G115" s="14"/>
    </row>
    <row r="116" ht="15.75" customHeight="1">
      <c r="A116" s="47" t="s">
        <v>76</v>
      </c>
      <c r="B116" s="48">
        <v>0.652763307560335</v>
      </c>
      <c r="C116" s="31"/>
      <c r="D116" s="45" t="s">
        <v>77</v>
      </c>
      <c r="E116" s="45">
        <v>28.0</v>
      </c>
      <c r="F116" s="31"/>
      <c r="G116" s="14"/>
    </row>
    <row r="117" ht="15.75" customHeight="1">
      <c r="A117" s="47" t="s">
        <v>78</v>
      </c>
      <c r="B117" s="48">
        <v>0.023842139271337</v>
      </c>
      <c r="C117" s="31"/>
      <c r="D117" s="45" t="s">
        <v>79</v>
      </c>
      <c r="E117" s="45">
        <v>74.08</v>
      </c>
      <c r="F117" s="31"/>
      <c r="G117" s="14"/>
    </row>
    <row r="118" ht="15.75" customHeight="1">
      <c r="A118" s="47" t="s">
        <v>80</v>
      </c>
      <c r="B118" s="48">
        <v>0.00340002737101343</v>
      </c>
      <c r="C118" s="31"/>
      <c r="D118" s="50" t="s">
        <v>81</v>
      </c>
      <c r="E118" s="45">
        <v>2.0</v>
      </c>
      <c r="F118" s="31"/>
      <c r="G118" s="14"/>
    </row>
    <row r="119" ht="15.75" customHeight="1">
      <c r="A119" s="47" t="s">
        <v>82</v>
      </c>
      <c r="B119" s="48">
        <v>0.0</v>
      </c>
      <c r="C119" s="32"/>
      <c r="D119" s="50" t="s">
        <v>83</v>
      </c>
      <c r="E119" s="45">
        <v>16.0</v>
      </c>
      <c r="F119" s="32"/>
      <c r="G119" s="14"/>
    </row>
    <row r="120" ht="15.75" customHeight="1">
      <c r="A120" s="45" t="s">
        <v>65</v>
      </c>
      <c r="B120" s="45">
        <f>B112*1000*(B113*E113+B114*E114+B115*E115+B116*E116+B117*E117+B118*E118+B119*E119)/(B113*E120+B114*E121+B115*E122+B116*E123+B117*E124+B118*E125+B119*E126)</f>
        <v>825.1209854</v>
      </c>
      <c r="C120" s="45" t="s">
        <v>84</v>
      </c>
      <c r="D120" s="50" t="s">
        <v>85</v>
      </c>
      <c r="E120" s="51">
        <f>792*1000</f>
        <v>792000</v>
      </c>
      <c r="F120" s="52" t="s">
        <v>86</v>
      </c>
      <c r="G120" s="14"/>
    </row>
    <row r="121" ht="15.75" customHeight="1">
      <c r="A121" s="45" t="s">
        <v>87</v>
      </c>
      <c r="B121" s="45">
        <f>B120/60*5*2</f>
        <v>137.5201642</v>
      </c>
      <c r="C121" s="45" t="s">
        <v>88</v>
      </c>
      <c r="D121" s="45" t="s">
        <v>89</v>
      </c>
      <c r="E121" s="51">
        <v>2110.0</v>
      </c>
      <c r="F121" s="31"/>
      <c r="G121" s="14"/>
    </row>
    <row r="122" ht="15.75" customHeight="1">
      <c r="A122" s="45" t="s">
        <v>90</v>
      </c>
      <c r="B122" s="45">
        <f>(4*B121/2.5/PI())^(1/3)</f>
        <v>4.122039642</v>
      </c>
      <c r="C122" s="45" t="s">
        <v>30</v>
      </c>
      <c r="D122" s="50" t="s">
        <v>91</v>
      </c>
      <c r="E122" s="51">
        <v>997000.0</v>
      </c>
      <c r="F122" s="31"/>
      <c r="G122" s="14"/>
    </row>
    <row r="123" ht="15.75" customHeight="1">
      <c r="A123" s="45" t="s">
        <v>92</v>
      </c>
      <c r="B123" s="45">
        <f>3.28*B122</f>
        <v>13.52029003</v>
      </c>
      <c r="C123" s="45" t="s">
        <v>93</v>
      </c>
      <c r="D123" s="45" t="s">
        <v>94</v>
      </c>
      <c r="E123" s="51">
        <v>1140.0</v>
      </c>
      <c r="F123" s="31"/>
      <c r="G123" s="14"/>
    </row>
    <row r="124" ht="15.75" customHeight="1">
      <c r="A124" s="45" t="s">
        <v>95</v>
      </c>
      <c r="B124" s="45">
        <f>B123*2.5</f>
        <v>33.80072506</v>
      </c>
      <c r="C124" s="45" t="s">
        <v>93</v>
      </c>
      <c r="D124" s="45" t="s">
        <v>96</v>
      </c>
      <c r="E124" s="51">
        <v>932000.0</v>
      </c>
      <c r="F124" s="31"/>
      <c r="G124" s="14"/>
    </row>
    <row r="125" ht="15.75" customHeight="1">
      <c r="A125" s="45" t="s">
        <v>97</v>
      </c>
      <c r="B125" s="51">
        <f>341*B123^(0.63316)*B124^(0.80161)</f>
        <v>29816.17054</v>
      </c>
      <c r="C125" s="45" t="s">
        <v>36</v>
      </c>
      <c r="D125" s="45" t="s">
        <v>98</v>
      </c>
      <c r="E125" s="53">
        <v>83.75</v>
      </c>
      <c r="F125" s="31"/>
      <c r="G125" s="14"/>
    </row>
    <row r="126" ht="15.75" customHeight="1">
      <c r="A126" s="45" t="s">
        <v>99</v>
      </c>
      <c r="B126" s="45">
        <v>490.0</v>
      </c>
      <c r="C126" s="45" t="s">
        <v>100</v>
      </c>
      <c r="D126" s="50" t="s">
        <v>101</v>
      </c>
      <c r="E126" s="53">
        <v>657.0</v>
      </c>
      <c r="F126" s="32"/>
      <c r="G126" s="14"/>
    </row>
    <row r="127" ht="15.75" customHeight="1">
      <c r="A127" s="45" t="s">
        <v>102</v>
      </c>
      <c r="B127" s="45">
        <v>0.014</v>
      </c>
      <c r="C127" s="45" t="s">
        <v>93</v>
      </c>
      <c r="D127" s="35"/>
      <c r="E127" s="36"/>
      <c r="F127" s="37"/>
      <c r="G127" s="14"/>
    </row>
    <row r="128" ht="15.75" customHeight="1">
      <c r="A128" s="45" t="s">
        <v>103</v>
      </c>
      <c r="B128" s="45">
        <f>B126*B127*PI()*(B123+B127)*(B124+0.8*B123)</f>
        <v>13013.95842</v>
      </c>
      <c r="C128" s="45" t="s">
        <v>104</v>
      </c>
      <c r="D128" s="38"/>
      <c r="F128" s="39"/>
      <c r="G128" s="14"/>
    </row>
    <row r="129" ht="15.75" customHeight="1">
      <c r="A129" s="45" t="s">
        <v>105</v>
      </c>
      <c r="B129" s="51">
        <f>EXP(5.6336+0.4599*LN(B128)+0.00582*(LN(B128))^2)</f>
        <v>36788.83762</v>
      </c>
      <c r="C129" s="45" t="s">
        <v>36</v>
      </c>
      <c r="D129" s="38"/>
      <c r="F129" s="39"/>
      <c r="G129" s="14"/>
    </row>
    <row r="130" ht="15.75" customHeight="1">
      <c r="A130" s="45" t="s">
        <v>106</v>
      </c>
      <c r="B130" s="51">
        <f>B129+B125</f>
        <v>66605.00816</v>
      </c>
      <c r="C130" s="45" t="s">
        <v>36</v>
      </c>
      <c r="D130" s="38"/>
      <c r="F130" s="39"/>
      <c r="G130" s="14"/>
    </row>
    <row r="131" ht="15.75" customHeight="1">
      <c r="A131" s="45" t="s">
        <v>40</v>
      </c>
      <c r="B131" s="45">
        <v>4.16</v>
      </c>
      <c r="C131" s="45" t="s">
        <v>107</v>
      </c>
      <c r="D131" s="38"/>
      <c r="F131" s="39"/>
      <c r="G131" s="14"/>
    </row>
    <row r="132" ht="15.75" customHeight="1">
      <c r="A132" s="54" t="s">
        <v>48</v>
      </c>
      <c r="B132" s="55">
        <f>B131*B130</f>
        <v>277076.8339</v>
      </c>
      <c r="C132" s="54" t="s">
        <v>36</v>
      </c>
      <c r="D132" s="40"/>
      <c r="E132" s="41"/>
      <c r="F132" s="42"/>
      <c r="G132" s="14"/>
    </row>
    <row r="133" ht="15.75" customHeight="1">
      <c r="A133" s="56" t="s">
        <v>108</v>
      </c>
      <c r="B133" s="12"/>
      <c r="C133" s="12"/>
      <c r="D133" s="12"/>
      <c r="E133" s="12"/>
      <c r="F133" s="13"/>
      <c r="G133" s="14"/>
    </row>
    <row r="134" ht="15.75" customHeight="1">
      <c r="A134" s="45" t="s">
        <v>109</v>
      </c>
      <c r="B134" s="46">
        <v>0.994871</v>
      </c>
      <c r="C134" s="45" t="s">
        <v>53</v>
      </c>
      <c r="D134" s="20"/>
      <c r="E134" s="36"/>
      <c r="F134" s="37"/>
      <c r="G134" s="14"/>
    </row>
    <row r="135" ht="15.75" customHeight="1">
      <c r="A135" s="45" t="s">
        <v>109</v>
      </c>
      <c r="B135" s="57">
        <f>ABS(B134*3968320.722)</f>
        <v>3947967.205</v>
      </c>
      <c r="C135" s="45" t="s">
        <v>54</v>
      </c>
      <c r="D135" s="38"/>
      <c r="F135" s="39"/>
      <c r="G135" s="14"/>
    </row>
    <row r="136" ht="15.75" customHeight="1">
      <c r="A136" s="45" t="s">
        <v>39</v>
      </c>
      <c r="B136" s="45">
        <f>exp(-0.15241+0.785*ln(B135))</f>
        <v>129408.3811</v>
      </c>
      <c r="C136" s="45"/>
      <c r="D136" s="38"/>
      <c r="F136" s="39"/>
      <c r="G136" s="14"/>
    </row>
    <row r="137" ht="15.75" customHeight="1">
      <c r="A137" s="45" t="s">
        <v>46</v>
      </c>
      <c r="B137" s="45">
        <v>1.4</v>
      </c>
      <c r="C137" s="45" t="s">
        <v>110</v>
      </c>
      <c r="D137" s="38"/>
      <c r="F137" s="39"/>
      <c r="G137" s="14"/>
    </row>
    <row r="138" ht="15.75" customHeight="1">
      <c r="A138" s="45" t="s">
        <v>42</v>
      </c>
      <c r="B138" s="45">
        <f>10*14.5038</f>
        <v>145.038</v>
      </c>
      <c r="C138" s="45" t="s">
        <v>111</v>
      </c>
      <c r="D138" s="38"/>
      <c r="F138" s="39"/>
      <c r="G138" s="14"/>
    </row>
    <row r="139" ht="15.75" customHeight="1">
      <c r="A139" s="45" t="s">
        <v>44</v>
      </c>
      <c r="B139" s="45">
        <f>0.986-0.0035*B138/500+0.0175*(B138/500)^2</f>
        <v>0.9864572555</v>
      </c>
      <c r="C139" s="45" t="s">
        <v>112</v>
      </c>
      <c r="D139" s="38"/>
      <c r="F139" s="39"/>
      <c r="G139" s="14"/>
    </row>
    <row r="140" ht="15.75" customHeight="1">
      <c r="A140" s="45" t="s">
        <v>106</v>
      </c>
      <c r="B140" s="45">
        <f>B139*B137*B136</f>
        <v>178718.171</v>
      </c>
      <c r="C140" s="45" t="s">
        <v>36</v>
      </c>
      <c r="D140" s="38"/>
      <c r="F140" s="39"/>
      <c r="G140" s="14"/>
    </row>
    <row r="141" ht="15.75" customHeight="1">
      <c r="A141" s="45" t="s">
        <v>40</v>
      </c>
      <c r="B141" s="45">
        <v>1.86</v>
      </c>
      <c r="C141" s="45" t="s">
        <v>113</v>
      </c>
      <c r="D141" s="38"/>
      <c r="F141" s="39"/>
      <c r="G141" s="14"/>
    </row>
    <row r="142" ht="15.75" customHeight="1">
      <c r="A142" s="54" t="s">
        <v>48</v>
      </c>
      <c r="B142" s="55">
        <f>B141*B140</f>
        <v>332415.7981</v>
      </c>
      <c r="C142" s="54" t="s">
        <v>36</v>
      </c>
      <c r="D142" s="40"/>
      <c r="E142" s="41"/>
      <c r="F142" s="42"/>
      <c r="G142" s="14"/>
    </row>
    <row r="143" ht="15.75" customHeight="1">
      <c r="A143" s="56" t="s">
        <v>114</v>
      </c>
      <c r="B143" s="12"/>
      <c r="C143" s="12"/>
      <c r="D143" s="12"/>
      <c r="E143" s="12"/>
      <c r="F143" s="13"/>
      <c r="G143" s="14"/>
    </row>
    <row r="144" ht="15.75" customHeight="1">
      <c r="A144" s="45" t="s">
        <v>109</v>
      </c>
      <c r="B144" s="46">
        <v>-0.386217</v>
      </c>
      <c r="C144" s="45" t="s">
        <v>53</v>
      </c>
      <c r="D144" s="20"/>
      <c r="E144" s="36"/>
      <c r="F144" s="37"/>
      <c r="G144" s="14"/>
    </row>
    <row r="145" ht="15.75" customHeight="1">
      <c r="A145" s="45" t="s">
        <v>109</v>
      </c>
      <c r="B145" s="57">
        <f>ABS(B144*3968320.722)</f>
        <v>1532632.924</v>
      </c>
      <c r="C145" s="45" t="s">
        <v>54</v>
      </c>
      <c r="D145" s="38"/>
      <c r="F145" s="39"/>
      <c r="G145" s="14"/>
    </row>
    <row r="146" ht="15.75" customHeight="1">
      <c r="A146" s="45" t="s">
        <v>39</v>
      </c>
      <c r="B146" s="45">
        <f>exp(-0.15241+0.785*ln(B145))</f>
        <v>61571.2721</v>
      </c>
      <c r="C146" s="45"/>
      <c r="D146" s="38"/>
      <c r="F146" s="39"/>
      <c r="G146" s="14"/>
    </row>
    <row r="147" ht="15.75" customHeight="1">
      <c r="A147" s="45" t="s">
        <v>46</v>
      </c>
      <c r="B147" s="45">
        <v>1.4</v>
      </c>
      <c r="C147" s="45" t="s">
        <v>110</v>
      </c>
      <c r="D147" s="38"/>
      <c r="F147" s="39"/>
      <c r="G147" s="14"/>
    </row>
    <row r="148" ht="15.75" customHeight="1">
      <c r="A148" s="45" t="s">
        <v>42</v>
      </c>
      <c r="B148" s="45">
        <f>3*14.5038</f>
        <v>43.5114</v>
      </c>
      <c r="C148" s="45" t="s">
        <v>111</v>
      </c>
      <c r="D148" s="38"/>
      <c r="F148" s="39"/>
      <c r="G148" s="14"/>
    </row>
    <row r="149" ht="15.75" customHeight="1">
      <c r="A149" s="45" t="s">
        <v>44</v>
      </c>
      <c r="B149" s="45">
        <f>0.986-0.0035*B148/500+0.0175*(B148/500)^2</f>
        <v>0.9858279471</v>
      </c>
      <c r="C149" s="45" t="s">
        <v>112</v>
      </c>
      <c r="D149" s="38"/>
      <c r="F149" s="39"/>
      <c r="G149" s="14"/>
    </row>
    <row r="150" ht="15.75" customHeight="1">
      <c r="A150" s="45" t="s">
        <v>106</v>
      </c>
      <c r="B150" s="45">
        <f>B149*B147*B146</f>
        <v>84978.15309</v>
      </c>
      <c r="C150" s="45" t="s">
        <v>36</v>
      </c>
      <c r="D150" s="38"/>
      <c r="F150" s="39"/>
      <c r="G150" s="14"/>
    </row>
    <row r="151" ht="15.75" customHeight="1">
      <c r="A151" s="45" t="s">
        <v>40</v>
      </c>
      <c r="B151" s="45">
        <v>1.86</v>
      </c>
      <c r="C151" s="45" t="s">
        <v>113</v>
      </c>
      <c r="D151" s="38"/>
      <c r="F151" s="39"/>
      <c r="G151" s="14"/>
    </row>
    <row r="152" ht="15.75" customHeight="1">
      <c r="A152" s="54" t="s">
        <v>48</v>
      </c>
      <c r="B152" s="55">
        <f>B151*B150</f>
        <v>158059.3647</v>
      </c>
      <c r="C152" s="54" t="s">
        <v>36</v>
      </c>
      <c r="D152" s="40"/>
      <c r="E152" s="41"/>
      <c r="F152" s="42"/>
      <c r="G152" s="14"/>
    </row>
    <row r="153" ht="15.75" customHeight="1">
      <c r="A153" s="56" t="s">
        <v>115</v>
      </c>
      <c r="B153" s="12"/>
      <c r="C153" s="12"/>
      <c r="D153" s="12"/>
      <c r="E153" s="12"/>
      <c r="F153" s="13"/>
      <c r="G153" s="14"/>
    </row>
    <row r="154" ht="15.75" customHeight="1">
      <c r="A154" s="45" t="s">
        <v>109</v>
      </c>
      <c r="B154" s="46">
        <v>0.930097</v>
      </c>
      <c r="C154" s="45" t="s">
        <v>53</v>
      </c>
      <c r="D154" s="20"/>
      <c r="E154" s="36"/>
      <c r="F154" s="37"/>
      <c r="G154" s="14"/>
    </row>
    <row r="155" ht="15.75" customHeight="1">
      <c r="A155" s="45" t="s">
        <v>109</v>
      </c>
      <c r="B155" s="57">
        <f>ABS(B154*3968320.722)</f>
        <v>3690923.199</v>
      </c>
      <c r="C155" s="45" t="s">
        <v>54</v>
      </c>
      <c r="D155" s="38"/>
      <c r="F155" s="39"/>
      <c r="G155" s="14"/>
    </row>
    <row r="156" ht="15.75" customHeight="1">
      <c r="A156" s="45" t="s">
        <v>39</v>
      </c>
      <c r="B156" s="45">
        <f>exp(-0.15241+0.785*ln(B155))</f>
        <v>122746.7945</v>
      </c>
      <c r="C156" s="45"/>
      <c r="D156" s="38"/>
      <c r="F156" s="39"/>
      <c r="G156" s="14"/>
    </row>
    <row r="157" ht="15.75" customHeight="1">
      <c r="A157" s="45" t="s">
        <v>46</v>
      </c>
      <c r="B157" s="45">
        <v>1.4</v>
      </c>
      <c r="C157" s="45" t="s">
        <v>110</v>
      </c>
      <c r="D157" s="38"/>
      <c r="F157" s="39"/>
      <c r="G157" s="14"/>
    </row>
    <row r="158" ht="15.75" customHeight="1">
      <c r="A158" s="45" t="s">
        <v>42</v>
      </c>
      <c r="B158" s="45">
        <f>10*14.5038</f>
        <v>145.038</v>
      </c>
      <c r="C158" s="45" t="s">
        <v>111</v>
      </c>
      <c r="D158" s="38"/>
      <c r="F158" s="39"/>
      <c r="G158" s="14"/>
    </row>
    <row r="159" ht="15.75" customHeight="1">
      <c r="A159" s="45" t="s">
        <v>44</v>
      </c>
      <c r="B159" s="45">
        <f>0.986-0.0035*B158/500+0.0175*(B158/500)^2</f>
        <v>0.9864572555</v>
      </c>
      <c r="C159" s="45" t="s">
        <v>112</v>
      </c>
      <c r="D159" s="38"/>
      <c r="F159" s="39"/>
      <c r="G159" s="14"/>
    </row>
    <row r="160" ht="15.75" customHeight="1">
      <c r="A160" s="45" t="s">
        <v>106</v>
      </c>
      <c r="B160" s="45">
        <f>B159*B157*B156</f>
        <v>169518.2525</v>
      </c>
      <c r="C160" s="45" t="s">
        <v>36</v>
      </c>
      <c r="D160" s="38"/>
      <c r="F160" s="39"/>
      <c r="G160" s="14"/>
    </row>
    <row r="161" ht="15.75" customHeight="1">
      <c r="A161" s="45" t="s">
        <v>40</v>
      </c>
      <c r="B161" s="45">
        <v>1.86</v>
      </c>
      <c r="C161" s="45" t="s">
        <v>113</v>
      </c>
      <c r="D161" s="38"/>
      <c r="F161" s="39"/>
      <c r="G161" s="14"/>
    </row>
    <row r="162" ht="15.75" customHeight="1">
      <c r="A162" s="54" t="s">
        <v>48</v>
      </c>
      <c r="B162" s="55">
        <f>B161*B160</f>
        <v>315303.9496</v>
      </c>
      <c r="C162" s="54" t="s">
        <v>36</v>
      </c>
      <c r="D162" s="40"/>
      <c r="E162" s="41"/>
      <c r="F162" s="42"/>
      <c r="G162" s="14"/>
    </row>
    <row r="163" ht="15.75" customHeight="1">
      <c r="A163" s="56" t="s">
        <v>116</v>
      </c>
      <c r="B163" s="12"/>
      <c r="C163" s="12"/>
      <c r="D163" s="12"/>
      <c r="E163" s="12"/>
      <c r="F163" s="13"/>
      <c r="G163" s="14"/>
    </row>
    <row r="164" ht="15.75" customHeight="1">
      <c r="A164" s="45" t="s">
        <v>109</v>
      </c>
      <c r="B164" s="46">
        <v>0.124194</v>
      </c>
      <c r="C164" s="45" t="s">
        <v>53</v>
      </c>
      <c r="D164" s="20"/>
      <c r="E164" s="36"/>
      <c r="F164" s="37"/>
      <c r="G164" s="14"/>
    </row>
    <row r="165" ht="15.75" customHeight="1">
      <c r="A165" s="45" t="s">
        <v>109</v>
      </c>
      <c r="B165" s="57">
        <f>ABS(B164*3968320.722)</f>
        <v>492841.6237</v>
      </c>
      <c r="C165" s="45" t="s">
        <v>54</v>
      </c>
      <c r="D165" s="38"/>
      <c r="F165" s="39"/>
      <c r="G165" s="14"/>
    </row>
    <row r="166" ht="15.75" customHeight="1">
      <c r="A166" s="45" t="s">
        <v>39</v>
      </c>
      <c r="B166" s="45">
        <f>exp(-0.15241+0.785*ln(B165))</f>
        <v>25268.79145</v>
      </c>
      <c r="C166" s="45"/>
      <c r="D166" s="38"/>
      <c r="F166" s="39"/>
      <c r="G166" s="14"/>
    </row>
    <row r="167" ht="15.75" customHeight="1">
      <c r="A167" s="45" t="s">
        <v>46</v>
      </c>
      <c r="B167" s="45">
        <v>1.4</v>
      </c>
      <c r="C167" s="45" t="s">
        <v>110</v>
      </c>
      <c r="D167" s="38"/>
      <c r="F167" s="39"/>
      <c r="G167" s="14"/>
    </row>
    <row r="168" ht="15.75" customHeight="1">
      <c r="A168" s="45" t="s">
        <v>42</v>
      </c>
      <c r="B168" s="45">
        <f>25*14.5038</f>
        <v>362.595</v>
      </c>
      <c r="C168" s="45" t="s">
        <v>111</v>
      </c>
      <c r="D168" s="38"/>
      <c r="F168" s="39"/>
      <c r="G168" s="14"/>
    </row>
    <row r="169" ht="15.75" customHeight="1">
      <c r="A169" s="45" t="s">
        <v>44</v>
      </c>
      <c r="B169" s="45">
        <f>0.986-0.0035*B168/500+0.0175*(B168/500)^2</f>
        <v>0.9926650944</v>
      </c>
      <c r="C169" s="45" t="s">
        <v>112</v>
      </c>
      <c r="D169" s="38"/>
      <c r="F169" s="39"/>
      <c r="G169" s="14"/>
    </row>
    <row r="170" ht="15.75" customHeight="1">
      <c r="A170" s="45" t="s">
        <v>106</v>
      </c>
      <c r="B170" s="45">
        <f>B169*B167*B166</f>
        <v>35116.82615</v>
      </c>
      <c r="C170" s="45" t="s">
        <v>36</v>
      </c>
      <c r="D170" s="38"/>
      <c r="F170" s="39"/>
      <c r="G170" s="14"/>
    </row>
    <row r="171" ht="15.75" customHeight="1">
      <c r="A171" s="45" t="s">
        <v>40</v>
      </c>
      <c r="B171" s="45">
        <v>1.86</v>
      </c>
      <c r="C171" s="45" t="s">
        <v>113</v>
      </c>
      <c r="D171" s="38"/>
      <c r="F171" s="39"/>
      <c r="G171" s="14"/>
    </row>
    <row r="172" ht="15.75" customHeight="1">
      <c r="A172" s="54" t="s">
        <v>48</v>
      </c>
      <c r="B172" s="55">
        <f>B171*B170</f>
        <v>65317.29664</v>
      </c>
      <c r="C172" s="54" t="s">
        <v>36</v>
      </c>
      <c r="D172" s="40"/>
      <c r="E172" s="41"/>
      <c r="F172" s="42"/>
      <c r="G172" s="14"/>
    </row>
    <row r="173" ht="15.75" customHeight="1">
      <c r="A173" s="56" t="s">
        <v>117</v>
      </c>
      <c r="B173" s="12"/>
      <c r="C173" s="12"/>
      <c r="D173" s="12"/>
      <c r="E173" s="12"/>
      <c r="F173" s="13"/>
      <c r="G173" s="14"/>
    </row>
    <row r="174" ht="15.75" customHeight="1">
      <c r="A174" s="58" t="s">
        <v>118</v>
      </c>
      <c r="B174" s="12"/>
      <c r="C174" s="12"/>
      <c r="D174" s="12"/>
      <c r="E174" s="12"/>
      <c r="F174" s="13"/>
      <c r="G174" s="14"/>
    </row>
    <row r="175" ht="15.75" customHeight="1">
      <c r="A175" s="15" t="s">
        <v>119</v>
      </c>
      <c r="B175" s="12"/>
      <c r="C175" s="12"/>
      <c r="D175" s="12"/>
      <c r="E175" s="12"/>
      <c r="F175" s="13"/>
      <c r="G175" s="14"/>
    </row>
    <row r="176" ht="15.75" customHeight="1">
      <c r="A176" s="34" t="s">
        <v>24</v>
      </c>
      <c r="B176" s="34" t="s">
        <v>25</v>
      </c>
      <c r="C176" s="34" t="s">
        <v>26</v>
      </c>
      <c r="D176" s="34" t="s">
        <v>24</v>
      </c>
      <c r="E176" s="34" t="s">
        <v>25</v>
      </c>
      <c r="F176" s="34" t="s">
        <v>26</v>
      </c>
      <c r="G176" s="14"/>
    </row>
    <row r="177" ht="15.75" customHeight="1">
      <c r="A177" s="18" t="s">
        <v>120</v>
      </c>
      <c r="B177" s="23">
        <v>15.0</v>
      </c>
      <c r="C177" s="18" t="s">
        <v>28</v>
      </c>
      <c r="D177" s="18" t="s">
        <v>120</v>
      </c>
      <c r="E177" s="23">
        <v>15.0</v>
      </c>
      <c r="F177" s="18" t="s">
        <v>28</v>
      </c>
      <c r="G177" s="14"/>
    </row>
    <row r="178" ht="15.75" customHeight="1">
      <c r="A178" s="18" t="s">
        <v>121</v>
      </c>
      <c r="B178" s="18">
        <v>0.44</v>
      </c>
      <c r="C178" s="30" t="s">
        <v>45</v>
      </c>
      <c r="D178" s="18" t="s">
        <v>67</v>
      </c>
      <c r="E178" s="23">
        <v>4.5</v>
      </c>
      <c r="F178" s="18" t="s">
        <v>30</v>
      </c>
      <c r="G178" s="14"/>
    </row>
    <row r="179" ht="15.75" customHeight="1">
      <c r="A179" s="18" t="s">
        <v>122</v>
      </c>
      <c r="B179" s="18">
        <f>2.25/1.0414^B177</f>
        <v>1.224387587</v>
      </c>
      <c r="C179" s="32"/>
      <c r="D179" s="18" t="s">
        <v>123</v>
      </c>
      <c r="E179" s="18">
        <f>E177*2+15</f>
        <v>45</v>
      </c>
      <c r="F179" s="18" t="s">
        <v>93</v>
      </c>
      <c r="G179" s="14"/>
    </row>
    <row r="180" ht="15.75" customHeight="1">
      <c r="A180" s="18" t="s">
        <v>124</v>
      </c>
      <c r="B180" s="18">
        <v>1.0</v>
      </c>
      <c r="C180" s="18" t="s">
        <v>125</v>
      </c>
      <c r="D180" s="18" t="s">
        <v>126</v>
      </c>
      <c r="E180" s="23">
        <v>800.0</v>
      </c>
      <c r="F180" s="18" t="s">
        <v>66</v>
      </c>
      <c r="G180" s="14"/>
    </row>
    <row r="181" ht="15.75" customHeight="1">
      <c r="A181" s="59" t="s">
        <v>127</v>
      </c>
      <c r="B181" s="59">
        <v>1.0</v>
      </c>
      <c r="C181" s="59" t="s">
        <v>128</v>
      </c>
      <c r="D181" s="35"/>
      <c r="E181" s="36"/>
      <c r="F181" s="37"/>
      <c r="G181" s="14"/>
    </row>
    <row r="182" ht="15.75" customHeight="1">
      <c r="A182" s="60" t="s">
        <v>126</v>
      </c>
      <c r="B182" s="61">
        <v>705.542</v>
      </c>
      <c r="C182" s="60" t="s">
        <v>66</v>
      </c>
      <c r="D182" s="38"/>
      <c r="F182" s="39"/>
      <c r="G182" s="14"/>
    </row>
    <row r="183" ht="15.75" customHeight="1">
      <c r="A183" s="18" t="s">
        <v>129</v>
      </c>
      <c r="B183" s="18">
        <f>E178*B182/E180*3.28</f>
        <v>13.0172499</v>
      </c>
      <c r="C183" s="18" t="s">
        <v>93</v>
      </c>
      <c r="D183" s="38"/>
      <c r="F183" s="39"/>
      <c r="G183" s="14"/>
    </row>
    <row r="184" ht="15.75" customHeight="1">
      <c r="A184" s="18" t="s">
        <v>130</v>
      </c>
      <c r="B184" s="18">
        <f>468*EXP(0.1482*B183)</f>
        <v>3221.572042</v>
      </c>
      <c r="C184" s="18" t="s">
        <v>36</v>
      </c>
      <c r="D184" s="38"/>
      <c r="F184" s="39"/>
      <c r="G184" s="14"/>
    </row>
    <row r="185" ht="15.75" customHeight="1">
      <c r="A185" s="18" t="s">
        <v>131</v>
      </c>
      <c r="B185" s="18">
        <f>B177*B179*B180*B181*B184</f>
        <v>59166.79228</v>
      </c>
      <c r="C185" s="18" t="s">
        <v>36</v>
      </c>
      <c r="D185" s="38"/>
      <c r="F185" s="39"/>
      <c r="G185" s="14"/>
    </row>
    <row r="186" ht="15.75" customHeight="1">
      <c r="A186" s="18" t="s">
        <v>123</v>
      </c>
      <c r="B186" s="18">
        <f>B177*2+15</f>
        <v>45</v>
      </c>
      <c r="C186" s="18" t="s">
        <v>93</v>
      </c>
      <c r="D186" s="38"/>
      <c r="F186" s="39"/>
      <c r="G186" s="14"/>
    </row>
    <row r="187" ht="15.75" customHeight="1">
      <c r="A187" s="18" t="s">
        <v>97</v>
      </c>
      <c r="B187" s="18">
        <f>341*(B183^0.63316)*(B186^0.80161)</f>
        <v>36614.66506</v>
      </c>
      <c r="C187" s="18" t="s">
        <v>36</v>
      </c>
      <c r="D187" s="38"/>
      <c r="F187" s="39"/>
      <c r="G187" s="14"/>
    </row>
    <row r="188" ht="15.75" customHeight="1">
      <c r="A188" s="18" t="s">
        <v>46</v>
      </c>
      <c r="B188" s="18">
        <v>1.0</v>
      </c>
      <c r="C188" s="59" t="s">
        <v>128</v>
      </c>
      <c r="D188" s="38"/>
      <c r="F188" s="39"/>
      <c r="G188" s="14"/>
    </row>
    <row r="189" ht="15.75" customHeight="1">
      <c r="A189" s="18" t="s">
        <v>99</v>
      </c>
      <c r="B189" s="18">
        <v>490.0</v>
      </c>
      <c r="C189" s="18" t="s">
        <v>100</v>
      </c>
      <c r="D189" s="38"/>
      <c r="F189" s="39"/>
      <c r="G189" s="14"/>
    </row>
    <row r="190" ht="15.75" customHeight="1">
      <c r="A190" s="18" t="s">
        <v>102</v>
      </c>
      <c r="B190" s="18">
        <v>0.1043</v>
      </c>
      <c r="C190" s="18" t="s">
        <v>93</v>
      </c>
      <c r="D190" s="38"/>
      <c r="F190" s="39"/>
      <c r="G190" s="14"/>
    </row>
    <row r="191" ht="15.75" customHeight="1">
      <c r="A191" s="18" t="s">
        <v>103</v>
      </c>
      <c r="B191" s="18">
        <f>B189*B190*PI()*(B183+B190)*(B186+0.8*B183)</f>
        <v>116743.6668</v>
      </c>
      <c r="C191" s="18" t="s">
        <v>104</v>
      </c>
      <c r="D191" s="38"/>
      <c r="F191" s="39"/>
      <c r="G191" s="14"/>
    </row>
    <row r="192" ht="15.75" customHeight="1">
      <c r="A192" s="18" t="s">
        <v>105</v>
      </c>
      <c r="B192" s="18">
        <f>EXP(7.139+0.18255*LN(B191)+0.02297*(LN(B191))^2)</f>
        <v>241830.0608</v>
      </c>
      <c r="C192" s="18" t="s">
        <v>36</v>
      </c>
      <c r="D192" s="38"/>
      <c r="F192" s="39"/>
      <c r="G192" s="14"/>
    </row>
    <row r="193" ht="15.75" customHeight="1">
      <c r="A193" s="18" t="s">
        <v>106</v>
      </c>
      <c r="B193" s="18">
        <f>B188*B192+B187+B185</f>
        <v>337611.5182</v>
      </c>
      <c r="C193" s="18" t="s">
        <v>36</v>
      </c>
      <c r="D193" s="38"/>
      <c r="F193" s="39"/>
      <c r="G193" s="14"/>
    </row>
    <row r="194" ht="15.75" customHeight="1">
      <c r="A194" s="18" t="s">
        <v>40</v>
      </c>
      <c r="B194" s="18">
        <v>4.16</v>
      </c>
      <c r="C194" s="18" t="s">
        <v>107</v>
      </c>
      <c r="D194" s="38"/>
      <c r="F194" s="39"/>
      <c r="G194" s="14"/>
    </row>
    <row r="195" ht="15.75" customHeight="1">
      <c r="A195" s="28" t="s">
        <v>48</v>
      </c>
      <c r="B195" s="33">
        <f>B193*B194</f>
        <v>1404463.916</v>
      </c>
      <c r="C195" s="28" t="s">
        <v>36</v>
      </c>
      <c r="D195" s="40"/>
      <c r="E195" s="41"/>
      <c r="F195" s="42"/>
      <c r="G195" s="14"/>
    </row>
    <row r="196" ht="15.75" customHeight="1">
      <c r="A196" s="15" t="s">
        <v>132</v>
      </c>
      <c r="B196" s="12"/>
      <c r="C196" s="12"/>
      <c r="D196" s="12"/>
      <c r="E196" s="12"/>
      <c r="F196" s="13"/>
      <c r="G196" s="14"/>
    </row>
    <row r="197" ht="15.75" customHeight="1">
      <c r="A197" s="34" t="s">
        <v>24</v>
      </c>
      <c r="B197" s="34" t="s">
        <v>25</v>
      </c>
      <c r="C197" s="34" t="s">
        <v>26</v>
      </c>
      <c r="D197" s="34" t="s">
        <v>24</v>
      </c>
      <c r="E197" s="34" t="s">
        <v>25</v>
      </c>
      <c r="F197" s="34" t="s">
        <v>26</v>
      </c>
      <c r="G197" s="14"/>
    </row>
    <row r="198" ht="15.75" customHeight="1">
      <c r="A198" s="18" t="s">
        <v>120</v>
      </c>
      <c r="B198" s="23">
        <v>15.0</v>
      </c>
      <c r="C198" s="18" t="s">
        <v>28</v>
      </c>
      <c r="D198" s="18" t="s">
        <v>120</v>
      </c>
      <c r="E198" s="23">
        <v>15.0</v>
      </c>
      <c r="F198" s="18" t="s">
        <v>28</v>
      </c>
      <c r="G198" s="14"/>
    </row>
    <row r="199" ht="15.75" customHeight="1">
      <c r="A199" s="18" t="s">
        <v>121</v>
      </c>
      <c r="B199" s="18">
        <v>0.44</v>
      </c>
      <c r="C199" s="30" t="s">
        <v>45</v>
      </c>
      <c r="D199" s="18" t="s">
        <v>67</v>
      </c>
      <c r="E199" s="23">
        <v>2.25</v>
      </c>
      <c r="F199" s="18" t="s">
        <v>30</v>
      </c>
      <c r="G199" s="14"/>
    </row>
    <row r="200" ht="15.75" customHeight="1">
      <c r="A200" s="18" t="s">
        <v>122</v>
      </c>
      <c r="B200" s="18">
        <f>2.25/1.0414^B198</f>
        <v>1.224387587</v>
      </c>
      <c r="C200" s="32"/>
      <c r="D200" s="18" t="s">
        <v>123</v>
      </c>
      <c r="E200" s="18">
        <f>E198*2+15</f>
        <v>45</v>
      </c>
      <c r="F200" s="18" t="s">
        <v>93</v>
      </c>
      <c r="G200" s="14"/>
    </row>
    <row r="201" ht="15.75" customHeight="1">
      <c r="A201" s="18" t="s">
        <v>124</v>
      </c>
      <c r="B201" s="18">
        <v>1.0</v>
      </c>
      <c r="C201" s="18" t="s">
        <v>125</v>
      </c>
      <c r="D201" s="18" t="s">
        <v>126</v>
      </c>
      <c r="E201" s="23">
        <v>400.0</v>
      </c>
      <c r="F201" s="18" t="s">
        <v>66</v>
      </c>
      <c r="G201" s="14"/>
    </row>
    <row r="202" ht="15.75" customHeight="1">
      <c r="A202" s="59" t="s">
        <v>127</v>
      </c>
      <c r="B202" s="59">
        <v>1.0</v>
      </c>
      <c r="C202" s="59" t="s">
        <v>128</v>
      </c>
      <c r="D202" s="35"/>
      <c r="E202" s="36"/>
      <c r="F202" s="37"/>
      <c r="G202" s="14"/>
    </row>
    <row r="203" ht="15.75" customHeight="1">
      <c r="A203" s="60" t="s">
        <v>126</v>
      </c>
      <c r="B203" s="61">
        <v>402.159</v>
      </c>
      <c r="C203" s="60" t="s">
        <v>66</v>
      </c>
      <c r="D203" s="38"/>
      <c r="F203" s="39"/>
      <c r="G203" s="14"/>
    </row>
    <row r="204" ht="15.75" customHeight="1">
      <c r="A204" s="18" t="s">
        <v>129</v>
      </c>
      <c r="B204" s="18">
        <f>E199*B203/E201*3.28</f>
        <v>7.41983355</v>
      </c>
      <c r="C204" s="18" t="s">
        <v>93</v>
      </c>
      <c r="D204" s="38"/>
      <c r="F204" s="39"/>
      <c r="G204" s="14"/>
    </row>
    <row r="205" ht="15.75" customHeight="1">
      <c r="A205" s="18" t="s">
        <v>130</v>
      </c>
      <c r="B205" s="18">
        <f>468*EXP(0.1482*B204)</f>
        <v>1405.414601</v>
      </c>
      <c r="C205" s="18" t="s">
        <v>36</v>
      </c>
      <c r="D205" s="38"/>
      <c r="F205" s="39"/>
      <c r="G205" s="14"/>
    </row>
    <row r="206" ht="15.75" customHeight="1">
      <c r="A206" s="18" t="s">
        <v>131</v>
      </c>
      <c r="B206" s="18">
        <f>B198*B200*B201*B202*B205</f>
        <v>25811.58288</v>
      </c>
      <c r="C206" s="18" t="s">
        <v>36</v>
      </c>
      <c r="D206" s="38"/>
      <c r="F206" s="39"/>
      <c r="G206" s="14"/>
    </row>
    <row r="207" ht="15.75" customHeight="1">
      <c r="A207" s="18" t="s">
        <v>123</v>
      </c>
      <c r="B207" s="18">
        <f>B198*2+15</f>
        <v>45</v>
      </c>
      <c r="C207" s="18" t="s">
        <v>93</v>
      </c>
      <c r="D207" s="38"/>
      <c r="F207" s="39"/>
      <c r="G207" s="14"/>
    </row>
    <row r="208" ht="15.75" customHeight="1">
      <c r="A208" s="18" t="s">
        <v>97</v>
      </c>
      <c r="B208" s="18">
        <f>341*(B204^0.63316)*(B207^0.80161)</f>
        <v>25649.85003</v>
      </c>
      <c r="C208" s="18" t="s">
        <v>36</v>
      </c>
      <c r="D208" s="38"/>
      <c r="F208" s="39"/>
      <c r="G208" s="14"/>
    </row>
    <row r="209" ht="15.75" customHeight="1">
      <c r="A209" s="18" t="s">
        <v>46</v>
      </c>
      <c r="B209" s="18">
        <v>1.0</v>
      </c>
      <c r="C209" s="59" t="s">
        <v>128</v>
      </c>
      <c r="D209" s="38"/>
      <c r="F209" s="39"/>
      <c r="G209" s="14"/>
    </row>
    <row r="210" ht="15.75" customHeight="1">
      <c r="A210" s="18" t="s">
        <v>99</v>
      </c>
      <c r="B210" s="18">
        <v>490.0</v>
      </c>
      <c r="C210" s="18" t="s">
        <v>100</v>
      </c>
      <c r="D210" s="38"/>
      <c r="F210" s="39"/>
      <c r="G210" s="14"/>
    </row>
    <row r="211" ht="15.75" customHeight="1">
      <c r="A211" s="18" t="s">
        <v>102</v>
      </c>
      <c r="B211" s="18">
        <v>0.1043</v>
      </c>
      <c r="C211" s="18" t="s">
        <v>93</v>
      </c>
      <c r="D211" s="38"/>
      <c r="F211" s="39"/>
      <c r="G211" s="14"/>
    </row>
    <row r="212" ht="15.75" customHeight="1">
      <c r="A212" s="18" t="s">
        <v>103</v>
      </c>
      <c r="B212" s="18">
        <f>B210*B211*PI()*(B204+B211)*(B207+0.8*B204)</f>
        <v>61533.33562</v>
      </c>
      <c r="C212" s="18" t="s">
        <v>104</v>
      </c>
      <c r="D212" s="38"/>
      <c r="F212" s="39"/>
      <c r="G212" s="14"/>
    </row>
    <row r="213" ht="15.75" customHeight="1">
      <c r="A213" s="18" t="s">
        <v>105</v>
      </c>
      <c r="B213" s="18">
        <f>EXP(7.139+0.18255*LN(B212)+0.02297*(LN(B212))^2)</f>
        <v>154081.9971</v>
      </c>
      <c r="C213" s="18" t="s">
        <v>36</v>
      </c>
      <c r="D213" s="38"/>
      <c r="F213" s="39"/>
      <c r="G213" s="14"/>
    </row>
    <row r="214" ht="15.75" customHeight="1">
      <c r="A214" s="18" t="s">
        <v>106</v>
      </c>
      <c r="B214" s="18">
        <f>B209*B213+B208+B206</f>
        <v>205543.43</v>
      </c>
      <c r="C214" s="18" t="s">
        <v>36</v>
      </c>
      <c r="D214" s="38"/>
      <c r="F214" s="39"/>
      <c r="G214" s="14"/>
    </row>
    <row r="215" ht="15.75" customHeight="1">
      <c r="A215" s="18" t="s">
        <v>40</v>
      </c>
      <c r="B215" s="18">
        <v>4.16</v>
      </c>
      <c r="C215" s="18" t="s">
        <v>107</v>
      </c>
      <c r="D215" s="38"/>
      <c r="F215" s="39"/>
      <c r="G215" s="14"/>
    </row>
    <row r="216" ht="15.75" customHeight="1">
      <c r="A216" s="28" t="s">
        <v>48</v>
      </c>
      <c r="B216" s="33">
        <f>B214*B215</f>
        <v>855060.6687</v>
      </c>
      <c r="C216" s="28" t="s">
        <v>36</v>
      </c>
      <c r="D216" s="40"/>
      <c r="E216" s="41"/>
      <c r="F216" s="42"/>
      <c r="G216" s="14"/>
    </row>
    <row r="217" ht="15.75" customHeight="1">
      <c r="A217" s="218" t="s">
        <v>133</v>
      </c>
      <c r="G217" s="14"/>
    </row>
    <row r="218" ht="15.75" customHeight="1">
      <c r="A218" s="219" t="s">
        <v>24</v>
      </c>
      <c r="B218" s="219" t="s">
        <v>25</v>
      </c>
      <c r="C218" s="219" t="s">
        <v>26</v>
      </c>
      <c r="D218" s="219" t="s">
        <v>24</v>
      </c>
      <c r="E218" s="219" t="s">
        <v>25</v>
      </c>
      <c r="F218" s="219" t="s">
        <v>26</v>
      </c>
      <c r="G218" s="14"/>
    </row>
    <row r="219" ht="15.75" customHeight="1">
      <c r="A219" s="220" t="s">
        <v>120</v>
      </c>
      <c r="B219" s="220">
        <v>15.0</v>
      </c>
      <c r="C219" s="220" t="s">
        <v>28</v>
      </c>
      <c r="D219" s="220" t="s">
        <v>120</v>
      </c>
      <c r="E219" s="221">
        <v>15.0</v>
      </c>
      <c r="F219" s="220" t="s">
        <v>28</v>
      </c>
      <c r="G219" s="14"/>
    </row>
    <row r="220" ht="15.75" customHeight="1">
      <c r="A220" s="220" t="s">
        <v>121</v>
      </c>
      <c r="B220" s="220">
        <v>0.25</v>
      </c>
      <c r="C220" s="222" t="s">
        <v>45</v>
      </c>
      <c r="D220" s="220" t="s">
        <v>67</v>
      </c>
      <c r="E220" s="220">
        <v>1.36</v>
      </c>
      <c r="F220" s="220" t="s">
        <v>30</v>
      </c>
      <c r="G220" s="14"/>
    </row>
    <row r="221" ht="15.75" customHeight="1">
      <c r="A221" s="220" t="s">
        <v>122</v>
      </c>
      <c r="B221" s="220">
        <f>2.25/1.0414^B219</f>
        <v>1.224387587</v>
      </c>
      <c r="C221" s="32"/>
      <c r="D221" s="220" t="s">
        <v>123</v>
      </c>
      <c r="E221" s="220">
        <f>E219*2+15</f>
        <v>45</v>
      </c>
      <c r="F221" s="220" t="s">
        <v>93</v>
      </c>
      <c r="G221" s="14"/>
    </row>
    <row r="222" ht="15.75" customHeight="1">
      <c r="A222" s="220" t="s">
        <v>124</v>
      </c>
      <c r="B222" s="220">
        <v>1.0</v>
      </c>
      <c r="C222" s="220" t="s">
        <v>125</v>
      </c>
      <c r="D222" s="220" t="s">
        <v>126</v>
      </c>
      <c r="E222" s="221">
        <v>45.0</v>
      </c>
      <c r="F222" s="220" t="s">
        <v>66</v>
      </c>
      <c r="G222" s="14"/>
    </row>
    <row r="223" ht="15.75" customHeight="1">
      <c r="A223" s="223" t="s">
        <v>127</v>
      </c>
      <c r="B223" s="223">
        <v>1.0</v>
      </c>
      <c r="C223" s="223" t="s">
        <v>128</v>
      </c>
      <c r="D223" s="224" t="s">
        <v>134</v>
      </c>
      <c r="E223" s="36"/>
      <c r="F223" s="37"/>
      <c r="G223" s="14"/>
    </row>
    <row r="224" ht="15.75" customHeight="1">
      <c r="A224" s="225" t="s">
        <v>126</v>
      </c>
      <c r="B224" s="226">
        <v>9.48254</v>
      </c>
      <c r="C224" s="225" t="s">
        <v>66</v>
      </c>
      <c r="D224" s="38"/>
      <c r="F224" s="39"/>
      <c r="G224" s="14"/>
    </row>
    <row r="225" ht="15.75" customHeight="1">
      <c r="A225" s="220" t="s">
        <v>129</v>
      </c>
      <c r="B225" s="220">
        <f>E220*B224/E222*3.28</f>
        <v>0.939993654</v>
      </c>
      <c r="C225" s="220" t="s">
        <v>93</v>
      </c>
      <c r="D225" s="38"/>
      <c r="F225" s="39"/>
      <c r="G225" s="14"/>
    </row>
    <row r="226" ht="15.75" customHeight="1">
      <c r="A226" s="220" t="s">
        <v>130</v>
      </c>
      <c r="B226" s="227">
        <f>468*EXP(0.1482*B225)</f>
        <v>537.9552377</v>
      </c>
      <c r="C226" s="220" t="s">
        <v>36</v>
      </c>
      <c r="D226" s="38"/>
      <c r="F226" s="39"/>
      <c r="G226" s="14"/>
    </row>
    <row r="227" ht="15.75" customHeight="1">
      <c r="A227" s="220" t="s">
        <v>131</v>
      </c>
      <c r="B227" s="227">
        <f>B219*B221*B222*B223*B226</f>
        <v>9879.985732</v>
      </c>
      <c r="C227" s="220" t="s">
        <v>36</v>
      </c>
      <c r="D227" s="38"/>
      <c r="F227" s="39"/>
      <c r="G227" s="14"/>
    </row>
    <row r="228" ht="15.75" customHeight="1">
      <c r="A228" s="220" t="s">
        <v>123</v>
      </c>
      <c r="B228" s="220">
        <f>B219*2+15</f>
        <v>45</v>
      </c>
      <c r="C228" s="220" t="s">
        <v>93</v>
      </c>
      <c r="D228" s="38"/>
      <c r="F228" s="39"/>
      <c r="G228" s="14"/>
    </row>
    <row r="229" ht="15.75" customHeight="1">
      <c r="A229" s="220" t="s">
        <v>97</v>
      </c>
      <c r="B229" s="227">
        <f>341*(B225^0.63316)*(B228^0.80161)</f>
        <v>6933.776482</v>
      </c>
      <c r="C229" s="220" t="s">
        <v>36</v>
      </c>
      <c r="D229" s="38"/>
      <c r="F229" s="39"/>
      <c r="G229" s="14"/>
    </row>
    <row r="230" ht="15.75" customHeight="1">
      <c r="A230" s="220" t="s">
        <v>46</v>
      </c>
      <c r="B230" s="220">
        <v>1.0</v>
      </c>
      <c r="C230" s="223" t="s">
        <v>128</v>
      </c>
      <c r="D230" s="38"/>
      <c r="F230" s="39"/>
      <c r="G230" s="14"/>
    </row>
    <row r="231" ht="15.75" customHeight="1">
      <c r="A231" s="220" t="s">
        <v>99</v>
      </c>
      <c r="B231" s="220">
        <v>490.0</v>
      </c>
      <c r="C231" s="220" t="s">
        <v>100</v>
      </c>
      <c r="D231" s="38"/>
      <c r="F231" s="39"/>
      <c r="G231" s="14"/>
    </row>
    <row r="232" ht="15.75" customHeight="1">
      <c r="A232" s="220" t="s">
        <v>102</v>
      </c>
      <c r="B232" s="228">
        <v>0.1043</v>
      </c>
      <c r="C232" s="220" t="s">
        <v>93</v>
      </c>
      <c r="D232" s="38"/>
      <c r="F232" s="39"/>
      <c r="G232" s="14"/>
    </row>
    <row r="233" ht="15.75" customHeight="1">
      <c r="A233" s="220" t="s">
        <v>103</v>
      </c>
      <c r="B233" s="220">
        <f>B231*B232*PI()*(B225+B232)*(B228+0.8*B225)</f>
        <v>7671.19346</v>
      </c>
      <c r="C233" s="220" t="s">
        <v>104</v>
      </c>
      <c r="D233" s="38"/>
      <c r="F233" s="39"/>
      <c r="G233" s="14"/>
    </row>
    <row r="234" ht="15.75" customHeight="1">
      <c r="A234" s="220" t="s">
        <v>105</v>
      </c>
      <c r="B234" s="227">
        <f>EXP(7.139+0.18255*LN(B233)+0.02297*(LN(B233))^2)</f>
        <v>40535.92687</v>
      </c>
      <c r="C234" s="220" t="s">
        <v>36</v>
      </c>
      <c r="D234" s="38"/>
      <c r="F234" s="39"/>
      <c r="G234" s="14"/>
    </row>
    <row r="235" ht="15.75" customHeight="1">
      <c r="A235" s="220" t="s">
        <v>106</v>
      </c>
      <c r="B235" s="227">
        <f>B230*B234+B229+B227</f>
        <v>57349.68908</v>
      </c>
      <c r="C235" s="220" t="s">
        <v>36</v>
      </c>
      <c r="D235" s="38"/>
      <c r="F235" s="39"/>
      <c r="G235" s="14"/>
    </row>
    <row r="236" ht="15.75" customHeight="1">
      <c r="A236" s="220" t="s">
        <v>40</v>
      </c>
      <c r="B236" s="220">
        <v>4.16</v>
      </c>
      <c r="C236" s="220" t="s">
        <v>107</v>
      </c>
      <c r="D236" s="38"/>
      <c r="F236" s="39"/>
      <c r="G236" s="14"/>
    </row>
    <row r="237" ht="15.75" customHeight="1">
      <c r="A237" s="229" t="s">
        <v>48</v>
      </c>
      <c r="B237" s="230">
        <f>B235*B236</f>
        <v>238574.7066</v>
      </c>
      <c r="C237" s="229" t="s">
        <v>36</v>
      </c>
      <c r="D237" s="40"/>
      <c r="E237" s="41"/>
      <c r="F237" s="42"/>
      <c r="G237" s="14"/>
    </row>
    <row r="238" ht="15.75" customHeight="1">
      <c r="A238" s="66" t="s">
        <v>135</v>
      </c>
      <c r="B238" s="36"/>
      <c r="C238" s="37"/>
      <c r="D238" s="67">
        <f>sum(B16,B31,B44,B57,B70,B83,B96,B109,B132,B142,B152,B162,B172,B195,B216,B237)</f>
        <v>22379811.81</v>
      </c>
      <c r="E238" s="36"/>
      <c r="F238" s="37"/>
      <c r="G238" s="14"/>
    </row>
    <row r="239" ht="15.75" customHeight="1">
      <c r="A239" s="40"/>
      <c r="B239" s="41"/>
      <c r="C239" s="42"/>
      <c r="D239" s="40"/>
      <c r="E239" s="41"/>
      <c r="F239" s="42"/>
      <c r="G239" s="14"/>
    </row>
    <row r="240" ht="15.75" customHeight="1">
      <c r="A240" s="14"/>
      <c r="B240" s="14"/>
      <c r="C240" s="14"/>
      <c r="D240" s="14"/>
      <c r="E240" s="14"/>
      <c r="F240" s="14"/>
      <c r="G240" s="14"/>
    </row>
  </sheetData>
  <mergeCells count="51">
    <mergeCell ref="A1:C1"/>
    <mergeCell ref="D1:F1"/>
    <mergeCell ref="A2:F2"/>
    <mergeCell ref="G2:G11"/>
    <mergeCell ref="C13:C15"/>
    <mergeCell ref="A17:F17"/>
    <mergeCell ref="A32:F32"/>
    <mergeCell ref="C28:C30"/>
    <mergeCell ref="D34:F44"/>
    <mergeCell ref="C41:C43"/>
    <mergeCell ref="A45:F45"/>
    <mergeCell ref="D47:F57"/>
    <mergeCell ref="C54:C56"/>
    <mergeCell ref="A58:F58"/>
    <mergeCell ref="D60:F70"/>
    <mergeCell ref="C67:C69"/>
    <mergeCell ref="A71:F71"/>
    <mergeCell ref="D73:F83"/>
    <mergeCell ref="C80:C82"/>
    <mergeCell ref="A84:F84"/>
    <mergeCell ref="D86:F96"/>
    <mergeCell ref="C93:C95"/>
    <mergeCell ref="A97:F97"/>
    <mergeCell ref="D99:F109"/>
    <mergeCell ref="C106:C108"/>
    <mergeCell ref="A110:F110"/>
    <mergeCell ref="C113:C119"/>
    <mergeCell ref="F113:F119"/>
    <mergeCell ref="F120:F126"/>
    <mergeCell ref="D127:F132"/>
    <mergeCell ref="A133:F133"/>
    <mergeCell ref="D134:F142"/>
    <mergeCell ref="A143:F143"/>
    <mergeCell ref="D144:F152"/>
    <mergeCell ref="A153:F153"/>
    <mergeCell ref="D154:F162"/>
    <mergeCell ref="A163:F163"/>
    <mergeCell ref="D164:F172"/>
    <mergeCell ref="A173:F173"/>
    <mergeCell ref="A174:F174"/>
    <mergeCell ref="A175:F175"/>
    <mergeCell ref="C178:C179"/>
    <mergeCell ref="A238:C239"/>
    <mergeCell ref="D238:F239"/>
    <mergeCell ref="D181:F195"/>
    <mergeCell ref="A196:F196"/>
    <mergeCell ref="C199:C200"/>
    <mergeCell ref="D202:F216"/>
    <mergeCell ref="A217:F217"/>
    <mergeCell ref="C220:C221"/>
    <mergeCell ref="D223:F23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4" max="14" width="21.38"/>
  </cols>
  <sheetData>
    <row r="1" ht="15.75" customHeight="1">
      <c r="A1" s="68" t="s">
        <v>136</v>
      </c>
      <c r="B1" s="69"/>
      <c r="C1" s="69"/>
      <c r="D1" s="69"/>
      <c r="E1" s="69"/>
      <c r="F1" s="69"/>
      <c r="G1" s="70" t="s">
        <v>341</v>
      </c>
      <c r="H1" s="69"/>
      <c r="I1" s="69"/>
      <c r="J1" s="69"/>
      <c r="K1" s="69"/>
      <c r="L1" s="69"/>
      <c r="M1" s="69"/>
      <c r="N1" s="69"/>
    </row>
    <row r="2" ht="15.75" customHeight="1">
      <c r="A2" s="69"/>
      <c r="B2" s="69"/>
      <c r="C2" s="69"/>
      <c r="D2" s="69"/>
      <c r="E2" s="69"/>
      <c r="F2" s="69"/>
      <c r="G2" s="68" t="s">
        <v>138</v>
      </c>
      <c r="H2" s="69"/>
      <c r="I2" s="69"/>
      <c r="J2" s="69"/>
      <c r="K2" s="69"/>
      <c r="L2" s="69"/>
      <c r="M2" s="69"/>
      <c r="N2" s="69"/>
    </row>
    <row r="3" ht="15.75" customHeight="1">
      <c r="A3" s="71" t="s">
        <v>139</v>
      </c>
      <c r="B3" s="72" t="s">
        <v>140</v>
      </c>
      <c r="C3" s="73"/>
      <c r="D3" s="73"/>
      <c r="E3" s="73"/>
      <c r="F3" s="73"/>
      <c r="G3" s="71"/>
      <c r="H3" s="71"/>
      <c r="I3" s="71"/>
      <c r="J3" s="71"/>
      <c r="K3" s="71" t="s">
        <v>141</v>
      </c>
      <c r="L3" s="72" t="s">
        <v>142</v>
      </c>
      <c r="M3" s="73"/>
      <c r="N3" s="69"/>
    </row>
    <row r="4" ht="15.75" customHeight="1">
      <c r="A4" s="71" t="s">
        <v>143</v>
      </c>
      <c r="B4" s="72" t="s">
        <v>144</v>
      </c>
      <c r="C4" s="73"/>
      <c r="D4" s="73"/>
      <c r="E4" s="73"/>
      <c r="F4" s="73"/>
      <c r="G4" s="71"/>
      <c r="H4" s="71"/>
      <c r="I4" s="71"/>
      <c r="J4" s="71"/>
      <c r="K4" s="71" t="s">
        <v>145</v>
      </c>
      <c r="L4" s="74">
        <v>123456.0</v>
      </c>
      <c r="M4" s="73"/>
      <c r="N4" s="69"/>
    </row>
    <row r="5" ht="15.75" customHeight="1">
      <c r="A5" s="71" t="s">
        <v>146</v>
      </c>
      <c r="B5" s="72" t="s">
        <v>147</v>
      </c>
      <c r="C5" s="73"/>
      <c r="D5" s="73"/>
      <c r="E5" s="73"/>
      <c r="F5" s="73"/>
      <c r="G5" s="71"/>
      <c r="H5" s="71"/>
      <c r="I5" s="71"/>
      <c r="J5" s="71"/>
      <c r="K5" s="71" t="s">
        <v>148</v>
      </c>
      <c r="L5" s="72" t="s">
        <v>149</v>
      </c>
      <c r="M5" s="73"/>
      <c r="N5" s="69"/>
    </row>
    <row r="6" ht="15.75" customHeight="1">
      <c r="A6" s="71" t="s">
        <v>150</v>
      </c>
      <c r="B6" s="73" t="s">
        <v>151</v>
      </c>
      <c r="C6" s="73"/>
      <c r="D6" s="73"/>
      <c r="E6" s="73"/>
      <c r="F6" s="73"/>
      <c r="G6" s="71"/>
      <c r="H6" s="71"/>
      <c r="I6" s="71"/>
      <c r="J6" s="71"/>
      <c r="K6" s="71" t="s">
        <v>152</v>
      </c>
      <c r="L6" s="75">
        <v>44616.0</v>
      </c>
      <c r="M6" s="76"/>
      <c r="N6" s="69"/>
    </row>
    <row r="7" ht="15.75" customHeight="1">
      <c r="A7" s="71" t="s">
        <v>153</v>
      </c>
      <c r="B7" s="72" t="s">
        <v>154</v>
      </c>
      <c r="C7" s="73"/>
      <c r="D7" s="73"/>
      <c r="E7" s="73"/>
      <c r="F7" s="73"/>
      <c r="G7" s="71"/>
      <c r="H7" s="71"/>
      <c r="I7" s="71"/>
      <c r="J7" s="71"/>
      <c r="K7" s="71"/>
      <c r="L7" s="71"/>
      <c r="M7" s="71"/>
      <c r="N7" s="69"/>
    </row>
    <row r="8" ht="15.75" customHeight="1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71" t="s">
        <v>155</v>
      </c>
      <c r="N8" s="69"/>
    </row>
    <row r="9" ht="15.75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77" t="s">
        <v>156</v>
      </c>
      <c r="N9" s="78" t="s">
        <v>157</v>
      </c>
    </row>
    <row r="10" ht="15.75" customHeight="1">
      <c r="A10" s="79" t="s">
        <v>158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80">
        <f>'Sizing ion exchange'!D238/1000</f>
        <v>22379.81181</v>
      </c>
    </row>
    <row r="11" ht="15.75" customHeight="1">
      <c r="A11" s="79" t="s">
        <v>159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81">
        <v>0.1</v>
      </c>
      <c r="M11" s="82" t="s">
        <v>160</v>
      </c>
      <c r="N11" s="83">
        <f>L11*N10</f>
        <v>2237.981181</v>
      </c>
    </row>
    <row r="12" ht="15.75" customHeight="1">
      <c r="A12" s="69"/>
      <c r="B12" s="71" t="s">
        <v>161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83">
        <f>SUM(N10:N11)</f>
        <v>24617.79299</v>
      </c>
    </row>
    <row r="13" ht="15.75" customHeight="1">
      <c r="A13" s="79" t="s">
        <v>162</v>
      </c>
      <c r="B13" s="69"/>
      <c r="C13" s="69"/>
      <c r="D13" s="69"/>
      <c r="E13" s="69"/>
      <c r="F13" s="81">
        <v>0.05</v>
      </c>
      <c r="G13" s="81">
        <v>0.1</v>
      </c>
      <c r="H13" s="81">
        <v>0.1</v>
      </c>
      <c r="I13" s="69"/>
      <c r="J13" s="69"/>
      <c r="K13" s="69"/>
      <c r="L13" s="84">
        <v>0.0</v>
      </c>
      <c r="M13" s="82" t="s">
        <v>163</v>
      </c>
      <c r="N13" s="83">
        <f>ROUND(+L13*N12,-1)</f>
        <v>0</v>
      </c>
    </row>
    <row r="14" ht="15.75" customHeight="1">
      <c r="A14" s="79" t="s">
        <v>164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85"/>
    </row>
    <row r="15" ht="15.75" customHeight="1">
      <c r="A15" s="79" t="s">
        <v>165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81">
        <v>0.0</v>
      </c>
      <c r="M15" s="82" t="s">
        <v>160</v>
      </c>
      <c r="N15" s="83">
        <f>ROUND(+L15*(N12+N14),-1)</f>
        <v>0</v>
      </c>
    </row>
    <row r="16" ht="15.75" customHeight="1">
      <c r="A16" s="69"/>
      <c r="B16" s="71" t="s">
        <v>166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83">
        <f>SUM(N12:N15)</f>
        <v>24617.79299</v>
      </c>
    </row>
    <row r="17" ht="15.75" customHeight="1">
      <c r="A17" s="79" t="s">
        <v>167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81">
        <v>0.0</v>
      </c>
      <c r="M17" s="82" t="s">
        <v>168</v>
      </c>
      <c r="N17" s="83">
        <f>ROUND(+L17*N16,-1)</f>
        <v>0</v>
      </c>
    </row>
    <row r="18" ht="15.75" customHeight="1">
      <c r="A18" s="79" t="s">
        <v>169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81">
        <v>0.0</v>
      </c>
      <c r="M18" s="82" t="s">
        <v>170</v>
      </c>
      <c r="N18" s="83">
        <f>ROUND(+L18*N16,-1)</f>
        <v>0</v>
      </c>
    </row>
    <row r="19" ht="15.75" customHeight="1">
      <c r="A19" s="79" t="s">
        <v>171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81">
        <v>0.0</v>
      </c>
      <c r="M19" s="82" t="s">
        <v>172</v>
      </c>
      <c r="N19" s="83">
        <f>ROUND(+L19*N16,-1)</f>
        <v>0</v>
      </c>
    </row>
    <row r="20" ht="15.75" customHeight="1">
      <c r="A20" s="79" t="s">
        <v>173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80">
        <v>0.0</v>
      </c>
    </row>
    <row r="21" ht="15.75" customHeight="1">
      <c r="A21" s="79" t="s">
        <v>174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80">
        <v>0.0</v>
      </c>
    </row>
    <row r="22" ht="15.75" customHeight="1">
      <c r="A22" s="79" t="s">
        <v>175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80">
        <v>0.0</v>
      </c>
    </row>
    <row r="23" ht="15.75" customHeight="1">
      <c r="A23" s="69"/>
      <c r="B23" s="71" t="s">
        <v>176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83">
        <f>SUM(N16:N22)</f>
        <v>24617.79299</v>
      </c>
    </row>
    <row r="24" ht="15.75" customHeight="1">
      <c r="A24" s="79" t="s">
        <v>177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85"/>
    </row>
    <row r="25" ht="15.75" customHeight="1">
      <c r="A25" s="79" t="s">
        <v>178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86" t="s">
        <v>179</v>
      </c>
      <c r="N25" s="80">
        <f>('Sizing ion exchange'!B8+'Sizing ion exchange'!B23)/2/1000</f>
        <v>2266.58775</v>
      </c>
    </row>
    <row r="26" ht="15.75" customHeight="1">
      <c r="A26" s="79" t="s">
        <v>180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80">
        <v>0.0</v>
      </c>
    </row>
    <row r="27" ht="15.75" customHeight="1">
      <c r="A27" s="79" t="s">
        <v>181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81">
        <v>0.1</v>
      </c>
      <c r="M27" s="82" t="s">
        <v>160</v>
      </c>
      <c r="N27" s="83">
        <f>ROUND(+L27*N23,-1)</f>
        <v>2460</v>
      </c>
    </row>
    <row r="28" ht="15.75" customHeight="1">
      <c r="A28" s="69"/>
      <c r="B28" s="71" t="s">
        <v>182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83">
        <f>SUM(N23:N27)</f>
        <v>29344.38074</v>
      </c>
    </row>
    <row r="29" ht="15.75" customHeight="1">
      <c r="A29" s="79" t="s">
        <v>183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80">
        <v>0.0</v>
      </c>
    </row>
    <row r="30" ht="15.75" customHeight="1">
      <c r="A30" s="79" t="s">
        <v>184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81">
        <v>0.1</v>
      </c>
      <c r="M30" s="82" t="s">
        <v>185</v>
      </c>
      <c r="N30" s="83">
        <f>ROUND(+L30*N28,-1)</f>
        <v>2930</v>
      </c>
    </row>
    <row r="31" ht="15.75" customHeight="1">
      <c r="A31" s="79" t="s">
        <v>186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85"/>
    </row>
    <row r="32" ht="15.75" customHeight="1">
      <c r="A32" s="79" t="s">
        <v>187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81">
        <v>0.05</v>
      </c>
      <c r="M32" s="82" t="s">
        <v>188</v>
      </c>
      <c r="N32" s="83">
        <f>ROUND(+L32*N28,-1)</f>
        <v>1470</v>
      </c>
    </row>
    <row r="33" ht="15.75" customHeight="1">
      <c r="A33" s="69" t="s">
        <v>189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85"/>
    </row>
    <row r="34" ht="15.75" customHeight="1">
      <c r="A34" s="69"/>
      <c r="B34" s="71" t="s">
        <v>190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83">
        <f>SUM(N28:N33)</f>
        <v>33744.38074</v>
      </c>
    </row>
    <row r="35" ht="15.75" customHeight="1">
      <c r="A35" s="79" t="s">
        <v>191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81">
        <v>0.2</v>
      </c>
      <c r="M35" s="82" t="s">
        <v>192</v>
      </c>
      <c r="N35" s="83">
        <f>ROUND(+L35*N34,0)</f>
        <v>6749</v>
      </c>
    </row>
    <row r="36" ht="15.75" customHeight="1">
      <c r="A36" s="79" t="s">
        <v>193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81">
        <v>0.1</v>
      </c>
      <c r="M36" s="82" t="s">
        <v>194</v>
      </c>
      <c r="N36" s="83">
        <f>ROUND(+L36*N34,0)</f>
        <v>3374</v>
      </c>
    </row>
    <row r="37" ht="15.75" customHeight="1">
      <c r="A37" s="69"/>
      <c r="B37" s="71" t="s">
        <v>195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83">
        <f>SUM(N34:N36)</f>
        <v>43867.38074</v>
      </c>
    </row>
    <row r="38" ht="15.75" customHeight="1">
      <c r="A38" s="79" t="s">
        <v>196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81">
        <v>0.3</v>
      </c>
      <c r="M38" s="82" t="s">
        <v>197</v>
      </c>
      <c r="N38" s="87"/>
    </row>
    <row r="39" ht="15.75" customHeight="1">
      <c r="A39" s="79" t="s">
        <v>198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81">
        <v>0.0</v>
      </c>
      <c r="M39" s="82" t="s">
        <v>160</v>
      </c>
      <c r="N39" s="83">
        <f>ROUND(ROUND(+L39*L38*N37,0),-1)</f>
        <v>0</v>
      </c>
    </row>
    <row r="40" ht="15.75" customHeight="1">
      <c r="A40" s="79" t="s">
        <v>199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81">
        <v>0.0</v>
      </c>
      <c r="M40" s="82" t="s">
        <v>200</v>
      </c>
      <c r="N40" s="83">
        <f>ROUND(ROUND(+L40*(1-L38)*N37,0),-1)</f>
        <v>0</v>
      </c>
    </row>
    <row r="41" ht="15.75" customHeight="1">
      <c r="A41" s="69" t="s">
        <v>201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81">
        <v>0.0</v>
      </c>
      <c r="M41" s="82" t="s">
        <v>202</v>
      </c>
      <c r="N41" s="83">
        <f>ROUND(ROUND(+L41*(1-L38)*N37,0),-1)</f>
        <v>0</v>
      </c>
    </row>
    <row r="42" ht="15.75" customHeight="1">
      <c r="A42" s="79" t="s">
        <v>203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1">
        <v>0.0</v>
      </c>
      <c r="M42" s="82" t="s">
        <v>204</v>
      </c>
      <c r="N42" s="83">
        <f>ROUND(+L42*L38*N37+L42*N39,-1)</f>
        <v>0</v>
      </c>
    </row>
    <row r="43" ht="15.75" customHeight="1">
      <c r="A43" s="69"/>
      <c r="B43" s="69" t="s">
        <v>205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83">
        <f>SUM(N37:N42)</f>
        <v>43867.38074</v>
      </c>
    </row>
    <row r="44" ht="15.75" customHeight="1">
      <c r="A44" s="79" t="s">
        <v>206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81">
        <v>0.03</v>
      </c>
      <c r="M44" s="82" t="s">
        <v>188</v>
      </c>
      <c r="N44" s="83">
        <f>L44*N43*L38</f>
        <v>394.8064267</v>
      </c>
    </row>
    <row r="45" ht="15.75" customHeight="1">
      <c r="A45" s="79" t="s">
        <v>207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81">
        <v>0.03</v>
      </c>
      <c r="M45" s="82" t="s">
        <v>208</v>
      </c>
      <c r="N45" s="83">
        <f>ROUND(+L45*N43,-1)</f>
        <v>1320</v>
      </c>
    </row>
    <row r="46" ht="15.75" customHeight="1">
      <c r="A46" s="69"/>
      <c r="B46" s="69" t="s">
        <v>209</v>
      </c>
      <c r="C46" s="69"/>
      <c r="D46" s="69"/>
      <c r="E46" s="69"/>
      <c r="F46" s="69"/>
      <c r="G46" s="69"/>
      <c r="H46" s="71" t="s">
        <v>210</v>
      </c>
      <c r="I46" s="69"/>
      <c r="J46" s="71"/>
      <c r="K46" s="71" t="s">
        <v>211</v>
      </c>
      <c r="L46" s="88">
        <v>567.0</v>
      </c>
      <c r="M46" s="69"/>
      <c r="N46" s="83">
        <f>SUM(N43:N45)</f>
        <v>45582.18717</v>
      </c>
    </row>
    <row r="47" ht="15.75" customHeight="1">
      <c r="A47" s="89" t="s">
        <v>212</v>
      </c>
      <c r="B47" s="90" t="s">
        <v>213</v>
      </c>
      <c r="C47" s="89" t="s">
        <v>214</v>
      </c>
      <c r="D47" s="73" t="s">
        <v>215</v>
      </c>
      <c r="E47" s="89" t="s">
        <v>216</v>
      </c>
      <c r="F47" s="73" t="s">
        <v>217</v>
      </c>
      <c r="G47" s="69"/>
      <c r="H47" s="69"/>
      <c r="I47" s="69"/>
      <c r="J47" s="71" t="s">
        <v>218</v>
      </c>
      <c r="K47" s="71" t="s">
        <v>211</v>
      </c>
      <c r="L47" s="88">
        <v>747.0</v>
      </c>
      <c r="M47" s="69"/>
      <c r="N47" s="87"/>
    </row>
    <row r="48" ht="15.75" customHeight="1">
      <c r="A48" s="79" t="s">
        <v>219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84">
        <f>L47/L46-1</f>
        <v>0.3174603175</v>
      </c>
      <c r="M48" s="91"/>
      <c r="N48" s="83">
        <f>ROUND(ROUND(+L48*N46,0),-1)</f>
        <v>14470</v>
      </c>
    </row>
    <row r="49" ht="15.75" customHeight="1">
      <c r="A49" s="69"/>
      <c r="B49" s="79" t="s">
        <v>220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83">
        <f>SUM(N46:N48)</f>
        <v>60052.18717</v>
      </c>
    </row>
    <row r="50" ht="15.75" customHeight="1">
      <c r="A50" s="79" t="s">
        <v>221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81">
        <v>0.1</v>
      </c>
      <c r="M50" s="82" t="s">
        <v>222</v>
      </c>
      <c r="N50" s="83">
        <f>ROUND(ROUND(+L50*N49/(1-L50-L51),0),-1)</f>
        <v>6670</v>
      </c>
    </row>
    <row r="51" ht="15.75" customHeight="1">
      <c r="A51" s="79" t="s">
        <v>223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81">
        <v>0.0</v>
      </c>
      <c r="M51" s="82" t="s">
        <v>224</v>
      </c>
      <c r="N51" s="83">
        <f>ROUND(ROUND(+L51*N49/(1-L51-L50),0),-1)</f>
        <v>0</v>
      </c>
    </row>
    <row r="52" ht="15.75" customHeight="1">
      <c r="A52" s="79" t="s">
        <v>225</v>
      </c>
      <c r="B52" s="69"/>
      <c r="C52" s="69"/>
      <c r="D52" s="69"/>
      <c r="E52" s="79" t="s">
        <v>226</v>
      </c>
      <c r="F52" s="69"/>
      <c r="G52" s="69"/>
      <c r="H52" s="69"/>
      <c r="I52" s="69"/>
      <c r="J52" s="69"/>
      <c r="K52" s="69"/>
      <c r="L52" s="69"/>
      <c r="M52" s="69"/>
      <c r="N52" s="80">
        <v>0.0</v>
      </c>
    </row>
    <row r="53" ht="15.75" customHeight="1">
      <c r="A53" s="79" t="s">
        <v>227</v>
      </c>
      <c r="B53" s="69"/>
      <c r="C53" s="69"/>
      <c r="D53" s="69"/>
      <c r="E53" s="69"/>
      <c r="F53" s="69" t="s">
        <v>228</v>
      </c>
      <c r="G53" s="69"/>
      <c r="H53" s="69"/>
      <c r="I53" s="69"/>
      <c r="J53" s="69"/>
      <c r="K53" s="69"/>
      <c r="L53" s="69"/>
      <c r="M53" s="69"/>
      <c r="N53" s="80">
        <v>0.0</v>
      </c>
    </row>
    <row r="54" ht="15.7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92" t="s">
        <v>229</v>
      </c>
      <c r="N54" s="93">
        <f>SUM(N49:N53)</f>
        <v>66722.18717</v>
      </c>
    </row>
    <row r="55" ht="15.75" customHeight="1"/>
  </sheetData>
  <mergeCells count="1">
    <mergeCell ref="L54:M5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6.13"/>
    <col customWidth="1" min="2" max="2" width="10.38"/>
    <col customWidth="1" min="3" max="3" width="10.5"/>
    <col customWidth="1" min="4" max="4" width="10.13"/>
    <col customWidth="1" min="5" max="5" width="8.63"/>
    <col customWidth="1" min="6" max="6" width="10.63"/>
    <col customWidth="1" min="7" max="12" width="8.13"/>
    <col customWidth="1" min="13" max="13" width="14.88"/>
    <col customWidth="1" min="14" max="14" width="14.5"/>
    <col customWidth="1" min="15" max="17" width="29.13"/>
  </cols>
  <sheetData>
    <row r="1" ht="12.75" customHeight="1">
      <c r="A1" s="94"/>
      <c r="B1" s="94"/>
      <c r="C1" s="94"/>
      <c r="D1" s="94"/>
      <c r="E1" s="94"/>
      <c r="F1" s="95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ht="12.75" customHeight="1">
      <c r="A2" s="94"/>
      <c r="B2" s="96" t="s">
        <v>230</v>
      </c>
      <c r="E2" s="94"/>
      <c r="F2" s="95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ht="12.75" customHeight="1">
      <c r="A3" s="94"/>
      <c r="B3" s="97" t="s">
        <v>231</v>
      </c>
      <c r="C3" s="12"/>
      <c r="D3" s="13"/>
      <c r="E3" s="94"/>
      <c r="F3" s="95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ht="12.75" customHeight="1">
      <c r="A4" s="98"/>
      <c r="B4" s="99"/>
      <c r="C4" s="99"/>
      <c r="D4" s="99"/>
      <c r="E4" s="99"/>
      <c r="F4" s="100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ht="12.75" customHeight="1">
      <c r="A5" s="101" t="s">
        <v>232</v>
      </c>
      <c r="B5" s="102">
        <f>B6/E6</f>
        <v>186.305586</v>
      </c>
      <c r="C5" s="101" t="s">
        <v>233</v>
      </c>
      <c r="D5" s="94"/>
      <c r="E5" s="94"/>
      <c r="F5" s="95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ht="12.75" customHeight="1">
      <c r="A6" s="101" t="s">
        <v>234</v>
      </c>
      <c r="B6" s="103">
        <f>170097*1000/10^6</f>
        <v>170.097</v>
      </c>
      <c r="C6" s="101" t="s">
        <v>233</v>
      </c>
      <c r="D6" s="94" t="s">
        <v>235</v>
      </c>
      <c r="E6" s="104">
        <v>0.913</v>
      </c>
      <c r="F6" s="95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</row>
    <row r="7" ht="12.75" customHeight="1">
      <c r="A7" s="101" t="s">
        <v>236</v>
      </c>
      <c r="B7" s="94"/>
      <c r="C7" s="103">
        <f>'VGA - ion-exchange'!N54*1000/10^6</f>
        <v>66.72218717</v>
      </c>
      <c r="D7" s="101" t="s">
        <v>237</v>
      </c>
      <c r="E7" s="94"/>
      <c r="F7" s="95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</row>
    <row r="8" ht="12.75" customHeight="1">
      <c r="A8" s="101" t="s">
        <v>238</v>
      </c>
      <c r="B8" s="94"/>
      <c r="C8" s="105">
        <v>0.0</v>
      </c>
      <c r="D8" s="101" t="s">
        <v>237</v>
      </c>
      <c r="E8" s="94" t="s">
        <v>239</v>
      </c>
      <c r="F8" s="95"/>
      <c r="G8" s="94"/>
      <c r="H8" s="94"/>
      <c r="I8" s="94"/>
      <c r="J8" s="94"/>
      <c r="K8" s="106"/>
      <c r="L8" s="94"/>
      <c r="M8" s="94"/>
      <c r="N8" s="94"/>
      <c r="O8" s="94"/>
      <c r="P8" s="94"/>
      <c r="Q8" s="94"/>
    </row>
    <row r="9" ht="12.75" customHeight="1">
      <c r="A9" s="101" t="s">
        <v>240</v>
      </c>
      <c r="B9" s="94"/>
      <c r="C9" s="107">
        <f>E18/12</f>
        <v>11.81067421</v>
      </c>
      <c r="D9" s="101" t="s">
        <v>237</v>
      </c>
      <c r="E9" s="108" t="s">
        <v>241</v>
      </c>
      <c r="F9" s="95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</row>
    <row r="10" ht="12.75" customHeight="1">
      <c r="A10" s="109" t="s">
        <v>242</v>
      </c>
      <c r="B10" s="110"/>
      <c r="C10" s="111">
        <f>E48/12</f>
        <v>13.1805878</v>
      </c>
      <c r="D10" s="109" t="s">
        <v>237</v>
      </c>
      <c r="F10" s="95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</row>
    <row r="11" ht="12.75" customHeight="1">
      <c r="A11" s="101" t="s">
        <v>243</v>
      </c>
      <c r="B11" s="94"/>
      <c r="C11" s="107">
        <f>SUM(C7:C10)</f>
        <v>91.71344918</v>
      </c>
      <c r="D11" s="101" t="s">
        <v>237</v>
      </c>
      <c r="E11" s="94"/>
      <c r="F11" s="95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</row>
    <row r="12" ht="12.75" customHeight="1">
      <c r="A12" s="106"/>
      <c r="B12" s="112" t="s">
        <v>244</v>
      </c>
      <c r="C12" s="112" t="s">
        <v>245</v>
      </c>
      <c r="D12" s="106"/>
      <c r="E12" s="112" t="s">
        <v>246</v>
      </c>
      <c r="F12" s="113" t="s">
        <v>247</v>
      </c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</row>
    <row r="13" ht="12.75" customHeight="1">
      <c r="A13" s="114" t="s">
        <v>248</v>
      </c>
      <c r="B13" s="115" t="s">
        <v>249</v>
      </c>
      <c r="C13" s="115" t="s">
        <v>250</v>
      </c>
      <c r="D13" s="94"/>
      <c r="E13" s="94"/>
      <c r="F13" s="95"/>
      <c r="G13" s="94"/>
      <c r="H13" s="94"/>
      <c r="I13" s="94"/>
      <c r="J13" s="94"/>
      <c r="K13" s="94"/>
      <c r="L13" s="94"/>
      <c r="M13" s="94"/>
      <c r="N13" s="94"/>
      <c r="O13" s="116" t="s">
        <v>251</v>
      </c>
      <c r="P13" s="117"/>
      <c r="Q13" s="117"/>
    </row>
    <row r="14" ht="12.75" customHeight="1">
      <c r="A14" s="118" t="s">
        <v>252</v>
      </c>
      <c r="B14" s="119">
        <f>705*32.04*8000/(B6*10^6)</f>
        <v>1.062367943</v>
      </c>
      <c r="C14" s="120">
        <f>620/1000</f>
        <v>0.62</v>
      </c>
      <c r="D14" s="94"/>
      <c r="E14" s="121">
        <f>F14*'COM - ion exchange'!PROD</f>
        <v>112.037472</v>
      </c>
      <c r="F14" s="95">
        <f t="shared" ref="F14:F17" si="1">B14*C14</f>
        <v>0.6586681247</v>
      </c>
      <c r="G14" s="94"/>
      <c r="H14" s="231" t="s">
        <v>342</v>
      </c>
      <c r="I14" s="123"/>
      <c r="J14" s="123"/>
      <c r="K14" s="123"/>
      <c r="L14" s="123"/>
      <c r="M14" s="123"/>
      <c r="N14" s="94"/>
      <c r="O14" s="124" t="s">
        <v>254</v>
      </c>
      <c r="P14" s="125"/>
      <c r="Q14" s="125"/>
    </row>
    <row r="15" ht="12.75" customHeight="1">
      <c r="A15" s="118" t="s">
        <v>255</v>
      </c>
      <c r="B15" s="119">
        <f>597*28.01*8000/(B6*10^6)</f>
        <v>0.7864674862</v>
      </c>
      <c r="C15" s="120">
        <f>205/1000</f>
        <v>0.205</v>
      </c>
      <c r="D15" s="94"/>
      <c r="E15" s="121">
        <f>F15*'COM - ion exchange'!PROD</f>
        <v>27.4240308</v>
      </c>
      <c r="F15" s="95">
        <f t="shared" si="1"/>
        <v>0.1612258347</v>
      </c>
      <c r="G15" s="94"/>
      <c r="H15" s="126" t="s">
        <v>256</v>
      </c>
      <c r="I15" s="127"/>
      <c r="J15" s="123"/>
      <c r="K15" s="123"/>
      <c r="L15" s="123"/>
      <c r="M15" s="123"/>
      <c r="N15" s="94"/>
      <c r="O15" s="124" t="s">
        <v>254</v>
      </c>
      <c r="P15" s="125"/>
      <c r="Q15" s="125"/>
    </row>
    <row r="16" ht="12.75" customHeight="1">
      <c r="A16" s="232" t="s">
        <v>343</v>
      </c>
      <c r="B16" s="119">
        <f>'Sizing ion exchange'!B22/(B6*10^6)/2</f>
        <v>0.0001763699536</v>
      </c>
      <c r="C16" s="129">
        <v>70.0</v>
      </c>
      <c r="D16" s="130"/>
      <c r="E16" s="121">
        <f>F16*'COM - ion exchange'!PROD</f>
        <v>2.1</v>
      </c>
      <c r="F16" s="95">
        <f t="shared" si="1"/>
        <v>0.01234589675</v>
      </c>
      <c r="G16" s="130"/>
      <c r="H16" s="133"/>
      <c r="I16" s="134"/>
      <c r="J16" s="134"/>
      <c r="K16" s="134"/>
      <c r="L16" s="134"/>
      <c r="M16" s="134"/>
      <c r="N16" s="130"/>
      <c r="O16" s="124"/>
      <c r="P16" s="135"/>
      <c r="Q16" s="135"/>
    </row>
    <row r="17" ht="12.75" customHeight="1">
      <c r="A17" s="233" t="s">
        <v>344</v>
      </c>
      <c r="B17" s="119">
        <f>'Sizing ion exchange'!B7/(B6*10^6)/2</f>
        <v>0.0001998712499</v>
      </c>
      <c r="C17" s="129">
        <v>4.9</v>
      </c>
      <c r="D17" s="130"/>
      <c r="E17" s="131">
        <f>F17*'COM - ion exchange'!PROD</f>
        <v>0.16658775</v>
      </c>
      <c r="F17" s="132">
        <f t="shared" si="1"/>
        <v>0.0009793691247</v>
      </c>
      <c r="G17" s="130"/>
      <c r="H17" s="133" t="s">
        <v>258</v>
      </c>
      <c r="I17" s="134"/>
      <c r="J17" s="134"/>
      <c r="K17" s="134"/>
      <c r="L17" s="134"/>
      <c r="M17" s="134"/>
      <c r="N17" s="130"/>
      <c r="O17" s="124" t="s">
        <v>259</v>
      </c>
      <c r="P17" s="135"/>
      <c r="Q17" s="135"/>
    </row>
    <row r="18" ht="12.75" customHeight="1">
      <c r="A18" s="136" t="s">
        <v>260</v>
      </c>
      <c r="B18" s="137"/>
      <c r="C18" s="138"/>
      <c r="D18" s="139"/>
      <c r="E18" s="140">
        <f t="shared" ref="E18:F18" si="2">SUM(E14:E17)</f>
        <v>141.7280906</v>
      </c>
      <c r="F18" s="138">
        <f t="shared" si="2"/>
        <v>0.8332192252</v>
      </c>
      <c r="G18" s="94"/>
      <c r="H18" s="94"/>
      <c r="I18" s="94"/>
      <c r="J18" s="139"/>
      <c r="K18" s="139"/>
      <c r="L18" s="139"/>
      <c r="M18" s="139"/>
      <c r="N18" s="139"/>
      <c r="O18" s="139"/>
      <c r="P18" s="139"/>
      <c r="Q18" s="139"/>
    </row>
    <row r="19" ht="12.75" customHeight="1">
      <c r="A19" s="114" t="s">
        <v>261</v>
      </c>
      <c r="B19" s="141"/>
      <c r="C19" s="95"/>
      <c r="D19" s="94"/>
      <c r="E19" s="121"/>
      <c r="F19" s="95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</row>
    <row r="20" ht="12.75" customHeight="1">
      <c r="A20" s="94" t="s">
        <v>262</v>
      </c>
      <c r="B20" s="142"/>
      <c r="C20" s="143"/>
      <c r="D20" s="94"/>
      <c r="E20" s="121">
        <f>F20*'COM - ion exchange'!PROD</f>
        <v>0</v>
      </c>
      <c r="F20" s="95">
        <f>B20*C20</f>
        <v>0</v>
      </c>
      <c r="G20" s="9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ht="12.75" customHeight="1">
      <c r="A21" s="144" t="s">
        <v>263</v>
      </c>
      <c r="B21" s="145"/>
      <c r="C21" s="146">
        <v>3.61</v>
      </c>
      <c r="D21" s="147" t="s">
        <v>264</v>
      </c>
      <c r="E21" s="148">
        <f>F21*'COM - ion exchange'!PROD</f>
        <v>3.661331896</v>
      </c>
      <c r="F21" s="149">
        <f>G21*C21/1000000</f>
        <v>0.02152496455</v>
      </c>
      <c r="G21" s="150">
        <f>'Flash Tank Info for COM'!I21/(B6*10^6)-35000</f>
        <v>5962.594059</v>
      </c>
      <c r="H21" s="147" t="s">
        <v>265</v>
      </c>
      <c r="I21" s="151" t="s">
        <v>266</v>
      </c>
      <c r="J21" s="151"/>
      <c r="K21" s="151"/>
      <c r="L21" s="151"/>
      <c r="M21" s="151"/>
      <c r="N21" s="151"/>
      <c r="O21" s="152"/>
      <c r="P21" s="152"/>
      <c r="Q21" s="152"/>
    </row>
    <row r="22" ht="12.75" customHeight="1">
      <c r="A22" s="152" t="s">
        <v>267</v>
      </c>
      <c r="B22" s="153"/>
      <c r="C22" s="154"/>
      <c r="D22" s="152"/>
      <c r="E22" s="155">
        <f t="shared" ref="E22:F22" si="3">SUM(E20:E21)</f>
        <v>3.661331896</v>
      </c>
      <c r="F22" s="154">
        <f t="shared" si="3"/>
        <v>0.02152496455</v>
      </c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</row>
    <row r="23" ht="12.75" customHeight="1">
      <c r="A23" s="136" t="s">
        <v>268</v>
      </c>
      <c r="B23" s="153"/>
      <c r="C23" s="154"/>
      <c r="D23" s="152"/>
      <c r="E23" s="155"/>
      <c r="F23" s="154"/>
      <c r="G23" s="152"/>
      <c r="H23" s="94"/>
      <c r="I23" s="94"/>
      <c r="J23" s="94"/>
      <c r="K23" s="94"/>
      <c r="L23" s="156" t="s">
        <v>269</v>
      </c>
      <c r="M23" s="156" t="s">
        <v>270</v>
      </c>
      <c r="N23" s="94"/>
      <c r="O23" s="94"/>
      <c r="P23" s="94"/>
      <c r="Q23" s="94"/>
    </row>
    <row r="24" ht="12.75" customHeight="1">
      <c r="A24" s="157" t="s">
        <v>271</v>
      </c>
      <c r="B24" s="158">
        <f>L24*1000*8000/(B6*10^6)</f>
        <v>2.821919258</v>
      </c>
      <c r="C24" s="159">
        <f>P42</f>
        <v>1.925988225</v>
      </c>
      <c r="D24" s="94"/>
      <c r="E24" s="121">
        <f>F24*'COM - ion exchange'!PROD</f>
        <v>0.9244743482</v>
      </c>
      <c r="F24" s="95">
        <f t="shared" ref="F24:F25" si="4">B24*C24/1000</f>
        <v>0.005434983264</v>
      </c>
      <c r="G24" s="94" t="s">
        <v>272</v>
      </c>
      <c r="H24" s="94"/>
      <c r="I24" s="94"/>
      <c r="J24" s="94"/>
      <c r="K24" s="94"/>
      <c r="L24" s="160">
        <v>60.0</v>
      </c>
      <c r="M24" s="161" t="s">
        <v>273</v>
      </c>
      <c r="N24" s="94"/>
      <c r="O24" s="162" t="s">
        <v>274</v>
      </c>
      <c r="P24" s="163"/>
      <c r="Q24" s="163"/>
    </row>
    <row r="25" ht="12.75" customHeight="1">
      <c r="A25" s="157" t="s">
        <v>276</v>
      </c>
      <c r="B25" s="158">
        <f>L25*1000*8000/(B6*10^6)</f>
        <v>0.7054798145</v>
      </c>
      <c r="C25" s="159">
        <f>P44</f>
        <v>7.703952902</v>
      </c>
      <c r="D25" s="94"/>
      <c r="E25" s="121">
        <f>F25*'COM - ion exchange'!PROD</f>
        <v>0.9244743482</v>
      </c>
      <c r="F25" s="95">
        <f t="shared" si="4"/>
        <v>0.005434983264</v>
      </c>
      <c r="G25" s="94" t="s">
        <v>272</v>
      </c>
      <c r="H25" s="94"/>
      <c r="I25" s="94"/>
      <c r="J25" s="94"/>
      <c r="K25" s="94"/>
      <c r="L25" s="160">
        <v>15.0</v>
      </c>
      <c r="M25" s="161" t="s">
        <v>273</v>
      </c>
      <c r="N25" s="94"/>
      <c r="O25" s="162" t="s">
        <v>274</v>
      </c>
      <c r="P25" s="163"/>
      <c r="Q25" s="163"/>
    </row>
    <row r="26" ht="12.75" customHeight="1">
      <c r="A26" s="101" t="s">
        <v>277</v>
      </c>
      <c r="B26" s="158">
        <f>L26*8000/(B6*10^6)</f>
        <v>0.004703198763</v>
      </c>
      <c r="C26" s="164">
        <v>0.061</v>
      </c>
      <c r="D26" s="94"/>
      <c r="E26" s="121">
        <f>F26*'COM - ion exchange'!PROD</f>
        <v>0.0488</v>
      </c>
      <c r="F26" s="95">
        <f>B26*C26</f>
        <v>0.0002868951245</v>
      </c>
      <c r="G26" s="94" t="s">
        <v>278</v>
      </c>
      <c r="H26" s="94"/>
      <c r="I26" s="94"/>
      <c r="J26" s="94"/>
      <c r="K26" s="94"/>
      <c r="L26" s="160">
        <v>100.0</v>
      </c>
      <c r="M26" s="161" t="s">
        <v>279</v>
      </c>
      <c r="N26" s="94"/>
      <c r="O26" s="162" t="s">
        <v>280</v>
      </c>
      <c r="P26" s="163"/>
      <c r="Q26" s="163"/>
    </row>
    <row r="27" ht="12.75" customHeight="1">
      <c r="A27" s="165" t="s">
        <v>281</v>
      </c>
      <c r="B27" s="166"/>
      <c r="C27" s="13"/>
      <c r="D27" s="167"/>
      <c r="E27" s="168">
        <f>G27*8000/10^6</f>
        <v>0.232</v>
      </c>
      <c r="F27" s="169">
        <f>E27/B6</f>
        <v>0.001363927641</v>
      </c>
      <c r="G27" s="170">
        <v>29.0</v>
      </c>
      <c r="H27" s="234" t="s">
        <v>345</v>
      </c>
      <c r="I27" s="167"/>
      <c r="J27" s="167"/>
      <c r="K27" s="167"/>
      <c r="L27" s="171">
        <v>329.492</v>
      </c>
      <c r="M27" s="172" t="s">
        <v>273</v>
      </c>
      <c r="N27" s="167"/>
      <c r="O27" s="173"/>
      <c r="P27" s="174"/>
      <c r="Q27" s="174"/>
    </row>
    <row r="28" ht="12.75" customHeight="1">
      <c r="A28" s="109" t="s">
        <v>283</v>
      </c>
      <c r="B28" s="175">
        <f>L28*10^6*8000/(B6*10^6)</f>
        <v>28.21919258</v>
      </c>
      <c r="C28" s="176">
        <v>0.075</v>
      </c>
      <c r="D28" s="177"/>
      <c r="E28" s="131">
        <f>F28*'COM - ion exchange'!PROD</f>
        <v>0.36</v>
      </c>
      <c r="F28" s="132">
        <f>B28*C28/1000</f>
        <v>0.002116439443</v>
      </c>
      <c r="G28" s="130" t="s">
        <v>284</v>
      </c>
      <c r="H28" s="177"/>
      <c r="I28" s="177"/>
      <c r="J28" s="177"/>
      <c r="K28" s="177"/>
      <c r="L28" s="178">
        <v>0.6</v>
      </c>
      <c r="M28" s="179" t="s">
        <v>285</v>
      </c>
      <c r="N28" s="177"/>
      <c r="O28" s="180" t="s">
        <v>286</v>
      </c>
      <c r="P28" s="181"/>
      <c r="Q28" s="181"/>
    </row>
    <row r="29" ht="12.75" customHeight="1">
      <c r="A29" s="182" t="s">
        <v>287</v>
      </c>
      <c r="B29" s="153"/>
      <c r="C29" s="154"/>
      <c r="D29" s="152"/>
      <c r="E29" s="155">
        <f t="shared" ref="E29:F29" si="5">SUM(E24:E28)</f>
        <v>2.489748696</v>
      </c>
      <c r="F29" s="154">
        <f t="shared" si="5"/>
        <v>0.01463722874</v>
      </c>
      <c r="G29" s="152"/>
      <c r="H29" s="94"/>
      <c r="I29" s="94"/>
      <c r="J29" s="94"/>
      <c r="K29" s="94"/>
      <c r="L29" s="94"/>
      <c r="M29" s="94"/>
      <c r="N29" s="94"/>
      <c r="O29" s="94"/>
      <c r="P29" s="94"/>
      <c r="Q29" s="94"/>
    </row>
    <row r="30" ht="12.75" customHeight="1">
      <c r="A30" s="114" t="s">
        <v>288</v>
      </c>
      <c r="B30" s="141"/>
      <c r="C30" s="95"/>
      <c r="D30" s="94"/>
      <c r="E30" s="121"/>
      <c r="F30" s="95"/>
      <c r="G30" s="94"/>
      <c r="H30" s="94"/>
      <c r="I30" s="94"/>
      <c r="J30" s="94"/>
      <c r="K30" s="94"/>
      <c r="L30" s="183" t="s">
        <v>289</v>
      </c>
      <c r="M30" s="36"/>
      <c r="N30" s="37"/>
      <c r="O30" s="94" t="s">
        <v>290</v>
      </c>
      <c r="P30" s="94"/>
      <c r="Q30" s="94"/>
    </row>
    <row r="31" ht="12.75" customHeight="1">
      <c r="A31" s="101" t="s">
        <v>291</v>
      </c>
      <c r="B31" s="142"/>
      <c r="C31" s="143"/>
      <c r="D31" s="94"/>
      <c r="E31" s="121">
        <f>F31*'COM - ion exchange'!PROD</f>
        <v>0</v>
      </c>
      <c r="F31" s="95">
        <f t="shared" ref="F31:F33" si="6">B31*C31</f>
        <v>0</v>
      </c>
      <c r="G31" s="94"/>
      <c r="H31" s="94"/>
      <c r="I31" s="94"/>
      <c r="J31" s="94"/>
      <c r="K31" s="94"/>
      <c r="L31" s="38"/>
      <c r="N31" s="39"/>
      <c r="O31" s="184" t="s">
        <v>292</v>
      </c>
      <c r="P31" s="185"/>
      <c r="Q31" s="185"/>
    </row>
    <row r="32" ht="12.75" customHeight="1">
      <c r="A32" s="101" t="s">
        <v>293</v>
      </c>
      <c r="B32" s="142"/>
      <c r="C32" s="143"/>
      <c r="D32" s="94"/>
      <c r="E32" s="121">
        <f>F32*'COM - ion exchange'!PROD</f>
        <v>0</v>
      </c>
      <c r="F32" s="95">
        <f t="shared" si="6"/>
        <v>0</v>
      </c>
      <c r="G32" s="94"/>
      <c r="H32" s="130"/>
      <c r="I32" s="130"/>
      <c r="J32" s="130"/>
      <c r="K32" s="130"/>
      <c r="L32" s="38"/>
      <c r="N32" s="39"/>
      <c r="O32" s="130"/>
      <c r="P32" s="130"/>
      <c r="Q32" s="130"/>
    </row>
    <row r="33" ht="12.75" customHeight="1">
      <c r="A33" s="109" t="s">
        <v>294</v>
      </c>
      <c r="B33" s="186"/>
      <c r="C33" s="187"/>
      <c r="D33" s="130"/>
      <c r="E33" s="131">
        <f>F33*'COM - ion exchange'!PROD</f>
        <v>0</v>
      </c>
      <c r="F33" s="132">
        <f t="shared" si="6"/>
        <v>0</v>
      </c>
      <c r="G33" s="130"/>
      <c r="H33" s="152"/>
      <c r="I33" s="152"/>
      <c r="J33" s="152"/>
      <c r="K33" s="152"/>
      <c r="L33" s="38"/>
      <c r="N33" s="39"/>
      <c r="O33" s="152"/>
      <c r="P33" s="152"/>
      <c r="Q33" s="152"/>
    </row>
    <row r="34" ht="12.75" customHeight="1">
      <c r="A34" s="152" t="s">
        <v>295</v>
      </c>
      <c r="B34" s="152"/>
      <c r="C34" s="152"/>
      <c r="D34" s="152"/>
      <c r="E34" s="155">
        <f t="shared" ref="E34:F34" si="7">SUM(E31:E33)</f>
        <v>0</v>
      </c>
      <c r="F34" s="154">
        <f t="shared" si="7"/>
        <v>0</v>
      </c>
      <c r="G34" s="152"/>
      <c r="H34" s="94"/>
      <c r="I34" s="94"/>
      <c r="J34" s="94"/>
      <c r="K34" s="94"/>
      <c r="L34" s="40"/>
      <c r="M34" s="41"/>
      <c r="N34" s="42"/>
      <c r="O34" s="94"/>
      <c r="P34" s="94"/>
      <c r="Q34" s="94"/>
    </row>
    <row r="35" ht="12.75" customHeight="1">
      <c r="A35" s="136" t="s">
        <v>296</v>
      </c>
      <c r="B35" s="139"/>
      <c r="C35" s="139"/>
      <c r="D35" s="139"/>
      <c r="E35" s="140">
        <f t="shared" ref="E35:F35" si="8">E18+E29+E34-E22</f>
        <v>140.5565074</v>
      </c>
      <c r="F35" s="138">
        <f t="shared" si="8"/>
        <v>0.8263314894</v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</row>
    <row r="36" ht="12.75" customHeight="1">
      <c r="A36" s="136"/>
      <c r="B36" s="139"/>
      <c r="C36" s="139"/>
      <c r="D36" s="139"/>
      <c r="E36" s="140"/>
      <c r="F36" s="138"/>
      <c r="G36" s="94"/>
      <c r="H36" s="94"/>
      <c r="I36" s="94"/>
      <c r="J36" s="139"/>
      <c r="K36" s="139"/>
      <c r="L36" s="139"/>
      <c r="M36" s="139"/>
      <c r="N36" s="139"/>
      <c r="O36" s="139"/>
      <c r="P36" s="139"/>
      <c r="Q36" s="139"/>
    </row>
    <row r="37" ht="12.75" customHeight="1">
      <c r="A37" s="114" t="s">
        <v>297</v>
      </c>
      <c r="C37" s="94"/>
      <c r="D37" s="94"/>
      <c r="E37" s="121"/>
      <c r="F37" s="95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</row>
    <row r="38" ht="12.75" customHeight="1">
      <c r="A38" s="101" t="s">
        <v>298</v>
      </c>
      <c r="B38" s="188">
        <f>18/2+1</f>
        <v>10</v>
      </c>
      <c r="C38" s="189">
        <v>32.0</v>
      </c>
      <c r="D38" s="190" t="s">
        <v>299</v>
      </c>
      <c r="E38" s="121">
        <f>B38*C38*(365*24)/1000000</f>
        <v>2.8032</v>
      </c>
      <c r="F38" s="95">
        <f>E38/'COM - ion exchange'!PROD</f>
        <v>0.01648000847</v>
      </c>
      <c r="G38" s="94" t="s">
        <v>300</v>
      </c>
      <c r="H38" s="139"/>
      <c r="I38" s="139"/>
      <c r="J38" s="94"/>
      <c r="K38" s="94"/>
      <c r="L38" s="94"/>
      <c r="M38" s="94"/>
      <c r="N38" s="94"/>
    </row>
    <row r="39" ht="12.75" customHeight="1">
      <c r="A39" s="101" t="s">
        <v>301</v>
      </c>
      <c r="B39" s="94"/>
      <c r="C39" s="191">
        <v>0.45</v>
      </c>
      <c r="D39" s="94"/>
      <c r="E39" s="121">
        <f t="shared" ref="E39:E41" si="9">E$38*C39</f>
        <v>1.26144</v>
      </c>
      <c r="F39" s="95">
        <f>E39/'COM - ion exchange'!PROD</f>
        <v>0.00741600381</v>
      </c>
      <c r="G39" s="94"/>
      <c r="H39" s="192" t="s">
        <v>302</v>
      </c>
      <c r="I39" s="94"/>
      <c r="J39" s="94"/>
      <c r="K39" s="94"/>
      <c r="L39" s="94"/>
      <c r="M39" s="94"/>
      <c r="N39" s="94"/>
      <c r="O39" s="94"/>
      <c r="P39" s="94"/>
      <c r="Q39" s="94"/>
    </row>
    <row r="40" ht="12.75" customHeight="1">
      <c r="A40" s="101" t="s">
        <v>303</v>
      </c>
      <c r="B40" s="94"/>
      <c r="C40" s="191">
        <v>1.0</v>
      </c>
      <c r="D40" s="94"/>
      <c r="E40" s="121">
        <f t="shared" si="9"/>
        <v>2.8032</v>
      </c>
      <c r="F40" s="95">
        <f>E40/'COM - ion exchange'!PROD</f>
        <v>0.01648000847</v>
      </c>
      <c r="G40" s="139"/>
      <c r="H40" s="94"/>
      <c r="I40" s="94"/>
      <c r="J40" s="94"/>
      <c r="K40" s="94"/>
      <c r="L40" s="94"/>
      <c r="M40" s="94"/>
      <c r="N40" s="94"/>
      <c r="O40" s="94"/>
      <c r="P40" s="94"/>
      <c r="Q40" s="94"/>
    </row>
    <row r="41" ht="12.75" customHeight="1">
      <c r="A41" s="101" t="s">
        <v>304</v>
      </c>
      <c r="B41" s="94"/>
      <c r="C41" s="191">
        <v>0.5</v>
      </c>
      <c r="D41" s="94"/>
      <c r="E41" s="121">
        <f t="shared" si="9"/>
        <v>1.4016</v>
      </c>
      <c r="F41" s="95">
        <f>E41/'COM - ion exchange'!PROD</f>
        <v>0.008240004233</v>
      </c>
      <c r="G41" s="139"/>
      <c r="H41" s="94"/>
      <c r="I41" s="94"/>
      <c r="J41" s="94"/>
      <c r="K41" s="94"/>
      <c r="L41" s="94"/>
      <c r="M41" s="94"/>
      <c r="N41" s="193" t="s">
        <v>43</v>
      </c>
      <c r="O41" s="193" t="s">
        <v>305</v>
      </c>
      <c r="P41" s="193" t="s">
        <v>36</v>
      </c>
      <c r="Q41" s="194"/>
    </row>
    <row r="42" ht="12.75" customHeight="1">
      <c r="A42" s="101" t="s">
        <v>306</v>
      </c>
      <c r="B42" s="191">
        <v>0.03</v>
      </c>
      <c r="C42" s="94"/>
      <c r="D42" s="94"/>
      <c r="E42" s="121">
        <f t="shared" ref="E42:E44" si="10">B42*$C$7</f>
        <v>2.001665615</v>
      </c>
      <c r="F42" s="95">
        <f>E42/'COM - ion exchange'!PROD</f>
        <v>0.01176778906</v>
      </c>
      <c r="G42" s="94"/>
      <c r="H42" s="106"/>
      <c r="I42" s="106"/>
      <c r="J42" s="94"/>
      <c r="K42" s="94"/>
      <c r="L42" s="94"/>
      <c r="M42" s="94"/>
      <c r="N42" s="195">
        <v>100.0</v>
      </c>
      <c r="O42" s="196">
        <f t="shared" ref="O42:O44" si="11">N42/14.5</f>
        <v>6.896551724</v>
      </c>
      <c r="P42" s="196">
        <f t="shared" ref="P42:P44" si="12">11.45/41*O42</f>
        <v>1.925988225</v>
      </c>
      <c r="Q42" s="94"/>
    </row>
    <row r="43" ht="12.75" customHeight="1">
      <c r="A43" s="101" t="s">
        <v>307</v>
      </c>
      <c r="B43" s="191">
        <v>0.02</v>
      </c>
      <c r="C43" s="94"/>
      <c r="D43" s="94"/>
      <c r="E43" s="121">
        <f t="shared" si="10"/>
        <v>1.334443743</v>
      </c>
      <c r="F43" s="95">
        <f>E43/'COM - ion exchange'!PROD</f>
        <v>0.007845192704</v>
      </c>
      <c r="G43" s="94" t="s">
        <v>308</v>
      </c>
      <c r="H43" s="106"/>
      <c r="I43" s="106"/>
      <c r="J43" s="94"/>
      <c r="K43" s="94"/>
      <c r="L43" s="94"/>
      <c r="M43" s="94"/>
      <c r="N43" s="195">
        <v>165.0</v>
      </c>
      <c r="O43" s="196">
        <f t="shared" si="11"/>
        <v>11.37931034</v>
      </c>
      <c r="P43" s="196">
        <f t="shared" si="12"/>
        <v>3.177880572</v>
      </c>
      <c r="Q43" s="94"/>
    </row>
    <row r="44" ht="12.75" customHeight="1">
      <c r="A44" s="101" t="s">
        <v>309</v>
      </c>
      <c r="B44" s="191">
        <v>0.09</v>
      </c>
      <c r="C44" s="94"/>
      <c r="D44" s="94"/>
      <c r="E44" s="121">
        <f t="shared" si="10"/>
        <v>6.004996845</v>
      </c>
      <c r="F44" s="95">
        <f>E44/'COM - ion exchange'!PROD</f>
        <v>0.03530336717</v>
      </c>
      <c r="G44" s="94" t="s">
        <v>310</v>
      </c>
      <c r="H44" s="94"/>
      <c r="I44" s="94"/>
      <c r="J44" s="94"/>
      <c r="K44" s="94"/>
      <c r="L44" s="94"/>
      <c r="M44" s="94"/>
      <c r="N44" s="195">
        <v>400.0</v>
      </c>
      <c r="O44" s="196">
        <f t="shared" si="11"/>
        <v>27.5862069</v>
      </c>
      <c r="P44" s="196">
        <f t="shared" si="12"/>
        <v>7.703952902</v>
      </c>
      <c r="Q44" s="94"/>
    </row>
    <row r="45" ht="12.75" customHeight="1">
      <c r="A45" s="136" t="s">
        <v>311</v>
      </c>
      <c r="B45" s="139"/>
      <c r="C45" s="139"/>
      <c r="D45" s="139"/>
      <c r="E45" s="140">
        <f t="shared" ref="E45:F45" si="13">SUM(E38:E44)</f>
        <v>17.6105462</v>
      </c>
      <c r="F45" s="138">
        <f t="shared" si="13"/>
        <v>0.1035323739</v>
      </c>
      <c r="G45" s="94"/>
      <c r="H45" s="94"/>
      <c r="I45" s="94"/>
      <c r="J45" s="139"/>
      <c r="K45" s="139"/>
      <c r="L45" s="139"/>
      <c r="M45" s="139"/>
      <c r="N45" s="139"/>
      <c r="O45" s="139"/>
      <c r="P45" s="139"/>
      <c r="Q45" s="139"/>
    </row>
    <row r="46" ht="12.75" customHeight="1">
      <c r="A46" s="101"/>
      <c r="B46" s="94"/>
      <c r="C46" s="94"/>
      <c r="D46" s="94"/>
      <c r="E46" s="121"/>
      <c r="F46" s="95"/>
      <c r="G46" s="94"/>
      <c r="H46" s="94"/>
      <c r="I46" s="94"/>
      <c r="J46" s="94"/>
      <c r="K46" s="94"/>
      <c r="L46" s="94"/>
      <c r="M46" s="94"/>
      <c r="N46" s="94"/>
      <c r="O46" s="194" t="s">
        <v>312</v>
      </c>
      <c r="P46" s="94"/>
      <c r="Q46" s="94"/>
    </row>
    <row r="47" ht="12.75" customHeight="1">
      <c r="A47" s="114" t="s">
        <v>313</v>
      </c>
      <c r="B47" s="106"/>
      <c r="C47" s="106"/>
      <c r="D47" s="106"/>
      <c r="E47" s="197">
        <f t="shared" ref="E47:F47" si="14">E35+E45-E44</f>
        <v>152.1620567</v>
      </c>
      <c r="F47" s="198">
        <f t="shared" si="14"/>
        <v>0.8945604961</v>
      </c>
      <c r="G47" s="94" t="s">
        <v>314</v>
      </c>
      <c r="H47" s="94"/>
      <c r="I47" s="94"/>
      <c r="J47" s="106"/>
      <c r="K47" s="106"/>
      <c r="L47" s="106"/>
      <c r="M47" s="106"/>
      <c r="N47" s="106"/>
      <c r="O47" s="106"/>
      <c r="P47" s="106"/>
      <c r="Q47" s="106"/>
    </row>
    <row r="48" ht="12.75" customHeight="1">
      <c r="A48" s="114" t="s">
        <v>315</v>
      </c>
      <c r="B48" s="106"/>
      <c r="C48" s="106"/>
      <c r="D48" s="106"/>
      <c r="E48" s="197">
        <f t="shared" ref="E48:F48" si="15">E35+E45</f>
        <v>158.1670536</v>
      </c>
      <c r="F48" s="198">
        <f t="shared" si="15"/>
        <v>0.9298638633</v>
      </c>
      <c r="G48" s="94" t="s">
        <v>316</v>
      </c>
      <c r="H48" s="94"/>
      <c r="I48" s="94"/>
      <c r="J48" s="106"/>
      <c r="K48" s="106"/>
      <c r="L48" s="106"/>
      <c r="M48" s="106"/>
      <c r="N48" s="106"/>
      <c r="O48" s="106"/>
      <c r="P48" s="106"/>
      <c r="Q48" s="106"/>
    </row>
    <row r="49" ht="12.75" customHeight="1">
      <c r="A49" s="101" t="s">
        <v>317</v>
      </c>
      <c r="B49" s="94"/>
      <c r="C49" s="199">
        <v>0.06</v>
      </c>
      <c r="D49" s="101" t="s">
        <v>318</v>
      </c>
      <c r="E49" s="121">
        <f>'COM - ion exchange'!PROD*F49</f>
        <v>9.490023213</v>
      </c>
      <c r="F49" s="95">
        <f>C49*F48</f>
        <v>0.0557918318</v>
      </c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</row>
    <row r="50" ht="12.75" customHeight="1">
      <c r="A50" s="114" t="s">
        <v>319</v>
      </c>
      <c r="B50" s="94"/>
      <c r="C50" s="200"/>
      <c r="D50" s="101"/>
      <c r="E50" s="197">
        <f t="shared" ref="E50:F50" si="16">E48+E49</f>
        <v>167.6570768</v>
      </c>
      <c r="F50" s="198">
        <f t="shared" si="16"/>
        <v>0.9856556951</v>
      </c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ht="12.75" customHeight="1">
      <c r="A51" s="101" t="s">
        <v>320</v>
      </c>
      <c r="B51" s="94"/>
      <c r="C51" s="199">
        <v>0.25</v>
      </c>
      <c r="D51" s="101"/>
      <c r="E51" s="197"/>
      <c r="F51" s="198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</row>
    <row r="52" ht="12.75" customHeight="1">
      <c r="A52" s="101" t="s">
        <v>321</v>
      </c>
      <c r="B52" s="94"/>
      <c r="C52" s="201">
        <v>0.25</v>
      </c>
      <c r="D52" s="115"/>
      <c r="E52" s="121">
        <f>C52*C11/(1-C51)</f>
        <v>30.57114973</v>
      </c>
      <c r="F52" s="95">
        <f>E52/'COM - ion exchange'!PROD</f>
        <v>0.179727742</v>
      </c>
      <c r="G52" s="94" t="s">
        <v>322</v>
      </c>
      <c r="H52" s="94"/>
      <c r="I52" s="94"/>
      <c r="J52" s="94"/>
      <c r="K52" s="94"/>
      <c r="L52" s="94"/>
      <c r="M52" s="94"/>
      <c r="N52" s="94"/>
      <c r="O52" s="94"/>
      <c r="P52" s="94"/>
      <c r="Q52" s="94"/>
    </row>
    <row r="53" ht="12.75" customHeight="1">
      <c r="A53" s="101"/>
      <c r="B53" s="94"/>
      <c r="C53" s="202"/>
      <c r="D53" s="115"/>
      <c r="E53" s="121"/>
      <c r="F53" s="95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</row>
    <row r="54" ht="12.75" customHeight="1">
      <c r="A54" s="203" t="s">
        <v>323</v>
      </c>
      <c r="B54" s="99" t="s">
        <v>324</v>
      </c>
      <c r="C54" s="99"/>
      <c r="D54" s="98" t="s">
        <v>325</v>
      </c>
      <c r="E54" s="204" t="s">
        <v>326</v>
      </c>
      <c r="F54" s="205" t="s">
        <v>247</v>
      </c>
      <c r="G54" s="94"/>
      <c r="H54" s="94"/>
      <c r="I54" s="94"/>
      <c r="J54" s="99"/>
      <c r="K54" s="99"/>
      <c r="L54" s="99"/>
    </row>
    <row r="55" ht="12.75" customHeight="1">
      <c r="A55" s="206" t="s">
        <v>329</v>
      </c>
      <c r="B55" s="207">
        <f>C52</f>
        <v>0.25</v>
      </c>
      <c r="C55" s="208" t="s">
        <v>330</v>
      </c>
      <c r="D55" s="207">
        <f>E6</f>
        <v>0.913</v>
      </c>
      <c r="E55" s="209">
        <f t="shared" ref="E55:F55" si="17">E50+E52</f>
        <v>198.2282265</v>
      </c>
      <c r="F55" s="210">
        <f t="shared" si="17"/>
        <v>1.165383437</v>
      </c>
      <c r="G55" s="94" t="s">
        <v>331</v>
      </c>
      <c r="H55" s="94"/>
      <c r="I55" s="94"/>
      <c r="J55" s="206"/>
      <c r="K55" s="206"/>
      <c r="L55" s="206"/>
    </row>
    <row r="56" ht="12.75" customHeight="1">
      <c r="A56" s="211" t="s">
        <v>332</v>
      </c>
      <c r="B56" s="212">
        <f>(1-C51)*(E56-E50)/C11</f>
        <v>-1.371040002</v>
      </c>
      <c r="C56" s="213" t="s">
        <v>333</v>
      </c>
      <c r="D56" s="213"/>
      <c r="E56" s="214">
        <f>F56*'COM - ion exchange'!PROD</f>
        <v>0</v>
      </c>
      <c r="F56" s="215"/>
      <c r="G56" s="94" t="s">
        <v>334</v>
      </c>
      <c r="H56" s="213"/>
      <c r="I56" s="213"/>
      <c r="J56" s="213"/>
      <c r="K56" s="213"/>
      <c r="L56" s="213"/>
    </row>
    <row r="57" ht="12.75" customHeight="1">
      <c r="A57" s="94" t="s">
        <v>335</v>
      </c>
      <c r="B57" s="202">
        <f>IF(E56&gt;0,E57/E56,0)</f>
        <v>0</v>
      </c>
      <c r="C57" s="94" t="s">
        <v>336</v>
      </c>
      <c r="D57" s="94"/>
      <c r="E57" s="216">
        <f>(1-C51)*(E56-E50)+E44</f>
        <v>-119.7378107</v>
      </c>
      <c r="F57" s="94"/>
      <c r="G57" s="94" t="s">
        <v>337</v>
      </c>
      <c r="H57" s="94"/>
      <c r="I57" s="94"/>
      <c r="J57" s="94"/>
      <c r="K57" s="94"/>
      <c r="L57" s="94"/>
    </row>
    <row r="58" ht="12.75" customHeight="1">
      <c r="A58" s="94" t="s">
        <v>338</v>
      </c>
      <c r="B58" s="202">
        <f>IF(E56&gt;0,E58/E56,0)</f>
        <v>0</v>
      </c>
      <c r="C58" s="94" t="s">
        <v>336</v>
      </c>
      <c r="D58" s="94"/>
      <c r="E58" s="216">
        <f>E56-E35</f>
        <v>-140.5565074</v>
      </c>
      <c r="F58" s="94"/>
      <c r="G58" s="94" t="s">
        <v>339</v>
      </c>
      <c r="H58" s="94"/>
      <c r="I58" s="94"/>
      <c r="J58" s="94"/>
      <c r="K58" s="94"/>
      <c r="L58" s="94"/>
    </row>
    <row r="59" ht="12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</row>
    <row r="60" ht="12.75" customHeight="1">
      <c r="A60" s="94"/>
      <c r="B60" s="94"/>
      <c r="C60" s="94"/>
      <c r="D60" s="94"/>
      <c r="E60" s="217"/>
      <c r="F60" s="94"/>
      <c r="G60" s="94"/>
      <c r="H60" s="94"/>
      <c r="I60" s="94"/>
      <c r="J60" s="94"/>
      <c r="K60" s="94"/>
      <c r="L60" s="94"/>
    </row>
  </sheetData>
  <mergeCells count="5">
    <mergeCell ref="B2:D2"/>
    <mergeCell ref="B3:D3"/>
    <mergeCell ref="E9:E10"/>
    <mergeCell ref="B27:C27"/>
    <mergeCell ref="L30:N34"/>
  </mergeCells>
  <printOptions/>
  <pageMargins bottom="0.83" footer="0.0" header="0.0" left="0.75" right="0.75" top="1.0"/>
  <pageSetup orientation="portrait"/>
  <headerFooter>
    <oddHeader>&amp;RDate: &amp;D  &amp;T</oddHeader>
    <oddFooter>&amp;C&amp;F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9.5"/>
    <col customWidth="1" min="3" max="3" width="30.88"/>
    <col customWidth="1" min="4" max="4" width="38.88"/>
    <col customWidth="1" min="5" max="5" width="26.13"/>
    <col customWidth="1" min="6" max="6" width="16.13"/>
    <col customWidth="1" min="9" max="9" width="16.0"/>
  </cols>
  <sheetData>
    <row r="1" ht="29.25" customHeight="1">
      <c r="A1" s="235" t="s">
        <v>0</v>
      </c>
      <c r="B1" s="12"/>
      <c r="C1" s="12"/>
      <c r="D1" s="12"/>
      <c r="E1" s="12"/>
      <c r="F1" s="12"/>
      <c r="G1" s="12"/>
      <c r="H1" s="12"/>
      <c r="I1" s="13"/>
      <c r="J1" s="236"/>
      <c r="K1" s="236"/>
      <c r="L1" s="237"/>
    </row>
    <row r="2">
      <c r="A2" s="238" t="s">
        <v>346</v>
      </c>
      <c r="B2" s="239" t="s">
        <v>347</v>
      </c>
      <c r="C2" s="239" t="s">
        <v>348</v>
      </c>
      <c r="D2" s="239" t="s">
        <v>349</v>
      </c>
      <c r="E2" s="238" t="s">
        <v>350</v>
      </c>
      <c r="F2" s="238" t="s">
        <v>351</v>
      </c>
      <c r="G2" s="238" t="s">
        <v>352</v>
      </c>
      <c r="H2" s="238" t="s">
        <v>353</v>
      </c>
      <c r="I2" s="238" t="s">
        <v>354</v>
      </c>
      <c r="J2" s="236"/>
      <c r="K2" s="236"/>
      <c r="L2" s="237"/>
    </row>
    <row r="3">
      <c r="A3" s="240" t="s">
        <v>355</v>
      </c>
      <c r="B3" s="241">
        <v>0.0</v>
      </c>
      <c r="C3" s="241">
        <v>11.3389701696575</v>
      </c>
      <c r="D3" s="241">
        <v>31.1471041988817</v>
      </c>
      <c r="E3" s="242">
        <f t="shared" ref="E3:E9" si="1">sum(B3:D3)</f>
        <v>42.48607437</v>
      </c>
      <c r="F3" s="242">
        <f t="shared" ref="F3:F9" si="2">E3/$E$10</f>
        <v>0.06274718534</v>
      </c>
      <c r="G3" s="243">
        <v>1672.0</v>
      </c>
      <c r="H3" s="244">
        <f t="shared" ref="H3:H9" si="3">G3*E3*1000</f>
        <v>71036716.34</v>
      </c>
      <c r="I3" s="244">
        <f t="shared" ref="I3:I9" si="4">H3/1.05506*8000</f>
        <v>538636410018</v>
      </c>
      <c r="J3" s="236"/>
      <c r="L3" s="237"/>
    </row>
    <row r="4">
      <c r="A4" s="240" t="s">
        <v>356</v>
      </c>
      <c r="B4" s="241">
        <v>13.4126047820694</v>
      </c>
      <c r="C4" s="241">
        <v>0.854527634471406</v>
      </c>
      <c r="D4" s="241">
        <v>15.2334361965681</v>
      </c>
      <c r="E4" s="242">
        <f t="shared" si="1"/>
        <v>29.50056861</v>
      </c>
      <c r="F4" s="242">
        <f t="shared" si="2"/>
        <v>0.04356904406</v>
      </c>
      <c r="G4" s="243">
        <v>726.1</v>
      </c>
      <c r="H4" s="244">
        <f t="shared" si="3"/>
        <v>21420362.87</v>
      </c>
      <c r="I4" s="244">
        <f t="shared" si="4"/>
        <v>162420054746</v>
      </c>
      <c r="J4" s="236"/>
      <c r="K4" s="236"/>
      <c r="L4" s="237"/>
    </row>
    <row r="5">
      <c r="A5" s="240" t="s">
        <v>357</v>
      </c>
      <c r="B5" s="241">
        <v>4.9626514506291E-18</v>
      </c>
      <c r="C5" s="241">
        <v>1.02671492132845</v>
      </c>
      <c r="D5" s="241">
        <v>1.18841824717437</v>
      </c>
      <c r="E5" s="242">
        <f t="shared" si="1"/>
        <v>2.215133169</v>
      </c>
      <c r="F5" s="242">
        <f t="shared" si="2"/>
        <v>0.003271504217</v>
      </c>
      <c r="G5" s="243">
        <v>2726.3</v>
      </c>
      <c r="H5" s="244">
        <f t="shared" si="3"/>
        <v>6039117.557</v>
      </c>
      <c r="I5" s="244">
        <f t="shared" si="4"/>
        <v>45791652094</v>
      </c>
      <c r="J5" s="236"/>
      <c r="K5" s="236"/>
      <c r="L5" s="237"/>
    </row>
    <row r="6">
      <c r="A6" s="240" t="s">
        <v>358</v>
      </c>
      <c r="B6" s="241">
        <v>0.0</v>
      </c>
      <c r="C6" s="241">
        <v>262.679598763592</v>
      </c>
      <c r="D6" s="241">
        <v>1.64215954941902</v>
      </c>
      <c r="E6" s="242">
        <f t="shared" si="1"/>
        <v>264.3217583</v>
      </c>
      <c r="F6" s="242">
        <f t="shared" si="2"/>
        <v>0.3903737072</v>
      </c>
      <c r="G6" s="243">
        <f>-(-394*2+283)/2</f>
        <v>252.5</v>
      </c>
      <c r="H6" s="244">
        <f t="shared" si="3"/>
        <v>66741243.97</v>
      </c>
      <c r="I6" s="244">
        <f t="shared" si="4"/>
        <v>506065960033</v>
      </c>
      <c r="J6" s="236"/>
      <c r="K6" s="236"/>
      <c r="L6" s="237"/>
    </row>
    <row r="7">
      <c r="A7" s="245" t="s">
        <v>359</v>
      </c>
      <c r="B7" s="241">
        <v>0.0</v>
      </c>
      <c r="C7" s="241">
        <v>2.9989246117719</v>
      </c>
      <c r="D7" s="241">
        <v>0.00107538821626527</v>
      </c>
      <c r="E7" s="242">
        <f t="shared" si="1"/>
        <v>3</v>
      </c>
      <c r="F7" s="242">
        <f t="shared" si="2"/>
        <v>0.004430664843</v>
      </c>
      <c r="G7" s="241">
        <v>286.0</v>
      </c>
      <c r="H7" s="244">
        <f t="shared" si="3"/>
        <v>858000</v>
      </c>
      <c r="I7" s="244">
        <f t="shared" si="4"/>
        <v>6505791140</v>
      </c>
      <c r="J7" s="236"/>
      <c r="K7" s="236"/>
      <c r="L7" s="237"/>
    </row>
    <row r="8">
      <c r="A8" s="246" t="s">
        <v>360</v>
      </c>
      <c r="B8" s="241">
        <v>335.567642800638</v>
      </c>
      <c r="C8" s="241">
        <v>0.00106309371236663</v>
      </c>
      <c r="D8" s="241">
        <v>0.00704531741764004</v>
      </c>
      <c r="E8" s="242">
        <f t="shared" si="1"/>
        <v>335.5757512</v>
      </c>
      <c r="F8" s="242">
        <f t="shared" si="2"/>
        <v>0.4956078943</v>
      </c>
      <c r="G8" s="243">
        <v>0.0</v>
      </c>
      <c r="H8" s="244">
        <f t="shared" si="3"/>
        <v>0</v>
      </c>
      <c r="I8" s="244">
        <f t="shared" si="4"/>
        <v>0</v>
      </c>
      <c r="J8" s="236"/>
      <c r="K8" s="236"/>
      <c r="L8" s="237"/>
    </row>
    <row r="9">
      <c r="A9" s="245" t="s">
        <v>361</v>
      </c>
      <c r="B9" s="241">
        <v>0.0</v>
      </c>
      <c r="C9" s="241">
        <v>0.0</v>
      </c>
      <c r="D9" s="241">
        <v>0.0</v>
      </c>
      <c r="E9" s="242">
        <f t="shared" si="1"/>
        <v>0</v>
      </c>
      <c r="F9" s="242">
        <f t="shared" si="2"/>
        <v>0</v>
      </c>
      <c r="G9" s="241">
        <v>890.7</v>
      </c>
      <c r="H9" s="244">
        <f t="shared" si="3"/>
        <v>0</v>
      </c>
      <c r="I9" s="244">
        <f t="shared" si="4"/>
        <v>0</v>
      </c>
      <c r="J9" s="236"/>
      <c r="K9" s="236"/>
      <c r="L9" s="237"/>
    </row>
    <row r="10">
      <c r="A10" s="247" t="s">
        <v>362</v>
      </c>
      <c r="B10" s="248">
        <f t="shared" ref="B10:F10" si="5">SUM(B3:B8)</f>
        <v>348.9802476</v>
      </c>
      <c r="C10" s="248">
        <f t="shared" si="5"/>
        <v>278.8997992</v>
      </c>
      <c r="D10" s="248">
        <f t="shared" si="5"/>
        <v>49.2192389</v>
      </c>
      <c r="E10" s="248">
        <f t="shared" si="5"/>
        <v>677.0992857</v>
      </c>
      <c r="F10" s="248">
        <f t="shared" si="5"/>
        <v>1</v>
      </c>
      <c r="G10" s="247" t="s">
        <v>363</v>
      </c>
      <c r="H10" s="249">
        <f t="shared" ref="H10:I10" si="6">SUM(H3:H9)</f>
        <v>166095440.7</v>
      </c>
      <c r="I10" s="249">
        <f t="shared" si="6"/>
        <v>1259419868030</v>
      </c>
      <c r="J10" s="236"/>
      <c r="K10" s="236"/>
      <c r="L10" s="237"/>
    </row>
    <row r="11">
      <c r="A11" s="236"/>
      <c r="B11" s="236"/>
      <c r="C11" s="250"/>
      <c r="D11" s="250"/>
      <c r="E11" s="250"/>
      <c r="F11" s="250"/>
      <c r="G11" s="250"/>
      <c r="H11" s="236"/>
      <c r="I11" s="236"/>
      <c r="J11" s="236"/>
      <c r="K11" s="236"/>
      <c r="L11" s="237"/>
    </row>
    <row r="12" ht="39.0" customHeight="1">
      <c r="A12" s="235" t="s">
        <v>364</v>
      </c>
      <c r="B12" s="12"/>
      <c r="C12" s="12"/>
      <c r="D12" s="12"/>
      <c r="E12" s="12"/>
      <c r="F12" s="12"/>
      <c r="G12" s="12"/>
      <c r="H12" s="12"/>
      <c r="I12" s="13"/>
      <c r="J12" s="236"/>
      <c r="K12" s="236"/>
      <c r="L12" s="237"/>
    </row>
    <row r="13">
      <c r="A13" s="238" t="s">
        <v>346</v>
      </c>
      <c r="B13" s="239" t="s">
        <v>347</v>
      </c>
      <c r="C13" s="239" t="s">
        <v>348</v>
      </c>
      <c r="D13" s="239" t="s">
        <v>349</v>
      </c>
      <c r="E13" s="238" t="s">
        <v>350</v>
      </c>
      <c r="F13" s="238" t="s">
        <v>351</v>
      </c>
      <c r="G13" s="238" t="s">
        <v>352</v>
      </c>
      <c r="H13" s="238" t="s">
        <v>353</v>
      </c>
      <c r="I13" s="238" t="s">
        <v>354</v>
      </c>
      <c r="J13" s="236"/>
      <c r="K13" s="236"/>
      <c r="L13" s="237"/>
    </row>
    <row r="14">
      <c r="A14" s="240" t="s">
        <v>355</v>
      </c>
      <c r="B14" s="241">
        <v>0.0</v>
      </c>
      <c r="C14" s="241">
        <v>17.1021971940555</v>
      </c>
      <c r="D14" s="241">
        <v>4.11876685781783E-4</v>
      </c>
      <c r="E14" s="242">
        <f t="shared" ref="E14:E20" si="7">sum(B14:D14)</f>
        <v>17.10260907</v>
      </c>
      <c r="F14" s="242">
        <f t="shared" ref="F14:F20" si="8">E14/$E$10</f>
        <v>0.02525864291</v>
      </c>
      <c r="G14" s="243">
        <v>1672.0</v>
      </c>
      <c r="H14" s="244">
        <f t="shared" ref="H14:H20" si="9">G14*E14*1000</f>
        <v>28595562.37</v>
      </c>
      <c r="I14" s="244">
        <f t="shared" ref="I14:I20" si="10">H14/1.05506*8000</f>
        <v>216826056272</v>
      </c>
      <c r="J14" s="236"/>
      <c r="L14" s="237"/>
    </row>
    <row r="15">
      <c r="A15" s="240" t="s">
        <v>356</v>
      </c>
      <c r="B15" s="241">
        <v>12.5317193622935</v>
      </c>
      <c r="C15" s="251">
        <v>11.7034101525488</v>
      </c>
      <c r="D15" s="241">
        <v>0.00437232684329268</v>
      </c>
      <c r="E15" s="242">
        <f t="shared" si="7"/>
        <v>24.23950184</v>
      </c>
      <c r="F15" s="242">
        <f t="shared" si="8"/>
        <v>0.0357990362</v>
      </c>
      <c r="G15" s="243">
        <v>726.1</v>
      </c>
      <c r="H15" s="244">
        <f t="shared" si="9"/>
        <v>17600302.29</v>
      </c>
      <c r="I15" s="244">
        <f t="shared" si="10"/>
        <v>133454418041</v>
      </c>
      <c r="J15" s="236"/>
      <c r="K15" s="236"/>
      <c r="L15" s="237"/>
    </row>
    <row r="16">
      <c r="A16" s="240" t="s">
        <v>357</v>
      </c>
      <c r="B16" s="241">
        <v>4.03485793555568E-18</v>
      </c>
      <c r="C16" s="241">
        <v>265.120180546095</v>
      </c>
      <c r="D16" s="241">
        <v>1.32954326248157</v>
      </c>
      <c r="E16" s="242">
        <f t="shared" si="7"/>
        <v>266.4497238</v>
      </c>
      <c r="F16" s="242">
        <f t="shared" si="8"/>
        <v>0.3935164745</v>
      </c>
      <c r="G16" s="243">
        <v>2726.3</v>
      </c>
      <c r="H16" s="244">
        <f t="shared" si="9"/>
        <v>726421882</v>
      </c>
      <c r="I16" s="244">
        <f t="shared" si="10"/>
        <v>5508099118680</v>
      </c>
      <c r="J16" s="236"/>
      <c r="K16" s="236"/>
      <c r="L16" s="237"/>
    </row>
    <row r="17">
      <c r="A17" s="240" t="s">
        <v>358</v>
      </c>
      <c r="B17" s="241">
        <v>0.0</v>
      </c>
      <c r="C17" s="241">
        <v>575.922358707491</v>
      </c>
      <c r="D17" s="241">
        <v>0.0406289368340515</v>
      </c>
      <c r="E17" s="242">
        <f t="shared" si="7"/>
        <v>575.9629876</v>
      </c>
      <c r="F17" s="242">
        <f t="shared" si="8"/>
        <v>0.8506329867</v>
      </c>
      <c r="G17" s="243">
        <f>-(-394*2+283)/2</f>
        <v>252.5</v>
      </c>
      <c r="H17" s="244">
        <f t="shared" si="9"/>
        <v>145430654.4</v>
      </c>
      <c r="I17" s="244">
        <f t="shared" si="10"/>
        <v>1102728977538</v>
      </c>
      <c r="J17" s="236"/>
      <c r="K17" s="236"/>
      <c r="L17" s="237"/>
    </row>
    <row r="18">
      <c r="A18" s="245" t="s">
        <v>359</v>
      </c>
      <c r="B18" s="241">
        <v>0.0</v>
      </c>
      <c r="C18" s="241">
        <v>2.99998786047433</v>
      </c>
      <c r="D18" s="241">
        <v>1.21395261534901E-5</v>
      </c>
      <c r="E18" s="242">
        <f t="shared" si="7"/>
        <v>3</v>
      </c>
      <c r="F18" s="242">
        <f t="shared" si="8"/>
        <v>0.004430664843</v>
      </c>
      <c r="G18" s="241">
        <v>286.0</v>
      </c>
      <c r="H18" s="244">
        <f t="shared" si="9"/>
        <v>858000</v>
      </c>
      <c r="I18" s="244">
        <f t="shared" si="10"/>
        <v>6505791140</v>
      </c>
      <c r="J18" s="236"/>
      <c r="K18" s="236"/>
      <c r="L18" s="237"/>
    </row>
    <row r="19">
      <c r="A19" s="246" t="s">
        <v>360</v>
      </c>
      <c r="B19" s="241">
        <v>289.087277241657</v>
      </c>
      <c r="C19" s="241">
        <v>0.015161777991231</v>
      </c>
      <c r="D19" s="241">
        <v>1.72984896921429E-8</v>
      </c>
      <c r="E19" s="242">
        <f t="shared" si="7"/>
        <v>289.102439</v>
      </c>
      <c r="F19" s="242">
        <f t="shared" si="8"/>
        <v>0.4269720042</v>
      </c>
      <c r="G19" s="243">
        <v>0.0</v>
      </c>
      <c r="H19" s="244">
        <f t="shared" si="9"/>
        <v>0</v>
      </c>
      <c r="I19" s="244">
        <f t="shared" si="10"/>
        <v>0</v>
      </c>
      <c r="J19" s="236"/>
      <c r="K19" s="236"/>
      <c r="L19" s="237"/>
    </row>
    <row r="20">
      <c r="A20" s="245" t="s">
        <v>361</v>
      </c>
      <c r="B20" s="241">
        <v>0.0</v>
      </c>
      <c r="C20" s="241">
        <v>0.0</v>
      </c>
      <c r="D20" s="241">
        <v>0.0</v>
      </c>
      <c r="E20" s="242">
        <f t="shared" si="7"/>
        <v>0</v>
      </c>
      <c r="F20" s="242">
        <f t="shared" si="8"/>
        <v>0</v>
      </c>
      <c r="G20" s="241">
        <v>890.7</v>
      </c>
      <c r="H20" s="244">
        <f t="shared" si="9"/>
        <v>0</v>
      </c>
      <c r="I20" s="244">
        <f t="shared" si="10"/>
        <v>0</v>
      </c>
      <c r="J20" s="236"/>
      <c r="K20" s="236"/>
      <c r="L20" s="237"/>
    </row>
    <row r="21">
      <c r="A21" s="247" t="s">
        <v>362</v>
      </c>
      <c r="B21" s="248">
        <f t="shared" ref="B21:F21" si="11">SUM(B14:B19)</f>
        <v>301.6189966</v>
      </c>
      <c r="C21" s="248">
        <f t="shared" si="11"/>
        <v>872.8632962</v>
      </c>
      <c r="D21" s="248">
        <f t="shared" si="11"/>
        <v>1.37496856</v>
      </c>
      <c r="E21" s="248">
        <f t="shared" si="11"/>
        <v>1175.857261</v>
      </c>
      <c r="F21" s="248">
        <f t="shared" si="11"/>
        <v>1.736609809</v>
      </c>
      <c r="G21" s="247" t="s">
        <v>363</v>
      </c>
      <c r="H21" s="249">
        <f t="shared" ref="H21:I21" si="12">SUM(H14:H20)</f>
        <v>918906401.1</v>
      </c>
      <c r="I21" s="249">
        <f t="shared" si="12"/>
        <v>6967614361671</v>
      </c>
      <c r="J21" s="236"/>
      <c r="K21" s="236"/>
      <c r="L21" s="237"/>
    </row>
  </sheetData>
  <mergeCells count="2">
    <mergeCell ref="A1:I1"/>
    <mergeCell ref="A12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