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<sst xmlns="http://schemas.openxmlformats.org/spreadsheetml/2006/main" count="314" uniqueCount="121">
  <si>
    <t>Details of Streams</t>
  </si>
  <si>
    <t>Stream Name</t>
  </si>
  <si>
    <t>Inlet T</t>
  </si>
  <si>
    <t>Outlet T</t>
  </si>
  <si>
    <t>Enthalpy (kj/hr)</t>
  </si>
  <si>
    <t>Enthalpy (kw)</t>
  </si>
  <si>
    <t>MCpi</t>
  </si>
  <si>
    <t>Type of Stream</t>
  </si>
  <si>
    <t>S7_To_S8</t>
  </si>
  <si>
    <t>Cold</t>
  </si>
  <si>
    <t>BOTTOM_To_S14</t>
  </si>
  <si>
    <t>To Reboiler@B13_TO_S15</t>
  </si>
  <si>
    <t>To Reboiler@B7_TO_S6</t>
  </si>
  <si>
    <t>To Condenser@B7_TO_S7Duplicate</t>
  </si>
  <si>
    <t>Hot</t>
  </si>
  <si>
    <t>To Condenser@B13_TO_S16</t>
  </si>
  <si>
    <t>To Condenser@B6_TO_S9</t>
  </si>
  <si>
    <t>To Reboiler@B6_TO_S5</t>
  </si>
  <si>
    <t>B11_heat</t>
  </si>
  <si>
    <t>B10_heat</t>
  </si>
  <si>
    <t>B5_heat</t>
  </si>
  <si>
    <t>Hot Streams</t>
  </si>
  <si>
    <t>Label</t>
  </si>
  <si>
    <t>H1</t>
  </si>
  <si>
    <t>H2</t>
  </si>
  <si>
    <t>H3</t>
  </si>
  <si>
    <t>H4</t>
  </si>
  <si>
    <t>H5</t>
  </si>
  <si>
    <t>Cold Streams</t>
  </si>
  <si>
    <t>C1</t>
  </si>
  <si>
    <t>C2</t>
  </si>
  <si>
    <t>C3</t>
  </si>
  <si>
    <t>C4</t>
  </si>
  <si>
    <t>C5</t>
  </si>
  <si>
    <t>C6</t>
  </si>
  <si>
    <t xml:space="preserve">First Law Requirement </t>
  </si>
  <si>
    <t>Heat to be added to cold</t>
  </si>
  <si>
    <t>Building raw composite curve</t>
  </si>
  <si>
    <t>Interval</t>
  </si>
  <si>
    <t>Streams</t>
  </si>
  <si>
    <t>T</t>
  </si>
  <si>
    <t>SigmaQ</t>
  </si>
  <si>
    <t>4.81-14</t>
  </si>
  <si>
    <t>-22-14</t>
  </si>
  <si>
    <t>H2,H4</t>
  </si>
  <si>
    <t>14-32.10</t>
  </si>
  <si>
    <t>C6,C2</t>
  </si>
  <si>
    <t>14-95.35</t>
  </si>
  <si>
    <t>H2,H4,H3</t>
  </si>
  <si>
    <t>32.10-42.77</t>
  </si>
  <si>
    <t>C6,C2,C1</t>
  </si>
  <si>
    <t>95.35-120.015</t>
  </si>
  <si>
    <t>42.77-95.35</t>
  </si>
  <si>
    <t>C6,C2,C1,C4</t>
  </si>
  <si>
    <t>120.015-127.856</t>
  </si>
  <si>
    <t>H2,H4,H1</t>
  </si>
  <si>
    <t>95.35-97.027</t>
  </si>
  <si>
    <t>127.856-137.807</t>
  </si>
  <si>
    <t>97.027-167</t>
  </si>
  <si>
    <t>C6,C2,C1,C5</t>
  </si>
  <si>
    <t>137-139</t>
  </si>
  <si>
    <t>167-223</t>
  </si>
  <si>
    <t>139-179</t>
  </si>
  <si>
    <t>None</t>
  </si>
  <si>
    <t>223-355.5</t>
  </si>
  <si>
    <t>C6,C2,C1,C3</t>
  </si>
  <si>
    <t>179-180</t>
  </si>
  <si>
    <t>355.5-356</t>
  </si>
  <si>
    <t>180-195</t>
  </si>
  <si>
    <t>C2,C6</t>
  </si>
  <si>
    <t>195-223</t>
  </si>
  <si>
    <t>223-300</t>
  </si>
  <si>
    <t>Temperature Interval Method To Build Heat Cascade Table</t>
  </si>
  <si>
    <t>Subtracted Tmin=10 from both inlet and outlet</t>
  </si>
  <si>
    <t>-5.18 - 4</t>
  </si>
  <si>
    <t>4-22.10</t>
  </si>
  <si>
    <t>22.10-32.77</t>
  </si>
  <si>
    <t>32.77-85.350</t>
  </si>
  <si>
    <t>85.350-87.027</t>
  </si>
  <si>
    <t>87.027-157.90</t>
  </si>
  <si>
    <t>157.90-213</t>
  </si>
  <si>
    <t>213-345.5</t>
  </si>
  <si>
    <t>345.50-346</t>
  </si>
  <si>
    <t>Overall Temp Intervals</t>
  </si>
  <si>
    <t>T range</t>
  </si>
  <si>
    <t>Hot-Cold heat capacity</t>
  </si>
  <si>
    <t>Q</t>
  </si>
  <si>
    <t>Sigma Q</t>
  </si>
  <si>
    <t>345.5-346</t>
  </si>
  <si>
    <t>300-345.5</t>
  </si>
  <si>
    <t>213-223</t>
  </si>
  <si>
    <t>H4,C2,C6</t>
  </si>
  <si>
    <t>195-213</t>
  </si>
  <si>
    <t>C1,C2,H4,C6</t>
  </si>
  <si>
    <t>180.397-195</t>
  </si>
  <si>
    <t>C3,C1,C2,C6,H4</t>
  </si>
  <si>
    <t>179.897-180.397</t>
  </si>
  <si>
    <t>157.90-179.89</t>
  </si>
  <si>
    <t>PINCH POINT</t>
  </si>
  <si>
    <t>C1,C2,C6,H2,H4</t>
  </si>
  <si>
    <t>139.89-157.90</t>
  </si>
  <si>
    <t>C1,C2,C5,C6,H2,H4</t>
  </si>
  <si>
    <t>137.80-139.89</t>
  </si>
  <si>
    <t>C1,C2,C6,H4,H2</t>
  </si>
  <si>
    <t>127.85-137.80</t>
  </si>
  <si>
    <t>C1,C2,C4,C6,H2,H4</t>
  </si>
  <si>
    <t>95.350-120.015</t>
  </si>
  <si>
    <t>C2,C6,H2,H4</t>
  </si>
  <si>
    <t>87.027-95.350</t>
  </si>
  <si>
    <t>C2,C6,H1,H2,H4</t>
  </si>
  <si>
    <t>32.7748-85.350</t>
  </si>
  <si>
    <t>C2,C6,H4,H2,H3</t>
  </si>
  <si>
    <t>22.10-32.7748</t>
  </si>
  <si>
    <t>C2,C6,H4,H2</t>
  </si>
  <si>
    <t>14-22.10</t>
  </si>
  <si>
    <t>C6,H4,H2</t>
  </si>
  <si>
    <t>C6,H2</t>
  </si>
  <si>
    <t>-5.18-4</t>
  </si>
  <si>
    <t>-22.06 - -5</t>
  </si>
  <si>
    <t>Building  composite curve</t>
  </si>
  <si>
    <t>Updated Sigma 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</si>
</sst>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1" numFmtId="4" xfId="0" applyFont="1" applyNumberFormat="1"/>
    <xf borderId="0" fillId="4" fontId="1" numFmtId="0" xfId="0" applyFill="1" applyFont="1"/>
    <xf borderId="0" fillId="5" fontId="2" numFmtId="0" xfId="0" applyAlignment="1" applyFill="1" applyFont="1">
      <alignment readingOrder="0"/>
    </xf>
    <xf borderId="0" fillId="5" fontId="1" numFmtId="0" xfId="0" applyFont="1"/>
    <xf borderId="0" fillId="0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5" fontId="1" numFmtId="2" xfId="0" applyFont="1" applyNumberFormat="1"/>
    <xf borderId="0" fillId="5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14</xdr:row>
      <xdr:rowOff>76200</xdr:rowOff>
    </xdr:from>
    <xdr:ext cx="5695950" cy="3429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495300</xdr:colOff>
      <xdr:row>33</xdr:row>
      <xdr:rowOff>133350</xdr:rowOff>
    </xdr:from>
    <xdr:ext cx="7162800" cy="43053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4.88"/>
    <col customWidth="1" min="3" max="3" width="13.63"/>
    <col customWidth="1" min="9" max="9" width="21.13"/>
  </cols>
  <sheetData>
    <row r="2">
      <c r="A2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 t="s">
        <v>8</v>
      </c>
      <c r="B5" s="1">
        <v>95.3507012</v>
      </c>
      <c r="C5" s="1">
        <v>195.0</v>
      </c>
      <c r="D5" s="1">
        <v>4512816.82373518</v>
      </c>
      <c r="E5" s="2">
        <f t="shared" ref="E5:E15" si="1">D5/3600</f>
        <v>1253.560229</v>
      </c>
      <c r="F5" s="2">
        <f t="shared" ref="F5:F15" si="2">E5/ABS(C5-B5)</f>
        <v>12.57971952</v>
      </c>
      <c r="G5" s="1" t="s">
        <v>9</v>
      </c>
    </row>
    <row r="6">
      <c r="A6" s="1" t="s">
        <v>10</v>
      </c>
      <c r="B6" s="1">
        <v>14.0</v>
      </c>
      <c r="C6" s="1">
        <v>300.0</v>
      </c>
      <c r="D6" s="1">
        <v>2.21087890653002E7</v>
      </c>
      <c r="E6" s="2">
        <f t="shared" si="1"/>
        <v>6141.330296</v>
      </c>
      <c r="F6" s="2">
        <f t="shared" si="2"/>
        <v>21.47318285</v>
      </c>
      <c r="G6" s="1" t="s">
        <v>9</v>
      </c>
    </row>
    <row r="7">
      <c r="A7" s="1" t="s">
        <v>11</v>
      </c>
      <c r="B7" s="1">
        <v>179.897157212788</v>
      </c>
      <c r="C7" s="1">
        <v>180.397157212788</v>
      </c>
      <c r="D7" s="1">
        <v>3.5946394228368E7</v>
      </c>
      <c r="E7" s="2">
        <f t="shared" si="1"/>
        <v>9985.109508</v>
      </c>
      <c r="F7" s="2">
        <f t="shared" si="2"/>
        <v>19970.21902</v>
      </c>
      <c r="G7" s="1" t="s">
        <v>9</v>
      </c>
    </row>
    <row r="8">
      <c r="A8" s="1" t="s">
        <v>12</v>
      </c>
      <c r="B8" s="1">
        <v>120.015777116975</v>
      </c>
      <c r="C8" s="1">
        <v>127.856863</v>
      </c>
      <c r="D8" s="1">
        <v>1.08340991778262E7</v>
      </c>
      <c r="E8" s="2">
        <f t="shared" si="1"/>
        <v>3009.471994</v>
      </c>
      <c r="F8" s="2">
        <f t="shared" si="2"/>
        <v>383.8080642</v>
      </c>
      <c r="G8" s="1" t="s">
        <v>9</v>
      </c>
    </row>
    <row r="9">
      <c r="A9" s="1" t="s">
        <v>13</v>
      </c>
      <c r="B9" s="1">
        <v>97.0271612723356</v>
      </c>
      <c r="C9" s="1">
        <v>95.3507012</v>
      </c>
      <c r="D9" s="1">
        <v>1.17558614315108E7</v>
      </c>
      <c r="E9" s="2">
        <f t="shared" si="1"/>
        <v>3265.517064</v>
      </c>
      <c r="F9" s="2">
        <f t="shared" si="2"/>
        <v>1947.864502</v>
      </c>
      <c r="G9" s="1" t="s">
        <v>14</v>
      </c>
    </row>
    <row r="10">
      <c r="A10" s="1" t="s">
        <v>15</v>
      </c>
      <c r="B10" s="1">
        <v>167.907835219903</v>
      </c>
      <c r="C10" s="1">
        <v>4.81652803999998</v>
      </c>
      <c r="D10" s="1">
        <v>4.92688220888339E7</v>
      </c>
      <c r="E10" s="2">
        <f t="shared" si="1"/>
        <v>13685.78391</v>
      </c>
      <c r="F10" s="2">
        <f t="shared" si="2"/>
        <v>83.91485819</v>
      </c>
      <c r="G10" s="1" t="s">
        <v>14</v>
      </c>
    </row>
    <row r="11">
      <c r="A11" s="1" t="s">
        <v>16</v>
      </c>
      <c r="B11" s="1">
        <v>42.7748200506672</v>
      </c>
      <c r="C11" s="1">
        <v>32.1055694</v>
      </c>
      <c r="D11" s="1">
        <v>4.11138264513563E7</v>
      </c>
      <c r="E11" s="2">
        <f t="shared" si="1"/>
        <v>11420.50735</v>
      </c>
      <c r="F11" s="2">
        <f t="shared" si="2"/>
        <v>1070.413258</v>
      </c>
      <c r="G11" s="1" t="s">
        <v>14</v>
      </c>
    </row>
    <row r="12">
      <c r="A12" s="1" t="s">
        <v>17</v>
      </c>
      <c r="B12" s="1">
        <v>137.807416345777</v>
      </c>
      <c r="C12" s="1">
        <v>139.898031</v>
      </c>
      <c r="D12" s="1">
        <v>3301500.06527441</v>
      </c>
      <c r="E12" s="2">
        <f t="shared" si="1"/>
        <v>917.0833515</v>
      </c>
      <c r="F12" s="2">
        <f t="shared" si="2"/>
        <v>438.6668531</v>
      </c>
      <c r="G12" s="1" t="s">
        <v>9</v>
      </c>
    </row>
    <row r="13">
      <c r="A13" s="1" t="s">
        <v>18</v>
      </c>
      <c r="B13" s="1">
        <v>223.0</v>
      </c>
      <c r="C13" s="1">
        <v>14.0</v>
      </c>
      <c r="D13" s="1">
        <v>2.0881616893668E7</v>
      </c>
      <c r="E13" s="2">
        <f t="shared" si="1"/>
        <v>5800.449137</v>
      </c>
      <c r="F13" s="2">
        <f t="shared" si="2"/>
        <v>27.75334515</v>
      </c>
      <c r="G13" s="1" t="s">
        <v>14</v>
      </c>
    </row>
    <row r="14">
      <c r="A14" s="1" t="s">
        <v>19</v>
      </c>
      <c r="B14" s="1">
        <v>-22.0688384</v>
      </c>
      <c r="C14" s="1">
        <v>223.0</v>
      </c>
      <c r="D14" s="1">
        <v>2.4075142429464E7</v>
      </c>
      <c r="E14" s="2">
        <f t="shared" si="1"/>
        <v>6687.539564</v>
      </c>
      <c r="F14" s="2">
        <f t="shared" si="2"/>
        <v>27.28841254</v>
      </c>
      <c r="G14" s="1" t="s">
        <v>9</v>
      </c>
    </row>
    <row r="15">
      <c r="A15" s="1" t="s">
        <v>20</v>
      </c>
      <c r="B15" s="1">
        <v>356.0</v>
      </c>
      <c r="C15" s="1">
        <v>355.5</v>
      </c>
      <c r="D15" s="1">
        <v>3.3466151199852E7</v>
      </c>
      <c r="E15" s="2">
        <f t="shared" si="1"/>
        <v>9296.153111</v>
      </c>
      <c r="F15" s="2">
        <f t="shared" si="2"/>
        <v>18592.30622</v>
      </c>
      <c r="G15" s="1" t="s">
        <v>14</v>
      </c>
    </row>
    <row r="18">
      <c r="A18" s="1" t="s">
        <v>21</v>
      </c>
    </row>
    <row r="19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22</v>
      </c>
    </row>
    <row r="20">
      <c r="A20" s="1" t="s">
        <v>13</v>
      </c>
      <c r="B20" s="1">
        <v>97.0271612723356</v>
      </c>
      <c r="C20" s="1">
        <v>95.3507012</v>
      </c>
      <c r="D20" s="1">
        <v>1.17558614315108E7</v>
      </c>
      <c r="E20" s="2">
        <f t="shared" ref="E20:E24" si="3">D20/3600</f>
        <v>3265.517064</v>
      </c>
      <c r="F20" s="2">
        <f t="shared" ref="F20:F24" si="4">E20/ABS(C20-B20)</f>
        <v>1947.864502</v>
      </c>
      <c r="G20" s="3" t="s">
        <v>23</v>
      </c>
    </row>
    <row r="21">
      <c r="A21" s="1" t="s">
        <v>15</v>
      </c>
      <c r="B21" s="1">
        <v>167.907835219903</v>
      </c>
      <c r="C21" s="1">
        <v>4.81652803999998</v>
      </c>
      <c r="D21" s="1">
        <v>4.92688220888339E7</v>
      </c>
      <c r="E21" s="2">
        <f t="shared" si="3"/>
        <v>13685.78391</v>
      </c>
      <c r="F21" s="2">
        <f t="shared" si="4"/>
        <v>83.91485819</v>
      </c>
      <c r="G21" s="3" t="s">
        <v>24</v>
      </c>
    </row>
    <row r="22">
      <c r="A22" s="1" t="s">
        <v>16</v>
      </c>
      <c r="B22" s="1">
        <v>42.7748200506672</v>
      </c>
      <c r="C22" s="1">
        <v>32.1055694</v>
      </c>
      <c r="D22" s="1">
        <v>4.11138264513563E7</v>
      </c>
      <c r="E22" s="2">
        <f t="shared" si="3"/>
        <v>11420.50735</v>
      </c>
      <c r="F22" s="2">
        <f t="shared" si="4"/>
        <v>1070.413258</v>
      </c>
      <c r="G22" s="3" t="s">
        <v>25</v>
      </c>
    </row>
    <row r="23">
      <c r="A23" s="1" t="s">
        <v>18</v>
      </c>
      <c r="B23" s="1">
        <v>223.0</v>
      </c>
      <c r="C23" s="1">
        <v>14.0</v>
      </c>
      <c r="D23" s="1">
        <v>2.0881616893668E7</v>
      </c>
      <c r="E23" s="2">
        <f t="shared" si="3"/>
        <v>5800.449137</v>
      </c>
      <c r="F23" s="2">
        <f t="shared" si="4"/>
        <v>27.75334515</v>
      </c>
      <c r="G23" s="3" t="s">
        <v>26</v>
      </c>
    </row>
    <row r="24">
      <c r="A24" s="1" t="s">
        <v>20</v>
      </c>
      <c r="B24" s="1">
        <v>356.0</v>
      </c>
      <c r="C24" s="1">
        <v>355.5</v>
      </c>
      <c r="D24" s="1">
        <v>3.3466151199852E7</v>
      </c>
      <c r="E24" s="2">
        <f t="shared" si="3"/>
        <v>9296.153111</v>
      </c>
      <c r="F24" s="2">
        <f t="shared" si="4"/>
        <v>18592.30622</v>
      </c>
      <c r="G24" s="3" t="s">
        <v>27</v>
      </c>
    </row>
    <row r="25">
      <c r="E25" s="4">
        <f>sum(E20:E24)</f>
        <v>43468.41057</v>
      </c>
    </row>
    <row r="27">
      <c r="A27" s="1" t="s">
        <v>28</v>
      </c>
      <c r="E27" s="5"/>
    </row>
    <row r="28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22</v>
      </c>
    </row>
    <row r="29">
      <c r="A29" s="1" t="s">
        <v>8</v>
      </c>
      <c r="B29" s="1">
        <v>95.3507012</v>
      </c>
      <c r="C29" s="1">
        <v>195.0</v>
      </c>
      <c r="D29" s="1">
        <v>4512816.82373518</v>
      </c>
      <c r="E29" s="2">
        <f t="shared" ref="E29:E34" si="5">D29/3600</f>
        <v>1253.560229</v>
      </c>
      <c r="F29" s="2">
        <f t="shared" ref="F29:F34" si="6">E29/ABS(C29-B29)</f>
        <v>12.57971952</v>
      </c>
      <c r="G29" s="3" t="s">
        <v>29</v>
      </c>
    </row>
    <row r="30">
      <c r="A30" s="1" t="s">
        <v>10</v>
      </c>
      <c r="B30" s="1">
        <v>14.0</v>
      </c>
      <c r="C30" s="1">
        <v>300.0</v>
      </c>
      <c r="D30" s="1">
        <v>2.21087890653002E7</v>
      </c>
      <c r="E30" s="2">
        <f t="shared" si="5"/>
        <v>6141.330296</v>
      </c>
      <c r="F30" s="2">
        <f t="shared" si="6"/>
        <v>21.47318285</v>
      </c>
      <c r="G30" s="3" t="s">
        <v>30</v>
      </c>
    </row>
    <row r="31">
      <c r="A31" s="1" t="s">
        <v>11</v>
      </c>
      <c r="B31" s="1">
        <v>179.897157212788</v>
      </c>
      <c r="C31" s="1">
        <v>180.397157212788</v>
      </c>
      <c r="D31" s="1">
        <v>3.5946394228368E7</v>
      </c>
      <c r="E31" s="2">
        <f t="shared" si="5"/>
        <v>9985.109508</v>
      </c>
      <c r="F31" s="2">
        <f t="shared" si="6"/>
        <v>19970.21902</v>
      </c>
      <c r="G31" s="3" t="s">
        <v>31</v>
      </c>
    </row>
    <row r="32">
      <c r="A32" s="1" t="s">
        <v>12</v>
      </c>
      <c r="B32" s="1">
        <v>120.015777116975</v>
      </c>
      <c r="C32" s="1">
        <v>127.856863</v>
      </c>
      <c r="D32" s="1">
        <v>1.08340991778262E7</v>
      </c>
      <c r="E32" s="2">
        <f t="shared" si="5"/>
        <v>3009.471994</v>
      </c>
      <c r="F32" s="2">
        <f t="shared" si="6"/>
        <v>383.8080642</v>
      </c>
      <c r="G32" s="3" t="s">
        <v>32</v>
      </c>
    </row>
    <row r="33">
      <c r="A33" s="1" t="s">
        <v>17</v>
      </c>
      <c r="B33" s="1">
        <v>137.807416345777</v>
      </c>
      <c r="C33" s="1">
        <v>139.898031</v>
      </c>
      <c r="D33" s="1">
        <v>3301500.06527441</v>
      </c>
      <c r="E33" s="2">
        <f t="shared" si="5"/>
        <v>917.0833515</v>
      </c>
      <c r="F33" s="2">
        <f t="shared" si="6"/>
        <v>438.6668531</v>
      </c>
      <c r="G33" s="3" t="s">
        <v>33</v>
      </c>
    </row>
    <row r="34">
      <c r="A34" s="1" t="s">
        <v>19</v>
      </c>
      <c r="B34" s="1">
        <v>-22.0688384</v>
      </c>
      <c r="C34" s="1">
        <v>223.0</v>
      </c>
      <c r="D34" s="1">
        <v>2.4075142429464E7</v>
      </c>
      <c r="E34" s="2">
        <f t="shared" si="5"/>
        <v>6687.539564</v>
      </c>
      <c r="F34" s="2">
        <f t="shared" si="6"/>
        <v>27.28841254</v>
      </c>
      <c r="G34" s="3" t="s">
        <v>34</v>
      </c>
    </row>
    <row r="35">
      <c r="E35" s="6">
        <f>SUM(E29:E34)</f>
        <v>27994.09494</v>
      </c>
    </row>
    <row r="39">
      <c r="A39" s="7" t="s">
        <v>35</v>
      </c>
      <c r="B39" s="2">
        <f>E35-E25</f>
        <v>-15474.31563</v>
      </c>
      <c r="C39" s="1" t="s">
        <v>36</v>
      </c>
    </row>
    <row r="41">
      <c r="A41" s="1" t="s">
        <v>37</v>
      </c>
    </row>
    <row r="42">
      <c r="A42" s="1" t="s">
        <v>21</v>
      </c>
      <c r="I42" s="1" t="s">
        <v>28</v>
      </c>
    </row>
    <row r="43">
      <c r="A43" s="1" t="s">
        <v>38</v>
      </c>
      <c r="B43" s="1" t="s">
        <v>39</v>
      </c>
      <c r="C43" s="1" t="s">
        <v>40</v>
      </c>
      <c r="D43" s="1" t="s">
        <v>41</v>
      </c>
      <c r="I43" s="1" t="s">
        <v>38</v>
      </c>
      <c r="J43" s="1" t="s">
        <v>39</v>
      </c>
      <c r="K43" s="1" t="s">
        <v>40</v>
      </c>
      <c r="L43" s="1" t="s">
        <v>41</v>
      </c>
    </row>
    <row r="44">
      <c r="A44" s="2">
        <f>C21</f>
        <v>4.81652804</v>
      </c>
      <c r="D44" s="1">
        <v>0.0</v>
      </c>
      <c r="I44" s="2">
        <f>B34</f>
        <v>-22.0688384</v>
      </c>
      <c r="L44" s="2">
        <f>-1*B39</f>
        <v>15474.31563</v>
      </c>
    </row>
    <row r="45">
      <c r="A45" s="2">
        <f>C23</f>
        <v>14</v>
      </c>
      <c r="B45" s="1" t="s">
        <v>24</v>
      </c>
      <c r="C45" s="1" t="s">
        <v>42</v>
      </c>
      <c r="D45" s="2">
        <f>F21*(A45-A44)</f>
        <v>770.6297472</v>
      </c>
      <c r="I45" s="2">
        <f>B30</f>
        <v>14</v>
      </c>
      <c r="J45" s="1" t="s">
        <v>34</v>
      </c>
      <c r="K45" s="1" t="s">
        <v>43</v>
      </c>
      <c r="L45" s="2">
        <f>L44+F34*(I45-I44)</f>
        <v>16458.57697</v>
      </c>
    </row>
    <row r="46">
      <c r="A46" s="2">
        <f>C22</f>
        <v>32.1055694</v>
      </c>
      <c r="B46" s="1" t="s">
        <v>44</v>
      </c>
      <c r="C46" s="1" t="s">
        <v>45</v>
      </c>
      <c r="D46" s="2">
        <f>(F21+F23)*(A46-A45)+D45</f>
        <v>2792.446153</v>
      </c>
      <c r="I46" s="2">
        <f>B29</f>
        <v>95.3507012</v>
      </c>
      <c r="J46" s="1" t="s">
        <v>46</v>
      </c>
      <c r="K46" s="1" t="s">
        <v>47</v>
      </c>
      <c r="L46" s="2">
        <f>L45+(F30+F34)*(I46-I45)</f>
        <v>20425.36695</v>
      </c>
    </row>
    <row r="47">
      <c r="A47" s="2">
        <f>B22</f>
        <v>42.77482005</v>
      </c>
      <c r="B47" s="1" t="s">
        <v>48</v>
      </c>
      <c r="C47" s="1" t="s">
        <v>49</v>
      </c>
      <c r="D47" s="2">
        <f>(F21+F23+F22)*(A47-A46)+D46</f>
        <v>15404.36955</v>
      </c>
      <c r="I47" s="2">
        <f>B32</f>
        <v>120.0157771</v>
      </c>
      <c r="J47" s="1" t="s">
        <v>50</v>
      </c>
      <c r="K47" s="1" t="s">
        <v>51</v>
      </c>
      <c r="L47" s="2">
        <f>L46+(F29+F30+F34)*(I47-I46)</f>
        <v>21938.35514</v>
      </c>
    </row>
    <row r="48">
      <c r="A48" s="2">
        <f>C20</f>
        <v>95.3507012</v>
      </c>
      <c r="B48" s="1" t="s">
        <v>44</v>
      </c>
      <c r="C48" s="1" t="s">
        <v>52</v>
      </c>
      <c r="D48" s="2">
        <f>(F21+F23)*(A48-A47)+D47</f>
        <v>21275.42374</v>
      </c>
      <c r="I48" s="2">
        <f>C32</f>
        <v>127.856863</v>
      </c>
      <c r="J48" s="1" t="s">
        <v>53</v>
      </c>
      <c r="K48" s="1" t="s">
        <v>54</v>
      </c>
      <c r="L48" s="2">
        <f>L47+(F29+F30+F34)*(I48-I47)+E32</f>
        <v>25428.80965</v>
      </c>
    </row>
    <row r="49">
      <c r="A49" s="2">
        <f t="shared" ref="A49:A50" si="7">B20</f>
        <v>97.02716127</v>
      </c>
      <c r="B49" s="1" t="s">
        <v>55</v>
      </c>
      <c r="C49" s="1" t="s">
        <v>56</v>
      </c>
      <c r="D49" s="2">
        <f>(F21+F23)*(A49-A48)+E20+D48</f>
        <v>24728.14809</v>
      </c>
      <c r="I49" s="2">
        <f>B33</f>
        <v>137.8074163</v>
      </c>
      <c r="J49" s="1" t="s">
        <v>50</v>
      </c>
      <c r="K49" s="1" t="s">
        <v>57</v>
      </c>
      <c r="L49" s="2">
        <f>L48+(F29+F30+F34)*(I49-I48)</f>
        <v>26039.18968</v>
      </c>
    </row>
    <row r="50">
      <c r="A50" s="2">
        <f t="shared" si="7"/>
        <v>167.9078352</v>
      </c>
      <c r="B50" s="1" t="s">
        <v>44</v>
      </c>
      <c r="C50" s="1" t="s">
        <v>58</v>
      </c>
      <c r="D50" s="2">
        <f>(F21+F23)*(A50-A49)+D49</f>
        <v>32643.2656</v>
      </c>
      <c r="I50" s="2">
        <f>C33</f>
        <v>139.898031</v>
      </c>
      <c r="J50" s="1" t="s">
        <v>59</v>
      </c>
      <c r="K50" s="1" t="s">
        <v>60</v>
      </c>
      <c r="L50" s="2">
        <f>L49+E33+(F29+F34+F30)*(I50-I49)</f>
        <v>27084.51408</v>
      </c>
    </row>
    <row r="51">
      <c r="A51" s="2">
        <f>B23</f>
        <v>223</v>
      </c>
      <c r="B51" s="1" t="s">
        <v>26</v>
      </c>
      <c r="C51" s="1" t="s">
        <v>61</v>
      </c>
      <c r="D51" s="2">
        <f>D50+F23*(A51-A50)</f>
        <v>34172.25746</v>
      </c>
      <c r="I51" s="2">
        <f>B31</f>
        <v>179.8971572</v>
      </c>
      <c r="J51" s="1" t="s">
        <v>50</v>
      </c>
      <c r="K51" s="1" t="s">
        <v>62</v>
      </c>
      <c r="L51" s="2">
        <f>L50+(F29+F30+F34)*(I51-I50)</f>
        <v>29538.11308</v>
      </c>
    </row>
    <row r="52">
      <c r="A52" s="2">
        <f>C24</f>
        <v>355.5</v>
      </c>
      <c r="B52" s="1" t="s">
        <v>63</v>
      </c>
      <c r="C52" s="1" t="s">
        <v>64</v>
      </c>
      <c r="D52" s="2">
        <f>D51</f>
        <v>34172.25746</v>
      </c>
      <c r="I52" s="2">
        <f>C31</f>
        <v>180.3971572</v>
      </c>
      <c r="J52" s="1" t="s">
        <v>65</v>
      </c>
      <c r="K52" s="1" t="s">
        <v>66</v>
      </c>
      <c r="L52" s="2">
        <f>L51+E31+(F29+F30+F34)*(I52-I51)</f>
        <v>39553.89324</v>
      </c>
    </row>
    <row r="53">
      <c r="A53" s="2">
        <f>B24</f>
        <v>356</v>
      </c>
      <c r="B53" s="1" t="s">
        <v>27</v>
      </c>
      <c r="C53" s="1" t="s">
        <v>67</v>
      </c>
      <c r="D53" s="8">
        <f>D52+E24</f>
        <v>43468.41057</v>
      </c>
      <c r="I53" s="2">
        <f>C29</f>
        <v>195</v>
      </c>
      <c r="J53" s="1" t="s">
        <v>50</v>
      </c>
      <c r="K53" s="1" t="s">
        <v>68</v>
      </c>
      <c r="L53" s="2">
        <f>(F29+F30+F34)*(I53-I52)+L52</f>
        <v>40449.65082</v>
      </c>
    </row>
    <row r="54">
      <c r="I54" s="2">
        <f>C34</f>
        <v>223</v>
      </c>
      <c r="J54" s="1" t="s">
        <v>69</v>
      </c>
      <c r="K54" s="1" t="s">
        <v>70</v>
      </c>
      <c r="L54" s="2">
        <f>(F30+F34)*(I54-I53)+L53</f>
        <v>41814.97549</v>
      </c>
    </row>
    <row r="55">
      <c r="I55" s="2">
        <f>C30</f>
        <v>300</v>
      </c>
      <c r="J55" s="1" t="s">
        <v>30</v>
      </c>
      <c r="K55" s="1" t="s">
        <v>71</v>
      </c>
      <c r="L55" s="8">
        <f>L54+(F30)*(I55-I54)</f>
        <v>43468.41057</v>
      </c>
    </row>
    <row r="58">
      <c r="A58" s="9" t="s">
        <v>72</v>
      </c>
    </row>
    <row r="60">
      <c r="A60" s="1" t="s">
        <v>21</v>
      </c>
      <c r="B60" s="1" t="s">
        <v>73</v>
      </c>
      <c r="I60" s="1" t="s">
        <v>28</v>
      </c>
      <c r="M60" s="5"/>
    </row>
    <row r="61">
      <c r="A61" s="1" t="s">
        <v>1</v>
      </c>
      <c r="B61" s="1" t="s">
        <v>2</v>
      </c>
      <c r="C61" s="1" t="s">
        <v>3</v>
      </c>
      <c r="D61" s="1" t="s">
        <v>4</v>
      </c>
      <c r="E61" s="1" t="s">
        <v>5</v>
      </c>
      <c r="F61" s="1" t="s">
        <v>6</v>
      </c>
      <c r="G61" s="1" t="s">
        <v>22</v>
      </c>
      <c r="I61" s="1" t="s">
        <v>1</v>
      </c>
      <c r="J61" s="1" t="s">
        <v>2</v>
      </c>
      <c r="K61" s="1" t="s">
        <v>3</v>
      </c>
      <c r="L61" s="1" t="s">
        <v>4</v>
      </c>
      <c r="M61" s="1" t="s">
        <v>5</v>
      </c>
      <c r="N61" s="1" t="s">
        <v>6</v>
      </c>
      <c r="O61" s="1" t="s">
        <v>22</v>
      </c>
    </row>
    <row r="62">
      <c r="A62" s="1" t="s">
        <v>13</v>
      </c>
      <c r="B62" s="3">
        <f t="shared" ref="B62:C62" si="8">B20-10</f>
        <v>87.02716127</v>
      </c>
      <c r="C62" s="3">
        <f t="shared" si="8"/>
        <v>85.3507012</v>
      </c>
      <c r="D62" s="1">
        <v>1.17558614315108E7</v>
      </c>
      <c r="E62" s="2">
        <f t="shared" ref="E62:E66" si="10">D62/3600</f>
        <v>3265.517064</v>
      </c>
      <c r="F62" s="2">
        <f t="shared" ref="F62:F66" si="11">E62/ABS(C62-B62)</f>
        <v>1947.864502</v>
      </c>
      <c r="G62" s="10" t="s">
        <v>23</v>
      </c>
      <c r="I62" s="1" t="s">
        <v>8</v>
      </c>
      <c r="J62" s="3">
        <v>95.3507012</v>
      </c>
      <c r="K62" s="3">
        <v>195.0</v>
      </c>
      <c r="L62" s="1">
        <v>4512816.82373518</v>
      </c>
      <c r="M62" s="2">
        <f t="shared" ref="M62:M67" si="12">L62/3600</f>
        <v>1253.560229</v>
      </c>
      <c r="N62" s="2">
        <f t="shared" ref="N62:N67" si="13">M62/ABS(K62-J62)</f>
        <v>12.57971952</v>
      </c>
      <c r="O62" s="10" t="s">
        <v>29</v>
      </c>
    </row>
    <row r="63">
      <c r="A63" s="1" t="s">
        <v>15</v>
      </c>
      <c r="B63" s="3">
        <f t="shared" ref="B63:C63" si="9">B21-10</f>
        <v>157.9078352</v>
      </c>
      <c r="C63" s="3">
        <f t="shared" si="9"/>
        <v>-5.18347196</v>
      </c>
      <c r="D63" s="1">
        <v>4.92688220888339E7</v>
      </c>
      <c r="E63" s="2">
        <f t="shared" si="10"/>
        <v>13685.78391</v>
      </c>
      <c r="F63" s="2">
        <f t="shared" si="11"/>
        <v>83.91485819</v>
      </c>
      <c r="G63" s="10" t="s">
        <v>24</v>
      </c>
      <c r="I63" s="1" t="s">
        <v>10</v>
      </c>
      <c r="J63" s="3">
        <v>14.0</v>
      </c>
      <c r="K63" s="3">
        <v>300.0</v>
      </c>
      <c r="L63" s="1">
        <v>2.21087890653002E7</v>
      </c>
      <c r="M63" s="2">
        <f t="shared" si="12"/>
        <v>6141.330296</v>
      </c>
      <c r="N63" s="2">
        <f t="shared" si="13"/>
        <v>21.47318285</v>
      </c>
      <c r="O63" s="10" t="s">
        <v>30</v>
      </c>
    </row>
    <row r="64">
      <c r="A64" s="1" t="s">
        <v>16</v>
      </c>
      <c r="B64" s="3">
        <f t="shared" ref="B64:C64" si="14">B22-10</f>
        <v>32.77482005</v>
      </c>
      <c r="C64" s="3">
        <f t="shared" si="14"/>
        <v>22.1055694</v>
      </c>
      <c r="D64" s="1">
        <v>4.11138264513563E7</v>
      </c>
      <c r="E64" s="2">
        <f t="shared" si="10"/>
        <v>11420.50735</v>
      </c>
      <c r="F64" s="2">
        <f t="shared" si="11"/>
        <v>1070.413258</v>
      </c>
      <c r="G64" s="10" t="s">
        <v>25</v>
      </c>
      <c r="I64" s="1" t="s">
        <v>11</v>
      </c>
      <c r="J64" s="3">
        <v>179.897157212788</v>
      </c>
      <c r="K64" s="3">
        <v>180.397157212788</v>
      </c>
      <c r="L64" s="1">
        <v>3.5946394228368E7</v>
      </c>
      <c r="M64" s="2">
        <f t="shared" si="12"/>
        <v>9985.109508</v>
      </c>
      <c r="N64" s="2">
        <f t="shared" si="13"/>
        <v>19970.21902</v>
      </c>
      <c r="O64" s="10" t="s">
        <v>31</v>
      </c>
    </row>
    <row r="65">
      <c r="A65" s="1" t="s">
        <v>18</v>
      </c>
      <c r="B65" s="3">
        <f t="shared" ref="B65:C65" si="15">B23-10</f>
        <v>213</v>
      </c>
      <c r="C65" s="3">
        <f t="shared" si="15"/>
        <v>4</v>
      </c>
      <c r="D65" s="1">
        <v>2.0881616893668E7</v>
      </c>
      <c r="E65" s="2">
        <f t="shared" si="10"/>
        <v>5800.449137</v>
      </c>
      <c r="F65" s="2">
        <f t="shared" si="11"/>
        <v>27.75334515</v>
      </c>
      <c r="G65" s="10" t="s">
        <v>26</v>
      </c>
      <c r="I65" s="1" t="s">
        <v>12</v>
      </c>
      <c r="J65" s="3">
        <v>120.015777116975</v>
      </c>
      <c r="K65" s="3">
        <v>127.856863</v>
      </c>
      <c r="L65" s="1">
        <v>1.08340991778262E7</v>
      </c>
      <c r="M65" s="2">
        <f t="shared" si="12"/>
        <v>3009.471994</v>
      </c>
      <c r="N65" s="2">
        <f t="shared" si="13"/>
        <v>383.8080642</v>
      </c>
      <c r="O65" s="10" t="s">
        <v>32</v>
      </c>
    </row>
    <row r="66">
      <c r="A66" s="1" t="s">
        <v>20</v>
      </c>
      <c r="B66" s="3">
        <f t="shared" ref="B66:C66" si="16">B24-10</f>
        <v>346</v>
      </c>
      <c r="C66" s="3">
        <f t="shared" si="16"/>
        <v>345.5</v>
      </c>
      <c r="D66" s="1">
        <v>3.3466151199852E7</v>
      </c>
      <c r="E66" s="2">
        <f t="shared" si="10"/>
        <v>9296.153111</v>
      </c>
      <c r="F66" s="2">
        <f t="shared" si="11"/>
        <v>18592.30622</v>
      </c>
      <c r="G66" s="10" t="s">
        <v>27</v>
      </c>
      <c r="I66" s="1" t="s">
        <v>17</v>
      </c>
      <c r="J66" s="3">
        <v>137.807416345777</v>
      </c>
      <c r="K66" s="3">
        <v>139.898031</v>
      </c>
      <c r="L66" s="1">
        <v>3301500.06527441</v>
      </c>
      <c r="M66" s="2">
        <f t="shared" si="12"/>
        <v>917.0833515</v>
      </c>
      <c r="N66" s="2">
        <f t="shared" si="13"/>
        <v>438.6668531</v>
      </c>
      <c r="O66" s="10" t="s">
        <v>33</v>
      </c>
    </row>
    <row r="67">
      <c r="E67" s="4">
        <f>sum(E62:E66)</f>
        <v>43468.41057</v>
      </c>
      <c r="I67" s="1" t="s">
        <v>19</v>
      </c>
      <c r="J67" s="3">
        <v>-22.0688384</v>
      </c>
      <c r="K67" s="3">
        <v>223.0</v>
      </c>
      <c r="L67" s="1">
        <v>2.4075142429464E7</v>
      </c>
      <c r="M67" s="2">
        <f t="shared" si="12"/>
        <v>6687.539564</v>
      </c>
      <c r="N67" s="2">
        <f t="shared" si="13"/>
        <v>27.28841254</v>
      </c>
      <c r="O67" s="10" t="s">
        <v>34</v>
      </c>
    </row>
    <row r="68">
      <c r="M68" s="6">
        <f>SUM(M62:M67)</f>
        <v>27994.09494</v>
      </c>
    </row>
    <row r="70">
      <c r="A70" s="11" t="s">
        <v>21</v>
      </c>
      <c r="I70" s="11" t="s">
        <v>28</v>
      </c>
    </row>
    <row r="71">
      <c r="A71" s="11" t="s">
        <v>38</v>
      </c>
      <c r="B71" s="11" t="s">
        <v>39</v>
      </c>
      <c r="C71" s="11" t="s">
        <v>40</v>
      </c>
      <c r="D71" s="11" t="s">
        <v>41</v>
      </c>
      <c r="I71" s="11" t="s">
        <v>38</v>
      </c>
      <c r="J71" s="11" t="s">
        <v>39</v>
      </c>
      <c r="K71" s="11" t="s">
        <v>40</v>
      </c>
      <c r="L71" s="11" t="s">
        <v>41</v>
      </c>
    </row>
    <row r="72">
      <c r="A72" s="12">
        <f t="shared" ref="A72:A81" si="17">A44-10</f>
        <v>-5.18347196</v>
      </c>
      <c r="B72" s="12"/>
      <c r="C72" s="12"/>
      <c r="D72" s="13">
        <v>0.0</v>
      </c>
      <c r="E72" s="12"/>
      <c r="F72" s="12"/>
      <c r="G72" s="12"/>
      <c r="H72" s="12"/>
      <c r="I72" s="12">
        <v>-22.0688384</v>
      </c>
      <c r="J72" s="12"/>
      <c r="K72" s="12"/>
      <c r="L72" s="12">
        <v>15474.315632014728</v>
      </c>
    </row>
    <row r="73">
      <c r="A73" s="12">
        <f t="shared" si="17"/>
        <v>4</v>
      </c>
      <c r="B73" s="13" t="s">
        <v>24</v>
      </c>
      <c r="C73" s="3" t="s">
        <v>74</v>
      </c>
      <c r="D73" s="12">
        <v>770.6297471894355</v>
      </c>
      <c r="E73" s="12"/>
      <c r="F73" s="12"/>
      <c r="G73" s="12"/>
      <c r="H73" s="12"/>
      <c r="I73" s="12">
        <v>14.0</v>
      </c>
      <c r="J73" s="13" t="s">
        <v>34</v>
      </c>
      <c r="K73" s="13" t="s">
        <v>43</v>
      </c>
      <c r="L73" s="12">
        <v>16458.576974227646</v>
      </c>
    </row>
    <row r="74">
      <c r="A74" s="12">
        <f t="shared" si="17"/>
        <v>22.1055694</v>
      </c>
      <c r="B74" s="13" t="s">
        <v>44</v>
      </c>
      <c r="C74" s="3" t="s">
        <v>75</v>
      </c>
      <c r="D74" s="12">
        <v>2792.446152551808</v>
      </c>
      <c r="E74" s="12"/>
      <c r="F74" s="12"/>
      <c r="G74" s="12"/>
      <c r="H74" s="12"/>
      <c r="I74" s="12">
        <v>95.3507012</v>
      </c>
      <c r="J74" s="13" t="s">
        <v>46</v>
      </c>
      <c r="K74" s="13" t="s">
        <v>47</v>
      </c>
      <c r="L74" s="12">
        <v>20425.3669513268</v>
      </c>
    </row>
    <row r="75">
      <c r="A75" s="12">
        <f t="shared" si="17"/>
        <v>32.77482005</v>
      </c>
      <c r="B75" s="13" t="s">
        <v>48</v>
      </c>
      <c r="C75" s="3" t="s">
        <v>76</v>
      </c>
      <c r="D75" s="12">
        <v>15404.369551304746</v>
      </c>
      <c r="E75" s="12"/>
      <c r="F75" s="12"/>
      <c r="G75" s="12"/>
      <c r="H75" s="12"/>
      <c r="I75" s="12">
        <v>120.015777116975</v>
      </c>
      <c r="J75" s="13" t="s">
        <v>50</v>
      </c>
      <c r="K75" s="13" t="s">
        <v>51</v>
      </c>
      <c r="L75" s="12">
        <v>21938.35514046597</v>
      </c>
    </row>
    <row r="76">
      <c r="A76" s="12">
        <f t="shared" si="17"/>
        <v>85.3507012</v>
      </c>
      <c r="B76" s="13" t="s">
        <v>44</v>
      </c>
      <c r="C76" s="3" t="s">
        <v>77</v>
      </c>
      <c r="D76" s="12">
        <v>21275.423738316582</v>
      </c>
      <c r="E76" s="12"/>
      <c r="F76" s="12"/>
      <c r="G76" s="12"/>
      <c r="H76" s="12"/>
      <c r="I76" s="12">
        <v>127.856863</v>
      </c>
      <c r="J76" s="13" t="s">
        <v>53</v>
      </c>
      <c r="K76" s="13" t="s">
        <v>54</v>
      </c>
      <c r="L76" s="12">
        <v>25428.80965270532</v>
      </c>
    </row>
    <row r="77">
      <c r="A77" s="12">
        <f t="shared" si="17"/>
        <v>87.02716127</v>
      </c>
      <c r="B77" s="13" t="s">
        <v>55</v>
      </c>
      <c r="C77" s="3" t="s">
        <v>78</v>
      </c>
      <c r="D77" s="12">
        <v>24728.148086875648</v>
      </c>
      <c r="E77" s="12"/>
      <c r="F77" s="12"/>
      <c r="G77" s="12"/>
      <c r="H77" s="12"/>
      <c r="I77" s="12">
        <v>137.807416345777</v>
      </c>
      <c r="J77" s="13" t="s">
        <v>50</v>
      </c>
      <c r="K77" s="13" t="s">
        <v>57</v>
      </c>
      <c r="L77" s="12">
        <v>26039.189679032286</v>
      </c>
    </row>
    <row r="78">
      <c r="A78" s="12">
        <f t="shared" si="17"/>
        <v>157.9078352</v>
      </c>
      <c r="B78" s="13" t="s">
        <v>44</v>
      </c>
      <c r="C78" s="3" t="s">
        <v>79</v>
      </c>
      <c r="D78" s="12">
        <v>32643.265598194186</v>
      </c>
      <c r="E78" s="12"/>
      <c r="F78" s="12"/>
      <c r="G78" s="12"/>
      <c r="H78" s="12"/>
      <c r="I78" s="12">
        <v>139.898031</v>
      </c>
      <c r="J78" s="13" t="s">
        <v>59</v>
      </c>
      <c r="K78" s="13" t="s">
        <v>60</v>
      </c>
      <c r="L78" s="12">
        <v>27084.514082360685</v>
      </c>
    </row>
    <row r="79">
      <c r="A79" s="12">
        <f t="shared" si="17"/>
        <v>213</v>
      </c>
      <c r="B79" s="13" t="s">
        <v>26</v>
      </c>
      <c r="C79" s="3" t="s">
        <v>80</v>
      </c>
      <c r="D79" s="12">
        <v>34172.2574626025</v>
      </c>
      <c r="E79" s="12"/>
      <c r="F79" s="12"/>
      <c r="G79" s="12"/>
      <c r="H79" s="12"/>
      <c r="I79" s="12">
        <v>179.897157212788</v>
      </c>
      <c r="J79" s="13" t="s">
        <v>50</v>
      </c>
      <c r="K79" s="13" t="s">
        <v>62</v>
      </c>
      <c r="L79" s="12">
        <v>29538.11307956407</v>
      </c>
    </row>
    <row r="80">
      <c r="A80" s="12">
        <f t="shared" si="17"/>
        <v>345.5</v>
      </c>
      <c r="B80" s="13" t="s">
        <v>63</v>
      </c>
      <c r="C80" s="3" t="s">
        <v>81</v>
      </c>
      <c r="D80" s="12">
        <v>34172.2574626025</v>
      </c>
      <c r="E80" s="12"/>
      <c r="F80" s="12"/>
      <c r="G80" s="12"/>
      <c r="H80" s="12"/>
      <c r="I80" s="12">
        <v>180.397157212788</v>
      </c>
      <c r="J80" s="13" t="s">
        <v>65</v>
      </c>
      <c r="K80" s="13" t="s">
        <v>66</v>
      </c>
      <c r="L80" s="12">
        <v>39553.89324489982</v>
      </c>
    </row>
    <row r="81">
      <c r="A81" s="12">
        <f t="shared" si="17"/>
        <v>346</v>
      </c>
      <c r="B81" s="13" t="s">
        <v>27</v>
      </c>
      <c r="C81" s="3" t="s">
        <v>82</v>
      </c>
      <c r="D81" s="12">
        <v>43468.4105736725</v>
      </c>
      <c r="E81" s="12"/>
      <c r="F81" s="12"/>
      <c r="G81" s="12"/>
      <c r="H81" s="12"/>
      <c r="I81" s="12">
        <v>195.0</v>
      </c>
      <c r="J81" s="13" t="s">
        <v>50</v>
      </c>
      <c r="K81" s="13" t="s">
        <v>68</v>
      </c>
      <c r="L81" s="12">
        <v>40449.65082291329</v>
      </c>
    </row>
    <row r="82">
      <c r="A82" s="12"/>
      <c r="B82" s="12"/>
      <c r="C82" s="12"/>
      <c r="D82" s="12"/>
      <c r="E82" s="12"/>
      <c r="F82" s="12"/>
      <c r="G82" s="12"/>
      <c r="H82" s="12"/>
      <c r="I82" s="14">
        <v>223.0</v>
      </c>
      <c r="J82" s="3" t="s">
        <v>69</v>
      </c>
      <c r="K82" s="3" t="s">
        <v>70</v>
      </c>
      <c r="L82" s="12">
        <v>41814.97549400262</v>
      </c>
    </row>
    <row r="83">
      <c r="A83" s="12"/>
      <c r="B83" s="12"/>
      <c r="C83" s="12"/>
      <c r="D83" s="12"/>
      <c r="E83" s="12"/>
      <c r="F83" s="12"/>
      <c r="G83" s="12"/>
      <c r="H83" s="12"/>
      <c r="I83" s="14">
        <v>300.0</v>
      </c>
      <c r="J83" s="3" t="s">
        <v>30</v>
      </c>
      <c r="K83" s="3" t="s">
        <v>71</v>
      </c>
      <c r="L83" s="12">
        <v>43468.4105736725</v>
      </c>
      <c r="M83" s="2">
        <f>L83-L82</f>
        <v>1653.43508</v>
      </c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91">
      <c r="A91" s="1" t="s">
        <v>83</v>
      </c>
    </row>
    <row r="92">
      <c r="A92" s="1" t="s">
        <v>38</v>
      </c>
      <c r="B92" s="1" t="s">
        <v>39</v>
      </c>
      <c r="C92" s="1" t="s">
        <v>84</v>
      </c>
      <c r="D92" s="1" t="s">
        <v>85</v>
      </c>
      <c r="E92" s="1" t="s">
        <v>86</v>
      </c>
      <c r="F92" s="1" t="s">
        <v>87</v>
      </c>
      <c r="G92" s="1" t="s">
        <v>87</v>
      </c>
    </row>
    <row r="93">
      <c r="A93" s="15">
        <f>B66</f>
        <v>346</v>
      </c>
      <c r="D93" s="16">
        <v>0.0</v>
      </c>
      <c r="E93" s="15">
        <f t="shared" ref="E93:F93" si="18">D93</f>
        <v>0</v>
      </c>
      <c r="F93" s="15">
        <f t="shared" si="18"/>
        <v>0</v>
      </c>
      <c r="G93" s="15">
        <f>-1*MIN(F93:F114)</f>
        <v>4454.006444</v>
      </c>
    </row>
    <row r="94">
      <c r="A94" s="15">
        <f>C66</f>
        <v>345.5</v>
      </c>
      <c r="B94" s="1" t="s">
        <v>27</v>
      </c>
      <c r="C94" s="1" t="s">
        <v>88</v>
      </c>
      <c r="D94" s="15">
        <f>F66</f>
        <v>18592.30622</v>
      </c>
      <c r="E94" s="2">
        <f t="shared" ref="E94:E99" si="19">D94*ABS(A94-A93)</f>
        <v>9296.153111</v>
      </c>
      <c r="F94" s="15">
        <f t="shared" ref="F94:F102" si="20">E94+F93</f>
        <v>9296.153111</v>
      </c>
      <c r="G94" s="17">
        <f t="shared" ref="G94:G114" si="21">$G$93+F94</f>
        <v>13750.15955</v>
      </c>
    </row>
    <row r="95">
      <c r="A95" s="15">
        <f>K63</f>
        <v>300</v>
      </c>
      <c r="B95" s="1" t="s">
        <v>63</v>
      </c>
      <c r="C95" s="1" t="s">
        <v>89</v>
      </c>
      <c r="D95" s="16">
        <v>0.0</v>
      </c>
      <c r="E95" s="2">
        <f t="shared" si="19"/>
        <v>0</v>
      </c>
      <c r="F95" s="15">
        <f t="shared" si="20"/>
        <v>9296.153111</v>
      </c>
      <c r="G95" s="15">
        <f t="shared" si="21"/>
        <v>13750.15955</v>
      </c>
    </row>
    <row r="96">
      <c r="A96" s="15">
        <f>K67</f>
        <v>223</v>
      </c>
      <c r="B96" s="1" t="s">
        <v>30</v>
      </c>
      <c r="C96" s="1" t="s">
        <v>71</v>
      </c>
      <c r="D96" s="15">
        <f>-1*N63</f>
        <v>-21.47318285</v>
      </c>
      <c r="E96" s="2">
        <f t="shared" si="19"/>
        <v>-1653.43508</v>
      </c>
      <c r="F96" s="15">
        <f t="shared" si="20"/>
        <v>7642.718031</v>
      </c>
      <c r="G96" s="15">
        <f t="shared" si="21"/>
        <v>12096.72448</v>
      </c>
    </row>
    <row r="97">
      <c r="A97" s="15">
        <f>B65</f>
        <v>213</v>
      </c>
      <c r="B97" s="1" t="s">
        <v>69</v>
      </c>
      <c r="C97" s="1" t="s">
        <v>90</v>
      </c>
      <c r="D97" s="15">
        <f>-1*(N63+N67)</f>
        <v>-48.7615954</v>
      </c>
      <c r="E97" s="2">
        <f t="shared" si="19"/>
        <v>-487.615954</v>
      </c>
      <c r="F97" s="15">
        <f t="shared" si="20"/>
        <v>7155.102077</v>
      </c>
      <c r="G97" s="15">
        <f t="shared" si="21"/>
        <v>11609.10852</v>
      </c>
    </row>
    <row r="98">
      <c r="A98" s="15">
        <f>K62</f>
        <v>195</v>
      </c>
      <c r="B98" s="1" t="s">
        <v>91</v>
      </c>
      <c r="C98" s="1" t="s">
        <v>92</v>
      </c>
      <c r="D98" s="15">
        <f>-1*(N63+N67)+F65</f>
        <v>-21.00825024</v>
      </c>
      <c r="E98" s="2">
        <f t="shared" si="19"/>
        <v>-378.1485044</v>
      </c>
      <c r="F98" s="15">
        <f t="shared" si="20"/>
        <v>6776.953573</v>
      </c>
      <c r="G98" s="15">
        <f t="shared" si="21"/>
        <v>11230.96002</v>
      </c>
    </row>
    <row r="99">
      <c r="A99" s="15">
        <f>K64</f>
        <v>180.3971572</v>
      </c>
      <c r="B99" s="1" t="s">
        <v>93</v>
      </c>
      <c r="C99" s="1" t="s">
        <v>94</v>
      </c>
      <c r="D99" s="15">
        <f>-1*(N62+N63+N67)+F65</f>
        <v>-33.58796976</v>
      </c>
      <c r="E99" s="2">
        <f t="shared" si="19"/>
        <v>-490.4798419</v>
      </c>
      <c r="F99" s="15">
        <f t="shared" si="20"/>
        <v>6286.473731</v>
      </c>
      <c r="G99" s="15">
        <f t="shared" si="21"/>
        <v>10740.48017</v>
      </c>
    </row>
    <row r="100">
      <c r="A100" s="15">
        <f>J64</f>
        <v>179.8971572</v>
      </c>
      <c r="B100" s="1" t="s">
        <v>95</v>
      </c>
      <c r="C100" s="1" t="s">
        <v>96</v>
      </c>
      <c r="D100" s="15">
        <f>-1*(N62+N63+N64+N67)+F65</f>
        <v>-20003.80699</v>
      </c>
      <c r="E100" s="2">
        <f>-1*M64+D99*ABS(A100-A99)</f>
        <v>-10001.90349</v>
      </c>
      <c r="F100" s="15">
        <f t="shared" si="20"/>
        <v>-3715.429762</v>
      </c>
      <c r="G100" s="15">
        <f t="shared" si="21"/>
        <v>738.5766821</v>
      </c>
    </row>
    <row r="101">
      <c r="A101" s="17">
        <f>B63</f>
        <v>157.9078352</v>
      </c>
      <c r="B101" s="18" t="s">
        <v>93</v>
      </c>
      <c r="C101" s="18" t="s">
        <v>97</v>
      </c>
      <c r="D101" s="17">
        <f>D99</f>
        <v>-33.58796976</v>
      </c>
      <c r="E101" s="8">
        <f t="shared" ref="E101:E102" si="22">D101*ABS(A101-A100)</f>
        <v>-738.5766821</v>
      </c>
      <c r="F101" s="17">
        <f t="shared" si="20"/>
        <v>-4454.006444</v>
      </c>
      <c r="G101" s="17">
        <f t="shared" si="21"/>
        <v>0</v>
      </c>
      <c r="H101" s="1" t="s">
        <v>98</v>
      </c>
    </row>
    <row r="102">
      <c r="A102" s="15">
        <f>K66</f>
        <v>139.898031</v>
      </c>
      <c r="B102" s="1" t="s">
        <v>99</v>
      </c>
      <c r="C102" s="1" t="s">
        <v>100</v>
      </c>
      <c r="D102" s="15">
        <f>-1*(N62+N63+N67)+F63+F65</f>
        <v>50.32688843</v>
      </c>
      <c r="E102" s="2">
        <f t="shared" si="22"/>
        <v>906.3774076</v>
      </c>
      <c r="F102" s="15">
        <f t="shared" si="20"/>
        <v>-3547.629036</v>
      </c>
      <c r="G102" s="15">
        <f t="shared" si="21"/>
        <v>906.3774076</v>
      </c>
    </row>
    <row r="103">
      <c r="A103" s="15">
        <f>J66</f>
        <v>137.8074163</v>
      </c>
      <c r="B103" s="1" t="s">
        <v>101</v>
      </c>
      <c r="C103" s="1" t="s">
        <v>102</v>
      </c>
      <c r="D103" s="15">
        <f>-1*(N62+N63+N66+N67)+F63+F65</f>
        <v>-388.3399647</v>
      </c>
      <c r="E103" s="2">
        <f>D102*ABS(A103-A102)+-1*M66</f>
        <v>-811.869221</v>
      </c>
      <c r="F103" s="15">
        <f>E8+F102</f>
        <v>-538.1570422</v>
      </c>
      <c r="G103" s="15">
        <f t="shared" si="21"/>
        <v>3915.849401</v>
      </c>
    </row>
    <row r="104">
      <c r="A104" s="15">
        <f>K65</f>
        <v>127.856863</v>
      </c>
      <c r="B104" s="1" t="s">
        <v>103</v>
      </c>
      <c r="C104" s="1" t="s">
        <v>104</v>
      </c>
      <c r="D104" s="15">
        <f>D102</f>
        <v>50.32688843</v>
      </c>
      <c r="E104" s="2">
        <f>D104*ABS(A104-A103)</f>
        <v>500.780388</v>
      </c>
      <c r="F104" s="15">
        <f t="shared" ref="F104:F114" si="23">E104+F103</f>
        <v>-37.37665419</v>
      </c>
      <c r="G104" s="15">
        <f t="shared" si="21"/>
        <v>4416.629789</v>
      </c>
    </row>
    <row r="105">
      <c r="A105" s="15">
        <f>J65</f>
        <v>120.0157771</v>
      </c>
      <c r="B105" s="1" t="s">
        <v>105</v>
      </c>
      <c r="C105" s="1" t="s">
        <v>54</v>
      </c>
      <c r="D105" s="15">
        <f>-1*(N62+N63+N65+N67)+F63+F65</f>
        <v>-333.4811758</v>
      </c>
      <c r="E105" s="2">
        <f>D104*ABS(A104-A105)+-1*M65</f>
        <v>-2614.854539</v>
      </c>
      <c r="F105" s="15">
        <f t="shared" si="23"/>
        <v>-2652.231194</v>
      </c>
      <c r="G105" s="15">
        <f t="shared" si="21"/>
        <v>1801.77525</v>
      </c>
    </row>
    <row r="106">
      <c r="A106" s="15">
        <f>J62</f>
        <v>95.3507012</v>
      </c>
      <c r="B106" s="1" t="s">
        <v>103</v>
      </c>
      <c r="C106" s="1" t="s">
        <v>106</v>
      </c>
      <c r="D106" s="15">
        <f>-1*(N62+N63+N67)+F63+F65</f>
        <v>50.32688843</v>
      </c>
      <c r="E106" s="2">
        <f t="shared" ref="E106:E107" si="24">D106*ABS(A106-A105)</f>
        <v>1241.316524</v>
      </c>
      <c r="F106" s="15">
        <f t="shared" si="23"/>
        <v>-1410.91467</v>
      </c>
      <c r="G106" s="15">
        <f t="shared" si="21"/>
        <v>3043.091774</v>
      </c>
    </row>
    <row r="107">
      <c r="A107" s="15">
        <f>B62</f>
        <v>87.02716127</v>
      </c>
      <c r="B107" s="1" t="s">
        <v>107</v>
      </c>
      <c r="C107" s="1" t="s">
        <v>108</v>
      </c>
      <c r="D107" s="15">
        <f>-1*(N63+N67)+F63+F65</f>
        <v>62.90660794</v>
      </c>
      <c r="E107" s="2">
        <f t="shared" si="24"/>
        <v>523.6056629</v>
      </c>
      <c r="F107" s="15">
        <f t="shared" si="23"/>
        <v>-887.3090069</v>
      </c>
      <c r="G107" s="15">
        <f t="shared" si="21"/>
        <v>3566.697437</v>
      </c>
    </row>
    <row r="108">
      <c r="A108" s="15">
        <f>C62</f>
        <v>85.3507012</v>
      </c>
      <c r="B108" s="1" t="s">
        <v>109</v>
      </c>
      <c r="C108" s="1" t="s">
        <v>78</v>
      </c>
      <c r="D108" s="15">
        <f>-1*(N63+N67)+F62+F63+F65</f>
        <v>2010.77111</v>
      </c>
      <c r="E108" s="2">
        <f>D107*ABS(A107-A108)+E62</f>
        <v>3370.977481</v>
      </c>
      <c r="F108" s="15">
        <f t="shared" si="23"/>
        <v>2483.668474</v>
      </c>
      <c r="G108" s="15">
        <f t="shared" si="21"/>
        <v>6937.674918</v>
      </c>
    </row>
    <row r="109">
      <c r="A109" s="15">
        <f>B64</f>
        <v>32.77482005</v>
      </c>
      <c r="B109" s="1" t="s">
        <v>107</v>
      </c>
      <c r="C109" s="1" t="s">
        <v>110</v>
      </c>
      <c r="D109" s="15">
        <f>D107</f>
        <v>62.90660794</v>
      </c>
      <c r="E109" s="2">
        <f>D109*ABS(A109-A108)</f>
        <v>3307.370343</v>
      </c>
      <c r="F109" s="15">
        <f t="shared" si="23"/>
        <v>5791.038817</v>
      </c>
      <c r="G109" s="15">
        <f t="shared" si="21"/>
        <v>10245.04526</v>
      </c>
    </row>
    <row r="110">
      <c r="A110" s="15">
        <f>C64</f>
        <v>22.1055694</v>
      </c>
      <c r="B110" s="1" t="s">
        <v>111</v>
      </c>
      <c r="C110" s="1" t="s">
        <v>112</v>
      </c>
      <c r="D110" s="15">
        <f>D109+F64</f>
        <v>1133.319866</v>
      </c>
      <c r="E110" s="2">
        <f>E64+D109*ABS(A109-A110)</f>
        <v>12091.67372</v>
      </c>
      <c r="F110" s="15">
        <f t="shared" si="23"/>
        <v>17882.71253</v>
      </c>
      <c r="G110" s="15">
        <f t="shared" si="21"/>
        <v>22336.71898</v>
      </c>
    </row>
    <row r="111">
      <c r="A111" s="15">
        <f>J63</f>
        <v>14</v>
      </c>
      <c r="B111" s="1" t="s">
        <v>113</v>
      </c>
      <c r="C111" s="1" t="s">
        <v>114</v>
      </c>
      <c r="D111" s="15">
        <f>D109</f>
        <v>62.90660794</v>
      </c>
      <c r="E111" s="2">
        <f t="shared" ref="E111:E114" si="25">D111*ABS(A111-A110)</f>
        <v>509.8938764</v>
      </c>
      <c r="F111" s="15">
        <f t="shared" si="23"/>
        <v>18392.60641</v>
      </c>
      <c r="G111" s="15">
        <f t="shared" si="21"/>
        <v>22846.61285</v>
      </c>
    </row>
    <row r="112">
      <c r="A112" s="15">
        <f>C65</f>
        <v>4</v>
      </c>
      <c r="B112" s="1" t="s">
        <v>115</v>
      </c>
      <c r="C112" s="19">
        <v>44665.0</v>
      </c>
      <c r="D112" s="15">
        <f>-1*(N67)+F63+F65</f>
        <v>84.3797908</v>
      </c>
      <c r="E112" s="2">
        <f t="shared" si="25"/>
        <v>843.797908</v>
      </c>
      <c r="F112" s="15">
        <f t="shared" si="23"/>
        <v>19236.40432</v>
      </c>
      <c r="G112" s="15">
        <f t="shared" si="21"/>
        <v>23690.41076</v>
      </c>
    </row>
    <row r="113">
      <c r="A113" s="15">
        <f>C63</f>
        <v>-5.18347196</v>
      </c>
      <c r="B113" s="1" t="s">
        <v>116</v>
      </c>
      <c r="C113" s="1" t="s">
        <v>117</v>
      </c>
      <c r="D113" s="15">
        <f>F63-N67</f>
        <v>56.62644564</v>
      </c>
      <c r="E113" s="2">
        <f t="shared" si="25"/>
        <v>520.0273758</v>
      </c>
      <c r="F113" s="15">
        <f t="shared" si="23"/>
        <v>19756.43169</v>
      </c>
      <c r="G113" s="15">
        <f t="shared" si="21"/>
        <v>24210.43814</v>
      </c>
    </row>
    <row r="114">
      <c r="A114" s="15">
        <f>J67</f>
        <v>-22.0688384</v>
      </c>
      <c r="B114" s="1" t="s">
        <v>34</v>
      </c>
      <c r="C114" s="1" t="s">
        <v>118</v>
      </c>
      <c r="D114" s="15">
        <f>-1*N67</f>
        <v>-27.28841254</v>
      </c>
      <c r="E114" s="2">
        <f t="shared" si="25"/>
        <v>-460.7748454</v>
      </c>
      <c r="F114" s="15">
        <f t="shared" si="23"/>
        <v>19295.65685</v>
      </c>
      <c r="G114" s="17">
        <f t="shared" si="21"/>
        <v>23749.66329</v>
      </c>
    </row>
    <row r="119">
      <c r="A119" s="1" t="s">
        <v>119</v>
      </c>
    </row>
    <row r="120">
      <c r="A120" s="11" t="s">
        <v>21</v>
      </c>
      <c r="I120" s="11" t="s">
        <v>28</v>
      </c>
    </row>
    <row r="121">
      <c r="A121" s="11" t="s">
        <v>38</v>
      </c>
      <c r="B121" s="11" t="s">
        <v>39</v>
      </c>
      <c r="C121" s="11" t="s">
        <v>40</v>
      </c>
      <c r="D121" s="11" t="s">
        <v>41</v>
      </c>
      <c r="E121" s="1" t="s">
        <v>120</v>
      </c>
      <c r="I121" s="11" t="s">
        <v>38</v>
      </c>
      <c r="J121" s="11" t="s">
        <v>39</v>
      </c>
      <c r="K121" s="11" t="s">
        <v>40</v>
      </c>
      <c r="L121" s="11" t="s">
        <v>41</v>
      </c>
    </row>
    <row r="122">
      <c r="A122" s="2">
        <v>4.81652803999998</v>
      </c>
      <c r="D122" s="11">
        <v>0.0</v>
      </c>
      <c r="E122" s="2">
        <f t="shared" ref="E122:E130" si="26">D122</f>
        <v>0</v>
      </c>
      <c r="I122" s="2">
        <v>-22.0688384</v>
      </c>
      <c r="L122" s="15">
        <f>G114</f>
        <v>23749.66329</v>
      </c>
    </row>
    <row r="123">
      <c r="A123" s="2">
        <v>14.0</v>
      </c>
      <c r="B123" s="11" t="s">
        <v>24</v>
      </c>
      <c r="C123" s="11" t="s">
        <v>42</v>
      </c>
      <c r="D123" s="2">
        <v>770.6297471894355</v>
      </c>
      <c r="E123" s="2">
        <f t="shared" si="26"/>
        <v>770.6297472</v>
      </c>
      <c r="I123" s="2">
        <v>14.0</v>
      </c>
      <c r="J123" s="11" t="s">
        <v>34</v>
      </c>
      <c r="K123" s="11" t="s">
        <v>43</v>
      </c>
      <c r="L123" s="15">
        <f t="shared" ref="L123:L133" si="27">$L$122+(L73-$L$72)</f>
        <v>24733.92463</v>
      </c>
    </row>
    <row r="124">
      <c r="A124" s="2">
        <v>32.1055694</v>
      </c>
      <c r="B124" s="11" t="s">
        <v>44</v>
      </c>
      <c r="C124" s="11" t="s">
        <v>45</v>
      </c>
      <c r="D124" s="2">
        <v>2792.446152551808</v>
      </c>
      <c r="E124" s="2">
        <f t="shared" si="26"/>
        <v>2792.446153</v>
      </c>
      <c r="I124" s="2">
        <v>95.3507012</v>
      </c>
      <c r="J124" s="11" t="s">
        <v>46</v>
      </c>
      <c r="K124" s="11" t="s">
        <v>47</v>
      </c>
      <c r="L124" s="15">
        <f t="shared" si="27"/>
        <v>28700.71461</v>
      </c>
    </row>
    <row r="125">
      <c r="A125" s="2">
        <v>42.7748200506672</v>
      </c>
      <c r="B125" s="11" t="s">
        <v>48</v>
      </c>
      <c r="C125" s="11" t="s">
        <v>49</v>
      </c>
      <c r="D125" s="2">
        <v>15404.369551304746</v>
      </c>
      <c r="E125" s="2">
        <f t="shared" si="26"/>
        <v>15404.36955</v>
      </c>
      <c r="I125" s="2">
        <v>120.015777116975</v>
      </c>
      <c r="J125" s="11" t="s">
        <v>50</v>
      </c>
      <c r="K125" s="11" t="s">
        <v>51</v>
      </c>
      <c r="L125" s="15">
        <f t="shared" si="27"/>
        <v>30213.7028</v>
      </c>
    </row>
    <row r="126">
      <c r="A126" s="2">
        <v>95.3507012</v>
      </c>
      <c r="B126" s="11" t="s">
        <v>44</v>
      </c>
      <c r="C126" s="11" t="s">
        <v>52</v>
      </c>
      <c r="D126" s="2">
        <v>21275.423738316582</v>
      </c>
      <c r="E126" s="2">
        <f t="shared" si="26"/>
        <v>21275.42374</v>
      </c>
      <c r="I126" s="2">
        <v>127.856863</v>
      </c>
      <c r="J126" s="11" t="s">
        <v>53</v>
      </c>
      <c r="K126" s="11" t="s">
        <v>54</v>
      </c>
      <c r="L126" s="15">
        <f t="shared" si="27"/>
        <v>33704.15731</v>
      </c>
    </row>
    <row r="127">
      <c r="A127" s="2">
        <v>97.0271612723356</v>
      </c>
      <c r="B127" s="11" t="s">
        <v>55</v>
      </c>
      <c r="C127" s="11" t="s">
        <v>56</v>
      </c>
      <c r="D127" s="2">
        <v>24728.148086875648</v>
      </c>
      <c r="E127" s="2">
        <f t="shared" si="26"/>
        <v>24728.14809</v>
      </c>
      <c r="I127" s="2">
        <v>137.807416345777</v>
      </c>
      <c r="J127" s="11" t="s">
        <v>50</v>
      </c>
      <c r="K127" s="11" t="s">
        <v>57</v>
      </c>
      <c r="L127" s="15">
        <f t="shared" si="27"/>
        <v>34314.53734</v>
      </c>
    </row>
    <row r="128">
      <c r="A128" s="2">
        <v>167.907835219903</v>
      </c>
      <c r="B128" s="11" t="s">
        <v>44</v>
      </c>
      <c r="C128" s="11" t="s">
        <v>58</v>
      </c>
      <c r="D128" s="2">
        <v>32643.265598194186</v>
      </c>
      <c r="E128" s="2">
        <f t="shared" si="26"/>
        <v>32643.2656</v>
      </c>
      <c r="I128" s="2">
        <v>139.898031</v>
      </c>
      <c r="J128" s="11" t="s">
        <v>59</v>
      </c>
      <c r="K128" s="11" t="s">
        <v>60</v>
      </c>
      <c r="L128" s="15">
        <f t="shared" si="27"/>
        <v>35359.86174</v>
      </c>
    </row>
    <row r="129">
      <c r="A129" s="2">
        <v>223.0</v>
      </c>
      <c r="B129" s="11" t="s">
        <v>26</v>
      </c>
      <c r="C129" s="11" t="s">
        <v>61</v>
      </c>
      <c r="D129" s="2">
        <v>34172.2574626025</v>
      </c>
      <c r="E129" s="2">
        <f t="shared" si="26"/>
        <v>34172.25746</v>
      </c>
      <c r="I129" s="2">
        <v>179.897157212788</v>
      </c>
      <c r="J129" s="11" t="s">
        <v>50</v>
      </c>
      <c r="K129" s="11" t="s">
        <v>62</v>
      </c>
      <c r="L129" s="15">
        <f t="shared" si="27"/>
        <v>37813.46074</v>
      </c>
    </row>
    <row r="130">
      <c r="A130" s="2">
        <v>355.5</v>
      </c>
      <c r="B130" s="11" t="s">
        <v>63</v>
      </c>
      <c r="C130" s="11" t="s">
        <v>64</v>
      </c>
      <c r="D130" s="2">
        <v>34172.2574626025</v>
      </c>
      <c r="E130" s="2">
        <f t="shared" si="26"/>
        <v>34172.25746</v>
      </c>
      <c r="I130" s="2">
        <v>180.397157212788</v>
      </c>
      <c r="J130" s="11" t="s">
        <v>65</v>
      </c>
      <c r="K130" s="11" t="s">
        <v>66</v>
      </c>
      <c r="L130" s="15">
        <f t="shared" si="27"/>
        <v>47829.2409</v>
      </c>
    </row>
    <row r="131">
      <c r="A131" s="2">
        <v>356.0</v>
      </c>
      <c r="B131" s="11" t="s">
        <v>27</v>
      </c>
      <c r="C131" s="11" t="s">
        <v>67</v>
      </c>
      <c r="D131" s="2">
        <v>43468.4105736725</v>
      </c>
      <c r="E131" s="15">
        <f>D131+G94</f>
        <v>57218.57013</v>
      </c>
      <c r="I131" s="2">
        <v>195.0</v>
      </c>
      <c r="J131" s="11" t="s">
        <v>50</v>
      </c>
      <c r="K131" s="11" t="s">
        <v>68</v>
      </c>
      <c r="L131" s="15">
        <f t="shared" si="27"/>
        <v>48724.99848</v>
      </c>
    </row>
    <row r="132">
      <c r="I132" s="2">
        <v>223.0</v>
      </c>
      <c r="J132" s="11" t="s">
        <v>69</v>
      </c>
      <c r="K132" s="11" t="s">
        <v>70</v>
      </c>
      <c r="L132" s="15">
        <f t="shared" si="27"/>
        <v>50090.32315</v>
      </c>
    </row>
    <row r="133">
      <c r="B133" s="1" t="s">
        <v>26</v>
      </c>
      <c r="C133" s="2">
        <f>21.75*(223-162)</f>
        <v>1326.75</v>
      </c>
      <c r="I133" s="2">
        <v>300.0</v>
      </c>
      <c r="J133" s="11" t="s">
        <v>30</v>
      </c>
      <c r="K133" s="11" t="s">
        <v>71</v>
      </c>
      <c r="L133" s="15">
        <f t="shared" si="27"/>
        <v>51743.75823</v>
      </c>
    </row>
    <row r="134">
      <c r="C134" s="2">
        <f>-27.75*(300-162)</f>
        <v>-3829.5</v>
      </c>
    </row>
    <row r="135">
      <c r="C135" s="2">
        <f>12.58*(162-95)</f>
        <v>842.86</v>
      </c>
    </row>
    <row r="136">
      <c r="C136" s="2">
        <f>83.92*(162-4)</f>
        <v>13259.36</v>
      </c>
    </row>
  </sheetData>
  <drawing r:id="rId1"/>
</worksheet>
</file>