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JUNIOR FALL SEM/CHEG341 - FLUID/Mini Project/Mini 2/"/>
    </mc:Choice>
  </mc:AlternateContent>
  <xr:revisionPtr revIDLastSave="0" documentId="13_ncr:1_{70275534-B53F-D745-8A65-D3559685E42D}" xr6:coauthVersionLast="45" xr6:coauthVersionMax="45" xr10:uidLastSave="{00000000-0000-0000-0000-000000000000}"/>
  <bookViews>
    <workbookView xWindow="0" yWindow="460" windowWidth="28800" windowHeight="16680" activeTab="4" xr2:uid="{9D225153-D6A8-6C48-80DA-0228340DE434}"/>
  </bookViews>
  <sheets>
    <sheet name="FIELD 2" sheetId="1" r:id="rId1"/>
    <sheet name="FIELD 1" sheetId="2" r:id="rId2"/>
    <sheet name="Field 2 new" sheetId="4" r:id="rId3"/>
    <sheet name="Field 1 new" sheetId="5" r:id="rId4"/>
    <sheet name="Hill 2 new" sheetId="3" r:id="rId5"/>
  </sheets>
  <definedNames>
    <definedName name="solver_adj" localSheetId="0" hidden="1">'FIELD 2'!$H$36</definedName>
    <definedName name="solver_adj" localSheetId="4" hidden="1">'Hill 2 new'!$B$5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itr" localSheetId="0" hidden="1">2147483647</definedName>
    <definedName name="solver_itr" localSheetId="4" hidden="1">2147483647</definedName>
    <definedName name="solver_lhs1" localSheetId="0" hidden="1">'FIELD 2'!$H$36</definedName>
    <definedName name="solver_lhs1" localSheetId="4" hidden="1">'Hill 2 new'!$B$3</definedName>
    <definedName name="solver_lin" localSheetId="0" hidden="1">2</definedName>
    <definedName name="solver_lin" localSheetId="4" hidden="1">2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1</definedName>
    <definedName name="solver_num" localSheetId="4" hidden="1">1</definedName>
    <definedName name="solver_opt" localSheetId="0" hidden="1">'FIELD 2'!$E$61</definedName>
    <definedName name="solver_opt" localSheetId="4" hidden="1">'Hill 2 new'!$B$8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el1" localSheetId="0" hidden="1">3</definedName>
    <definedName name="solver_rel1" localSheetId="4" hidden="1">3</definedName>
    <definedName name="solver_rhs1" localSheetId="0" hidden="1">0</definedName>
    <definedName name="solver_rhs1" localSheetId="4" hidden="1">0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939</definedName>
    <definedName name="solver_val" localSheetId="4" hidden="1">0.00223</definedName>
    <definedName name="solver_ver" localSheetId="0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8" i="3" l="1"/>
  <c r="B4" i="3"/>
  <c r="B2" i="3" s="1"/>
  <c r="B40" i="4" l="1"/>
  <c r="B22" i="5" l="1"/>
  <c r="B23" i="5"/>
  <c r="B22" i="4"/>
  <c r="B3" i="4"/>
  <c r="C18" i="4"/>
  <c r="B5" i="4"/>
  <c r="C15" i="4"/>
  <c r="C14" i="4"/>
  <c r="C13" i="4"/>
  <c r="C12" i="4"/>
  <c r="C11" i="4"/>
  <c r="B37" i="2" l="1"/>
  <c r="B38" i="2"/>
  <c r="B34" i="5"/>
  <c r="B36" i="4"/>
  <c r="B16" i="5"/>
  <c r="B28" i="5"/>
  <c r="B26" i="5"/>
  <c r="B24" i="5"/>
  <c r="B10" i="5"/>
  <c r="B8" i="5"/>
  <c r="B6" i="5"/>
  <c r="B7" i="5" s="1"/>
  <c r="B12" i="5" s="1"/>
  <c r="B13" i="5" s="1"/>
  <c r="B5" i="5"/>
  <c r="B4" i="5"/>
  <c r="B2" i="5" s="1"/>
  <c r="B2" i="2"/>
  <c r="B30" i="4"/>
  <c r="B6" i="4"/>
  <c r="B25" i="4" s="1"/>
  <c r="B24" i="4"/>
  <c r="B23" i="4"/>
  <c r="B18" i="1"/>
  <c r="C17" i="1"/>
  <c r="B8" i="1"/>
  <c r="B14" i="4"/>
  <c r="B11" i="4"/>
  <c r="B9" i="4"/>
  <c r="B28" i="4" s="1"/>
  <c r="B7" i="4"/>
  <c r="B9" i="5" l="1"/>
  <c r="B11" i="5" s="1"/>
  <c r="B14" i="5" s="1"/>
  <c r="B17" i="5" s="1"/>
  <c r="B25" i="5"/>
  <c r="B30" i="5" s="1"/>
  <c r="B31" i="5" s="1"/>
  <c r="B26" i="4"/>
  <c r="B8" i="4"/>
  <c r="B10" i="4" s="1"/>
  <c r="B12" i="4" s="1"/>
  <c r="B15" i="4" s="1"/>
  <c r="B18" i="4" s="1"/>
  <c r="F24" i="1"/>
  <c r="F28" i="1" s="1"/>
  <c r="D28" i="1" s="1"/>
  <c r="F53" i="1"/>
  <c r="F30" i="1"/>
  <c r="F32" i="1"/>
  <c r="F38" i="1"/>
  <c r="I36" i="1"/>
  <c r="F51" i="1" s="1"/>
  <c r="B29" i="1"/>
  <c r="F41" i="1"/>
  <c r="F33" i="1"/>
  <c r="F31" i="1"/>
  <c r="F27" i="1"/>
  <c r="B23" i="1"/>
  <c r="B27" i="1"/>
  <c r="B20" i="2"/>
  <c r="B22" i="2"/>
  <c r="B27" i="5" l="1"/>
  <c r="B29" i="5" s="1"/>
  <c r="B32" i="5" s="1"/>
  <c r="B19" i="4"/>
  <c r="B27" i="4"/>
  <c r="F34" i="1"/>
  <c r="F42" i="1" s="1"/>
  <c r="F43" i="1" s="1"/>
  <c r="G52" i="1"/>
  <c r="F35" i="1"/>
  <c r="G38" i="1" s="1"/>
  <c r="B28" i="2"/>
  <c r="B4" i="1"/>
  <c r="B35" i="5" l="1"/>
  <c r="B36" i="5"/>
  <c r="B32" i="4"/>
  <c r="B33" i="4" s="1"/>
  <c r="B29" i="4"/>
  <c r="B31" i="4" s="1"/>
  <c r="F39" i="1"/>
  <c r="F40" i="1" s="1"/>
  <c r="F54" i="1"/>
  <c r="B34" i="2"/>
  <c r="B34" i="4" l="1"/>
  <c r="B37" i="4" s="1"/>
  <c r="B39" i="4" s="1"/>
  <c r="F55" i="1"/>
  <c r="E58" i="1" s="1"/>
  <c r="E46" i="1"/>
  <c r="B10" i="2"/>
  <c r="J9" i="1"/>
  <c r="B34" i="1"/>
  <c r="B28" i="1"/>
  <c r="B23" i="2"/>
  <c r="B21" i="2"/>
  <c r="B26" i="2"/>
  <c r="B16" i="2"/>
  <c r="B4" i="2"/>
  <c r="B8" i="2"/>
  <c r="B5" i="2"/>
  <c r="B26" i="1"/>
  <c r="B22" i="1"/>
  <c r="B21" i="1"/>
  <c r="E61" i="1" l="1"/>
  <c r="E49" i="1"/>
  <c r="B25" i="2"/>
  <c r="B30" i="2" s="1"/>
  <c r="B31" i="2" s="1"/>
  <c r="B27" i="2"/>
  <c r="B29" i="2" s="1"/>
  <c r="B7" i="2"/>
  <c r="B12" i="2" s="1"/>
  <c r="B13" i="2" s="1"/>
  <c r="B25" i="1"/>
  <c r="C10" i="1"/>
  <c r="B10" i="1"/>
  <c r="B16" i="1"/>
  <c r="B13" i="1"/>
  <c r="B5" i="1"/>
  <c r="B32" i="2" l="1"/>
  <c r="B9" i="2"/>
  <c r="B11" i="2" s="1"/>
  <c r="B14" i="2" s="1"/>
  <c r="B17" i="2" s="1"/>
  <c r="B30" i="1"/>
  <c r="B31" i="1" s="1"/>
  <c r="C7" i="1"/>
  <c r="C9" i="1" s="1"/>
  <c r="C11" i="1" s="1"/>
  <c r="C14" i="1" s="1"/>
  <c r="B7" i="1"/>
  <c r="B9" i="1" s="1"/>
  <c r="B35" i="2" l="1"/>
  <c r="B32" i="1"/>
  <c r="B35" i="1" s="1"/>
  <c r="C12" i="1"/>
  <c r="C13" i="1" s="1"/>
  <c r="B11" i="1"/>
  <c r="B14" i="1" s="1"/>
  <c r="B17" i="1" l="1"/>
  <c r="B37" i="1" s="1"/>
</calcChain>
</file>

<file path=xl/sharedStrings.xml><?xml version="1.0" encoding="utf-8"?>
<sst xmlns="http://schemas.openxmlformats.org/spreadsheetml/2006/main" count="338" uniqueCount="142">
  <si>
    <t>Re</t>
  </si>
  <si>
    <t>Type of jets</t>
  </si>
  <si>
    <t>Upward</t>
  </si>
  <si>
    <t>v (m/s)</t>
  </si>
  <si>
    <t>D (m)</t>
  </si>
  <si>
    <t>u (Pa.s)</t>
  </si>
  <si>
    <t>rho (kg/m^3)</t>
  </si>
  <si>
    <t>epsilon (m)</t>
  </si>
  <si>
    <t>fF</t>
  </si>
  <si>
    <t>Pipe length (m)</t>
  </si>
  <si>
    <t>Friction pipe (m^2/s^2)</t>
  </si>
  <si>
    <t>ABOVE SPLITTER</t>
  </si>
  <si>
    <t>90 elbow</t>
  </si>
  <si>
    <t>Fittings</t>
  </si>
  <si>
    <t>K</t>
  </si>
  <si>
    <t>K inf</t>
  </si>
  <si>
    <t>K1</t>
  </si>
  <si>
    <t>Friction fitting (m^2/s^2)</t>
  </si>
  <si>
    <t xml:space="preserve">Total friction (m^2/s^2) </t>
  </si>
  <si>
    <t>only for 1 nozzle each</t>
  </si>
  <si>
    <t>g (m/s^2)</t>
  </si>
  <si>
    <t>delta z (m)</t>
  </si>
  <si>
    <t>delta P (Pa)</t>
  </si>
  <si>
    <t>BELOW SPLITTER</t>
  </si>
  <si>
    <t>run through tee</t>
  </si>
  <si>
    <t>Angled</t>
  </si>
  <si>
    <t>Overall delta P</t>
  </si>
  <si>
    <t>include all nozzle and jet</t>
  </si>
  <si>
    <t>OVERALL P drop</t>
  </si>
  <si>
    <t>STATUE</t>
  </si>
  <si>
    <t>RECIRCULATION</t>
  </si>
  <si>
    <t>Q (m^3/s)</t>
  </si>
  <si>
    <t>no need!</t>
  </si>
  <si>
    <t>h (m)</t>
  </si>
  <si>
    <t>P (W)</t>
  </si>
  <si>
    <t>15 HP!!</t>
  </si>
  <si>
    <t>45 elbow</t>
  </si>
  <si>
    <t>20 bar</t>
  </si>
  <si>
    <t>Nozzles</t>
  </si>
  <si>
    <t>Quantity</t>
  </si>
  <si>
    <t>Type</t>
  </si>
  <si>
    <t>Upward Jet</t>
  </si>
  <si>
    <t>Angled Jets</t>
  </si>
  <si>
    <t>Length (ft)</t>
  </si>
  <si>
    <t>Size (in ID)</t>
  </si>
  <si>
    <t>Pipe</t>
  </si>
  <si>
    <t>from pond to field 2</t>
  </si>
  <si>
    <t>Unions</t>
  </si>
  <si>
    <t>135 elbow</t>
  </si>
  <si>
    <t>5 way splitter</t>
  </si>
  <si>
    <t>Safety Considerations</t>
  </si>
  <si>
    <t>Water sensor</t>
  </si>
  <si>
    <t>Overflow systems</t>
  </si>
  <si>
    <t>Plugs</t>
  </si>
  <si>
    <t>FOR THE STATUE</t>
  </si>
  <si>
    <t>from pond to field 1</t>
  </si>
  <si>
    <t>normal BE</t>
  </si>
  <si>
    <t>delta (P/rho +v^2/2 + zg) = -F</t>
  </si>
  <si>
    <t>delta P = P2 - P1 = Patm - h*rho*g = 0 - 40ft(0.3048m/ft)*(9.81m/s^2)*(997kg/m^3)</t>
  </si>
  <si>
    <t>delta v^2/2 = 0</t>
  </si>
  <si>
    <t>delta zg</t>
  </si>
  <si>
    <t>FRICTION LOSS</t>
  </si>
  <si>
    <t>delta zg = z2 - z1 = (1 - 275)ft*(0.3048m/ft)*9.81m/s^2 (top of jet - top of pond)</t>
  </si>
  <si>
    <t>TARGETED FRICTION LOSS, TO FIND THE APPROPRIATE DIAMETER</t>
  </si>
  <si>
    <t>Vout,A (m/s)</t>
  </si>
  <si>
    <t>Vout,B (m/s)</t>
  </si>
  <si>
    <t>D out A (m) (0.5")</t>
  </si>
  <si>
    <t>D out B (m) (0.7")</t>
  </si>
  <si>
    <t xml:space="preserve">Re A </t>
  </si>
  <si>
    <t>Re B</t>
  </si>
  <si>
    <t>in m</t>
  </si>
  <si>
    <t>FITTINGS FOR NOZZLES ANGLED</t>
  </si>
  <si>
    <t>4 90 ELBOW, 4 135 ELBOW (90 + 45)</t>
  </si>
  <si>
    <t>FITTINGS FOR STRAIGHT JET</t>
  </si>
  <si>
    <t>NOTHING</t>
  </si>
  <si>
    <t>Fittings (BELOW SPLITTER)</t>
  </si>
  <si>
    <t>PIPE (above splitter)</t>
  </si>
  <si>
    <t xml:space="preserve">fanning friction </t>
  </si>
  <si>
    <t>4 ft + 48*4 ft (1 ft each vertical angled, 48 ft each horizontal)</t>
  </si>
  <si>
    <t>total length of pipe (angled)(m)</t>
  </si>
  <si>
    <t>Assume D (in)</t>
  </si>
  <si>
    <t>Friction LOSS</t>
  </si>
  <si>
    <t>Fittings (ABOVE SPLITTER) friction loss</t>
  </si>
  <si>
    <t>total length of pipe (vertical jet)(m)</t>
  </si>
  <si>
    <t>TOTAL FRICTION LOSS FROM PIPE ABOVE SPLITTER</t>
  </si>
  <si>
    <t>total friction above splitter overall</t>
  </si>
  <si>
    <t>RE LONG PIPE</t>
  </si>
  <si>
    <t>FITTINGS</t>
  </si>
  <si>
    <t>PIPE LENGTH (m)</t>
  </si>
  <si>
    <t>fanning friction</t>
  </si>
  <si>
    <t>friction of pipe</t>
  </si>
  <si>
    <t>TOTAL FRICTION OF PIPE BELOW SPLITTER</t>
  </si>
  <si>
    <t>TOTAL FRICTION ENTIRE SYSTEM SHIT</t>
  </si>
  <si>
    <t xml:space="preserve">2 RUNTHROUGH + TWO 135ANGLE + TWO 90 ELBOW </t>
  </si>
  <si>
    <t>135 ANGLE = ONE 90 + ONE 45</t>
  </si>
  <si>
    <t>v (ft/s)</t>
  </si>
  <si>
    <t>D (ft)</t>
  </si>
  <si>
    <t>u (lbm/ft.s)</t>
  </si>
  <si>
    <t>rho (lbm/ft3)</t>
  </si>
  <si>
    <t>D (ft) (40 schedule #)</t>
  </si>
  <si>
    <t>epsilon (ft)</t>
  </si>
  <si>
    <t>Pipe length (ft)</t>
  </si>
  <si>
    <t>Friction pipe (ft^2/s^2)</t>
  </si>
  <si>
    <t>Friction fitting (ft^2/s^2)</t>
  </si>
  <si>
    <t xml:space="preserve">Total friction (ft^2/s^2) </t>
  </si>
  <si>
    <t>g (ft/s^2)</t>
  </si>
  <si>
    <t>delta z (ft)</t>
  </si>
  <si>
    <t>delta P (psi)</t>
  </si>
  <si>
    <t>Overall delta P (psi)</t>
  </si>
  <si>
    <t>~7 bar</t>
  </si>
  <si>
    <t>P drop combined (psi)</t>
  </si>
  <si>
    <t>from pond to field 2 (471 below splitter, 197 above)</t>
  </si>
  <si>
    <t>Q (GPM)</t>
  </si>
  <si>
    <t>into each nozzle</t>
  </si>
  <si>
    <t>SAME AS Q COMING FROM POND TO FIELD 2, to counter the flow to prevent overflow</t>
  </si>
  <si>
    <t>WEIRD CUZ GAIN PRESSURE</t>
  </si>
  <si>
    <t>~ 7 bar</t>
  </si>
  <si>
    <t>h (ft)</t>
  </si>
  <si>
    <t>TDH = W/g = F/g + delta(P/rho*g + v^2/2g +z)</t>
  </si>
  <si>
    <t>delta P/rho*g = h2*rho*g - h1*rho*g = 0 cuz h2 = h1</t>
  </si>
  <si>
    <t>delta v^2/2g = 0 cuz A1 = A2</t>
  </si>
  <si>
    <t>z = 101 ft</t>
  </si>
  <si>
    <t>https://www.engineeringtoolbox.com/pumps-power-d_505.html</t>
  </si>
  <si>
    <t>to calc power</t>
  </si>
  <si>
    <t>P (HP)</t>
  </si>
  <si>
    <t>LOL</t>
  </si>
  <si>
    <t>assuming efficiency 100%</t>
  </si>
  <si>
    <t>v out of nozzle = 7.1ft/s</t>
  </si>
  <si>
    <t>from pond to pool: 6 + 11 + 4 + 2*4 [20 ft pipe manufacture, divide each length by 20, then run down]</t>
  </si>
  <si>
    <t>Stairs</t>
  </si>
  <si>
    <t>Area of hole (ft^2)</t>
  </si>
  <si>
    <t>Size (inch)</t>
  </si>
  <si>
    <t>Total length (ft)</t>
  </si>
  <si>
    <t>OVERAL FRICTION LOSS</t>
  </si>
  <si>
    <t>from pond to pool: 6 + 4 +1 [20 ft pipe manufacture, divide each length by 20, then run down]</t>
  </si>
  <si>
    <t>5 + 2 + 1 for recirculation unions</t>
  </si>
  <si>
    <t>from pond to field 1 +recirculation</t>
  </si>
  <si>
    <t>g (ft/s2)</t>
  </si>
  <si>
    <t>vtarget (ft/s)</t>
  </si>
  <si>
    <t>Range solver (ft)</t>
  </si>
  <si>
    <t xml:space="preserve">v solver </t>
  </si>
  <si>
    <t>Initial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</si>
</sst>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rgb="FF00000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i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0" fontId="0" fillId="0" borderId="1" xfId="0" applyBorder="1"/>
    <xf numFmtId="0" fontId="0" fillId="0" borderId="1" xfId="0" applyBorder="1" applyAlignment="1"/>
    <xf numFmtId="2" fontId="0" fillId="0" borderId="1" xfId="0" applyNumberFormat="1" applyBorder="1" applyAlignment="1"/>
    <xf numFmtId="164" fontId="0" fillId="0" borderId="1" xfId="0" applyNumberFormat="1" applyBorder="1" applyAlignme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3" borderId="1" xfId="0" applyFont="1" applyFill="1" applyBorder="1"/>
    <xf numFmtId="0" fontId="1" fillId="3" borderId="0" xfId="0" applyFont="1" applyFill="1" applyBorder="1"/>
    <xf numFmtId="0" fontId="2" fillId="0" borderId="0" xfId="0" applyFont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1" fontId="4" fillId="0" borderId="2" xfId="0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11C3-4A01-EC4E-85C2-47AC3F61D5D4}">
  <dimension ref="A1:K61"/>
  <sheetViews>
    <sheetView zoomScale="132" workbookViewId="0">
      <selection activeCell="B19" sqref="B19"/>
    </sheetView>
  </sheetViews>
  <sheetFormatPr baseColWidth="10" defaultRowHeight="16" x14ac:dyDescent="0.2"/>
  <cols>
    <col min="1" max="1" width="21.33203125" customWidth="1"/>
    <col min="4" max="4" width="52.33203125" customWidth="1"/>
    <col min="5" max="5" width="28.1640625" customWidth="1"/>
    <col min="6" max="6" width="12.83203125" bestFit="1" customWidth="1"/>
    <col min="7" max="7" width="12.33203125" customWidth="1"/>
    <col min="9" max="9" width="15.1640625" customWidth="1"/>
  </cols>
  <sheetData>
    <row r="1" spans="1:11" x14ac:dyDescent="0.2">
      <c r="A1" s="44" t="s">
        <v>11</v>
      </c>
      <c r="B1" s="44"/>
      <c r="C1" s="44"/>
      <c r="E1" s="12" t="s">
        <v>13</v>
      </c>
      <c r="F1" s="12" t="s">
        <v>16</v>
      </c>
      <c r="G1" s="12" t="s">
        <v>15</v>
      </c>
      <c r="I1" s="41" t="s">
        <v>38</v>
      </c>
      <c r="J1" s="41"/>
      <c r="K1" s="41"/>
    </row>
    <row r="2" spans="1:11" x14ac:dyDescent="0.2">
      <c r="A2" s="12" t="s">
        <v>1</v>
      </c>
      <c r="B2" s="4" t="s">
        <v>2</v>
      </c>
      <c r="C2" s="4" t="s">
        <v>25</v>
      </c>
      <c r="E2" s="4" t="s">
        <v>12</v>
      </c>
      <c r="F2" s="4">
        <v>800</v>
      </c>
      <c r="G2" s="4">
        <v>0.4</v>
      </c>
      <c r="I2" s="15" t="s">
        <v>40</v>
      </c>
      <c r="J2" s="15" t="s">
        <v>44</v>
      </c>
      <c r="K2" s="15" t="s">
        <v>39</v>
      </c>
    </row>
    <row r="3" spans="1:11" x14ac:dyDescent="0.2">
      <c r="A3" s="12" t="s">
        <v>3</v>
      </c>
      <c r="B3" s="4">
        <v>1.43</v>
      </c>
      <c r="C3" s="4">
        <v>1.43</v>
      </c>
      <c r="E3" s="4" t="s">
        <v>24</v>
      </c>
      <c r="F3" s="4">
        <v>200</v>
      </c>
      <c r="G3" s="4">
        <v>0.1</v>
      </c>
      <c r="I3" s="4" t="s">
        <v>41</v>
      </c>
      <c r="J3" s="4">
        <v>0.5</v>
      </c>
      <c r="K3" s="4">
        <v>1</v>
      </c>
    </row>
    <row r="4" spans="1:11" x14ac:dyDescent="0.2">
      <c r="A4" s="12" t="s">
        <v>4</v>
      </c>
      <c r="B4" s="45">
        <f>2.067/12*0.3048</f>
        <v>5.2501800000000008E-2</v>
      </c>
      <c r="C4" s="45"/>
      <c r="E4" s="4" t="s">
        <v>36</v>
      </c>
      <c r="F4" s="4">
        <v>500</v>
      </c>
      <c r="G4" s="4">
        <v>0.2</v>
      </c>
      <c r="I4" s="4" t="s">
        <v>42</v>
      </c>
      <c r="J4" s="4">
        <v>0.7</v>
      </c>
      <c r="K4" s="4">
        <v>4</v>
      </c>
    </row>
    <row r="5" spans="1:11" x14ac:dyDescent="0.2">
      <c r="A5" s="12" t="s">
        <v>5</v>
      </c>
      <c r="B5" s="45">
        <f>1.03455*10^-3</f>
        <v>1.0345500000000002E-3</v>
      </c>
      <c r="C5" s="45"/>
      <c r="I5" s="42" t="s">
        <v>45</v>
      </c>
      <c r="J5" s="43"/>
    </row>
    <row r="6" spans="1:11" x14ac:dyDescent="0.2">
      <c r="A6" s="12" t="s">
        <v>6</v>
      </c>
      <c r="B6" s="45">
        <v>997</v>
      </c>
      <c r="C6" s="45"/>
      <c r="I6" s="4" t="s">
        <v>43</v>
      </c>
      <c r="J6" s="4">
        <v>684</v>
      </c>
      <c r="K6" t="s">
        <v>46</v>
      </c>
    </row>
    <row r="7" spans="1:11" x14ac:dyDescent="0.2">
      <c r="A7" s="12" t="s">
        <v>0</v>
      </c>
      <c r="B7" s="4">
        <f>$B$4*$B$6*B3/$B$5</f>
        <v>72352.560318979245</v>
      </c>
      <c r="C7" s="4">
        <f t="shared" ref="C7" si="0">$B$4*$B$6*C3/$B$5</f>
        <v>72352.560318979245</v>
      </c>
      <c r="I7" s="42" t="s">
        <v>13</v>
      </c>
      <c r="J7" s="43"/>
    </row>
    <row r="8" spans="1:11" x14ac:dyDescent="0.2">
      <c r="A8" s="12" t="s">
        <v>7</v>
      </c>
      <c r="B8" s="45">
        <f>0.046*10^-3</f>
        <v>4.6E-5</v>
      </c>
      <c r="C8" s="45"/>
      <c r="I8" s="15" t="s">
        <v>40</v>
      </c>
      <c r="J8" s="15" t="s">
        <v>39</v>
      </c>
    </row>
    <row r="9" spans="1:11" x14ac:dyDescent="0.2">
      <c r="A9" s="12" t="s">
        <v>8</v>
      </c>
      <c r="B9" s="4">
        <f>(-4*LOG10(0.27*($B$8/$B$4)+(7/B7)^0.9))^(-2)</f>
        <v>5.675717439560829E-3</v>
      </c>
      <c r="C9" s="4">
        <f t="shared" ref="C9" si="1">(-4*LOG10(0.27*($B$8/$B$4)+(7/C7)^0.9))^(-2)</f>
        <v>5.675717439560829E-3</v>
      </c>
      <c r="I9" s="4" t="s">
        <v>47</v>
      </c>
      <c r="J9" s="4">
        <f>17+8+5+4</f>
        <v>34</v>
      </c>
    </row>
    <row r="10" spans="1:11" x14ac:dyDescent="0.2">
      <c r="A10" s="12" t="s">
        <v>9</v>
      </c>
      <c r="B10" s="4">
        <f>1*0.3048</f>
        <v>0.30480000000000002</v>
      </c>
      <c r="C10" s="4">
        <f>(1+48.2)*0.3048</f>
        <v>14.996160000000001</v>
      </c>
      <c r="I10" s="4" t="s">
        <v>12</v>
      </c>
      <c r="J10" s="4">
        <v>5</v>
      </c>
    </row>
    <row r="11" spans="1:11" x14ac:dyDescent="0.2">
      <c r="A11" s="12" t="s">
        <v>10</v>
      </c>
      <c r="B11" s="4">
        <f>2*B9*B3^2*B10/$B$4</f>
        <v>0.13476080803666687</v>
      </c>
      <c r="C11" s="4">
        <f>2*C9*C3^2*C10/$B$4</f>
        <v>6.6302317554040116</v>
      </c>
      <c r="I11" s="4" t="s">
        <v>48</v>
      </c>
      <c r="J11" s="4">
        <v>1</v>
      </c>
    </row>
    <row r="12" spans="1:11" x14ac:dyDescent="0.2">
      <c r="A12" s="12" t="s">
        <v>14</v>
      </c>
      <c r="B12" s="4">
        <v>0</v>
      </c>
      <c r="C12" s="4">
        <f>$F2/C7+$G$2*(1+1/2.067)</f>
        <v>0.60457414342095717</v>
      </c>
      <c r="I12" s="4" t="s">
        <v>49</v>
      </c>
      <c r="J12" s="4">
        <v>1</v>
      </c>
      <c r="K12" t="s">
        <v>46</v>
      </c>
    </row>
    <row r="13" spans="1:11" x14ac:dyDescent="0.2">
      <c r="A13" s="12" t="s">
        <v>17</v>
      </c>
      <c r="B13" s="4">
        <f>B12*B3^2/2</f>
        <v>0</v>
      </c>
      <c r="C13" s="4">
        <f>C12*C3^2/2</f>
        <v>0.61814683294075756</v>
      </c>
    </row>
    <row r="14" spans="1:11" x14ac:dyDescent="0.2">
      <c r="A14" s="12" t="s">
        <v>18</v>
      </c>
      <c r="B14" s="4">
        <f>B13+B11</f>
        <v>0.13476080803666687</v>
      </c>
      <c r="C14" s="8">
        <f>C13+C11</f>
        <v>7.2483785883447691</v>
      </c>
      <c r="D14" t="s">
        <v>19</v>
      </c>
      <c r="I14" t="s">
        <v>50</v>
      </c>
    </row>
    <row r="15" spans="1:11" x14ac:dyDescent="0.2">
      <c r="A15" s="12" t="s">
        <v>20</v>
      </c>
      <c r="B15" s="45">
        <v>9.81</v>
      </c>
      <c r="C15" s="45"/>
      <c r="I15" t="s">
        <v>40</v>
      </c>
      <c r="J15" t="s">
        <v>39</v>
      </c>
    </row>
    <row r="16" spans="1:11" x14ac:dyDescent="0.2">
      <c r="A16" s="12" t="s">
        <v>21</v>
      </c>
      <c r="B16" s="45">
        <f>1*0.3048</f>
        <v>0.30480000000000002</v>
      </c>
      <c r="C16" s="45"/>
      <c r="I16" t="s">
        <v>51</v>
      </c>
      <c r="J16">
        <v>1</v>
      </c>
    </row>
    <row r="17" spans="1:10" x14ac:dyDescent="0.2">
      <c r="A17" s="12" t="s">
        <v>22</v>
      </c>
      <c r="B17" s="4">
        <f>B6*(-B14-$B$16*$B$15)</f>
        <v>-3115.4742616125573</v>
      </c>
      <c r="C17" s="4">
        <f>B6*(-C14-$B$16*$B$15)</f>
        <v>-10207.751188579736</v>
      </c>
      <c r="I17" t="s">
        <v>52</v>
      </c>
      <c r="J17">
        <v>1</v>
      </c>
    </row>
    <row r="18" spans="1:10" x14ac:dyDescent="0.2">
      <c r="A18" s="12" t="s">
        <v>26</v>
      </c>
      <c r="B18" s="45">
        <f>B17+4*C17</f>
        <v>-43946.479015931502</v>
      </c>
      <c r="C18" s="45"/>
      <c r="D18" t="s">
        <v>27</v>
      </c>
      <c r="I18" t="s">
        <v>53</v>
      </c>
      <c r="J18">
        <v>1</v>
      </c>
    </row>
    <row r="19" spans="1:10" x14ac:dyDescent="0.2">
      <c r="A19" s="10"/>
      <c r="B19" s="11"/>
    </row>
    <row r="20" spans="1:10" x14ac:dyDescent="0.2">
      <c r="A20" s="44" t="s">
        <v>23</v>
      </c>
      <c r="B20" s="44"/>
    </row>
    <row r="21" spans="1:10" x14ac:dyDescent="0.2">
      <c r="A21" s="12" t="s">
        <v>3</v>
      </c>
      <c r="B21" s="4">
        <f>5*B3</f>
        <v>7.1499999999999995</v>
      </c>
      <c r="E21" t="s">
        <v>56</v>
      </c>
    </row>
    <row r="22" spans="1:10" x14ac:dyDescent="0.2">
      <c r="A22" s="12" t="s">
        <v>4</v>
      </c>
      <c r="B22" s="5">
        <f>2.067/12*0.3048</f>
        <v>5.2501800000000008E-2</v>
      </c>
      <c r="C22" s="1"/>
      <c r="E22" t="s">
        <v>57</v>
      </c>
    </row>
    <row r="23" spans="1:10" x14ac:dyDescent="0.2">
      <c r="A23" s="12" t="s">
        <v>5</v>
      </c>
      <c r="B23" s="5">
        <f>1.03455*10^-3</f>
        <v>1.0345500000000002E-3</v>
      </c>
      <c r="C23" s="1"/>
      <c r="E23" t="s">
        <v>58</v>
      </c>
    </row>
    <row r="24" spans="1:10" x14ac:dyDescent="0.2">
      <c r="A24" s="12" t="s">
        <v>6</v>
      </c>
      <c r="B24" s="5">
        <v>997</v>
      </c>
      <c r="C24" s="1"/>
      <c r="E24" t="s">
        <v>22</v>
      </c>
      <c r="F24">
        <f>-40*0.3048*9.81*997</f>
        <v>-119244.70944000001</v>
      </c>
    </row>
    <row r="25" spans="1:10" x14ac:dyDescent="0.2">
      <c r="A25" s="12" t="s">
        <v>0</v>
      </c>
      <c r="B25" s="4">
        <f>B22*B24*B21/B23</f>
        <v>361762.8015948963</v>
      </c>
      <c r="E25" t="s">
        <v>59</v>
      </c>
    </row>
    <row r="26" spans="1:10" x14ac:dyDescent="0.2">
      <c r="A26" s="12" t="s">
        <v>7</v>
      </c>
      <c r="B26" s="5">
        <f>1.5*10^-5</f>
        <v>1.5000000000000002E-5</v>
      </c>
      <c r="C26" s="1"/>
      <c r="E26" t="s">
        <v>62</v>
      </c>
    </row>
    <row r="27" spans="1:10" x14ac:dyDescent="0.2">
      <c r="A27" s="12" t="s">
        <v>8</v>
      </c>
      <c r="B27" s="4">
        <f>(-4*LOG10(0.27*($B$26/$B$22)+(7/B25)^0.9))^(-2)</f>
        <v>4.1697872542524259E-3</v>
      </c>
      <c r="E27" t="s">
        <v>60</v>
      </c>
      <c r="F27">
        <f>(1-275)*0.3048*9.81</f>
        <v>-819.28411200000016</v>
      </c>
    </row>
    <row r="28" spans="1:10" x14ac:dyDescent="0.2">
      <c r="A28" s="12" t="s">
        <v>9</v>
      </c>
      <c r="B28" s="4">
        <f>485*0.3048</f>
        <v>147.828</v>
      </c>
      <c r="D28">
        <f>F28/0.3048^2</f>
        <v>10106.102362204725</v>
      </c>
      <c r="E28" t="s">
        <v>61</v>
      </c>
      <c r="F28" s="17">
        <f>-(F24/997+F27)</f>
        <v>938.88763200000017</v>
      </c>
      <c r="G28" s="17" t="s">
        <v>63</v>
      </c>
    </row>
    <row r="29" spans="1:10" x14ac:dyDescent="0.2">
      <c r="A29" s="12" t="s">
        <v>10</v>
      </c>
      <c r="B29" s="4">
        <f>2*B27*B21^2*B28/B22</f>
        <v>1200.4345453605458</v>
      </c>
    </row>
    <row r="30" spans="1:10" x14ac:dyDescent="0.2">
      <c r="A30" s="12" t="s">
        <v>14</v>
      </c>
      <c r="B30" s="4">
        <f>2*$F$3/$B$25+$G$3*(1+1/2.06)+2*F2/B25+G2*(1+1/2.06)+F4/B25+G4*(1+1/2.067)</f>
        <v>1.0463876394088838</v>
      </c>
      <c r="E30" t="s">
        <v>64</v>
      </c>
      <c r="F30">
        <f>80.25*0.3048</f>
        <v>24.4602</v>
      </c>
      <c r="H30" s="12" t="s">
        <v>13</v>
      </c>
      <c r="I30" s="12" t="s">
        <v>16</v>
      </c>
      <c r="J30" s="12" t="s">
        <v>15</v>
      </c>
    </row>
    <row r="31" spans="1:10" x14ac:dyDescent="0.2">
      <c r="A31" s="12" t="s">
        <v>17</v>
      </c>
      <c r="B31" s="4">
        <f>B30*B21^2/2</f>
        <v>26.746976047840327</v>
      </c>
      <c r="E31" t="s">
        <v>65</v>
      </c>
      <c r="F31">
        <f>39.4*0.3048</f>
        <v>12.009119999999999</v>
      </c>
      <c r="H31" s="4" t="s">
        <v>12</v>
      </c>
      <c r="I31" s="4">
        <v>800</v>
      </c>
      <c r="J31" s="4">
        <v>0.4</v>
      </c>
    </row>
    <row r="32" spans="1:10" x14ac:dyDescent="0.2">
      <c r="A32" s="12" t="s">
        <v>18</v>
      </c>
      <c r="B32" s="4">
        <f>B31+B29</f>
        <v>1227.1815214083861</v>
      </c>
      <c r="E32" t="s">
        <v>66</v>
      </c>
      <c r="F32">
        <f>0.5/12*0.3048</f>
        <v>1.2699999999999999E-2</v>
      </c>
      <c r="H32" s="4" t="s">
        <v>24</v>
      </c>
      <c r="I32" s="4">
        <v>200</v>
      </c>
      <c r="J32" s="4">
        <v>0.1</v>
      </c>
    </row>
    <row r="33" spans="1:10" x14ac:dyDescent="0.2">
      <c r="A33" s="12" t="s">
        <v>20</v>
      </c>
      <c r="B33" s="6">
        <v>9.81</v>
      </c>
      <c r="C33" s="2"/>
      <c r="E33" t="s">
        <v>67</v>
      </c>
      <c r="F33">
        <f>0.7/12*0.3048</f>
        <v>1.7780000000000001E-2</v>
      </c>
      <c r="H33" s="4" t="s">
        <v>36</v>
      </c>
      <c r="I33" s="4">
        <v>500</v>
      </c>
      <c r="J33" s="4">
        <v>0.2</v>
      </c>
    </row>
    <row r="34" spans="1:10" x14ac:dyDescent="0.2">
      <c r="A34" s="12" t="s">
        <v>21</v>
      </c>
      <c r="B34" s="7">
        <f>235*0.3048</f>
        <v>71.628</v>
      </c>
      <c r="C34" s="3"/>
      <c r="E34" t="s">
        <v>68</v>
      </c>
      <c r="F34">
        <f>997*F30*F32^2/B23/I36</f>
        <v>153824.83002508435</v>
      </c>
    </row>
    <row r="35" spans="1:10" x14ac:dyDescent="0.2">
      <c r="A35" s="12" t="s">
        <v>22</v>
      </c>
      <c r="B35" s="4">
        <f>B24*(-B32-B34*B33)</f>
        <v>-1924062.6448041608</v>
      </c>
      <c r="E35" t="s">
        <v>69</v>
      </c>
      <c r="F35">
        <f>F31*F33^2*997/B23/I36</f>
        <v>148024.5317614594</v>
      </c>
    </row>
    <row r="36" spans="1:10" x14ac:dyDescent="0.2">
      <c r="G36" s="17" t="s">
        <v>80</v>
      </c>
      <c r="H36" s="17">
        <v>0.97308540426985335</v>
      </c>
      <c r="I36">
        <f>H36/12*0.3048</f>
        <v>2.4716369268454278E-2</v>
      </c>
      <c r="J36" t="s">
        <v>70</v>
      </c>
    </row>
    <row r="37" spans="1:10" x14ac:dyDescent="0.2">
      <c r="A37" s="8" t="s">
        <v>28</v>
      </c>
      <c r="B37" s="8">
        <f>B35+B18</f>
        <v>-1968009.1238200923</v>
      </c>
      <c r="C37" t="s">
        <v>37</v>
      </c>
      <c r="E37" t="s">
        <v>76</v>
      </c>
      <c r="G37" t="s">
        <v>82</v>
      </c>
    </row>
    <row r="38" spans="1:10" x14ac:dyDescent="0.2">
      <c r="D38" t="s">
        <v>78</v>
      </c>
      <c r="E38" t="s">
        <v>79</v>
      </c>
      <c r="F38">
        <f>196*0.3048</f>
        <v>59.7408</v>
      </c>
      <c r="G38">
        <f>(8*(I31/F35+J31*(1+1/H36))+4*(I33/F35+J33*(1+1/H36)))*(F31*F33^2/I36^2)^2/2</f>
        <v>157.71160296596287</v>
      </c>
      <c r="I38" t="s">
        <v>71</v>
      </c>
    </row>
    <row r="39" spans="1:10" x14ac:dyDescent="0.2">
      <c r="E39" t="s">
        <v>77</v>
      </c>
      <c r="F39">
        <f>(-4*LOG10(0.27*B26/I36+(7/F35)^0.9))^-2</f>
        <v>5.0020971086262292E-3</v>
      </c>
      <c r="G39" t="s">
        <v>75</v>
      </c>
      <c r="I39" t="s">
        <v>72</v>
      </c>
    </row>
    <row r="40" spans="1:10" x14ac:dyDescent="0.2">
      <c r="E40" t="s">
        <v>81</v>
      </c>
      <c r="F40">
        <f>2*F39*(F31*F33^2/I36^2)^2/I36*F38</f>
        <v>933.85439840150411</v>
      </c>
      <c r="I40" t="s">
        <v>73</v>
      </c>
    </row>
    <row r="41" spans="1:10" x14ac:dyDescent="0.2">
      <c r="E41" t="s">
        <v>83</v>
      </c>
      <c r="F41">
        <f>1*0.3048</f>
        <v>0.30480000000000002</v>
      </c>
      <c r="I41" t="s">
        <v>74</v>
      </c>
    </row>
    <row r="42" spans="1:10" x14ac:dyDescent="0.2">
      <c r="E42" t="s">
        <v>77</v>
      </c>
      <c r="F42">
        <f>(-4*LOG10(0.27*B26/I36+(7/F34)^0.9))^-2</f>
        <v>4.9836793656073148E-3</v>
      </c>
    </row>
    <row r="43" spans="1:10" x14ac:dyDescent="0.2">
      <c r="E43" t="s">
        <v>81</v>
      </c>
      <c r="F43">
        <f>2*F42*(F30*F32^2/I36^2)^2/I36*F41</f>
        <v>5.1263300938374412</v>
      </c>
    </row>
    <row r="45" spans="1:10" x14ac:dyDescent="0.2">
      <c r="E45" t="s">
        <v>84</v>
      </c>
    </row>
    <row r="46" spans="1:10" x14ac:dyDescent="0.2">
      <c r="E46">
        <f>F40+F43</f>
        <v>938.98072849534151</v>
      </c>
    </row>
    <row r="48" spans="1:10" x14ac:dyDescent="0.2">
      <c r="E48" t="s">
        <v>85</v>
      </c>
    </row>
    <row r="49" spans="5:8" x14ac:dyDescent="0.2">
      <c r="E49">
        <f>E46+G38</f>
        <v>1096.6923314613043</v>
      </c>
    </row>
    <row r="50" spans="5:8" x14ac:dyDescent="0.2">
      <c r="H50" t="s">
        <v>94</v>
      </c>
    </row>
    <row r="51" spans="5:8" x14ac:dyDescent="0.2">
      <c r="E51" t="s">
        <v>86</v>
      </c>
      <c r="F51">
        <f>997/B23/I36*(F30*F32^2+4*F31*F33^2)</f>
        <v>745922.95707092178</v>
      </c>
      <c r="G51" t="s">
        <v>87</v>
      </c>
      <c r="H51" t="s">
        <v>93</v>
      </c>
    </row>
    <row r="52" spans="5:8" x14ac:dyDescent="0.2">
      <c r="G52">
        <f>(2*(I32/F51+J32*(1+1/H36))+2*(I33/F51+J33*(1+1/H36))+3*(I31/F51+J31*(1+1/H36)))*(PI()/4*I36^2)^2/2</f>
        <v>4.206894898095548E-7</v>
      </c>
    </row>
    <row r="53" spans="5:8" x14ac:dyDescent="0.2">
      <c r="E53" t="s">
        <v>88</v>
      </c>
      <c r="F53">
        <f>471*0.3048</f>
        <v>143.5608</v>
      </c>
    </row>
    <row r="54" spans="5:8" x14ac:dyDescent="0.2">
      <c r="E54" t="s">
        <v>89</v>
      </c>
      <c r="F54">
        <f>(-4*LOG10(0.27*B26/I36+(7/F51)^0.9))^-2</f>
        <v>4.5339119338933748E-3</v>
      </c>
    </row>
    <row r="55" spans="5:8" x14ac:dyDescent="0.2">
      <c r="E55" t="s">
        <v>90</v>
      </c>
      <c r="F55">
        <f>2*F54*(F30*F32^2+4*F31*F33^2)^2*F53/I36</f>
        <v>1.9276324169873214E-2</v>
      </c>
    </row>
    <row r="57" spans="5:8" x14ac:dyDescent="0.2">
      <c r="E57" t="s">
        <v>91</v>
      </c>
    </row>
    <row r="58" spans="5:8" x14ac:dyDescent="0.2">
      <c r="E58">
        <f>F55+G52</f>
        <v>1.9276744859363024E-2</v>
      </c>
    </row>
    <row r="60" spans="5:8" x14ac:dyDescent="0.2">
      <c r="E60" s="17" t="s">
        <v>92</v>
      </c>
    </row>
    <row r="61" spans="5:8" x14ac:dyDescent="0.2">
      <c r="E61" s="17">
        <f>E58+E46</f>
        <v>939.00000524020084</v>
      </c>
    </row>
  </sheetData>
  <mergeCells count="12">
    <mergeCell ref="I1:K1"/>
    <mergeCell ref="I7:J7"/>
    <mergeCell ref="I5:J5"/>
    <mergeCell ref="A20:B20"/>
    <mergeCell ref="B18:C18"/>
    <mergeCell ref="A1:C1"/>
    <mergeCell ref="B15:C15"/>
    <mergeCell ref="B16:C16"/>
    <mergeCell ref="B4:C4"/>
    <mergeCell ref="B5:C5"/>
    <mergeCell ref="B6:C6"/>
    <mergeCell ref="B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E91B-A846-1D49-9817-808AB6C0C854}">
  <dimension ref="A1:K39"/>
  <sheetViews>
    <sheetView zoomScale="150" zoomScaleNormal="200" workbookViewId="0">
      <selection activeCell="B38" sqref="B38"/>
    </sheetView>
  </sheetViews>
  <sheetFormatPr baseColWidth="10" defaultRowHeight="16" x14ac:dyDescent="0.2"/>
  <cols>
    <col min="1" max="1" width="26.6640625" customWidth="1"/>
  </cols>
  <sheetData>
    <row r="1" spans="1:11" x14ac:dyDescent="0.2">
      <c r="A1" s="44" t="s">
        <v>29</v>
      </c>
      <c r="B1" s="44"/>
      <c r="D1" s="12" t="s">
        <v>13</v>
      </c>
      <c r="E1" s="12" t="s">
        <v>16</v>
      </c>
      <c r="F1" s="12" t="s">
        <v>15</v>
      </c>
      <c r="H1" s="41" t="s">
        <v>38</v>
      </c>
      <c r="I1" s="41"/>
      <c r="J1" s="41"/>
    </row>
    <row r="2" spans="1:11" x14ac:dyDescent="0.2">
      <c r="A2" s="13" t="s">
        <v>31</v>
      </c>
      <c r="B2" s="4">
        <f>B3*B4^2/4*PI()</f>
        <v>1.9592364282489199E-3</v>
      </c>
      <c r="D2" s="4" t="s">
        <v>12</v>
      </c>
      <c r="E2" s="4">
        <v>800</v>
      </c>
      <c r="F2" s="4">
        <v>0.4</v>
      </c>
      <c r="H2" s="15" t="s">
        <v>40</v>
      </c>
      <c r="I2" s="15" t="s">
        <v>44</v>
      </c>
      <c r="J2" s="15" t="s">
        <v>39</v>
      </c>
    </row>
    <row r="3" spans="1:11" x14ac:dyDescent="0.2">
      <c r="A3" s="12" t="s">
        <v>3</v>
      </c>
      <c r="B3" s="16">
        <v>0.90500000000000003</v>
      </c>
      <c r="D3" s="4" t="s">
        <v>24</v>
      </c>
      <c r="E3" s="4">
        <v>200</v>
      </c>
      <c r="F3" s="4">
        <v>0.1</v>
      </c>
      <c r="H3" s="4" t="s">
        <v>38</v>
      </c>
      <c r="I3" s="4">
        <v>0.5</v>
      </c>
      <c r="J3" s="4">
        <v>1</v>
      </c>
      <c r="K3" t="s">
        <v>54</v>
      </c>
    </row>
    <row r="4" spans="1:11" x14ac:dyDescent="0.2">
      <c r="A4" s="12" t="s">
        <v>4</v>
      </c>
      <c r="B4" s="9">
        <f>2.067/12*0.3048</f>
        <v>5.2501800000000008E-2</v>
      </c>
      <c r="H4" s="42" t="s">
        <v>45</v>
      </c>
      <c r="I4" s="43"/>
    </row>
    <row r="5" spans="1:11" x14ac:dyDescent="0.2">
      <c r="A5" s="12" t="s">
        <v>5</v>
      </c>
      <c r="B5" s="9">
        <f>1.03455*10^-3</f>
        <v>1.0345500000000002E-3</v>
      </c>
      <c r="H5" s="4" t="s">
        <v>43</v>
      </c>
      <c r="I5" s="4">
        <v>245.5</v>
      </c>
      <c r="J5" t="s">
        <v>55</v>
      </c>
    </row>
    <row r="6" spans="1:11" x14ac:dyDescent="0.2">
      <c r="A6" s="12" t="s">
        <v>6</v>
      </c>
      <c r="B6" s="9">
        <v>997</v>
      </c>
      <c r="H6" s="42" t="s">
        <v>13</v>
      </c>
      <c r="I6" s="43"/>
    </row>
    <row r="7" spans="1:11" x14ac:dyDescent="0.2">
      <c r="A7" s="12" t="s">
        <v>0</v>
      </c>
      <c r="B7" s="4">
        <f>$B$4*$B$6*B3/$B$5</f>
        <v>45789.557404668696</v>
      </c>
      <c r="H7" s="15" t="s">
        <v>40</v>
      </c>
      <c r="I7" s="15" t="s">
        <v>39</v>
      </c>
    </row>
    <row r="8" spans="1:11" x14ac:dyDescent="0.2">
      <c r="A8" s="12" t="s">
        <v>7</v>
      </c>
      <c r="B8" s="9">
        <f>1.5*10^-5</f>
        <v>1.5000000000000002E-5</v>
      </c>
      <c r="H8" s="4" t="s">
        <v>47</v>
      </c>
      <c r="I8" s="4">
        <v>12</v>
      </c>
    </row>
    <row r="9" spans="1:11" x14ac:dyDescent="0.2">
      <c r="A9" s="12" t="s">
        <v>8</v>
      </c>
      <c r="B9" s="4">
        <f>(-4*LOG10(0.27*($B$8/$B$4)+(7/B7)^0.9))^(-2)</f>
        <v>5.5643135271821534E-3</v>
      </c>
      <c r="H9" s="4" t="s">
        <v>12</v>
      </c>
      <c r="I9" s="4">
        <v>3</v>
      </c>
      <c r="J9" t="s">
        <v>55</v>
      </c>
    </row>
    <row r="10" spans="1:11" x14ac:dyDescent="0.2">
      <c r="A10" s="12" t="s">
        <v>9</v>
      </c>
      <c r="B10" s="4">
        <f>245.5*0.3048</f>
        <v>74.828400000000002</v>
      </c>
    </row>
    <row r="11" spans="1:11" x14ac:dyDescent="0.2">
      <c r="A11" s="12" t="s">
        <v>10</v>
      </c>
      <c r="B11" s="4">
        <f>2*B9*B3^2*B10/$B$4</f>
        <v>12.990653911876796</v>
      </c>
      <c r="H11" t="s">
        <v>50</v>
      </c>
    </row>
    <row r="12" spans="1:11" x14ac:dyDescent="0.2">
      <c r="A12" s="12" t="s">
        <v>14</v>
      </c>
      <c r="B12" s="4">
        <f>3*(E2/B7+F2*(1+1/2.067))</f>
        <v>1.8329652212191569</v>
      </c>
      <c r="H12" t="s">
        <v>40</v>
      </c>
      <c r="I12" t="s">
        <v>39</v>
      </c>
    </row>
    <row r="13" spans="1:11" x14ac:dyDescent="0.2">
      <c r="A13" s="12" t="s">
        <v>17</v>
      </c>
      <c r="B13" s="4">
        <f>B12*B3^2/2</f>
        <v>0.75062217015451005</v>
      </c>
      <c r="H13" t="s">
        <v>51</v>
      </c>
      <c r="I13">
        <v>1</v>
      </c>
    </row>
    <row r="14" spans="1:11" x14ac:dyDescent="0.2">
      <c r="A14" s="12" t="s">
        <v>18</v>
      </c>
      <c r="B14" s="4">
        <f>B13+B11</f>
        <v>13.741276082031307</v>
      </c>
      <c r="H14" t="s">
        <v>52</v>
      </c>
      <c r="I14">
        <v>1</v>
      </c>
    </row>
    <row r="15" spans="1:11" x14ac:dyDescent="0.2">
      <c r="A15" s="12" t="s">
        <v>20</v>
      </c>
      <c r="B15" s="9">
        <v>9.81</v>
      </c>
      <c r="H15" t="s">
        <v>53</v>
      </c>
      <c r="I15">
        <v>1</v>
      </c>
    </row>
    <row r="16" spans="1:11" x14ac:dyDescent="0.2">
      <c r="A16" s="12" t="s">
        <v>21</v>
      </c>
      <c r="B16" s="9">
        <f>125*0.3048</f>
        <v>38.1</v>
      </c>
    </row>
    <row r="17" spans="1:2" x14ac:dyDescent="0.2">
      <c r="A17" s="12" t="s">
        <v>22</v>
      </c>
      <c r="B17" s="4">
        <f>B6*(-B14-$B$16*$B$15)</f>
        <v>-386339.76925378526</v>
      </c>
    </row>
    <row r="19" spans="1:2" x14ac:dyDescent="0.2">
      <c r="A19" s="13" t="s">
        <v>30</v>
      </c>
    </row>
    <row r="20" spans="1:2" x14ac:dyDescent="0.2">
      <c r="A20" s="13" t="s">
        <v>31</v>
      </c>
      <c r="B20">
        <f>0.0155</f>
        <v>1.55E-2</v>
      </c>
    </row>
    <row r="21" spans="1:2" x14ac:dyDescent="0.2">
      <c r="A21" s="12" t="s">
        <v>4</v>
      </c>
      <c r="B21" s="9">
        <f>2.067/12*0.3048</f>
        <v>5.2501800000000008E-2</v>
      </c>
    </row>
    <row r="22" spans="1:2" x14ac:dyDescent="0.2">
      <c r="A22" s="12" t="s">
        <v>3</v>
      </c>
      <c r="B22" s="4">
        <f>B20/(PI()/4*B21^2)</f>
        <v>7.1596770036259327</v>
      </c>
    </row>
    <row r="23" spans="1:2" x14ac:dyDescent="0.2">
      <c r="A23" s="12" t="s">
        <v>5</v>
      </c>
      <c r="B23" s="9">
        <f>1.03455*10^-3</f>
        <v>1.0345500000000002E-3</v>
      </c>
    </row>
    <row r="24" spans="1:2" x14ac:dyDescent="0.2">
      <c r="A24" s="12" t="s">
        <v>6</v>
      </c>
      <c r="B24" s="9">
        <v>997</v>
      </c>
    </row>
    <row r="25" spans="1:2" x14ac:dyDescent="0.2">
      <c r="A25" s="12" t="s">
        <v>0</v>
      </c>
      <c r="B25" s="4">
        <f>B21*B24*B22/B23</f>
        <v>362252.42116731044</v>
      </c>
    </row>
    <row r="26" spans="1:2" x14ac:dyDescent="0.2">
      <c r="A26" s="12" t="s">
        <v>7</v>
      </c>
      <c r="B26" s="9">
        <f>1.5*10^-5</f>
        <v>1.5000000000000002E-5</v>
      </c>
    </row>
    <row r="27" spans="1:2" x14ac:dyDescent="0.2">
      <c r="A27" s="12" t="s">
        <v>8</v>
      </c>
      <c r="B27" s="4">
        <f>(-4*LOG10(0.27*(B26/B21)+(7/B25)^0.9))^(-2)</f>
        <v>4.169302211798202E-3</v>
      </c>
    </row>
    <row r="28" spans="1:2" x14ac:dyDescent="0.2">
      <c r="A28" s="12" t="s">
        <v>9</v>
      </c>
      <c r="B28" s="4">
        <f>152*0.3048</f>
        <v>46.329599999999999</v>
      </c>
    </row>
    <row r="29" spans="1:2" x14ac:dyDescent="0.2">
      <c r="A29" s="12" t="s">
        <v>10</v>
      </c>
      <c r="B29" s="4">
        <f>2*B27*B22^2*B28/B21</f>
        <v>377.19383838298324</v>
      </c>
    </row>
    <row r="30" spans="1:2" x14ac:dyDescent="0.2">
      <c r="A30" s="12" t="s">
        <v>14</v>
      </c>
      <c r="B30" s="4">
        <f>E2/B25+F2*(1+1/2.067)</f>
        <v>0.59572557948867699</v>
      </c>
    </row>
    <row r="31" spans="1:2" x14ac:dyDescent="0.2">
      <c r="A31" s="12" t="s">
        <v>17</v>
      </c>
      <c r="B31" s="4">
        <f>B30*B22^2/2</f>
        <v>15.268736957825254</v>
      </c>
    </row>
    <row r="32" spans="1:2" x14ac:dyDescent="0.2">
      <c r="A32" s="12" t="s">
        <v>18</v>
      </c>
      <c r="B32" s="4">
        <f>B31+B29</f>
        <v>392.46257534080848</v>
      </c>
    </row>
    <row r="33" spans="1:3" x14ac:dyDescent="0.2">
      <c r="A33" s="12" t="s">
        <v>20</v>
      </c>
      <c r="B33" s="9">
        <v>9.81</v>
      </c>
    </row>
    <row r="34" spans="1:3" x14ac:dyDescent="0.2">
      <c r="A34" s="12" t="s">
        <v>21</v>
      </c>
      <c r="B34" s="9">
        <f>102*0.3048</f>
        <v>31.089600000000001</v>
      </c>
    </row>
    <row r="35" spans="1:3" x14ac:dyDescent="0.2">
      <c r="A35" s="12" t="s">
        <v>22</v>
      </c>
      <c r="B35" s="4">
        <f>B24*(-B32-B34*B33)</f>
        <v>-695359.19668678602</v>
      </c>
      <c r="C35" t="s">
        <v>32</v>
      </c>
    </row>
    <row r="37" spans="1:3" x14ac:dyDescent="0.2">
      <c r="A37" s="13" t="s">
        <v>33</v>
      </c>
      <c r="B37">
        <f>B34+B32/B33</f>
        <v>71.095978729949891</v>
      </c>
    </row>
    <row r="38" spans="1:3" x14ac:dyDescent="0.2">
      <c r="A38" s="13" t="s">
        <v>34</v>
      </c>
      <c r="B38">
        <f>930*B37*B24/(6116*10^3)*1000</f>
        <v>10778.434015401706</v>
      </c>
      <c r="C38" t="s">
        <v>35</v>
      </c>
    </row>
    <row r="39" spans="1:3" ht="18" x14ac:dyDescent="0.2">
      <c r="C39" s="14"/>
    </row>
  </sheetData>
  <mergeCells count="4">
    <mergeCell ref="H1:J1"/>
    <mergeCell ref="H4:I4"/>
    <mergeCell ref="H6:I6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6994-F42A-DA4B-B156-8D8FFFE86326}">
  <dimension ref="A1:L61"/>
  <sheetViews>
    <sheetView topLeftCell="A27" zoomScale="193" workbookViewId="0">
      <selection activeCell="B41" sqref="B41"/>
    </sheetView>
  </sheetViews>
  <sheetFormatPr baseColWidth="10" defaultRowHeight="14" x14ac:dyDescent="0.15"/>
  <cols>
    <col min="1" max="1" width="21.33203125" style="26" customWidth="1"/>
    <col min="2" max="2" width="10.5" style="26" customWidth="1"/>
    <col min="3" max="3" width="7.33203125" style="26" customWidth="1"/>
    <col min="4" max="4" width="20.83203125" style="26" customWidth="1"/>
    <col min="5" max="5" width="14" style="26" customWidth="1"/>
    <col min="6" max="6" width="12.83203125" style="26" bestFit="1" customWidth="1"/>
    <col min="7" max="7" width="12.33203125" style="26" customWidth="1"/>
    <col min="8" max="8" width="10.83203125" style="26"/>
    <col min="9" max="9" width="15.1640625" style="26" customWidth="1"/>
    <col min="10" max="16384" width="10.83203125" style="26"/>
  </cols>
  <sheetData>
    <row r="1" spans="1:12" x14ac:dyDescent="0.15">
      <c r="A1" s="48" t="s">
        <v>11</v>
      </c>
      <c r="B1" s="48"/>
      <c r="C1" s="48"/>
      <c r="E1" s="20" t="s">
        <v>13</v>
      </c>
      <c r="F1" s="20" t="s">
        <v>16</v>
      </c>
      <c r="G1" s="20" t="s">
        <v>15</v>
      </c>
      <c r="I1" s="47" t="s">
        <v>38</v>
      </c>
      <c r="J1" s="47"/>
      <c r="K1" s="47"/>
    </row>
    <row r="2" spans="1:12" x14ac:dyDescent="0.15">
      <c r="A2" s="28" t="s">
        <v>1</v>
      </c>
      <c r="B2" s="19" t="s">
        <v>2</v>
      </c>
      <c r="C2" s="19" t="s">
        <v>25</v>
      </c>
      <c r="E2" s="19" t="s">
        <v>12</v>
      </c>
      <c r="F2" s="19">
        <v>800</v>
      </c>
      <c r="G2" s="19">
        <v>0.4</v>
      </c>
      <c r="I2" s="20" t="s">
        <v>40</v>
      </c>
      <c r="J2" s="20" t="s">
        <v>131</v>
      </c>
      <c r="K2" s="20" t="s">
        <v>39</v>
      </c>
    </row>
    <row r="3" spans="1:12" x14ac:dyDescent="0.15">
      <c r="A3" s="28" t="s">
        <v>112</v>
      </c>
      <c r="B3" s="55">
        <f>B4*(PI()/4*$B$5^2)^2*7.481*60</f>
        <v>1.1455800664008353</v>
      </c>
      <c r="C3" s="56"/>
      <c r="D3" s="29" t="s">
        <v>113</v>
      </c>
      <c r="E3" s="19" t="s">
        <v>24</v>
      </c>
      <c r="F3" s="19">
        <v>200</v>
      </c>
      <c r="G3" s="19">
        <v>0.1</v>
      </c>
      <c r="I3" s="19" t="s">
        <v>41</v>
      </c>
      <c r="J3" s="19">
        <v>0.5</v>
      </c>
      <c r="K3" s="19">
        <v>1</v>
      </c>
    </row>
    <row r="4" spans="1:12" x14ac:dyDescent="0.15">
      <c r="A4" s="28" t="s">
        <v>95</v>
      </c>
      <c r="B4" s="55">
        <v>4.7</v>
      </c>
      <c r="C4" s="56"/>
      <c r="E4" s="19" t="s">
        <v>36</v>
      </c>
      <c r="F4" s="19">
        <v>500</v>
      </c>
      <c r="G4" s="19">
        <v>0.2</v>
      </c>
      <c r="I4" s="19" t="s">
        <v>42</v>
      </c>
      <c r="J4" s="19">
        <v>0.7</v>
      </c>
      <c r="K4" s="19">
        <v>4</v>
      </c>
    </row>
    <row r="5" spans="1:12" x14ac:dyDescent="0.15">
      <c r="A5" s="28" t="s">
        <v>99</v>
      </c>
      <c r="B5" s="49">
        <f>2.067/12</f>
        <v>0.17225000000000001</v>
      </c>
      <c r="C5" s="49"/>
      <c r="I5" s="47" t="s">
        <v>45</v>
      </c>
      <c r="J5" s="47"/>
      <c r="K5" s="47"/>
    </row>
    <row r="6" spans="1:12" x14ac:dyDescent="0.15">
      <c r="A6" s="28" t="s">
        <v>97</v>
      </c>
      <c r="B6" s="50">
        <f>(3.1633+1.811)/2/3600</f>
        <v>6.9087499999999997E-4</v>
      </c>
      <c r="C6" s="50"/>
      <c r="I6" s="19" t="s">
        <v>132</v>
      </c>
      <c r="J6" s="46">
        <v>668</v>
      </c>
      <c r="K6" s="46"/>
      <c r="L6" s="26" t="s">
        <v>111</v>
      </c>
    </row>
    <row r="7" spans="1:12" x14ac:dyDescent="0.15">
      <c r="A7" s="28" t="s">
        <v>98</v>
      </c>
      <c r="B7" s="49">
        <f>(62.406+62.115)/2</f>
        <v>62.2605</v>
      </c>
      <c r="C7" s="49"/>
      <c r="I7" s="47" t="s">
        <v>13</v>
      </c>
      <c r="J7" s="47"/>
      <c r="K7" s="47"/>
    </row>
    <row r="8" spans="1:12" x14ac:dyDescent="0.15">
      <c r="A8" s="28" t="s">
        <v>0</v>
      </c>
      <c r="B8" s="51">
        <f>$B$5*$B$7*B4/$B$6</f>
        <v>72957.545558169004</v>
      </c>
      <c r="C8" s="52"/>
      <c r="I8" s="20" t="s">
        <v>40</v>
      </c>
      <c r="J8" s="47" t="s">
        <v>39</v>
      </c>
      <c r="K8" s="47"/>
    </row>
    <row r="9" spans="1:12" x14ac:dyDescent="0.15">
      <c r="A9" s="28" t="s">
        <v>100</v>
      </c>
      <c r="B9" s="50">
        <f>0.00015</f>
        <v>1.4999999999999999E-4</v>
      </c>
      <c r="C9" s="50"/>
      <c r="I9" s="19" t="s">
        <v>47</v>
      </c>
      <c r="J9" s="46">
        <v>29</v>
      </c>
      <c r="K9" s="46"/>
      <c r="L9" s="26" t="s">
        <v>128</v>
      </c>
    </row>
    <row r="10" spans="1:12" x14ac:dyDescent="0.15">
      <c r="A10" s="28" t="s">
        <v>8</v>
      </c>
      <c r="B10" s="53">
        <f>(-4*LOG10(0.27*($B$9/$B$5)+(7/B8)^0.9))^(-2)</f>
        <v>5.6656137474950293E-3</v>
      </c>
      <c r="C10" s="54"/>
      <c r="I10" s="19" t="s">
        <v>12</v>
      </c>
      <c r="J10" s="46">
        <v>5</v>
      </c>
      <c r="K10" s="46"/>
    </row>
    <row r="11" spans="1:12" x14ac:dyDescent="0.15">
      <c r="A11" s="28" t="s">
        <v>101</v>
      </c>
      <c r="B11" s="21">
        <f>1</f>
        <v>1</v>
      </c>
      <c r="C11" s="21">
        <f>4*(1+48.2)</f>
        <v>196.8</v>
      </c>
      <c r="I11" s="19" t="s">
        <v>48</v>
      </c>
      <c r="J11" s="46">
        <v>2</v>
      </c>
      <c r="K11" s="46"/>
    </row>
    <row r="12" spans="1:12" x14ac:dyDescent="0.15">
      <c r="A12" s="28" t="s">
        <v>102</v>
      </c>
      <c r="B12" s="21">
        <f>2*B10*B4^2*B11/$B$5</f>
        <v>1.4531600311427018</v>
      </c>
      <c r="C12" s="21">
        <f>2*B10*B4^2*C11/$B$5</f>
        <v>285.98189412888377</v>
      </c>
      <c r="I12" s="19" t="s">
        <v>49</v>
      </c>
      <c r="J12" s="46">
        <v>1</v>
      </c>
      <c r="K12" s="46"/>
      <c r="L12" s="26" t="s">
        <v>46</v>
      </c>
    </row>
    <row r="13" spans="1:12" x14ac:dyDescent="0.15">
      <c r="A13" s="28" t="s">
        <v>14</v>
      </c>
      <c r="B13" s="21">
        <v>0</v>
      </c>
      <c r="C13" s="21">
        <f>4*($F2/B8+$G$2*(1+1/2.067))</f>
        <v>2.4179298232485782</v>
      </c>
    </row>
    <row r="14" spans="1:12" x14ac:dyDescent="0.15">
      <c r="A14" s="28" t="s">
        <v>103</v>
      </c>
      <c r="B14" s="21">
        <f>B13*B4^2/2</f>
        <v>0</v>
      </c>
      <c r="C14" s="21">
        <f>C13*B4^2/2</f>
        <v>26.706034897780551</v>
      </c>
      <c r="I14" s="26" t="s">
        <v>50</v>
      </c>
    </row>
    <row r="15" spans="1:12" x14ac:dyDescent="0.15">
      <c r="A15" s="28" t="s">
        <v>104</v>
      </c>
      <c r="B15" s="21">
        <f>B14+B12</f>
        <v>1.4531600311427018</v>
      </c>
      <c r="C15" s="22">
        <f>C14+C12</f>
        <v>312.68792902666434</v>
      </c>
      <c r="I15" s="26" t="s">
        <v>40</v>
      </c>
      <c r="J15" s="26" t="s">
        <v>39</v>
      </c>
    </row>
    <row r="16" spans="1:12" x14ac:dyDescent="0.15">
      <c r="A16" s="28" t="s">
        <v>105</v>
      </c>
      <c r="B16" s="49">
        <v>32.200000000000003</v>
      </c>
      <c r="C16" s="49"/>
      <c r="I16" s="26" t="s">
        <v>51</v>
      </c>
      <c r="J16" s="26">
        <v>1</v>
      </c>
    </row>
    <row r="17" spans="1:10" x14ac:dyDescent="0.15">
      <c r="A17" s="28" t="s">
        <v>106</v>
      </c>
      <c r="B17" s="46">
        <v>1</v>
      </c>
      <c r="C17" s="46"/>
      <c r="I17" s="26" t="s">
        <v>52</v>
      </c>
      <c r="J17" s="26">
        <v>1</v>
      </c>
    </row>
    <row r="18" spans="1:10" x14ac:dyDescent="0.15">
      <c r="A18" s="28" t="s">
        <v>107</v>
      </c>
      <c r="B18" s="21">
        <f>(B7*(-B15-$B$17*$B$16))/32.17/144</f>
        <v>-0.45229824416272929</v>
      </c>
      <c r="C18" s="21">
        <f>(B7*(-C15-$B$17*$B$16))/32.17/144</f>
        <v>-4.6352914432797627</v>
      </c>
      <c r="D18" s="26" t="s">
        <v>27</v>
      </c>
      <c r="I18" s="26" t="s">
        <v>53</v>
      </c>
      <c r="J18" s="26">
        <v>1</v>
      </c>
    </row>
    <row r="19" spans="1:10" x14ac:dyDescent="0.15">
      <c r="A19" s="28" t="s">
        <v>108</v>
      </c>
      <c r="B19" s="57">
        <f>B18+C18</f>
        <v>-5.0875896874424917</v>
      </c>
      <c r="C19" s="57"/>
    </row>
    <row r="20" spans="1:10" x14ac:dyDescent="0.15">
      <c r="A20" s="30"/>
      <c r="B20" s="27"/>
    </row>
    <row r="21" spans="1:10" x14ac:dyDescent="0.15">
      <c r="A21" s="48" t="s">
        <v>23</v>
      </c>
      <c r="B21" s="48"/>
    </row>
    <row r="22" spans="1:10" x14ac:dyDescent="0.15">
      <c r="A22" s="28" t="s">
        <v>112</v>
      </c>
      <c r="B22" s="21">
        <f>B23*(PI()/4*B24^2)^2*7.481*60</f>
        <v>5.7279003320041761</v>
      </c>
      <c r="C22" s="31"/>
    </row>
    <row r="23" spans="1:10" x14ac:dyDescent="0.15">
      <c r="A23" s="28" t="s">
        <v>95</v>
      </c>
      <c r="B23" s="21">
        <f>5*B4</f>
        <v>23.5</v>
      </c>
    </row>
    <row r="24" spans="1:10" x14ac:dyDescent="0.15">
      <c r="A24" s="28" t="s">
        <v>96</v>
      </c>
      <c r="B24" s="21">
        <f>2.067/12</f>
        <v>0.17225000000000001</v>
      </c>
    </row>
    <row r="25" spans="1:10" x14ac:dyDescent="0.15">
      <c r="A25" s="28" t="s">
        <v>97</v>
      </c>
      <c r="B25" s="23">
        <f>B6</f>
        <v>6.9087499999999997E-4</v>
      </c>
    </row>
    <row r="26" spans="1:10" x14ac:dyDescent="0.15">
      <c r="A26" s="28" t="s">
        <v>98</v>
      </c>
      <c r="B26" s="21">
        <f>B7</f>
        <v>62.2605</v>
      </c>
    </row>
    <row r="27" spans="1:10" x14ac:dyDescent="0.15">
      <c r="A27" s="28" t="s">
        <v>0</v>
      </c>
      <c r="B27" s="24">
        <f>B24*B26*B23/B25</f>
        <v>364787.72779084498</v>
      </c>
    </row>
    <row r="28" spans="1:10" x14ac:dyDescent="0.15">
      <c r="A28" s="28" t="s">
        <v>100</v>
      </c>
      <c r="B28" s="23">
        <f>B9</f>
        <v>1.4999999999999999E-4</v>
      </c>
      <c r="F28" s="32"/>
      <c r="G28" s="32"/>
    </row>
    <row r="29" spans="1:10" x14ac:dyDescent="0.15">
      <c r="A29" s="28" t="s">
        <v>8</v>
      </c>
      <c r="B29" s="23">
        <f>(-4*LOG10(0.27*($B$28/$B$24)+(7/B27)^0.9))^(-2)</f>
        <v>5.0024937503678592E-3</v>
      </c>
    </row>
    <row r="30" spans="1:10" x14ac:dyDescent="0.15">
      <c r="A30" s="28" t="s">
        <v>101</v>
      </c>
      <c r="B30" s="21">
        <f>471</f>
        <v>471</v>
      </c>
      <c r="H30" s="28"/>
      <c r="I30" s="28"/>
      <c r="J30" s="28"/>
    </row>
    <row r="31" spans="1:10" x14ac:dyDescent="0.15">
      <c r="A31" s="28" t="s">
        <v>102</v>
      </c>
      <c r="B31" s="21">
        <f>2*B29*B23^2*B30/B24</f>
        <v>15108.242656426663</v>
      </c>
      <c r="H31" s="19"/>
      <c r="I31" s="19"/>
      <c r="J31" s="19"/>
    </row>
    <row r="32" spans="1:10" x14ac:dyDescent="0.15">
      <c r="A32" s="28" t="s">
        <v>14</v>
      </c>
      <c r="B32" s="21">
        <f>2*($F$3/$B$27+$G$3*(1+1/2.067))+3*(F2/B27+G2*(1+1/2.067))+2*(F4/B27+G4*(1+1/2.067))</f>
        <v>2.6812443030263751</v>
      </c>
      <c r="H32" s="19"/>
      <c r="I32" s="19"/>
      <c r="J32" s="19"/>
    </row>
    <row r="33" spans="1:10" x14ac:dyDescent="0.15">
      <c r="A33" s="28" t="s">
        <v>103</v>
      </c>
      <c r="B33" s="21">
        <f>B32*B23^2/2</f>
        <v>740.35858317315785</v>
      </c>
      <c r="H33" s="19"/>
      <c r="I33" s="19"/>
      <c r="J33" s="19"/>
    </row>
    <row r="34" spans="1:10" x14ac:dyDescent="0.15">
      <c r="A34" s="28" t="s">
        <v>104</v>
      </c>
      <c r="B34" s="21">
        <f>B33+B31</f>
        <v>15848.60123959982</v>
      </c>
      <c r="C34" s="33"/>
    </row>
    <row r="35" spans="1:10" x14ac:dyDescent="0.15">
      <c r="A35" s="28" t="s">
        <v>105</v>
      </c>
      <c r="B35" s="21">
        <v>32.200000000000003</v>
      </c>
      <c r="C35" s="34"/>
    </row>
    <row r="36" spans="1:10" x14ac:dyDescent="0.15">
      <c r="A36" s="28" t="s">
        <v>106</v>
      </c>
      <c r="B36" s="21">
        <f>-275</f>
        <v>-275</v>
      </c>
      <c r="G36" s="32"/>
      <c r="H36" s="32"/>
    </row>
    <row r="37" spans="1:10" x14ac:dyDescent="0.15">
      <c r="A37" s="28" t="s">
        <v>107</v>
      </c>
      <c r="B37" s="22">
        <f>(B26*(-B34-B36*B35))/32.17/144</f>
        <v>-93.993953557944053</v>
      </c>
    </row>
    <row r="38" spans="1:10" x14ac:dyDescent="0.15">
      <c r="B38" s="25"/>
    </row>
    <row r="39" spans="1:10" x14ac:dyDescent="0.15">
      <c r="A39" s="20" t="s">
        <v>110</v>
      </c>
      <c r="B39" s="22">
        <f>B37+B19</f>
        <v>-99.081543245386541</v>
      </c>
      <c r="C39" s="26" t="s">
        <v>109</v>
      </c>
    </row>
    <row r="40" spans="1:10" x14ac:dyDescent="0.15">
      <c r="A40" s="20" t="s">
        <v>133</v>
      </c>
      <c r="B40" s="21">
        <f>B34+B15+C15</f>
        <v>16162.742328657627</v>
      </c>
    </row>
    <row r="60" spans="5:5" x14ac:dyDescent="0.15">
      <c r="E60" s="32"/>
    </row>
    <row r="61" spans="5:5" x14ac:dyDescent="0.15">
      <c r="E61" s="32"/>
    </row>
  </sheetData>
  <mergeCells count="22">
    <mergeCell ref="A21:B21"/>
    <mergeCell ref="A1:C1"/>
    <mergeCell ref="B5:C5"/>
    <mergeCell ref="B6:C6"/>
    <mergeCell ref="B7:C7"/>
    <mergeCell ref="B9:C9"/>
    <mergeCell ref="B16:C16"/>
    <mergeCell ref="B8:C8"/>
    <mergeCell ref="B10:C10"/>
    <mergeCell ref="B3:C3"/>
    <mergeCell ref="B4:C4"/>
    <mergeCell ref="B17:C17"/>
    <mergeCell ref="B19:C19"/>
    <mergeCell ref="J9:K9"/>
    <mergeCell ref="J10:K10"/>
    <mergeCell ref="J11:K11"/>
    <mergeCell ref="J12:K12"/>
    <mergeCell ref="I1:K1"/>
    <mergeCell ref="I5:K5"/>
    <mergeCell ref="J6:K6"/>
    <mergeCell ref="I7:K7"/>
    <mergeCell ref="J8:K8"/>
  </mergeCells>
  <pageMargins left="0.7" right="0.7" top="0.75" bottom="0.75" header="0.3" footer="0.3"/>
  <pageSetup orientation="portrait" horizontalDpi="0" verticalDpi="0"/>
  <ignoredErrors>
    <ignoredError sqref="B2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395F-26FA-5946-A36C-B899FA20911F}">
  <dimension ref="A1:K42"/>
  <sheetViews>
    <sheetView zoomScale="221" workbookViewId="0">
      <selection activeCell="C33" sqref="C33"/>
    </sheetView>
  </sheetViews>
  <sheetFormatPr baseColWidth="10" defaultRowHeight="14" x14ac:dyDescent="0.15"/>
  <cols>
    <col min="1" max="1" width="21.5" style="26" customWidth="1"/>
    <col min="2" max="2" width="9.83203125" style="26" customWidth="1"/>
    <col min="3" max="3" width="25.83203125" style="26" customWidth="1"/>
    <col min="4" max="4" width="13.33203125" style="26" customWidth="1"/>
    <col min="5" max="16384" width="10.83203125" style="26"/>
  </cols>
  <sheetData>
    <row r="1" spans="1:11" x14ac:dyDescent="0.15">
      <c r="A1" s="48" t="s">
        <v>29</v>
      </c>
      <c r="B1" s="48"/>
      <c r="D1" s="28" t="s">
        <v>13</v>
      </c>
      <c r="E1" s="28" t="s">
        <v>16</v>
      </c>
      <c r="F1" s="28" t="s">
        <v>15</v>
      </c>
      <c r="H1" s="47" t="s">
        <v>38</v>
      </c>
      <c r="I1" s="47"/>
      <c r="J1" s="47"/>
    </row>
    <row r="2" spans="1:11" x14ac:dyDescent="0.15">
      <c r="A2" s="35" t="s">
        <v>112</v>
      </c>
      <c r="B2" s="21">
        <f>B3*B4^2/4*PI()*7.481*60</f>
        <v>4.3397297215035824</v>
      </c>
      <c r="D2" s="19" t="s">
        <v>12</v>
      </c>
      <c r="E2" s="19">
        <v>800</v>
      </c>
      <c r="F2" s="19">
        <v>0.4</v>
      </c>
      <c r="H2" s="20" t="s">
        <v>40</v>
      </c>
      <c r="I2" s="20" t="s">
        <v>44</v>
      </c>
      <c r="J2" s="20" t="s">
        <v>39</v>
      </c>
    </row>
    <row r="3" spans="1:11" x14ac:dyDescent="0.15">
      <c r="A3" s="28" t="s">
        <v>95</v>
      </c>
      <c r="B3" s="21">
        <v>0.41489999999999999</v>
      </c>
      <c r="C3" s="26" t="s">
        <v>127</v>
      </c>
      <c r="D3" s="19" t="s">
        <v>24</v>
      </c>
      <c r="E3" s="19">
        <v>200</v>
      </c>
      <c r="F3" s="19">
        <v>0.1</v>
      </c>
      <c r="H3" s="19" t="s">
        <v>38</v>
      </c>
      <c r="I3" s="19">
        <v>0.5</v>
      </c>
      <c r="J3" s="19">
        <v>1</v>
      </c>
      <c r="K3" s="26" t="s">
        <v>54</v>
      </c>
    </row>
    <row r="4" spans="1:11" x14ac:dyDescent="0.15">
      <c r="A4" s="28" t="s">
        <v>96</v>
      </c>
      <c r="B4" s="21">
        <f>2.067/12</f>
        <v>0.17225000000000001</v>
      </c>
      <c r="H4" s="47" t="s">
        <v>45</v>
      </c>
      <c r="I4" s="47"/>
      <c r="J4" s="47"/>
    </row>
    <row r="5" spans="1:11" x14ac:dyDescent="0.15">
      <c r="A5" s="28" t="s">
        <v>97</v>
      </c>
      <c r="B5" s="23">
        <f>(3.1633+1.811)/2/3600</f>
        <v>6.9087499999999997E-4</v>
      </c>
      <c r="C5" s="19"/>
      <c r="H5" s="19" t="s">
        <v>43</v>
      </c>
      <c r="I5" s="46">
        <v>391.5</v>
      </c>
      <c r="J5" s="46"/>
      <c r="K5" s="26" t="s">
        <v>136</v>
      </c>
    </row>
    <row r="6" spans="1:11" x14ac:dyDescent="0.15">
      <c r="A6" s="28" t="s">
        <v>98</v>
      </c>
      <c r="B6" s="21">
        <f>(62.406+62.115)/2</f>
        <v>62.2605</v>
      </c>
      <c r="C6" s="19"/>
      <c r="H6" s="47" t="s">
        <v>13</v>
      </c>
      <c r="I6" s="47"/>
      <c r="J6" s="47"/>
    </row>
    <row r="7" spans="1:11" x14ac:dyDescent="0.15">
      <c r="A7" s="28" t="s">
        <v>0</v>
      </c>
      <c r="B7" s="24">
        <f>$B$4*$B$6*B3/$B$5</f>
        <v>6440.4437557626206</v>
      </c>
      <c r="H7" s="20" t="s">
        <v>40</v>
      </c>
      <c r="I7" s="47" t="s">
        <v>39</v>
      </c>
      <c r="J7" s="47"/>
    </row>
    <row r="8" spans="1:11" x14ac:dyDescent="0.15">
      <c r="A8" s="28" t="s">
        <v>100</v>
      </c>
      <c r="B8" s="23">
        <f>0.00015</f>
        <v>1.4999999999999999E-4</v>
      </c>
      <c r="C8" s="19"/>
      <c r="H8" s="19" t="s">
        <v>47</v>
      </c>
      <c r="I8" s="46">
        <v>10</v>
      </c>
      <c r="J8" s="46"/>
      <c r="K8" s="26" t="s">
        <v>134</v>
      </c>
    </row>
    <row r="9" spans="1:11" x14ac:dyDescent="0.15">
      <c r="A9" s="28" t="s">
        <v>8</v>
      </c>
      <c r="B9" s="23">
        <f>(-4*LOG10(0.27*($B$8/$B$4)+(7/B7)^0.9))^(-2)</f>
        <v>9.0884559276981896E-3</v>
      </c>
      <c r="H9" s="19" t="s">
        <v>12</v>
      </c>
      <c r="I9" s="46">
        <v>3</v>
      </c>
      <c r="J9" s="46"/>
      <c r="K9" s="26" t="s">
        <v>55</v>
      </c>
    </row>
    <row r="10" spans="1:11" x14ac:dyDescent="0.15">
      <c r="A10" s="28" t="s">
        <v>101</v>
      </c>
      <c r="B10" s="21">
        <f>243.5</f>
        <v>243.5</v>
      </c>
    </row>
    <row r="11" spans="1:11" x14ac:dyDescent="0.15">
      <c r="A11" s="28" t="s">
        <v>102</v>
      </c>
      <c r="B11" s="21">
        <f>2*B9*B3^2*B10/$B$4</f>
        <v>4.4233031620883336</v>
      </c>
      <c r="H11" s="26" t="s">
        <v>50</v>
      </c>
      <c r="K11" s="26" t="s">
        <v>135</v>
      </c>
    </row>
    <row r="12" spans="1:11" x14ac:dyDescent="0.15">
      <c r="A12" s="28" t="s">
        <v>14</v>
      </c>
      <c r="B12" s="21">
        <f>3*(E2/B7+F2*(1+1/2.067))</f>
        <v>2.1531966538508858</v>
      </c>
      <c r="H12" s="26" t="s">
        <v>40</v>
      </c>
      <c r="I12" s="26" t="s">
        <v>39</v>
      </c>
    </row>
    <row r="13" spans="1:11" x14ac:dyDescent="0.15">
      <c r="A13" s="28" t="s">
        <v>103</v>
      </c>
      <c r="B13" s="21">
        <f>B12*B3^2/2</f>
        <v>0.18532779995958285</v>
      </c>
      <c r="H13" s="26" t="s">
        <v>51</v>
      </c>
      <c r="I13" s="26">
        <v>1</v>
      </c>
    </row>
    <row r="14" spans="1:11" x14ac:dyDescent="0.15">
      <c r="A14" s="28" t="s">
        <v>104</v>
      </c>
      <c r="B14" s="21">
        <f>B13+B11</f>
        <v>4.6086309620479167</v>
      </c>
      <c r="H14" s="26" t="s">
        <v>52</v>
      </c>
      <c r="I14" s="26">
        <v>1</v>
      </c>
    </row>
    <row r="15" spans="1:11" x14ac:dyDescent="0.15">
      <c r="A15" s="28" t="s">
        <v>105</v>
      </c>
      <c r="B15" s="21">
        <v>32.200000000000003</v>
      </c>
      <c r="H15" s="26" t="s">
        <v>53</v>
      </c>
      <c r="I15" s="26">
        <v>1</v>
      </c>
    </row>
    <row r="16" spans="1:11" x14ac:dyDescent="0.15">
      <c r="A16" s="28" t="s">
        <v>106</v>
      </c>
      <c r="B16" s="21">
        <f>-127</f>
        <v>-127</v>
      </c>
    </row>
    <row r="17" spans="1:3" x14ac:dyDescent="0.15">
      <c r="A17" s="28" t="s">
        <v>107</v>
      </c>
      <c r="B17" s="22">
        <f>B6*(-B14-$B$16*$B$15)/3217/144</f>
        <v>0.5489956848858224</v>
      </c>
      <c r="C17" s="32" t="s">
        <v>115</v>
      </c>
    </row>
    <row r="19" spans="1:3" x14ac:dyDescent="0.15">
      <c r="A19" s="58" t="s">
        <v>30</v>
      </c>
      <c r="B19" s="59"/>
    </row>
    <row r="20" spans="1:3" x14ac:dyDescent="0.15">
      <c r="A20" s="28" t="s">
        <v>112</v>
      </c>
      <c r="B20" s="21">
        <v>5.7279003320041797</v>
      </c>
      <c r="C20" s="26" t="s">
        <v>114</v>
      </c>
    </row>
    <row r="21" spans="1:3" x14ac:dyDescent="0.15">
      <c r="A21" s="28" t="s">
        <v>95</v>
      </c>
      <c r="B21" s="21">
        <v>23.5</v>
      </c>
    </row>
    <row r="22" spans="1:3" x14ac:dyDescent="0.15">
      <c r="A22" s="28" t="s">
        <v>96</v>
      </c>
      <c r="B22" s="21">
        <f>2.067/12</f>
        <v>0.17225000000000001</v>
      </c>
    </row>
    <row r="23" spans="1:3" x14ac:dyDescent="0.15">
      <c r="A23" s="28" t="s">
        <v>97</v>
      </c>
      <c r="B23" s="23">
        <f>(3.1633+1.811)/2/3600</f>
        <v>6.9087499999999997E-4</v>
      </c>
    </row>
    <row r="24" spans="1:3" x14ac:dyDescent="0.15">
      <c r="A24" s="28" t="s">
        <v>98</v>
      </c>
      <c r="B24" s="21">
        <f>(62.406+62.115)/2</f>
        <v>62.2605</v>
      </c>
    </row>
    <row r="25" spans="1:3" x14ac:dyDescent="0.15">
      <c r="A25" s="28" t="s">
        <v>0</v>
      </c>
      <c r="B25" s="24">
        <f>B22*B24*B21/B23</f>
        <v>364787.72779084498</v>
      </c>
    </row>
    <row r="26" spans="1:3" x14ac:dyDescent="0.15">
      <c r="A26" s="28" t="s">
        <v>100</v>
      </c>
      <c r="B26" s="23">
        <f>0.00015</f>
        <v>1.4999999999999999E-4</v>
      </c>
    </row>
    <row r="27" spans="1:3" x14ac:dyDescent="0.15">
      <c r="A27" s="28" t="s">
        <v>8</v>
      </c>
      <c r="B27" s="23">
        <f>(-4*LOG10(0.27*(B26/B22)+(7/B25)^0.9))^(-2)</f>
        <v>5.0024937503678592E-3</v>
      </c>
    </row>
    <row r="28" spans="1:3" x14ac:dyDescent="0.15">
      <c r="A28" s="28" t="s">
        <v>101</v>
      </c>
      <c r="B28" s="21">
        <f>151</f>
        <v>151</v>
      </c>
    </row>
    <row r="29" spans="1:3" x14ac:dyDescent="0.15">
      <c r="A29" s="28" t="s">
        <v>102</v>
      </c>
      <c r="B29" s="21">
        <f>2*B27*B21^2*B28/B22</f>
        <v>4843.6191955847689</v>
      </c>
    </row>
    <row r="30" spans="1:3" x14ac:dyDescent="0.15">
      <c r="A30" s="28" t="s">
        <v>14</v>
      </c>
      <c r="B30" s="21">
        <f>E2/B25+F2*(1+1/2.067)</f>
        <v>0.59571023088182906</v>
      </c>
    </row>
    <row r="31" spans="1:3" x14ac:dyDescent="0.15">
      <c r="A31" s="28" t="s">
        <v>103</v>
      </c>
      <c r="B31" s="21">
        <f>B30*B21^2/2</f>
        <v>164.49048750224506</v>
      </c>
    </row>
    <row r="32" spans="1:3" x14ac:dyDescent="0.15">
      <c r="A32" s="28" t="s">
        <v>104</v>
      </c>
      <c r="B32" s="21">
        <f>B31+B29</f>
        <v>5008.1096830870138</v>
      </c>
    </row>
    <row r="33" spans="1:4" x14ac:dyDescent="0.15">
      <c r="A33" s="28" t="s">
        <v>105</v>
      </c>
      <c r="B33" s="21">
        <v>32.200000000000003</v>
      </c>
      <c r="C33" s="26">
        <v>10</v>
      </c>
    </row>
    <row r="34" spans="1:4" x14ac:dyDescent="0.15">
      <c r="A34" s="28" t="s">
        <v>106</v>
      </c>
      <c r="B34" s="21">
        <f>101</f>
        <v>101</v>
      </c>
    </row>
    <row r="35" spans="1:4" x14ac:dyDescent="0.15">
      <c r="A35" s="28" t="s">
        <v>107</v>
      </c>
      <c r="B35" s="21">
        <f>B24*(-B32-B34*B33)/32.17/144</f>
        <v>-111.01850650706297</v>
      </c>
      <c r="C35" s="26" t="s">
        <v>116</v>
      </c>
    </row>
    <row r="36" spans="1:4" x14ac:dyDescent="0.15">
      <c r="A36" s="28" t="s">
        <v>117</v>
      </c>
      <c r="B36" s="21">
        <f>B34+B32/B33</f>
        <v>256.53135661760911</v>
      </c>
      <c r="D36" s="26" t="s">
        <v>118</v>
      </c>
    </row>
    <row r="37" spans="1:4" x14ac:dyDescent="0.15">
      <c r="A37" s="28" t="s">
        <v>124</v>
      </c>
      <c r="B37" s="19">
        <v>0.37</v>
      </c>
      <c r="C37" s="26" t="s">
        <v>125</v>
      </c>
      <c r="D37" s="26" t="s">
        <v>119</v>
      </c>
    </row>
    <row r="38" spans="1:4" x14ac:dyDescent="0.15">
      <c r="C38" s="36"/>
      <c r="D38" s="26" t="s">
        <v>120</v>
      </c>
    </row>
    <row r="39" spans="1:4" x14ac:dyDescent="0.15">
      <c r="D39" s="26" t="s">
        <v>121</v>
      </c>
    </row>
    <row r="41" spans="1:4" x14ac:dyDescent="0.15">
      <c r="C41" s="26" t="s">
        <v>123</v>
      </c>
      <c r="D41" s="26" t="s">
        <v>122</v>
      </c>
    </row>
    <row r="42" spans="1:4" x14ac:dyDescent="0.15">
      <c r="C42" s="26" t="s">
        <v>126</v>
      </c>
    </row>
  </sheetData>
  <mergeCells count="9">
    <mergeCell ref="I8:J8"/>
    <mergeCell ref="I7:J7"/>
    <mergeCell ref="I9:J9"/>
    <mergeCell ref="A19:B19"/>
    <mergeCell ref="A1:B1"/>
    <mergeCell ref="H1:J1"/>
    <mergeCell ref="H4:J4"/>
    <mergeCell ref="I5:J5"/>
    <mergeCell ref="H6:J6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87A9-A2DC-CB49-9D42-3480109D604C}">
  <dimension ref="A1:B8"/>
  <sheetViews>
    <sheetView tabSelected="1" zoomScale="232" workbookViewId="0">
      <selection activeCell="B8" sqref="A2:B8"/>
    </sheetView>
  </sheetViews>
  <sheetFormatPr baseColWidth="10" defaultRowHeight="14" x14ac:dyDescent="0.15"/>
  <cols>
    <col min="1" max="1" width="16.1640625" style="18" customWidth="1"/>
    <col min="2" max="2" width="8.83203125" style="18" customWidth="1"/>
    <col min="3" max="3" width="8.6640625" style="18" customWidth="1"/>
    <col min="4" max="16384" width="10.83203125" style="18"/>
  </cols>
  <sheetData>
    <row r="1" spans="1:2" x14ac:dyDescent="0.15">
      <c r="A1" s="48" t="s">
        <v>129</v>
      </c>
      <c r="B1" s="48"/>
    </row>
    <row r="2" spans="1:2" x14ac:dyDescent="0.15">
      <c r="A2" s="37" t="s">
        <v>112</v>
      </c>
      <c r="B2" s="38">
        <f>B3*B4*7.481*60</f>
        <v>10.000000269316001</v>
      </c>
    </row>
    <row r="3" spans="1:2" x14ac:dyDescent="0.15">
      <c r="A3" s="37" t="s">
        <v>138</v>
      </c>
      <c r="B3" s="39">
        <v>2.2278662098017201E-3</v>
      </c>
    </row>
    <row r="4" spans="1:2" x14ac:dyDescent="0.15">
      <c r="A4" s="37" t="s">
        <v>130</v>
      </c>
      <c r="B4" s="38">
        <f>80*1.5/12</f>
        <v>10</v>
      </c>
    </row>
    <row r="5" spans="1:2" x14ac:dyDescent="0.15">
      <c r="A5" s="37" t="s">
        <v>139</v>
      </c>
      <c r="B5" s="39">
        <v>3.6776956347556102E-4</v>
      </c>
    </row>
    <row r="6" spans="1:2" x14ac:dyDescent="0.15">
      <c r="A6" s="37" t="s">
        <v>137</v>
      </c>
      <c r="B6" s="40">
        <v>32.200000000000003</v>
      </c>
    </row>
    <row r="7" spans="1:2" x14ac:dyDescent="0.15">
      <c r="A7" s="37" t="s">
        <v>141</v>
      </c>
      <c r="B7" s="40">
        <f>5.25/12</f>
        <v>0.4375</v>
      </c>
    </row>
    <row r="8" spans="1:2" x14ac:dyDescent="0.15">
      <c r="A8" s="37" t="s">
        <v>140</v>
      </c>
      <c r="B8" s="39">
        <f>B5/(SQRT(2*(B7+B5)/B6))</f>
        <v>2.2300635167578418E-3</v>
      </c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2</vt:lpstr>
      <vt:lpstr>FIELD 1</vt:lpstr>
      <vt:lpstr>Field 2 new</vt:lpstr>
      <vt:lpstr>Field 1 new</vt:lpstr>
      <vt:lpstr>Hill 2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2020-10-09T21:45:28Z</dcterms:created>
  <dcterms:modified xsi:type="dcterms:W3CDTF">2020-10-19T23:32:33Z</dcterms:modified>
</cp:coreProperties>
</file>