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yeed/Desktop/FALL 2021/CHEM438 - Instrumental Lab/DSF - Determination of Sodium in Tonic Water/"/>
    </mc:Choice>
  </mc:AlternateContent>
  <xr:revisionPtr revIDLastSave="0" documentId="13_ncr:1_{A74DFE62-FCDB-8D44-816C-FC0F41CA9671}" xr6:coauthVersionLast="47" xr6:coauthVersionMax="47" xr10:uidLastSave="{00000000-0000-0000-0000-000000000000}"/>
  <bookViews>
    <workbookView xWindow="0" yWindow="500" windowWidth="28800" windowHeight="16320" activeTab="1" xr2:uid="{B3F7A752-81FA-234E-A650-DFF3C7099C3A}"/>
  </bookViews>
  <sheets>
    <sheet name="Prelab" sheetId="1" r:id="rId1"/>
    <sheet name="La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" i="2" l="1"/>
  <c r="U4" i="2" s="1"/>
  <c r="U2" i="2"/>
  <c r="V2" i="2"/>
  <c r="D5" i="2"/>
  <c r="D4" i="2"/>
  <c r="V3" i="2" l="1"/>
  <c r="D8" i="2"/>
  <c r="D6" i="2"/>
  <c r="P13" i="2" s="1"/>
  <c r="Q9" i="2" s="1"/>
  <c r="D7" i="2"/>
  <c r="H8" i="2"/>
  <c r="H4" i="2"/>
  <c r="H5" i="2"/>
  <c r="H6" i="2"/>
  <c r="H7" i="2"/>
  <c r="H3" i="2"/>
  <c r="C12" i="1"/>
  <c r="E5" i="1" s="1"/>
  <c r="C11" i="1"/>
  <c r="E3" i="1" s="1"/>
  <c r="P12" i="2" l="1"/>
  <c r="K2" i="2" a="1"/>
  <c r="E6" i="1"/>
  <c r="B2" i="1"/>
  <c r="B3" i="1"/>
  <c r="B4" i="1"/>
  <c r="B6" i="1"/>
  <c r="B5" i="1"/>
  <c r="E2" i="1"/>
  <c r="E4" i="1"/>
  <c r="Q10" i="2"/>
  <c r="Q12" i="2"/>
  <c r="Q11" i="2"/>
  <c r="Q13" i="2"/>
  <c r="L14" i="2" l="1"/>
  <c r="V4" i="2" s="1"/>
  <c r="K11" i="2" s="1"/>
  <c r="K2" i="2"/>
  <c r="L11" i="2"/>
  <c r="L10" i="2"/>
  <c r="P10" i="2"/>
  <c r="P14" i="2"/>
  <c r="M10" i="2" l="1"/>
  <c r="M11" i="2"/>
  <c r="P9" i="2"/>
  <c r="L12" i="2" s="1"/>
  <c r="K10" i="2"/>
  <c r="K12" i="2" s="1"/>
  <c r="R2" i="2" s="1"/>
  <c r="R3" i="2" l="1"/>
  <c r="R4" i="2" s="1"/>
  <c r="M1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<sst xmlns="http://schemas.openxmlformats.org/spreadsheetml/2006/main" count="62" uniqueCount="56">
  <si>
    <t>Sample</t>
  </si>
  <si>
    <t>b (cm)</t>
  </si>
  <si>
    <t>Standard Conc (M)</t>
  </si>
  <si>
    <t>100-fold dilution standard (M)</t>
  </si>
  <si>
    <t>400-fold dilution standard (M)</t>
  </si>
  <si>
    <t>Absorbance</t>
  </si>
  <si>
    <t>Conc. Of Standard (M)</t>
  </si>
  <si>
    <r>
      <t>V</t>
    </r>
    <r>
      <rPr>
        <b/>
        <vertAlign val="subscript"/>
        <sz val="12"/>
        <color theme="1"/>
        <rFont val="Times New Roman"/>
        <family val="1"/>
      </rPr>
      <t>tonic</t>
    </r>
    <r>
      <rPr>
        <b/>
        <sz val="12"/>
        <color theme="1"/>
        <rFont val="Times New Roman"/>
        <family val="1"/>
      </rPr>
      <t xml:space="preserve"> (mL)</t>
    </r>
  </si>
  <si>
    <r>
      <t>V</t>
    </r>
    <r>
      <rPr>
        <b/>
        <vertAlign val="subscript"/>
        <sz val="12"/>
        <color theme="1"/>
        <rFont val="Times New Roman"/>
        <family val="1"/>
      </rPr>
      <t>standard</t>
    </r>
    <r>
      <rPr>
        <b/>
        <sz val="12"/>
        <color theme="1"/>
        <rFont val="Times New Roman"/>
        <family val="1"/>
      </rPr>
      <t xml:space="preserve"> (mL)</t>
    </r>
  </si>
  <si>
    <r>
      <t>ε (M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cm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</si>
  <si>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t>Average</t>
  </si>
  <si>
    <t>m </t>
  </si>
  <si>
    <t>b </t>
  </si>
  <si>
    <r>
      <t>u</t>
    </r>
    <r>
      <rPr>
        <b/>
        <vertAlign val="subscript"/>
        <sz val="12"/>
        <color theme="1"/>
        <rFont val="Times New Roman"/>
        <family val="1"/>
      </rPr>
      <t>m</t>
    </r>
    <r>
      <rPr>
        <b/>
        <sz val="12"/>
        <color theme="1"/>
        <rFont val="Times New Roman"/>
        <family val="1"/>
      </rPr>
      <t> </t>
    </r>
  </si>
  <si>
    <r>
      <t>u</t>
    </r>
    <r>
      <rPr>
        <b/>
        <vertAlign val="subscript"/>
        <sz val="12"/>
        <color theme="1"/>
        <rFont val="Times New Roman"/>
        <family val="1"/>
      </rPr>
      <t>b </t>
    </r>
  </si>
  <si>
    <r>
      <t>R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 </t>
    </r>
  </si>
  <si>
    <r>
      <t>s</t>
    </r>
    <r>
      <rPr>
        <b/>
        <vertAlign val="subscript"/>
        <sz val="12"/>
        <color theme="1"/>
        <rFont val="Times New Roman"/>
        <family val="1"/>
      </rPr>
      <t>y</t>
    </r>
  </si>
  <si>
    <t>Fisher value </t>
  </si>
  <si>
    <t>df </t>
  </si>
  <si>
    <t>Regression SOS </t>
  </si>
  <si>
    <t>Residual SOS </t>
  </si>
  <si>
    <t>LINEST For Standard Addition Plot</t>
  </si>
  <si>
    <t>Parameters</t>
  </si>
  <si>
    <t>Error</t>
  </si>
  <si>
    <t>m</t>
  </si>
  <si>
    <t>b</t>
  </si>
  <si>
    <r>
      <t>m (µM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</si>
  <si>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t>Values</t>
  </si>
  <si>
    <t>x-intercept (µM)</t>
  </si>
  <si>
    <t>n</t>
  </si>
  <si>
    <t>x-int -&gt; final conc. Of tonic water diluted</t>
  </si>
  <si>
    <t>V (mL)</t>
  </si>
  <si>
    <t>Type of data</t>
  </si>
  <si>
    <t>Errors</t>
  </si>
  <si>
    <t>1mL volumetric pipette</t>
  </si>
  <si>
    <t>50 mL volumetric flask</t>
  </si>
  <si>
    <t>pg 31-32</t>
  </si>
  <si>
    <r>
      <t>[Na]</t>
    </r>
    <r>
      <rPr>
        <b/>
        <vertAlign val="subscript"/>
        <sz val="12"/>
        <color theme="1"/>
        <rFont val="Times New Roman"/>
        <family val="1"/>
      </rPr>
      <t>f</t>
    </r>
    <r>
      <rPr>
        <b/>
        <sz val="12"/>
        <color theme="1"/>
        <rFont val="Times New Roman"/>
        <family val="1"/>
      </rPr>
      <t xml:space="preserve"> (µM)</t>
    </r>
  </si>
  <si>
    <r>
      <t>V</t>
    </r>
    <r>
      <rPr>
        <b/>
        <vertAlign val="subscript"/>
        <sz val="12"/>
        <color theme="1"/>
        <rFont val="Times New Roman"/>
        <family val="1"/>
      </rPr>
      <t>0</t>
    </r>
    <r>
      <rPr>
        <b/>
        <sz val="12"/>
        <color theme="1"/>
        <rFont val="Times New Roman"/>
        <family val="1"/>
      </rPr>
      <t xml:space="preserve"> (mL)</t>
    </r>
  </si>
  <si>
    <t>[S] (µM)</t>
  </si>
  <si>
    <r>
      <t>[S]</t>
    </r>
    <r>
      <rPr>
        <b/>
        <vertAlign val="subscript"/>
        <sz val="12"/>
        <color theme="1"/>
        <rFont val="Times New Roman"/>
        <family val="1"/>
      </rPr>
      <t xml:space="preserve">i </t>
    </r>
    <r>
      <rPr>
        <b/>
        <sz val="12"/>
        <color theme="1"/>
        <rFont val="Times New Roman"/>
        <family val="1"/>
      </rPr>
      <t>(M)</t>
    </r>
  </si>
  <si>
    <r>
      <t>[Na]</t>
    </r>
    <r>
      <rPr>
        <b/>
        <vertAlign val="subscript"/>
        <sz val="12"/>
        <color theme="1"/>
        <rFont val="Times New Roman"/>
        <family val="1"/>
      </rPr>
      <t>40-fold dilution</t>
    </r>
    <r>
      <rPr>
        <b/>
        <sz val="12"/>
        <color theme="1"/>
        <rFont val="Times New Roman"/>
        <family val="1"/>
      </rPr>
      <t xml:space="preserve"> (M)</t>
    </r>
  </si>
  <si>
    <r>
      <t>[Na]</t>
    </r>
    <r>
      <rPr>
        <b/>
        <vertAlign val="subscript"/>
        <sz val="12"/>
        <color theme="1"/>
        <rFont val="Times New Roman"/>
        <family val="1"/>
      </rPr>
      <t>original sample</t>
    </r>
    <r>
      <rPr>
        <b/>
        <sz val="12"/>
        <color theme="1"/>
        <rFont val="Times New Roman"/>
        <family val="1"/>
      </rPr>
      <t xml:space="preserve"> (M)</t>
    </r>
  </si>
  <si>
    <r>
      <t>t*u</t>
    </r>
    <r>
      <rPr>
        <b/>
        <vertAlign val="subscript"/>
        <sz val="12"/>
        <color theme="1"/>
        <rFont val="Times New Roman"/>
        <family val="1"/>
      </rPr>
      <t>x</t>
    </r>
  </si>
  <si>
    <r>
      <t>t</t>
    </r>
    <r>
      <rPr>
        <vertAlign val="subscript"/>
        <sz val="12"/>
        <color theme="1"/>
        <rFont val="Times New Roman"/>
        <family val="1"/>
      </rPr>
      <t>95%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* Errors</t>
    </r>
  </si>
  <si>
    <t>-</t>
  </si>
  <si>
    <r>
      <t>t</t>
    </r>
    <r>
      <rPr>
        <b/>
        <vertAlign val="subscript"/>
        <sz val="12"/>
        <color theme="1"/>
        <rFont val="Times New Roman"/>
        <family val="1"/>
      </rPr>
      <t>95%</t>
    </r>
    <r>
      <rPr>
        <b/>
        <vertAlign val="superscript"/>
        <sz val="12"/>
        <color theme="1"/>
        <rFont val="Times New Roman"/>
        <family val="1"/>
      </rPr>
      <t>3</t>
    </r>
  </si>
  <si>
    <r>
      <t>ȳ</t>
    </r>
    <r>
      <rPr>
        <b/>
        <vertAlign val="superscript"/>
        <sz val="12"/>
        <color theme="1"/>
        <rFont val="Times New Roman"/>
        <family val="1"/>
      </rPr>
      <t>2</t>
    </r>
  </si>
  <si>
    <t>x̄</t>
  </si>
  <si>
    <r>
      <t>Σ(x</t>
    </r>
    <r>
      <rPr>
        <b/>
        <vertAlign val="subscript"/>
        <sz val="12"/>
        <color theme="1"/>
        <rFont val="Times New Roman"/>
        <family val="1"/>
      </rPr>
      <t>i</t>
    </r>
    <r>
      <rPr>
        <b/>
        <sz val="12"/>
        <color theme="1"/>
        <rFont val="Times New Roman"/>
        <family val="1"/>
      </rPr>
      <t xml:space="preserve"> - x̄)</t>
    </r>
    <r>
      <rPr>
        <b/>
        <vertAlign val="superscript"/>
        <sz val="12"/>
        <color theme="1"/>
        <rFont val="Times New Roman"/>
        <family val="1"/>
      </rPr>
      <t>2</t>
    </r>
  </si>
  <si>
    <t>x = [S]</t>
  </si>
  <si>
    <t>y = Absorbance</t>
  </si>
  <si>
    <r>
      <t>(x</t>
    </r>
    <r>
      <rPr>
        <b/>
        <vertAlign val="subscript"/>
        <sz val="12"/>
        <color theme="1"/>
        <rFont val="Times New Roman"/>
        <family val="1"/>
      </rPr>
      <t>i</t>
    </r>
    <r>
      <rPr>
        <b/>
        <sz val="12"/>
        <color theme="1"/>
        <rFont val="Times New Roman"/>
        <family val="1"/>
      </rPr>
      <t xml:space="preserve"> - x̄)</t>
    </r>
    <r>
      <rPr>
        <b/>
        <vertAlign val="superscript"/>
        <sz val="12"/>
        <color theme="1"/>
        <rFont val="Times New Roman"/>
        <family val="1"/>
      </rPr>
      <t>2</t>
    </r>
  </si>
  <si>
    <t>looks about right</t>
  </si>
  <si>
    <t>% by mass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</si>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</sst>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0000000"/>
    <numFmt numFmtId="167" formatCode="0.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4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0" borderId="1" xfId="0" applyNumberFormat="1" applyFont="1" applyBorder="1" applyAlignment="1">
      <alignment horizontal="center"/>
    </xf>
    <xf numFmtId="167" fontId="3" fillId="0" borderId="1" xfId="0" applyNumberFormat="1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167" fontId="3" fillId="5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1" fontId="3" fillId="0" borderId="2" xfId="0" applyNumberFormat="1" applyFont="1" applyBorder="1" applyAlignment="1">
      <alignment horizontal="center"/>
    </xf>
    <xf numFmtId="167" fontId="3" fillId="0" borderId="2" xfId="0" applyNumberFormat="1" applyFont="1" applyBorder="1" applyAlignment="1">
      <alignment horizontal="center"/>
    </xf>
    <xf numFmtId="166" fontId="3" fillId="0" borderId="2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0" xfId="0" applyFont="1"/>
    <xf numFmtId="0" fontId="1" fillId="4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0" borderId="1" xfId="0" applyFont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Prelab!$E$1</c:f>
              <c:strCache>
                <c:ptCount val="1"/>
                <c:pt idx="0">
                  <c:v>Absorbance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Prelab!$D$2:$D$6</c:f>
              <c:numCache>
                <c:formatCode>0.00</c:formatCode>
                <c:ptCount val="5"/>
                <c:pt idx="0">
                  <c:v>0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</c:numCache>
            </c:numRef>
          </c:xVal>
          <c:yVal>
            <c:numRef>
              <c:f>Prelab!$E$2:$E$6</c:f>
              <c:numCache>
                <c:formatCode>0.0000</c:formatCode>
                <c:ptCount val="5"/>
                <c:pt idx="0">
                  <c:v>0</c:v>
                </c:pt>
                <c:pt idx="1">
                  <c:v>0.14208000000000001</c:v>
                </c:pt>
                <c:pt idx="2">
                  <c:v>8.8800000000000007E-3</c:v>
                </c:pt>
                <c:pt idx="3">
                  <c:v>1.7760000000000001E-2</c:v>
                </c:pt>
                <c:pt idx="4">
                  <c:v>2.664E-2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9C-CD43-9CA4-ED76B011F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8702192"/>
        <c:axId val="1182652400"/>
      </c:scatterChart>
      <c:valAx>
        <c:axId val="1188702192"/>
        <c:scaling>
          <c:orientation val="minMax"/>
          <c:min val="-0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Volume of standard added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2652400"/>
        <c:crossesAt val="-4.0000000000000008E-2"/>
        <c:crossBetween val="midCat"/>
      </c:valAx>
      <c:valAx>
        <c:axId val="11826524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Expected Absorbance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8702192"/>
        <c:crossesAt val="-0.5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Lab!$D$3:$D$7</c:f>
              <c:numCache>
                <c:formatCode>0.00</c:formatCode>
                <c:ptCount val="5"/>
                <c:pt idx="0">
                  <c:v>0</c:v>
                </c:pt>
                <c:pt idx="1">
                  <c:v>10.000000000000002</c:v>
                </c:pt>
                <c:pt idx="2">
                  <c:v>2.5000000000000004</c:v>
                </c:pt>
                <c:pt idx="3">
                  <c:v>5.0000000000000009</c:v>
                </c:pt>
                <c:pt idx="4">
                  <c:v>7.5000000000000009</c:v>
                </c:pt>
              </c:numCache>
            </c:numRef>
          </c:xVal>
          <c:yVal>
            <c:numRef>
              <c:f>Lab!$H$3:$H$7</c:f>
              <c:numCache>
                <c:formatCode>0.000</c:formatCode>
                <c:ptCount val="5"/>
                <c:pt idx="0">
                  <c:v>0.10333333333333333</c:v>
                </c:pt>
                <c:pt idx="1">
                  <c:v>0.14966666666666664</c:v>
                </c:pt>
                <c:pt idx="2">
                  <c:v>0.111</c:v>
                </c:pt>
                <c:pt idx="3">
                  <c:v>0.12733333333333333</c:v>
                </c:pt>
                <c:pt idx="4">
                  <c:v>0.13666666666666669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BF-5241-BAC4-C8552E575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0676208"/>
        <c:axId val="868778960"/>
      </c:scatterChart>
      <c:valAx>
        <c:axId val="890676208"/>
        <c:scaling>
          <c:orientation val="minMax"/>
          <c:max val="12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Final Concentration</a:t>
                </a:r>
                <a:r>
                  <a:rPr lang="en-US" b="1" baseline="0"/>
                  <a:t> </a:t>
                </a:r>
                <a:r>
                  <a:rPr lang="en-US" b="1"/>
                  <a:t>of Standard</a:t>
                </a:r>
                <a:r>
                  <a:rPr lang="en-US" b="1" baseline="0"/>
                  <a:t> </a:t>
                </a:r>
                <a:r>
                  <a:rPr lang="en-US" b="1"/>
                  <a:t>Solution (</a:t>
                </a:r>
                <a:r>
                  <a:rPr lang="en-US" sz="1000" b="1" i="0" u="none" strike="noStrike" baseline="0">
                    <a:effectLst/>
                  </a:rPr>
                  <a:t>µM)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68778960"/>
        <c:crosses val="autoZero"/>
        <c:crossBetween val="midCat"/>
      </c:valAx>
      <c:valAx>
        <c:axId val="86877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Absorbance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90676208"/>
        <c:crossesAt val="-2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Lab!$K$23</c:f>
              <c:strCache>
                <c:ptCount val="1"/>
                <c:pt idx="0">
                  <c:v>density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3932740171793961E-2"/>
                  <c:y val="0.290591824275838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Lab!$J$24:$J$28</c:f>
              <c:numCache>
                <c:formatCode>General</c:formatCode>
                <c:ptCount val="5"/>
                <c:pt idx="0">
                  <c:v>0</c:v>
                </c:pt>
                <c:pt idx="1">
                  <c:v>10.000000000000002</c:v>
                </c:pt>
                <c:pt idx="2">
                  <c:v>2.5000000000000004</c:v>
                </c:pt>
                <c:pt idx="3">
                  <c:v>5.0000000000000009</c:v>
                </c:pt>
                <c:pt idx="4">
                  <c:v>7.5000000000000009</c:v>
                </c:pt>
              </c:numCache>
            </c:numRef>
          </c:xVal>
          <c:yVal>
            <c:numRef>
              <c:f>Lab!$K$24:$K$28</c:f>
              <c:numCache>
                <c:formatCode>0.000</c:formatCode>
                <c:ptCount val="5"/>
                <c:pt idx="0">
                  <c:v>0.10333333333333333</c:v>
                </c:pt>
                <c:pt idx="1">
                  <c:v>0.14966666666666664</c:v>
                </c:pt>
                <c:pt idx="2">
                  <c:v>0.111</c:v>
                </c:pt>
                <c:pt idx="3">
                  <c:v>0.12733333333333333</c:v>
                </c:pt>
                <c:pt idx="4">
                  <c:v>0.13666666666666669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21-744A-B6B3-06C42BF4D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09951"/>
        <c:axId val="63406495"/>
      </c:scatterChart>
      <c:valAx>
        <c:axId val="63209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06495"/>
        <c:crosses val="autoZero"/>
        <c:crossBetween val="midCat"/>
      </c:valAx>
      <c:valAx>
        <c:axId val="6340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09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177456</xdr:colOff>
      <xdr:row>1</xdr:row>
      <xdr:rowOff>33913</xdr:rowOff>
    </xdr:from>
    <xdr:to>
      <xdr:col>10</xdr:col>
      <xdr:colOff>624828</xdr:colOff>
      <xdr:row>14</xdr:row>
      <xdr:rowOff>139285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03E3E0-21FE-EE46-882B-7E6A822B0F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563636</xdr:colOff>
      <xdr:row>8</xdr:row>
      <xdr:rowOff>130241</xdr:rowOff>
    </xdr:from>
    <xdr:to>
      <xdr:col>7</xdr:col>
      <xdr:colOff>22353</xdr:colOff>
      <xdr:row>27</xdr:row>
      <xdr:rowOff>4117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27876E-65CA-034B-A20E-FAEDFB2480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246093</xdr:colOff>
      <xdr:row>15</xdr:row>
      <xdr:rowOff>162337</xdr:rowOff>
    </xdr:from>
    <xdr:to>
      <xdr:col>12</xdr:col>
      <xdr:colOff>800026</xdr:colOff>
      <xdr:row>20</xdr:row>
      <xdr:rowOff>176801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E29E75-CB5A-D442-837E-78E637925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71955" y="3341716"/>
          <a:ext cx="3608503" cy="999809"/>
        </a:xfrm>
        <a:prstGeom prst="rect">
          <a:avLst/>
        </a:prstGeom>
      </xdr:spPr>
    </xdr:pic>
    <xdr:clientData/>
  </xdr:twoCellAnchor>
  <xdr:twoCellAnchor>
    <xdr:from>
      <xdr:col>2</xdr:col>
      <xdr:colOff>711199</xdr:colOff>
      <xdr:row>21</xdr:row>
      <xdr:rowOff>152400</xdr:rowOff>
    </xdr:from>
    <xdr:to>
      <xdr:col>8</xdr:col>
      <xdr:colOff>601133</xdr:colOff>
      <xdr:row>38</xdr:row>
      <xdr:rowOff>59268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5D17FF-298E-E240-9025-887081575E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B98D1-51DB-4947-BCB4-5B616047FD90}">
  <dimension ref="A1:E12"/>
  <sheetViews>
    <sheetView zoomScale="150" workbookViewId="0">
      <selection sqref="A1:E6"/>
    </sheetView>
  </sheetViews>
  <sheetFormatPr baseColWidth="10" defaultColWidth="10.83203125" defaultRowHeight="16" x14ac:dyDescent="0.2"/>
  <cols>
    <col min="1" max="1" width="7.5" style="2" customWidth="1"/>
    <col min="2" max="2" width="21.83203125" style="2" customWidth="1"/>
    <col min="3" max="3" width="11.5" style="2" customWidth="1"/>
    <col min="4" max="4" width="13.6640625" style="2" customWidth="1"/>
    <col min="5" max="5" width="11.5" style="2" bestFit="1" customWidth="1"/>
    <col min="6" max="16384" width="10.83203125" style="2"/>
  </cols>
  <sheetData>
    <row r="1" spans="1:5" ht="18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5</v>
      </c>
    </row>
    <row r="2" spans="1:5" x14ac:dyDescent="0.2">
      <c r="A2" s="3">
        <v>1</v>
      </c>
      <c r="B2" s="4">
        <f>C11</f>
        <v>1E-3</v>
      </c>
      <c r="C2" s="6">
        <v>5</v>
      </c>
      <c r="D2" s="6">
        <v>0</v>
      </c>
      <c r="E2" s="5">
        <f>D2*$C$11/25*$C$9*$C$8</f>
        <v>0</v>
      </c>
    </row>
    <row r="3" spans="1:5" x14ac:dyDescent="0.2">
      <c r="A3" s="7">
        <v>2</v>
      </c>
      <c r="B3" s="8">
        <f>C11</f>
        <v>1E-3</v>
      </c>
      <c r="C3" s="6">
        <v>5</v>
      </c>
      <c r="D3" s="6">
        <v>4</v>
      </c>
      <c r="E3" s="5">
        <f>D3*$C$11/25*$C$9*$C$8</f>
        <v>0.14208000000000001</v>
      </c>
    </row>
    <row r="4" spans="1:5" x14ac:dyDescent="0.2">
      <c r="A4" s="7">
        <v>3</v>
      </c>
      <c r="B4" s="7">
        <f>$C$12</f>
        <v>2.5000000000000001E-4</v>
      </c>
      <c r="C4" s="6">
        <v>5</v>
      </c>
      <c r="D4" s="6">
        <v>1</v>
      </c>
      <c r="E4" s="5">
        <f>D4*$C$12/25*$C$9*$C$8</f>
        <v>8.8800000000000007E-3</v>
      </c>
    </row>
    <row r="5" spans="1:5" x14ac:dyDescent="0.2">
      <c r="A5" s="7">
        <v>4</v>
      </c>
      <c r="B5" s="7">
        <f t="shared" ref="B5:B6" si="0">$C$12</f>
        <v>2.5000000000000001E-4</v>
      </c>
      <c r="C5" s="6">
        <v>5</v>
      </c>
      <c r="D5" s="6">
        <v>2</v>
      </c>
      <c r="E5" s="5">
        <f>D5*$C$12/25*$C$9*$C$8</f>
        <v>1.7760000000000001E-2</v>
      </c>
    </row>
    <row r="6" spans="1:5" x14ac:dyDescent="0.2">
      <c r="A6" s="7">
        <v>5</v>
      </c>
      <c r="B6" s="7">
        <f t="shared" si="0"/>
        <v>2.5000000000000001E-4</v>
      </c>
      <c r="C6" s="6">
        <v>5</v>
      </c>
      <c r="D6" s="6">
        <v>3</v>
      </c>
      <c r="E6" s="5">
        <f>D6*$C$12/25*$C$9*$C$8</f>
        <v>2.664E-2</v>
      </c>
    </row>
    <row r="8" spans="1:5" ht="18" x14ac:dyDescent="0.2">
      <c r="A8" s="25" t="s">
        <v>9</v>
      </c>
      <c r="B8" s="26"/>
      <c r="C8" s="3">
        <v>88.8</v>
      </c>
    </row>
    <row r="9" spans="1:5" x14ac:dyDescent="0.2">
      <c r="A9" s="25" t="s">
        <v>1</v>
      </c>
      <c r="B9" s="26"/>
      <c r="C9" s="3">
        <v>10</v>
      </c>
    </row>
    <row r="10" spans="1:5" x14ac:dyDescent="0.2">
      <c r="A10" s="25" t="s">
        <v>2</v>
      </c>
      <c r="B10" s="26"/>
      <c r="C10" s="3">
        <v>0.1</v>
      </c>
    </row>
    <row r="11" spans="1:5" x14ac:dyDescent="0.2">
      <c r="A11" s="27" t="s">
        <v>3</v>
      </c>
      <c r="B11" s="28"/>
      <c r="C11" s="3">
        <f>C10/100</f>
        <v>1E-3</v>
      </c>
    </row>
    <row r="12" spans="1:5" x14ac:dyDescent="0.2">
      <c r="A12" s="29" t="s">
        <v>4</v>
      </c>
      <c r="B12" s="30"/>
      <c r="C12" s="3">
        <f>C10/400</f>
        <v>2.5000000000000001E-4</v>
      </c>
    </row>
  </sheetData>
  <mergeCells count="5">
    <mergeCell ref="A8:B8"/>
    <mergeCell ref="A9:B9"/>
    <mergeCell ref="A10:B10"/>
    <mergeCell ref="A11:B11"/>
    <mergeCell ref="A12:B12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557EE-1DA7-C149-8C91-993105905EB6}">
  <dimension ref="A1:V28"/>
  <sheetViews>
    <sheetView tabSelected="1" topLeftCell="C22" zoomScale="150" zoomScaleNormal="145" workbookViewId="0">
      <selection activeCell="J35" sqref="J35"/>
    </sheetView>
  </sheetViews>
  <sheetFormatPr baseColWidth="10" defaultColWidth="10.83203125" defaultRowHeight="16" x14ac:dyDescent="0.2"/>
  <cols>
    <col min="1" max="1" width="10.83203125" style="2"/>
    <col min="2" max="2" width="12.33203125" style="2" customWidth="1"/>
    <col min="3" max="3" width="10.83203125" style="2" customWidth="1"/>
    <col min="4" max="4" width="8.6640625" style="2" customWidth="1"/>
    <col min="5" max="9" width="10.83203125" style="2"/>
    <col min="10" max="10" width="18.33203125" style="2" customWidth="1"/>
    <col min="11" max="12" width="10.83203125" style="2"/>
    <col min="13" max="14" width="15.5" style="2" customWidth="1"/>
    <col min="15" max="15" width="16.83203125" style="2" customWidth="1"/>
    <col min="16" max="16" width="10.83203125" style="2"/>
    <col min="17" max="17" width="14.33203125" style="2" customWidth="1"/>
    <col min="18" max="20" width="10.83203125" style="2"/>
    <col min="21" max="21" width="20.6640625" style="2" customWidth="1"/>
    <col min="22" max="22" width="18.1640625" style="2" customWidth="1"/>
    <col min="23" max="16384" width="10.83203125" style="2"/>
  </cols>
  <sheetData>
    <row r="1" spans="1:22" ht="18" customHeight="1" x14ac:dyDescent="0.25">
      <c r="A1" s="31" t="s">
        <v>0</v>
      </c>
      <c r="B1" s="31" t="s">
        <v>8</v>
      </c>
      <c r="C1" s="31" t="s">
        <v>40</v>
      </c>
      <c r="D1" s="31" t="s">
        <v>39</v>
      </c>
      <c r="E1" s="31" t="s">
        <v>5</v>
      </c>
      <c r="F1" s="31"/>
      <c r="G1" s="31"/>
      <c r="H1" s="31"/>
      <c r="J1" s="31" t="s">
        <v>21</v>
      </c>
      <c r="K1" s="31"/>
      <c r="L1" s="31"/>
      <c r="M1" s="31"/>
      <c r="N1" s="22"/>
      <c r="Q1" s="10" t="s">
        <v>32</v>
      </c>
      <c r="R1" s="10" t="s">
        <v>37</v>
      </c>
      <c r="S1" s="10" t="s">
        <v>38</v>
      </c>
      <c r="T1" s="10" t="s">
        <v>31</v>
      </c>
      <c r="U1" s="10" t="s">
        <v>41</v>
      </c>
      <c r="V1" s="10" t="s">
        <v>42</v>
      </c>
    </row>
    <row r="2" spans="1:22" x14ac:dyDescent="0.2">
      <c r="A2" s="31"/>
      <c r="B2" s="31"/>
      <c r="C2" s="31"/>
      <c r="D2" s="31"/>
      <c r="E2" s="1">
        <v>1</v>
      </c>
      <c r="F2" s="1">
        <v>2</v>
      </c>
      <c r="G2" s="1">
        <v>3</v>
      </c>
      <c r="H2" s="1" t="s">
        <v>10</v>
      </c>
      <c r="J2" s="17" t="s">
        <v>11</v>
      </c>
      <c r="K2" s="11" cm="1">
        <f t="array" ref="K2:L6">LINEST(H3:H7,D3:D7,TRUE,TRUE)</f>
        <v>4.7333333333333316E-3</v>
      </c>
      <c r="L2" s="11">
        <v>0.10193333333333332</v>
      </c>
      <c r="M2" s="17" t="s">
        <v>12</v>
      </c>
      <c r="N2" s="22"/>
      <c r="Q2" s="3" t="s">
        <v>27</v>
      </c>
      <c r="R2" s="6">
        <f>ABS(K12)</f>
        <v>21.535211267605639</v>
      </c>
      <c r="S2" s="6">
        <v>1</v>
      </c>
      <c r="T2" s="6">
        <v>50</v>
      </c>
      <c r="U2" s="4">
        <f>R2*T2*(0.000001)</f>
        <v>1.0767605633802821E-3</v>
      </c>
      <c r="V2" s="5">
        <f>U2*40</f>
        <v>4.3070422535211282E-2</v>
      </c>
    </row>
    <row r="3" spans="1:22" ht="18" x14ac:dyDescent="0.25">
      <c r="A3" s="3">
        <v>1</v>
      </c>
      <c r="B3" s="3">
        <v>0</v>
      </c>
      <c r="C3" s="11">
        <v>0</v>
      </c>
      <c r="D3" s="6">
        <v>0</v>
      </c>
      <c r="E3" s="12">
        <v>0.10199999999999999</v>
      </c>
      <c r="F3" s="12">
        <v>0.106</v>
      </c>
      <c r="G3" s="12">
        <v>0.10199999999999999</v>
      </c>
      <c r="H3" s="12">
        <f>AVERAGE(E3:G3)</f>
        <v>0.10333333333333333</v>
      </c>
      <c r="J3" s="17" t="s">
        <v>13</v>
      </c>
      <c r="K3" s="11">
        <v>2.6699979192667628E-4</v>
      </c>
      <c r="L3" s="11">
        <v>1.6350331291240909E-3</v>
      </c>
      <c r="M3" s="17" t="s">
        <v>14</v>
      </c>
      <c r="N3" s="22"/>
      <c r="Q3" s="3" t="s">
        <v>33</v>
      </c>
      <c r="R3" s="6">
        <f>L12</f>
        <v>1.510036757064471</v>
      </c>
      <c r="S3" s="3">
        <v>6.0000000000000001E-3</v>
      </c>
      <c r="T3" s="3">
        <v>0.05</v>
      </c>
      <c r="U3" s="4">
        <f>U2*SQRT((R3/R2)^2+(S3/S2)^2+(T3/T2)^2)</f>
        <v>7.5785393128992542E-5</v>
      </c>
      <c r="V3" s="5">
        <f>U3</f>
        <v>7.5785393128992542E-5</v>
      </c>
    </row>
    <row r="4" spans="1:22" ht="19" x14ac:dyDescent="0.25">
      <c r="A4" s="3">
        <v>2</v>
      </c>
      <c r="B4" s="3">
        <v>2</v>
      </c>
      <c r="C4" s="11">
        <v>2.5000000000000001E-4</v>
      </c>
      <c r="D4" s="6">
        <f>B4*C4/50/(0.000001)</f>
        <v>10.000000000000002</v>
      </c>
      <c r="E4" s="12">
        <v>0.153</v>
      </c>
      <c r="F4" s="12">
        <v>0.14799999999999999</v>
      </c>
      <c r="G4" s="12">
        <v>0.14799999999999999</v>
      </c>
      <c r="H4" s="12">
        <f t="shared" ref="H4:H7" si="0">AVERAGE(E4:G4)</f>
        <v>0.14966666666666664</v>
      </c>
      <c r="J4" s="17" t="s">
        <v>15</v>
      </c>
      <c r="K4" s="12">
        <v>0.9905445342220266</v>
      </c>
      <c r="L4" s="12">
        <v>2.1108186931983355E-3</v>
      </c>
      <c r="M4" s="17" t="s">
        <v>16</v>
      </c>
      <c r="N4" s="22"/>
      <c r="Q4" s="3" t="s">
        <v>44</v>
      </c>
      <c r="R4" s="6">
        <f>R3*$L$14</f>
        <v>4.8056108983624197</v>
      </c>
      <c r="S4" s="12" t="s">
        <v>45</v>
      </c>
      <c r="T4" s="6" t="s">
        <v>45</v>
      </c>
      <c r="U4" s="4">
        <f>U3*$L$14</f>
        <v>2.4118294435783571E-4</v>
      </c>
      <c r="V4" s="5">
        <f t="shared" ref="V4" si="1">V3*$L$14</f>
        <v>2.4118294435783571E-4</v>
      </c>
    </row>
    <row r="5" spans="1:22" x14ac:dyDescent="0.2">
      <c r="A5" s="3">
        <v>3</v>
      </c>
      <c r="B5" s="3">
        <v>1</v>
      </c>
      <c r="C5" s="11">
        <v>1.25E-4</v>
      </c>
      <c r="D5" s="6">
        <f>B5*C5/50/(0.000001)</f>
        <v>2.5000000000000004</v>
      </c>
      <c r="E5" s="12">
        <v>0.112</v>
      </c>
      <c r="F5" s="12">
        <v>0.111</v>
      </c>
      <c r="G5" s="12">
        <v>0.11</v>
      </c>
      <c r="H5" s="12">
        <f t="shared" si="0"/>
        <v>0.111</v>
      </c>
      <c r="J5" s="17" t="s">
        <v>17</v>
      </c>
      <c r="K5" s="6">
        <v>314.2768079800515</v>
      </c>
      <c r="L5" s="3">
        <v>3</v>
      </c>
      <c r="M5" s="17" t="s">
        <v>18</v>
      </c>
      <c r="N5" s="22"/>
      <c r="S5" s="23" t="s">
        <v>34</v>
      </c>
    </row>
    <row r="6" spans="1:22" x14ac:dyDescent="0.2">
      <c r="A6" s="3">
        <v>4</v>
      </c>
      <c r="B6" s="3">
        <v>2</v>
      </c>
      <c r="C6" s="11">
        <v>1.25E-4</v>
      </c>
      <c r="D6" s="6">
        <f t="shared" ref="D6:D7" si="2">B6*C6/50/(0.000001)</f>
        <v>5.0000000000000009</v>
      </c>
      <c r="E6" s="12">
        <v>0.129</v>
      </c>
      <c r="F6" s="12">
        <v>0.124</v>
      </c>
      <c r="G6" s="12">
        <v>0.129</v>
      </c>
      <c r="H6" s="12">
        <f t="shared" si="0"/>
        <v>0.12733333333333333</v>
      </c>
      <c r="J6" s="17" t="s">
        <v>19</v>
      </c>
      <c r="K6" s="12">
        <v>1.4002777777777768E-3</v>
      </c>
      <c r="L6" s="4">
        <v>1.3366666666666587E-5</v>
      </c>
      <c r="M6" s="17" t="s">
        <v>20</v>
      </c>
      <c r="T6" s="23" t="s">
        <v>35</v>
      </c>
      <c r="V6" s="2" t="s">
        <v>53</v>
      </c>
    </row>
    <row r="7" spans="1:22" x14ac:dyDescent="0.2">
      <c r="A7" s="3">
        <v>5</v>
      </c>
      <c r="B7" s="3">
        <v>3</v>
      </c>
      <c r="C7" s="11">
        <v>1.25E-4</v>
      </c>
      <c r="D7" s="6">
        <f t="shared" si="2"/>
        <v>7.5000000000000009</v>
      </c>
      <c r="E7" s="12">
        <v>0.13700000000000001</v>
      </c>
      <c r="F7" s="12">
        <v>0.13700000000000001</v>
      </c>
      <c r="G7" s="12">
        <v>0.13600000000000001</v>
      </c>
      <c r="H7" s="12">
        <f t="shared" si="0"/>
        <v>0.13666666666666669</v>
      </c>
      <c r="S7" s="23" t="s">
        <v>36</v>
      </c>
    </row>
    <row r="8" spans="1:22" ht="19" x14ac:dyDescent="0.25">
      <c r="A8" s="13">
        <v>2</v>
      </c>
      <c r="B8" s="13">
        <v>1</v>
      </c>
      <c r="C8" s="14">
        <v>2.5000000000000001E-4</v>
      </c>
      <c r="D8" s="15">
        <f>B8*C8/50/(0.000001)</f>
        <v>5.0000000000000009</v>
      </c>
      <c r="E8" s="16">
        <v>0.14499999999999999</v>
      </c>
      <c r="F8" s="16">
        <v>0.14499999999999999</v>
      </c>
      <c r="G8" s="16">
        <v>0.14399999999999999</v>
      </c>
      <c r="H8" s="16">
        <f>AVERAGE(E8:G8)</f>
        <v>0.14466666666666664</v>
      </c>
      <c r="Q8" s="10" t="s">
        <v>52</v>
      </c>
    </row>
    <row r="9" spans="1:22" ht="18" x14ac:dyDescent="0.25">
      <c r="J9" s="1" t="s">
        <v>22</v>
      </c>
      <c r="K9" s="1" t="s">
        <v>27</v>
      </c>
      <c r="L9" s="10" t="s">
        <v>23</v>
      </c>
      <c r="M9" s="10" t="s">
        <v>43</v>
      </c>
      <c r="O9" s="1" t="s">
        <v>24</v>
      </c>
      <c r="P9" s="18">
        <f>K2</f>
        <v>4.7333333333333316E-3</v>
      </c>
      <c r="Q9" s="6">
        <f>(D3-$P$13)^2</f>
        <v>25.000000000000011</v>
      </c>
    </row>
    <row r="10" spans="1:22" ht="19" x14ac:dyDescent="0.25">
      <c r="J10" s="3" t="s">
        <v>26</v>
      </c>
      <c r="K10" s="11">
        <f>K2</f>
        <v>4.7333333333333316E-3</v>
      </c>
      <c r="L10" s="11">
        <f>K3</f>
        <v>2.6699979192667628E-4</v>
      </c>
      <c r="M10" s="11">
        <f>L10*$L$14</f>
        <v>8.4971250132856999E-4</v>
      </c>
      <c r="O10" s="1" t="s">
        <v>16</v>
      </c>
      <c r="P10" s="19">
        <f>L4</f>
        <v>2.1108186931983355E-3</v>
      </c>
      <c r="Q10" s="6">
        <f t="shared" ref="Q10:Q12" si="3">(D4-$P$13)^2</f>
        <v>25.000000000000011</v>
      </c>
    </row>
    <row r="11" spans="1:22" x14ac:dyDescent="0.2">
      <c r="J11" s="3" t="s">
        <v>25</v>
      </c>
      <c r="K11" s="11">
        <f>L2</f>
        <v>0.10193333333333332</v>
      </c>
      <c r="L11" s="11">
        <f>L3</f>
        <v>1.6350331291240909E-3</v>
      </c>
      <c r="M11" s="11">
        <f t="shared" ref="M11" si="4">L11*$L$14</f>
        <v>5.2034051407974244E-3</v>
      </c>
      <c r="O11" s="1" t="s">
        <v>29</v>
      </c>
      <c r="P11" s="9">
        <v>5</v>
      </c>
      <c r="Q11" s="6">
        <f t="shared" si="3"/>
        <v>6.2500000000000027</v>
      </c>
    </row>
    <row r="12" spans="1:22" ht="18" x14ac:dyDescent="0.2">
      <c r="J12" s="3" t="s">
        <v>28</v>
      </c>
      <c r="K12" s="6">
        <f>-K11/K10</f>
        <v>-21.535211267605639</v>
      </c>
      <c r="L12" s="6">
        <f>P10/P9*SQRT(1/P11+P12/P9^2/P14)</f>
        <v>1.510036757064471</v>
      </c>
      <c r="M12" s="6">
        <f>L12*$L$14</f>
        <v>4.8056108983624197</v>
      </c>
      <c r="O12" s="10" t="s">
        <v>47</v>
      </c>
      <c r="P12" s="20">
        <f>(AVERAGE(H3:H7))^2</f>
        <v>1.5775359999999999E-2</v>
      </c>
      <c r="Q12" s="6">
        <f t="shared" si="3"/>
        <v>0</v>
      </c>
    </row>
    <row r="13" spans="1:22" x14ac:dyDescent="0.2">
      <c r="O13" s="10" t="s">
        <v>48</v>
      </c>
      <c r="P13" s="21">
        <f>AVERAGE(D3:D7)</f>
        <v>5.0000000000000009</v>
      </c>
      <c r="Q13" s="6">
        <f>(D7-$P$13)^2</f>
        <v>6.25</v>
      </c>
    </row>
    <row r="14" spans="1:22" ht="19" x14ac:dyDescent="0.25">
      <c r="K14" s="10" t="s">
        <v>46</v>
      </c>
      <c r="L14" s="12">
        <f>TINV(0.05,L5)</f>
        <v>3.1824463052837091</v>
      </c>
      <c r="O14" s="1" t="s">
        <v>49</v>
      </c>
      <c r="P14" s="6">
        <f>SUM(Q9:Q13)</f>
        <v>62.500000000000021</v>
      </c>
    </row>
    <row r="15" spans="1:22" x14ac:dyDescent="0.2">
      <c r="J15" s="2" t="s">
        <v>30</v>
      </c>
    </row>
    <row r="16" spans="1:22" x14ac:dyDescent="0.2">
      <c r="O16" s="23" t="s">
        <v>50</v>
      </c>
    </row>
    <row r="17" spans="10:15" x14ac:dyDescent="0.2">
      <c r="O17" s="23" t="s">
        <v>51</v>
      </c>
    </row>
    <row r="23" spans="10:15" x14ac:dyDescent="0.2">
      <c r="J23" s="33" t="s">
        <v>54</v>
      </c>
      <c r="K23" s="24" t="s">
        <v>55</v>
      </c>
    </row>
    <row r="24" spans="10:15" x14ac:dyDescent="0.2">
      <c r="J24" s="32">
        <v>0</v>
      </c>
      <c r="K24" s="12">
        <v>0.10333333333333333</v>
      </c>
    </row>
    <row r="25" spans="10:15" x14ac:dyDescent="0.2">
      <c r="J25" s="32">
        <v>10.000000000000002</v>
      </c>
      <c r="K25" s="12">
        <v>0.14966666666666664</v>
      </c>
    </row>
    <row r="26" spans="10:15" x14ac:dyDescent="0.2">
      <c r="J26" s="32">
        <v>2.5000000000000004</v>
      </c>
      <c r="K26" s="12">
        <v>0.111</v>
      </c>
    </row>
    <row r="27" spans="10:15" x14ac:dyDescent="0.2">
      <c r="J27" s="32">
        <v>5.0000000000000009</v>
      </c>
      <c r="K27" s="12">
        <v>0.12733333333333333</v>
      </c>
    </row>
    <row r="28" spans="10:15" x14ac:dyDescent="0.2">
      <c r="J28" s="32">
        <v>7.5000000000000009</v>
      </c>
      <c r="K28" s="12">
        <v>0.13666666666666669</v>
      </c>
    </row>
  </sheetData>
  <mergeCells count="6">
    <mergeCell ref="A1:A2"/>
    <mergeCell ref="J1:M1"/>
    <mergeCell ref="E1:H1"/>
    <mergeCell ref="D1:D2"/>
    <mergeCell ref="C1:C2"/>
    <mergeCell ref="B1:B2"/>
  </mergeCells>
  <pageMargins left="0.7" right="0.7" top="0.75" bottom="0.75" header="0.3" footer="0.3"/>
  <pageSetup orientation="portrait" horizontalDpi="1200" verticalDpi="1200" r:id="rId1"/>
  <ignoredErrors>
    <ignoredError sqref="H3 H4:H7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Prelab</vt:lpstr>
      <vt:lpstr>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2021-09-26T02:43:59Z</dcterms:created>
  <dcterms:modified xsi:type="dcterms:W3CDTF">2022-01-08T00:24:12Z</dcterms:modified>
</cp:coreProperties>
</file>