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tmp" ContentType="image/jpe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yeed/Desktop/FALL 2021/CHEM438 - Instrumental Lab/EPS - Error Propagation/"/>
    </mc:Choice>
  </mc:AlternateContent>
  <xr:revisionPtr revIDLastSave="0" documentId="13_ncr:1_{5D7AD857-EC62-5340-BD3A-FD0B58101A88}" xr6:coauthVersionLast="47" xr6:coauthVersionMax="47" xr10:uidLastSave="{00000000-0000-0000-0000-000000000000}"/>
  <bookViews>
    <workbookView xWindow="0" yWindow="500" windowWidth="28800" windowHeight="16320" xr2:uid="{B96FBEA6-C8F4-E845-9210-79D028B7E9E8}"/>
  </bookViews>
  <sheets>
    <sheet name="Part I" sheetId="1" r:id="rId1"/>
    <sheet name="Part I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1" l="1"/>
  <c r="N8" i="1"/>
  <c r="I13" i="1"/>
  <c r="I9" i="2"/>
  <c r="E4" i="2"/>
  <c r="E3" i="2"/>
  <c r="M25" i="2"/>
  <c r="M24" i="2"/>
  <c r="M23" i="2"/>
  <c r="M20" i="2"/>
  <c r="M19" i="2"/>
  <c r="M17" i="2"/>
  <c r="M18" i="2"/>
  <c r="N7" i="2"/>
  <c r="N2" i="2"/>
  <c r="N3" i="2" s="1"/>
  <c r="C3" i="1"/>
  <c r="D3" i="2" l="1"/>
  <c r="M8" i="1"/>
  <c r="O8" i="1" s="1"/>
  <c r="Q8" i="1" s="1"/>
  <c r="P8" i="1"/>
  <c r="K8" i="1"/>
  <c r="C4" i="1"/>
  <c r="C5" i="1"/>
  <c r="C6" i="1"/>
  <c r="C7" i="1"/>
  <c r="D4" i="2"/>
  <c r="D5" i="2"/>
  <c r="E5" i="2" s="1"/>
  <c r="D6" i="2"/>
  <c r="E6" i="2" s="1"/>
  <c r="D7" i="2"/>
  <c r="E7" i="2" s="1"/>
  <c r="N5" i="2" l="1"/>
  <c r="F3" i="2" s="1"/>
  <c r="I3" i="2" a="1"/>
  <c r="F3" i="1" a="1"/>
  <c r="M7" i="1" l="1"/>
  <c r="F5" i="2"/>
  <c r="F4" i="2"/>
  <c r="F6" i="2"/>
  <c r="F7" i="2"/>
  <c r="I3" i="2"/>
  <c r="F3" i="1"/>
  <c r="H13" i="1" s="1"/>
  <c r="N6" i="2" l="1"/>
  <c r="L17" i="2"/>
  <c r="L20" i="2" s="1"/>
  <c r="L22" i="2" s="1"/>
  <c r="L25" i="2" s="1"/>
  <c r="M4" i="1"/>
  <c r="O4" i="1" s="1"/>
  <c r="Q4" i="1" s="1"/>
  <c r="L7" i="1"/>
  <c r="N7" i="1" s="1"/>
  <c r="P7" i="1" s="1"/>
  <c r="M5" i="1"/>
  <c r="M6" i="1"/>
  <c r="L4" i="1"/>
  <c r="L5" i="1"/>
  <c r="L6" i="1"/>
  <c r="M22" i="2" l="1"/>
  <c r="L8" i="1"/>
  <c r="P4" i="1"/>
  <c r="N6" i="1"/>
  <c r="N5" i="1"/>
  <c r="O7" i="1"/>
  <c r="Q7" i="1" s="1"/>
  <c r="P5" i="1" l="1"/>
  <c r="O5" i="1"/>
  <c r="Q5" i="1" s="1"/>
  <c r="P6" i="1"/>
  <c r="O6" i="1"/>
  <c r="Q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<sst xmlns="http://schemas.openxmlformats.org/spreadsheetml/2006/main" count="126" uniqueCount="89">
  <si>
    <t>Absorbance (@347 nm)</t>
  </si>
  <si>
    <t>m </t>
  </si>
  <si>
    <t>b </t>
  </si>
  <si>
    <t>Fisher value </t>
  </si>
  <si>
    <t>df </t>
  </si>
  <si>
    <t>Regression SOS </t>
  </si>
  <si>
    <t>Residual SOS </t>
  </si>
  <si>
    <t>LINEST For Absorbance vs. Conc. Plot</t>
  </si>
  <si>
    <r>
      <t>u</t>
    </r>
    <r>
      <rPr>
        <b/>
        <vertAlign val="subscript"/>
        <sz val="12"/>
        <color theme="1"/>
        <rFont val="Times New Roman"/>
        <family val="1"/>
      </rPr>
      <t>m</t>
    </r>
    <r>
      <rPr>
        <b/>
        <sz val="12"/>
        <color theme="1"/>
        <rFont val="Times New Roman"/>
        <family val="1"/>
      </rPr>
      <t> </t>
    </r>
  </si>
  <si>
    <r>
      <t>u</t>
    </r>
    <r>
      <rPr>
        <b/>
        <vertAlign val="subscript"/>
        <sz val="12"/>
        <color theme="1"/>
        <rFont val="Times New Roman"/>
        <family val="1"/>
      </rPr>
      <t>b </t>
    </r>
  </si>
  <si>
    <r>
      <t>R</t>
    </r>
    <r>
      <rPr>
        <b/>
        <vertAlign val="super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> </t>
    </r>
  </si>
  <si>
    <r>
      <t>s</t>
    </r>
    <r>
      <rPr>
        <b/>
        <vertAlign val="subscript"/>
        <sz val="12"/>
        <color theme="1"/>
        <rFont val="Times New Roman"/>
        <family val="1"/>
      </rPr>
      <t>y</t>
    </r>
  </si>
  <si>
    <t>PART I</t>
  </si>
  <si>
    <t>b (cm)</t>
  </si>
  <si>
    <t>Van conc. (µg/mL)</t>
  </si>
  <si>
    <t>ε (mL/cm·µg)</t>
  </si>
  <si>
    <t>Errors Propagated</t>
  </si>
  <si>
    <t>-</t>
  </si>
  <si>
    <t>Beer's law: A = εbC</t>
  </si>
  <si>
    <t xml:space="preserve">Absorbance </t>
  </si>
  <si>
    <t>Error (µg/mL)</t>
  </si>
  <si>
    <t>General Error Propagation</t>
  </si>
  <si>
    <t>x = e^a</t>
  </si>
  <si>
    <t>sigma_x = x*sigma_a</t>
  </si>
  <si>
    <t>sigma_f = sqrt((df/dx * sigma_x)^2 + (df/dy * sigma_y)^2+…)</t>
  </si>
  <si>
    <t>Data of Unknown Solution (After all dilution)</t>
  </si>
  <si>
    <t>10 mL flask dilution</t>
  </si>
  <si>
    <t>Glassware Precision Harris pg 31-32</t>
  </si>
  <si>
    <t>250 mL flask dilution</t>
  </si>
  <si>
    <t>Glassware</t>
  </si>
  <si>
    <t>1 mL pipet</t>
  </si>
  <si>
    <t>10 mL flask</t>
  </si>
  <si>
    <t>250 mL flask</t>
  </si>
  <si>
    <t>Uncertainty (mL)</t>
  </si>
  <si>
    <t>PART II</t>
  </si>
  <si>
    <t>LINEST For Absorbance vs. Vol Van Added Plot</t>
  </si>
  <si>
    <t>x-intercept</t>
  </si>
  <si>
    <t>Notation Used</t>
  </si>
  <si>
    <t>Init/final conc. of analyte</t>
  </si>
  <si>
    <t>Init/final conc. of standard</t>
  </si>
  <si>
    <t>Signal from init soln.</t>
  </si>
  <si>
    <t>Signal from final soln.</t>
  </si>
  <si>
    <t>Vol of analyte</t>
  </si>
  <si>
    <t>Vol of standard soln.</t>
  </si>
  <si>
    <r>
      <t>[X]</t>
    </r>
    <r>
      <rPr>
        <b/>
        <vertAlign val="subscript"/>
        <sz val="12"/>
        <color theme="1"/>
        <rFont val="Times New Roman"/>
        <family val="1"/>
      </rPr>
      <t>i/f</t>
    </r>
  </si>
  <si>
    <r>
      <t>[S]</t>
    </r>
    <r>
      <rPr>
        <b/>
        <vertAlign val="subscript"/>
        <sz val="12"/>
        <color theme="1"/>
        <rFont val="Times New Roman"/>
        <family val="1"/>
      </rPr>
      <t>i/f</t>
    </r>
  </si>
  <si>
    <r>
      <t>I</t>
    </r>
    <r>
      <rPr>
        <b/>
        <vertAlign val="subscript"/>
        <sz val="12"/>
        <color theme="1"/>
        <rFont val="Times New Roman"/>
        <family val="1"/>
      </rPr>
      <t>x</t>
    </r>
  </si>
  <si>
    <r>
      <t>V</t>
    </r>
    <r>
      <rPr>
        <b/>
        <vertAlign val="subscript"/>
        <sz val="12"/>
        <color theme="1"/>
        <rFont val="Times New Roman"/>
        <family val="1"/>
      </rPr>
      <t>0</t>
    </r>
  </si>
  <si>
    <r>
      <t>V</t>
    </r>
    <r>
      <rPr>
        <b/>
        <vertAlign val="subscript"/>
        <sz val="12"/>
        <color theme="1"/>
        <rFont val="Times New Roman"/>
        <family val="1"/>
      </rPr>
      <t>s</t>
    </r>
  </si>
  <si>
    <r>
      <t>V</t>
    </r>
    <r>
      <rPr>
        <b/>
        <vertAlign val="subscript"/>
        <sz val="12"/>
        <color theme="1"/>
        <rFont val="Times New Roman"/>
        <family val="1"/>
      </rPr>
      <t>s</t>
    </r>
    <r>
      <rPr>
        <b/>
        <sz val="12"/>
        <color theme="1"/>
        <rFont val="Times New Roman"/>
        <family val="1"/>
      </rPr>
      <t xml:space="preserve"> (mL)</t>
    </r>
  </si>
  <si>
    <r>
      <t>I</t>
    </r>
    <r>
      <rPr>
        <b/>
        <vertAlign val="subscript"/>
        <sz val="12"/>
        <color theme="1"/>
        <rFont val="Times New Roman"/>
        <family val="1"/>
      </rPr>
      <t>s+x</t>
    </r>
  </si>
  <si>
    <r>
      <t>V</t>
    </r>
    <r>
      <rPr>
        <b/>
        <vertAlign val="subscript"/>
        <sz val="12"/>
        <color theme="1"/>
        <rFont val="Times New Roman"/>
        <family val="1"/>
      </rPr>
      <t>0</t>
    </r>
    <r>
      <rPr>
        <b/>
        <sz val="12"/>
        <color theme="1"/>
        <rFont val="Times New Roman"/>
        <family val="1"/>
      </rPr>
      <t xml:space="preserve"> (mL)</t>
    </r>
  </si>
  <si>
    <t>V</t>
  </si>
  <si>
    <r>
      <t>[S]</t>
    </r>
    <r>
      <rPr>
        <b/>
        <vertAlign val="subscript"/>
        <sz val="12"/>
        <color theme="1"/>
        <rFont val="Times New Roman"/>
        <family val="1"/>
      </rPr>
      <t xml:space="preserve">i </t>
    </r>
    <r>
      <rPr>
        <b/>
        <sz val="12"/>
        <color theme="1"/>
        <rFont val="Times New Roman"/>
        <family val="1"/>
      </rPr>
      <t>(µg/mL)</t>
    </r>
  </si>
  <si>
    <r>
      <t>[S]</t>
    </r>
    <r>
      <rPr>
        <b/>
        <vertAlign val="subscript"/>
        <sz val="12"/>
        <color theme="1"/>
        <rFont val="Times New Roman"/>
        <family val="1"/>
      </rPr>
      <t xml:space="preserve">f </t>
    </r>
    <r>
      <rPr>
        <b/>
        <sz val="12"/>
        <color theme="1"/>
        <rFont val="Times New Roman"/>
        <family val="1"/>
      </rPr>
      <t>(µg/mL)</t>
    </r>
  </si>
  <si>
    <r>
      <t>[S]</t>
    </r>
    <r>
      <rPr>
        <vertAlign val="subscript"/>
        <sz val="12"/>
        <color theme="1"/>
        <rFont val="Times New Roman"/>
        <family val="1"/>
      </rPr>
      <t>f</t>
    </r>
    <r>
      <rPr>
        <sz val="12"/>
        <color theme="1"/>
        <rFont val="Times New Roman"/>
        <family val="1"/>
      </rPr>
      <t xml:space="preserve"> = [S]</t>
    </r>
    <r>
      <rPr>
        <vertAlign val="subscript"/>
        <sz val="12"/>
        <color theme="1"/>
        <rFont val="Times New Roman"/>
        <family val="1"/>
      </rPr>
      <t>i</t>
    </r>
    <r>
      <rPr>
        <sz val="12"/>
        <color theme="1"/>
        <rFont val="Times New Roman"/>
        <family val="1"/>
      </rPr>
      <t xml:space="preserve"> * V</t>
    </r>
    <r>
      <rPr>
        <vertAlign val="subscript"/>
        <sz val="12"/>
        <color theme="1"/>
        <rFont val="Times New Roman"/>
        <family val="1"/>
      </rPr>
      <t>s</t>
    </r>
    <r>
      <rPr>
        <sz val="12"/>
        <color theme="1"/>
        <rFont val="Times New Roman"/>
        <family val="1"/>
      </rPr>
      <t>/V</t>
    </r>
  </si>
  <si>
    <t>n</t>
  </si>
  <si>
    <r>
      <t>u</t>
    </r>
    <r>
      <rPr>
        <b/>
        <vertAlign val="subscript"/>
        <sz val="12"/>
        <color theme="1"/>
        <rFont val="Times New Roman"/>
        <family val="1"/>
      </rPr>
      <t>x</t>
    </r>
    <r>
      <rPr>
        <b/>
        <sz val="12"/>
        <color theme="1"/>
        <rFont val="Times New Roman"/>
        <family val="1"/>
      </rPr>
      <t xml:space="preserve"> from textbook</t>
    </r>
  </si>
  <si>
    <t>Harris pg 106-108</t>
  </si>
  <si>
    <t>Dilution w/ 10 mL flask</t>
  </si>
  <si>
    <t>Errors</t>
  </si>
  <si>
    <t>Dilution w/ 250 mL flask</t>
  </si>
  <si>
    <t>Harris pg 87</t>
  </si>
  <si>
    <r>
      <t>M</t>
    </r>
    <r>
      <rPr>
        <b/>
        <vertAlign val="sub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 xml:space="preserve"> (ug/mL)</t>
    </r>
  </si>
  <si>
    <r>
      <t>V</t>
    </r>
    <r>
      <rPr>
        <b/>
        <vertAlign val="sub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 xml:space="preserve"> (mL)</t>
    </r>
  </si>
  <si>
    <r>
      <t>V</t>
    </r>
    <r>
      <rPr>
        <b/>
        <vertAlign val="subscript"/>
        <sz val="12"/>
        <color theme="1"/>
        <rFont val="Times New Roman"/>
        <family val="1"/>
      </rPr>
      <t>1</t>
    </r>
    <r>
      <rPr>
        <b/>
        <sz val="12"/>
        <color theme="1"/>
        <rFont val="Times New Roman"/>
        <family val="1"/>
      </rPr>
      <t xml:space="preserve"> (mL)</t>
    </r>
  </si>
  <si>
    <r>
      <t>M</t>
    </r>
    <r>
      <rPr>
        <b/>
        <vertAlign val="subscript"/>
        <sz val="12"/>
        <color theme="1"/>
        <rFont val="Times New Roman"/>
        <family val="1"/>
      </rPr>
      <t>1</t>
    </r>
    <r>
      <rPr>
        <b/>
        <sz val="12"/>
        <color theme="1"/>
        <rFont val="Times New Roman"/>
        <family val="1"/>
      </rPr>
      <t xml:space="preserve"> (ug/mL)</t>
    </r>
  </si>
  <si>
    <t>Equation above used for error estimates of concentration as measured, ignoring dilution.</t>
  </si>
  <si>
    <t>Average Vanillin Concentration as provided</t>
  </si>
  <si>
    <t>Vanillin Concentration as provided</t>
  </si>
  <si>
    <r>
      <t>Mean [S]</t>
    </r>
    <r>
      <rPr>
        <b/>
        <vertAlign val="subscript"/>
        <sz val="12"/>
        <color theme="1"/>
        <rFont val="Times New Roman"/>
        <family val="1"/>
      </rPr>
      <t>f</t>
    </r>
  </si>
  <si>
    <r>
      <t>Mean I</t>
    </r>
    <r>
      <rPr>
        <b/>
        <vertAlign val="subscript"/>
        <sz val="12"/>
        <color theme="1"/>
        <rFont val="Times New Roman"/>
        <family val="1"/>
      </rPr>
      <t>s+x</t>
    </r>
  </si>
  <si>
    <t>m</t>
  </si>
  <si>
    <t>k</t>
  </si>
  <si>
    <t>y</t>
  </si>
  <si>
    <t>x</t>
  </si>
  <si>
    <t>Std. in absorbance</t>
  </si>
  <si>
    <t>Slope of calib. Line</t>
  </si>
  <si>
    <t># of replicates</t>
  </si>
  <si>
    <t># of data points in line</t>
  </si>
  <si>
    <t>Absorbance</t>
  </si>
  <si>
    <t xml:space="preserve">Van. Conc. </t>
  </si>
  <si>
    <t>Slope of line plotted</t>
  </si>
  <si>
    <t>Conc. Standard added</t>
  </si>
  <si>
    <t>10 mL (final dilution)</t>
  </si>
  <si>
    <r>
      <t>(Mean I</t>
    </r>
    <r>
      <rPr>
        <b/>
        <vertAlign val="subscript"/>
        <sz val="12"/>
        <color theme="1"/>
        <rFont val="Times New Roman"/>
        <family val="1"/>
      </rPr>
      <t>s+x</t>
    </r>
    <r>
      <rPr>
        <b/>
        <sz val="12"/>
        <color theme="1"/>
        <rFont val="Times New Roman"/>
        <family val="1"/>
      </rPr>
      <t>)</t>
    </r>
    <r>
      <rPr>
        <b/>
        <vertAlign val="superscript"/>
        <sz val="12"/>
        <color theme="1"/>
        <rFont val="Times New Roman"/>
        <family val="1"/>
      </rPr>
      <t>2</t>
    </r>
  </si>
  <si>
    <r>
      <t>Σ([S]</t>
    </r>
    <r>
      <rPr>
        <b/>
        <vertAlign val="subscript"/>
        <sz val="12"/>
        <color theme="1"/>
        <rFont val="Times New Roman"/>
        <family val="1"/>
      </rPr>
      <t>f</t>
    </r>
    <r>
      <rPr>
        <b/>
        <sz val="12"/>
        <color theme="1"/>
        <rFont val="Times New Roman"/>
        <family val="1"/>
      </rPr>
      <t xml:space="preserve"> - mean [S]</t>
    </r>
    <r>
      <rPr>
        <b/>
        <vertAlign val="subscript"/>
        <sz val="12"/>
        <color theme="1"/>
        <rFont val="Times New Roman"/>
        <family val="1"/>
      </rPr>
      <t>f</t>
    </r>
    <r>
      <rPr>
        <b/>
        <sz val="12"/>
        <color theme="1"/>
        <rFont val="Times New Roman"/>
        <family val="1"/>
      </rPr>
      <t>)</t>
    </r>
    <r>
      <rPr>
        <b/>
        <vertAlign val="superscript"/>
        <sz val="12"/>
        <color theme="1"/>
        <rFont val="Times New Roman"/>
        <family val="1"/>
      </rPr>
      <t>2</t>
    </r>
  </si>
  <si>
    <r>
      <t>([S]</t>
    </r>
    <r>
      <rPr>
        <b/>
        <vertAlign val="subscript"/>
        <sz val="12"/>
        <color theme="1"/>
        <rFont val="Times New Roman"/>
        <family val="1"/>
      </rPr>
      <t>f</t>
    </r>
    <r>
      <rPr>
        <b/>
        <sz val="12"/>
        <color theme="1"/>
        <rFont val="Times New Roman"/>
        <family val="1"/>
      </rPr>
      <t xml:space="preserve"> - mean [S]</t>
    </r>
    <r>
      <rPr>
        <b/>
        <vertAlign val="subscript"/>
        <sz val="12"/>
        <color theme="1"/>
        <rFont val="Times New Roman"/>
        <family val="1"/>
      </rPr>
      <t>f</t>
    </r>
    <r>
      <rPr>
        <b/>
        <sz val="12"/>
        <color theme="1"/>
        <rFont val="Times New Roman"/>
        <family val="1"/>
      </rPr>
      <t>)</t>
    </r>
    <r>
      <rPr>
        <b/>
        <vertAlign val="superscript"/>
        <sz val="12"/>
        <color theme="1"/>
        <rFont val="Times New Roman"/>
        <family val="1"/>
      </rPr>
      <t>2</t>
    </r>
  </si>
  <si>
    <r>
      <t>(Van conc - Mean Van conc)</t>
    </r>
    <r>
      <rPr>
        <b/>
        <vertAlign val="superscript"/>
        <sz val="12"/>
        <color theme="1"/>
        <rFont val="Times New Roman"/>
        <family val="1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</si>
</sst>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"/>
  </numFmts>
  <fonts count="1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vertAlign val="subscript"/>
      <sz val="12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  <font>
      <sz val="12"/>
      <color theme="0"/>
      <name val="Times New Roman"/>
      <family val="1"/>
    </font>
    <font>
      <b/>
      <sz val="12"/>
      <color theme="0"/>
      <name val="Times New Roman"/>
      <family val="1"/>
    </font>
    <font>
      <b/>
      <sz val="30"/>
      <color theme="0"/>
      <name val="Times New Roman"/>
      <family val="1"/>
    </font>
    <font>
      <i/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0" fontId="8" fillId="3" borderId="0" xfId="0" applyFont="1" applyFill="1" applyAlignment="1">
      <alignment horizontal="left"/>
    </xf>
    <xf numFmtId="0" fontId="3" fillId="6" borderId="1" xfId="0" applyFont="1" applyFill="1" applyBorder="1" applyAlignment="1">
      <alignment horizontal="center"/>
    </xf>
    <xf numFmtId="2" fontId="3" fillId="6" borderId="1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/>
    </xf>
    <xf numFmtId="0" fontId="7" fillId="5" borderId="3" xfId="0" applyFont="1" applyFill="1" applyBorder="1"/>
    <xf numFmtId="0" fontId="6" fillId="5" borderId="4" xfId="0" applyFont="1" applyFill="1" applyBorder="1"/>
    <xf numFmtId="0" fontId="6" fillId="5" borderId="5" xfId="0" applyFont="1" applyFill="1" applyBorder="1"/>
    <xf numFmtId="0" fontId="1" fillId="5" borderId="6" xfId="0" applyFont="1" applyFill="1" applyBorder="1"/>
    <xf numFmtId="0" fontId="6" fillId="5" borderId="0" xfId="0" applyFont="1" applyFill="1" applyBorder="1"/>
    <xf numFmtId="0" fontId="6" fillId="5" borderId="7" xfId="0" applyFont="1" applyFill="1" applyBorder="1"/>
    <xf numFmtId="0" fontId="1" fillId="5" borderId="8" xfId="0" applyFont="1" applyFill="1" applyBorder="1"/>
    <xf numFmtId="0" fontId="6" fillId="5" borderId="9" xfId="0" applyFont="1" applyFill="1" applyBorder="1"/>
    <xf numFmtId="0" fontId="6" fillId="5" borderId="10" xfId="0" applyFont="1" applyFill="1" applyBorder="1"/>
    <xf numFmtId="0" fontId="3" fillId="0" borderId="1" xfId="0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11" fillId="8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6" borderId="11" xfId="0" applyFont="1" applyFill="1" applyBorder="1" applyAlignment="1">
      <alignment horizontal="center"/>
    </xf>
    <xf numFmtId="0" fontId="3" fillId="6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'Part I'!$B$2</c:f>
              <c:strCache>
                <c:ptCount val="1"/>
                <c:pt idx="0">
                  <c:v>Absorbance (@347 nm)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'Part I'!$A$3:$A$7</c:f>
              <c:numCache>
                <c:formatCode>0.00</c:formatCode>
                <c:ptCount val="5"/>
                <c:pt idx="0">
                  <c:v>1.05</c:v>
                </c:pt>
                <c:pt idx="1">
                  <c:v>2.06</c:v>
                </c:pt>
                <c:pt idx="2">
                  <c:v>3.08</c:v>
                </c:pt>
                <c:pt idx="3">
                  <c:v>4.13</c:v>
                </c:pt>
                <c:pt idx="4">
                  <c:v>5.18</c:v>
                </c:pt>
              </c:numCache>
            </c:numRef>
          </c:xVal>
          <c:yVal>
            <c:numRef>
              <c:f>'Part I'!$B$3:$B$7</c:f>
              <c:numCache>
                <c:formatCode>0.00</c:formatCode>
                <c:ptCount val="5"/>
                <c:pt idx="0">
                  <c:v>0.16</c:v>
                </c:pt>
                <c:pt idx="1">
                  <c:v>0.26</c:v>
                </c:pt>
                <c:pt idx="2">
                  <c:v>0.34</c:v>
                </c:pt>
                <c:pt idx="3">
                  <c:v>0.44</c:v>
                </c:pt>
                <c:pt idx="4">
                  <c:v>0.56999999999999995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B57-3E46-B930-90F949817C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1784960"/>
        <c:axId val="1825076896"/>
      </c:scatterChart>
      <c:valAx>
        <c:axId val="18417849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/>
                  <a:t>Vanillin Concentration (µg/mL)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25076896"/>
        <c:crosses val="autoZero"/>
        <c:crossBetween val="midCat"/>
      </c:valAx>
      <c:valAx>
        <c:axId val="18250768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/>
                  <a:t>Absorbance at 347 nm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41784960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'Part II'!$E$2</c:f>
              <c:strCache>
                <c:ptCount val="1"/>
                <c:pt idx="0">
                  <c:v>[S]f (µg/mL)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'Part II'!$E$3:$E$7</c:f>
              <c:numCache>
                <c:formatCode>0.00</c:formatCode>
                <c:ptCount val="5"/>
                <c:pt idx="0">
                  <c:v>0</c:v>
                </c:pt>
                <c:pt idx="1">
                  <c:v>0.10700000000000001</c:v>
                </c:pt>
                <c:pt idx="2">
                  <c:v>0.21400000000000002</c:v>
                </c:pt>
                <c:pt idx="3">
                  <c:v>0.32100000000000001</c:v>
                </c:pt>
                <c:pt idx="4">
                  <c:v>0.42800000000000005</c:v>
                </c:pt>
              </c:numCache>
            </c:numRef>
          </c:xVal>
          <c:yVal>
            <c:numRef>
              <c:f>'Part II'!$B$3:$B$7</c:f>
              <c:numCache>
                <c:formatCode>General</c:formatCode>
                <c:ptCount val="5"/>
                <c:pt idx="0">
                  <c:v>0.24</c:v>
                </c:pt>
                <c:pt idx="1">
                  <c:v>0.32</c:v>
                </c:pt>
                <c:pt idx="2">
                  <c:v>0.39</c:v>
                </c:pt>
                <c:pt idx="3">
                  <c:v>0.47</c:v>
                </c:pt>
                <c:pt idx="4">
                  <c:v>0.54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72-674E-91A6-462E670229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6181456"/>
        <c:axId val="1906183104"/>
      </c:scatterChart>
      <c:valAx>
        <c:axId val="1906181456"/>
        <c:scaling>
          <c:orientation val="minMax"/>
          <c:max val="0.45"/>
          <c:min val="-5.000000000000001E-2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/>
                  <a:t>Concentration of Standard Added</a:t>
                </a:r>
                <a:r>
                  <a:rPr lang="en-US" b="1" baseline="0"/>
                  <a:t> (µg/mL)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#,##0.00" sourceLinked="0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906183104"/>
        <c:crosses val="autoZero"/>
        <c:crossBetween val="midCat"/>
      </c:valAx>
      <c:valAx>
        <c:axId val="190618310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/>
                  <a:t>Absorbance at 347 nm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#,##0.00" sourceLinked="0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906181456"/>
        <c:crossesAt val="-5.000000000000001E-2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1.xml"/><Relationship Id="rId1" Type="http://schemas.openxmlformats.org/officeDocument/2006/relationships/image" Target="../media/image1.tmp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746823</xdr:colOff>
      <xdr:row>13</xdr:row>
      <xdr:rowOff>72173</xdr:rowOff>
    </xdr:from>
    <xdr:to>
      <xdr:col>12</xdr:col>
      <xdr:colOff>894591</xdr:colOff>
      <xdr:row>18</xdr:row>
      <xdr:rowOff>47220</xdr:rowOff>
    </xdr:to>
    <xdr:pic>
      <xdr:nvPicPr>
        <xdr:cNvPr id="9" name="Picture 1">
          <a:extLst>
            <a:ext uri="{FF2B5EF4-FFF2-40B4-BE49-F238E27FC236}">
              <a16:creationId xmlns:a16="http://schemas.microsoft.com/office/drawing/2014/main" id="{C2E13401-89D4-B94C-96C5-3669D75BD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41640" y="3030344"/>
          <a:ext cx="7814231" cy="981754"/>
        </a:xfrm>
        <a:prstGeom prst="rect">
          <a:avLst/>
        </a:prstGeom>
      </xdr:spPr>
    </xdr:pic>
    <xdr:clientData/>
  </xdr:twoCellAnchor>
  <xdr:twoCellAnchor>
    <xdr:from>
      <xdr:col>1</xdr:col>
      <xdr:colOff>20320</xdr:colOff>
      <xdr:row>8</xdr:row>
      <xdr:rowOff>0</xdr:rowOff>
    </xdr:from>
    <xdr:to>
      <xdr:col>5</xdr:col>
      <xdr:colOff>0</xdr:colOff>
      <xdr:row>25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E0442E4-55DB-AC48-A080-941854F015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11</xdr:col>
      <xdr:colOff>97105</xdr:colOff>
      <xdr:row>20</xdr:row>
      <xdr:rowOff>22295</xdr:rowOff>
    </xdr:from>
    <xdr:to>
      <xdr:col>13</xdr:col>
      <xdr:colOff>1056356</xdr:colOff>
      <xdr:row>25</xdr:row>
      <xdr:rowOff>57898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01D006-6016-D64A-B579-4915F10EB7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991610" y="4461574"/>
          <a:ext cx="3944713" cy="10653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80603</xdr:colOff>
      <xdr:row>9</xdr:row>
      <xdr:rowOff>134774</xdr:rowOff>
    </xdr:from>
    <xdr:to>
      <xdr:col>8</xdr:col>
      <xdr:colOff>716919</xdr:colOff>
      <xdr:row>24</xdr:row>
      <xdr:rowOff>197294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782267B-6F55-EB4C-A393-100A395138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14</xdr:col>
      <xdr:colOff>335280</xdr:colOff>
      <xdr:row>1</xdr:row>
      <xdr:rowOff>10160</xdr:rowOff>
    </xdr:from>
    <xdr:to>
      <xdr:col>18</xdr:col>
      <xdr:colOff>127000</xdr:colOff>
      <xdr:row>5</xdr:row>
      <xdr:rowOff>89756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691516-6E5F-284E-8674-B86B4F03C8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845280" y="528320"/>
          <a:ext cx="3937000" cy="1054100"/>
        </a:xfrm>
        <a:prstGeom prst="rect">
          <a:avLst/>
        </a:prstGeom>
      </xdr:spPr>
    </xdr:pic>
    <xdr:clientData/>
  </xdr:twoCellAnchor>
  <xdr:oneCellAnchor>
    <xdr:from>
      <xdr:col>13</xdr:col>
      <xdr:colOff>574040</xdr:colOff>
      <xdr:row>11</xdr:row>
      <xdr:rowOff>45720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AAAA622-0DC0-A94F-B041-FEF72F2E43C7}"/>
            </a:ext>
          </a:extLst>
        </xdr:cNvPr>
        <xdr:cNvSpPr txBox="1"/>
      </xdr:nvSpPr>
      <xdr:spPr>
        <a:xfrm>
          <a:off x="16261080" y="28498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8AA6F-B8A7-1445-8B6F-0FDDEB643450}">
  <dimension ref="A1:R34"/>
  <sheetViews>
    <sheetView tabSelected="1" topLeftCell="F1" zoomScale="150" workbookViewId="0">
      <selection activeCell="N5" sqref="N5"/>
    </sheetView>
  </sheetViews>
  <sheetFormatPr baseColWidth="10" defaultRowHeight="16" x14ac:dyDescent="0.2"/>
  <cols>
    <col min="1" max="1" width="16.6640625" style="1" customWidth="1"/>
    <col min="2" max="2" width="21.83203125" style="1" customWidth="1"/>
    <col min="3" max="3" width="27.83203125" style="1" customWidth="1"/>
    <col min="4" max="4" width="10.83203125" style="1"/>
    <col min="5" max="5" width="16.1640625" style="1" customWidth="1"/>
    <col min="6" max="6" width="10.83203125" style="1"/>
    <col min="7" max="7" width="13.1640625" style="1" customWidth="1"/>
    <col min="8" max="8" width="16.33203125" style="1" customWidth="1"/>
    <col min="9" max="9" width="18" style="1" customWidth="1"/>
    <col min="10" max="10" width="9.83203125" style="1" customWidth="1"/>
    <col min="11" max="11" width="13.83203125" style="1" customWidth="1"/>
    <col min="12" max="12" width="18.5" style="1" customWidth="1"/>
    <col min="13" max="13" width="20.83203125" style="1" customWidth="1"/>
    <col min="14" max="14" width="18.83203125" style="1" customWidth="1"/>
    <col min="15" max="15" width="16.83203125" style="1" customWidth="1"/>
    <col min="16" max="16" width="17.6640625" style="1" customWidth="1"/>
    <col min="17" max="17" width="16.5" style="1" customWidth="1"/>
    <col min="18" max="18" width="40.1640625" style="1" customWidth="1"/>
    <col min="19" max="16384" width="10.83203125" style="1"/>
  </cols>
  <sheetData>
    <row r="1" spans="1:18" s="9" customFormat="1" ht="37" x14ac:dyDescent="0.35">
      <c r="A1" s="9" t="s">
        <v>12</v>
      </c>
    </row>
    <row r="2" spans="1:18" ht="18" x14ac:dyDescent="0.2">
      <c r="A2" s="4" t="s">
        <v>14</v>
      </c>
      <c r="B2" s="4" t="s">
        <v>0</v>
      </c>
      <c r="C2" s="4" t="s">
        <v>88</v>
      </c>
      <c r="E2" s="32" t="s">
        <v>7</v>
      </c>
      <c r="F2" s="32"/>
      <c r="G2" s="32"/>
      <c r="H2" s="32"/>
      <c r="K2" s="32" t="s">
        <v>25</v>
      </c>
      <c r="L2" s="32"/>
      <c r="M2" s="32"/>
      <c r="N2" s="32" t="s">
        <v>26</v>
      </c>
      <c r="O2" s="32"/>
      <c r="P2" s="32" t="s">
        <v>28</v>
      </c>
      <c r="Q2" s="32"/>
    </row>
    <row r="3" spans="1:18" x14ac:dyDescent="0.2">
      <c r="A3" s="5">
        <v>1.05</v>
      </c>
      <c r="B3" s="5">
        <v>0.16</v>
      </c>
      <c r="C3" s="5">
        <f>(A3-AVERAGE($A$3:$A$7))^2</f>
        <v>4.2024999999999997</v>
      </c>
      <c r="E3" s="3" t="s">
        <v>1</v>
      </c>
      <c r="F3" s="8" cm="1">
        <f t="array" ref="F3:G7">LINEST(B3:B7,A3:A7,TRUE,TRUE)</f>
        <v>9.6853389306396281E-2</v>
      </c>
      <c r="G3" s="8">
        <v>5.3754493150171501E-2</v>
      </c>
      <c r="H3" s="3" t="s">
        <v>2</v>
      </c>
      <c r="K3" s="4" t="s">
        <v>19</v>
      </c>
      <c r="L3" s="4" t="s">
        <v>14</v>
      </c>
      <c r="M3" s="4" t="s">
        <v>20</v>
      </c>
      <c r="N3" s="4" t="s">
        <v>14</v>
      </c>
      <c r="O3" s="4" t="s">
        <v>20</v>
      </c>
      <c r="P3" s="4" t="s">
        <v>14</v>
      </c>
      <c r="Q3" s="4" t="s">
        <v>20</v>
      </c>
    </row>
    <row r="4" spans="1:18" ht="18" x14ac:dyDescent="0.25">
      <c r="A4" s="5">
        <v>2.06</v>
      </c>
      <c r="B4" s="5">
        <v>0.26</v>
      </c>
      <c r="C4" s="5">
        <f t="shared" ref="C4:C7" si="0">(A4-AVERAGE($A$3:$A$7))^2</f>
        <v>1.0816000000000001</v>
      </c>
      <c r="E4" s="3" t="s">
        <v>8</v>
      </c>
      <c r="F4" s="8">
        <v>4.3733649357771427E-3</v>
      </c>
      <c r="G4" s="8">
        <v>1.4987541415215175E-2</v>
      </c>
      <c r="H4" s="3" t="s">
        <v>9</v>
      </c>
      <c r="K4" s="2">
        <v>0.24</v>
      </c>
      <c r="L4" s="5">
        <f>(K4-$G$3)/$F$3</f>
        <v>1.9229632352941177</v>
      </c>
      <c r="M4" s="5">
        <f>$G$5/$F$3*(SQRT(1/4+1/5+(K4-AVERAGE($B$3:$B$7))^2/$F$3^2/(SUM($C$3:$C$7))^2))</f>
        <v>0.10028088619788213</v>
      </c>
      <c r="N4" s="5">
        <f>L4*10/1</f>
        <v>19.229632352941177</v>
      </c>
      <c r="O4" s="5">
        <f>N4*SQRT((M4/L4)^2+(0.02/10)^2+(0.006/1)^2)</f>
        <v>1.0101568017295284</v>
      </c>
      <c r="P4" s="5">
        <f>N4*250/1</f>
        <v>4807.4080882352946</v>
      </c>
      <c r="Q4" s="5">
        <f>P4*SQRT((O4/N4)^2+(0.12/250)^2+(0.006/1)^2)</f>
        <v>254.19161036537562</v>
      </c>
    </row>
    <row r="5" spans="1:18" ht="19" x14ac:dyDescent="0.25">
      <c r="A5" s="5">
        <v>3.08</v>
      </c>
      <c r="B5" s="5">
        <v>0.34</v>
      </c>
      <c r="C5" s="5">
        <f t="shared" si="0"/>
        <v>4.0000000000000072E-4</v>
      </c>
      <c r="E5" s="3" t="s">
        <v>10</v>
      </c>
      <c r="F5" s="8">
        <v>0.99392040495523448</v>
      </c>
      <c r="G5" s="8">
        <v>1.4286786586548972E-2</v>
      </c>
      <c r="H5" s="3" t="s">
        <v>11</v>
      </c>
      <c r="K5" s="2">
        <v>0.25</v>
      </c>
      <c r="L5" s="5">
        <f>(K5-$G$3)/$F$3</f>
        <v>2.0262120743034058</v>
      </c>
      <c r="M5" s="5">
        <f>$G$5/$F$3*(SQRT(1/4+1/5+(K5-AVERAGE($B$3:$B$7))^2/$F$3^2/(SUM($C$3:$C$7))^2))</f>
        <v>0.1000592590403158</v>
      </c>
      <c r="N5" s="5">
        <f>L5*10</f>
        <v>20.262120743034057</v>
      </c>
      <c r="O5" s="5">
        <f t="shared" ref="O5:O7" si="1">N5*SQRT((M5/L5)^2+(0.02/10)^2+(0.006/1)^2)</f>
        <v>1.0087654204273231</v>
      </c>
      <c r="P5" s="5">
        <f>N5*250/1</f>
        <v>5065.5301857585146</v>
      </c>
      <c r="Q5" s="5">
        <f>P5*SQRT((O5/N5)^2+(0.12/250)^2+(0.006/1)^2)</f>
        <v>254.02782725483917</v>
      </c>
    </row>
    <row r="6" spans="1:18" x14ac:dyDescent="0.2">
      <c r="A6" s="5">
        <v>4.13</v>
      </c>
      <c r="B6" s="5">
        <v>0.44</v>
      </c>
      <c r="C6" s="5">
        <f t="shared" si="0"/>
        <v>1.0608999999999995</v>
      </c>
      <c r="E6" s="3" t="s">
        <v>3</v>
      </c>
      <c r="F6" s="5">
        <v>490.45391887292817</v>
      </c>
      <c r="G6" s="2">
        <v>3</v>
      </c>
      <c r="H6" s="3" t="s">
        <v>4</v>
      </c>
      <c r="K6" s="2">
        <v>0.22</v>
      </c>
      <c r="L6" s="5">
        <f>(K6-$G$3)/$F$3</f>
        <v>1.7164655572755418</v>
      </c>
      <c r="M6" s="5">
        <f>$G$5/$F$3*(SQRT(1/4+1/5+(K6-AVERAGE($B$3:$B$7))^2/$F$3^2/(SUM($C$3:$C$7))^2))</f>
        <v>0.10078332292018656</v>
      </c>
      <c r="N6" s="5">
        <f>L6*10</f>
        <v>17.164655572755418</v>
      </c>
      <c r="O6" s="5">
        <f t="shared" si="1"/>
        <v>1.0136630771221338</v>
      </c>
      <c r="P6" s="5">
        <f>N6*250/1</f>
        <v>4291.1638931888547</v>
      </c>
      <c r="Q6" s="5">
        <f>P6*SQRT((O6/N6)^2+(0.12/250)^2+(0.006/1)^2)</f>
        <v>254.72868287241124</v>
      </c>
    </row>
    <row r="7" spans="1:18" x14ac:dyDescent="0.2">
      <c r="A7" s="5">
        <v>5.18</v>
      </c>
      <c r="B7" s="5">
        <v>0.56999999999999995</v>
      </c>
      <c r="C7" s="5">
        <f t="shared" si="0"/>
        <v>4.3263999999999987</v>
      </c>
      <c r="E7" s="3" t="s">
        <v>5</v>
      </c>
      <c r="F7" s="8">
        <v>0.10010766318709119</v>
      </c>
      <c r="G7" s="7">
        <v>6.1233681290878694E-4</v>
      </c>
      <c r="H7" s="3" t="s">
        <v>6</v>
      </c>
      <c r="K7" s="2">
        <v>0.22</v>
      </c>
      <c r="L7" s="5">
        <f>(K7-$G$3)/$F$3</f>
        <v>1.7164655572755418</v>
      </c>
      <c r="M7" s="5">
        <f>$G$5/$F$3*(SQRT(1/4+1/5+(K7-AVERAGE($B$3:$B$7))^2/$F$3^2/(SUM($C$3:$C$7))^2))</f>
        <v>0.10078332292018656</v>
      </c>
      <c r="N7" s="5">
        <f>L7*10</f>
        <v>17.164655572755418</v>
      </c>
      <c r="O7" s="5">
        <f t="shared" si="1"/>
        <v>1.0136630771221338</v>
      </c>
      <c r="P7" s="5">
        <f>N7*250/1</f>
        <v>4291.1638931888547</v>
      </c>
      <c r="Q7" s="5">
        <f>P7*SQRT((O7/N7)^2+(0.12/250)^2+(0.006/1)^2)</f>
        <v>254.72868287241124</v>
      </c>
    </row>
    <row r="8" spans="1:18" x14ac:dyDescent="0.2">
      <c r="K8" s="16">
        <f>AVERAGE(K4:K7)</f>
        <v>0.23249999999999998</v>
      </c>
      <c r="L8" s="16">
        <f>AVERAGE(L4:L7)</f>
        <v>1.8455266060371518</v>
      </c>
      <c r="M8" s="16">
        <f>$G$5/$F$3*(SQRT(1/4+1/5+(K8-AVERAGE($B$3:$B$7))^2/$F$3^2/(SUM($C$3:$C$7))^2))</f>
        <v>0.10046009139781149</v>
      </c>
      <c r="N8" s="16">
        <f>AVERAGE(N4:N7)</f>
        <v>18.455266060371518</v>
      </c>
      <c r="O8" s="16">
        <f>N8*SQRT((M8/L8)^2+(0.02/10)^2+(0.006/1)^2)</f>
        <v>1.0113589225294985</v>
      </c>
      <c r="P8" s="11">
        <f>AVERAGE(P4:P7)</f>
        <v>4613.8165150928799</v>
      </c>
      <c r="Q8" s="11">
        <f>P8*SQRT((O8/N8)^2+(0.12/250)^2+(0.006/1)^2)</f>
        <v>254.36032883074148</v>
      </c>
      <c r="R8" s="10" t="s">
        <v>68</v>
      </c>
    </row>
    <row r="9" spans="1:18" x14ac:dyDescent="0.2">
      <c r="K9" s="34" t="s">
        <v>62</v>
      </c>
      <c r="L9" s="34"/>
      <c r="M9" s="34"/>
      <c r="N9" s="34"/>
      <c r="O9" s="34"/>
      <c r="P9" s="34"/>
      <c r="Q9" s="34"/>
    </row>
    <row r="10" spans="1:18" x14ac:dyDescent="0.2">
      <c r="G10" s="32" t="s">
        <v>18</v>
      </c>
      <c r="H10" s="32"/>
      <c r="I10" s="32"/>
      <c r="N10" s="14" t="s">
        <v>29</v>
      </c>
      <c r="O10" s="14" t="s">
        <v>33</v>
      </c>
    </row>
    <row r="11" spans="1:18" x14ac:dyDescent="0.2">
      <c r="G11" s="35"/>
      <c r="H11" s="35"/>
      <c r="I11" s="4" t="s">
        <v>16</v>
      </c>
      <c r="N11" s="2" t="s">
        <v>30</v>
      </c>
      <c r="O11" s="2">
        <v>6.0000000000000001E-3</v>
      </c>
    </row>
    <row r="12" spans="1:18" x14ac:dyDescent="0.2">
      <c r="G12" s="4" t="s">
        <v>13</v>
      </c>
      <c r="H12" s="2">
        <v>1</v>
      </c>
      <c r="I12" s="2" t="s">
        <v>17</v>
      </c>
      <c r="N12" s="2" t="s">
        <v>31</v>
      </c>
      <c r="O12" s="2">
        <v>0.02</v>
      </c>
    </row>
    <row r="13" spans="1:18" x14ac:dyDescent="0.2">
      <c r="G13" s="4" t="s">
        <v>15</v>
      </c>
      <c r="H13" s="8">
        <f>F3/H12</f>
        <v>9.6853389306396281E-2</v>
      </c>
      <c r="I13" s="8">
        <f>F4/F3*H13</f>
        <v>4.3733649357771427E-3</v>
      </c>
      <c r="N13" s="2" t="s">
        <v>32</v>
      </c>
      <c r="O13" s="2">
        <v>0.12</v>
      </c>
    </row>
    <row r="14" spans="1:18" x14ac:dyDescent="0.2">
      <c r="N14" s="33" t="s">
        <v>27</v>
      </c>
      <c r="O14" s="33"/>
    </row>
    <row r="21" spans="7:15" x14ac:dyDescent="0.2">
      <c r="G21" s="17" t="s">
        <v>21</v>
      </c>
      <c r="H21" s="18"/>
      <c r="I21" s="18"/>
      <c r="J21" s="19"/>
    </row>
    <row r="22" spans="7:15" x14ac:dyDescent="0.2">
      <c r="G22" s="20" t="s">
        <v>22</v>
      </c>
      <c r="H22" s="21"/>
      <c r="I22" s="21"/>
      <c r="J22" s="22"/>
    </row>
    <row r="23" spans="7:15" x14ac:dyDescent="0.2">
      <c r="G23" s="20" t="s">
        <v>23</v>
      </c>
      <c r="H23" s="21"/>
      <c r="I23" s="21"/>
      <c r="J23" s="22"/>
    </row>
    <row r="24" spans="7:15" x14ac:dyDescent="0.2">
      <c r="G24" s="23" t="s">
        <v>24</v>
      </c>
      <c r="H24" s="24"/>
      <c r="I24" s="24"/>
      <c r="J24" s="25"/>
    </row>
    <row r="27" spans="7:15" x14ac:dyDescent="0.2">
      <c r="K27" s="29" t="s">
        <v>67</v>
      </c>
      <c r="L27" s="30"/>
      <c r="M27" s="30"/>
      <c r="N27" s="30"/>
      <c r="O27" s="31"/>
    </row>
    <row r="29" spans="7:15" ht="18" x14ac:dyDescent="0.25">
      <c r="L29" s="15" t="s">
        <v>11</v>
      </c>
      <c r="M29" s="8" t="s">
        <v>76</v>
      </c>
    </row>
    <row r="30" spans="7:15" x14ac:dyDescent="0.2">
      <c r="L30" s="15" t="s">
        <v>72</v>
      </c>
      <c r="M30" s="2" t="s">
        <v>77</v>
      </c>
    </row>
    <row r="31" spans="7:15" x14ac:dyDescent="0.2">
      <c r="L31" s="15" t="s">
        <v>73</v>
      </c>
      <c r="M31" s="2" t="s">
        <v>78</v>
      </c>
    </row>
    <row r="32" spans="7:15" x14ac:dyDescent="0.2">
      <c r="L32" s="15" t="s">
        <v>56</v>
      </c>
      <c r="M32" s="2" t="s">
        <v>79</v>
      </c>
    </row>
    <row r="33" spans="12:13" x14ac:dyDescent="0.2">
      <c r="L33" s="15" t="s">
        <v>74</v>
      </c>
      <c r="M33" s="2" t="s">
        <v>80</v>
      </c>
    </row>
    <row r="34" spans="12:13" x14ac:dyDescent="0.2">
      <c r="L34" s="15" t="s">
        <v>75</v>
      </c>
      <c r="M34" s="2" t="s">
        <v>81</v>
      </c>
    </row>
  </sheetData>
  <mergeCells count="9">
    <mergeCell ref="E2:H2"/>
    <mergeCell ref="G10:I10"/>
    <mergeCell ref="G11:H11"/>
    <mergeCell ref="K2:M2"/>
    <mergeCell ref="K27:O27"/>
    <mergeCell ref="N2:O2"/>
    <mergeCell ref="P2:Q2"/>
    <mergeCell ref="N14:O14"/>
    <mergeCell ref="K9:Q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66843-A124-AD4E-840A-F224773CB61D}">
  <dimension ref="A1:Q26"/>
  <sheetViews>
    <sheetView workbookViewId="0">
      <selection activeCell="P19" sqref="P19"/>
    </sheetView>
  </sheetViews>
  <sheetFormatPr baseColWidth="10" defaultRowHeight="16" x14ac:dyDescent="0.2"/>
  <cols>
    <col min="1" max="1" width="11.33203125" style="1" customWidth="1"/>
    <col min="2" max="2" width="23.33203125" style="1" customWidth="1"/>
    <col min="3" max="3" width="11.5" style="1" customWidth="1"/>
    <col min="4" max="4" width="14" style="1" customWidth="1"/>
    <col min="5" max="5" width="14.33203125" style="1" customWidth="1"/>
    <col min="6" max="6" width="17.5" style="1" customWidth="1"/>
    <col min="7" max="7" width="10.6640625" style="1" customWidth="1"/>
    <col min="8" max="8" width="22.6640625" style="1" customWidth="1"/>
    <col min="9" max="9" width="12.1640625" style="1" bestFit="1" customWidth="1"/>
    <col min="10" max="10" width="10.83203125" style="1"/>
    <col min="11" max="11" width="18.5" style="1" customWidth="1"/>
    <col min="12" max="12" width="18.33203125" style="1" customWidth="1"/>
    <col min="13" max="13" width="20.6640625" style="1" customWidth="1"/>
    <col min="14" max="15" width="10.83203125" style="1"/>
    <col min="16" max="16" width="10.83203125" style="1" customWidth="1"/>
    <col min="17" max="17" width="22" style="1" customWidth="1"/>
    <col min="18" max="16384" width="10.83203125" style="1"/>
  </cols>
  <sheetData>
    <row r="1" spans="1:17" s="9" customFormat="1" ht="41" customHeight="1" x14ac:dyDescent="0.35">
      <c r="A1" s="9" t="s">
        <v>34</v>
      </c>
    </row>
    <row r="2" spans="1:17" ht="19" x14ac:dyDescent="0.25">
      <c r="A2" s="4" t="s">
        <v>49</v>
      </c>
      <c r="B2" s="4" t="s">
        <v>50</v>
      </c>
      <c r="C2" s="4" t="s">
        <v>51</v>
      </c>
      <c r="D2" s="4" t="s">
        <v>53</v>
      </c>
      <c r="E2" s="4" t="s">
        <v>54</v>
      </c>
      <c r="F2" s="4" t="s">
        <v>87</v>
      </c>
      <c r="G2" s="12"/>
      <c r="H2" s="32" t="s">
        <v>35</v>
      </c>
      <c r="I2" s="32"/>
      <c r="J2" s="32"/>
      <c r="K2" s="32"/>
      <c r="M2" s="4" t="s">
        <v>71</v>
      </c>
      <c r="N2" s="2">
        <f>AVERAGE(B3:B7)</f>
        <v>0.39200000000000002</v>
      </c>
    </row>
    <row r="3" spans="1:17" ht="19" x14ac:dyDescent="0.25">
      <c r="A3" s="5">
        <v>0</v>
      </c>
      <c r="B3" s="2">
        <v>0.24</v>
      </c>
      <c r="C3" s="5">
        <v>1</v>
      </c>
      <c r="D3" s="5">
        <f>0.00000107/0.000001</f>
        <v>1.07</v>
      </c>
      <c r="E3" s="5">
        <f>D3*A3/10</f>
        <v>0</v>
      </c>
      <c r="F3" s="5">
        <f>(E3-$N$5)^2</f>
        <v>4.5796000000000024E-2</v>
      </c>
      <c r="G3" s="12"/>
      <c r="H3" s="3" t="s">
        <v>1</v>
      </c>
      <c r="I3" s="7" cm="1">
        <f t="array" ref="I3:J7">LINEST(B3:B7,E3:E7,1,1)</f>
        <v>0.70093457943925219</v>
      </c>
      <c r="J3" s="7">
        <v>0.24200000000000002</v>
      </c>
      <c r="K3" s="3" t="s">
        <v>2</v>
      </c>
      <c r="M3" s="15" t="s">
        <v>85</v>
      </c>
      <c r="N3" s="7">
        <f>N2^2</f>
        <v>0.15366400000000002</v>
      </c>
    </row>
    <row r="4" spans="1:17" ht="18" x14ac:dyDescent="0.25">
      <c r="A4" s="5">
        <v>1</v>
      </c>
      <c r="B4" s="2">
        <v>0.32</v>
      </c>
      <c r="C4" s="5">
        <v>1</v>
      </c>
      <c r="D4" s="5">
        <f t="shared" ref="D4:D7" si="0">0.00000107/0.000001</f>
        <v>1.07</v>
      </c>
      <c r="E4" s="5">
        <f>D4*A4/10</f>
        <v>0.10700000000000001</v>
      </c>
      <c r="F4" s="5">
        <f t="shared" ref="F4:F7" si="1">(E4-$N$5)^2</f>
        <v>1.1449000000000008E-2</v>
      </c>
      <c r="G4" s="12"/>
      <c r="H4" s="3" t="s">
        <v>8</v>
      </c>
      <c r="I4" s="7">
        <v>9.3457943925233898E-3</v>
      </c>
      <c r="J4" s="7">
        <v>2.4494897427831848E-3</v>
      </c>
      <c r="K4" s="3" t="s">
        <v>9</v>
      </c>
      <c r="M4" s="4" t="s">
        <v>56</v>
      </c>
      <c r="N4" s="2">
        <v>5</v>
      </c>
    </row>
    <row r="5" spans="1:17" ht="19" x14ac:dyDescent="0.25">
      <c r="A5" s="5">
        <v>2</v>
      </c>
      <c r="B5" s="2">
        <v>0.39</v>
      </c>
      <c r="C5" s="5">
        <v>1</v>
      </c>
      <c r="D5" s="5">
        <f t="shared" si="0"/>
        <v>1.07</v>
      </c>
      <c r="E5" s="5">
        <f>D5*A5/10</f>
        <v>0.21400000000000002</v>
      </c>
      <c r="F5" s="5">
        <f t="shared" si="1"/>
        <v>7.7037197775489434E-34</v>
      </c>
      <c r="G5" s="12"/>
      <c r="H5" s="3" t="s">
        <v>10</v>
      </c>
      <c r="I5" s="7">
        <v>0.99946695095948823</v>
      </c>
      <c r="J5" s="7">
        <v>3.1622776601683885E-3</v>
      </c>
      <c r="K5" s="3" t="s">
        <v>11</v>
      </c>
      <c r="M5" s="4" t="s">
        <v>70</v>
      </c>
      <c r="N5" s="5">
        <f>AVERAGE(E3:E7)</f>
        <v>0.21400000000000005</v>
      </c>
    </row>
    <row r="6" spans="1:17" ht="19" x14ac:dyDescent="0.25">
      <c r="A6" s="5">
        <v>3</v>
      </c>
      <c r="B6" s="2">
        <v>0.47</v>
      </c>
      <c r="C6" s="5">
        <v>1</v>
      </c>
      <c r="D6" s="5">
        <f t="shared" si="0"/>
        <v>1.07</v>
      </c>
      <c r="E6" s="5">
        <f>D6*A6/10</f>
        <v>0.32100000000000001</v>
      </c>
      <c r="F6" s="5">
        <f t="shared" si="1"/>
        <v>1.144899999999999E-2</v>
      </c>
      <c r="G6" s="12"/>
      <c r="H6" s="3" t="s">
        <v>3</v>
      </c>
      <c r="I6" s="5">
        <v>5624.9999999999682</v>
      </c>
      <c r="J6" s="2">
        <v>3</v>
      </c>
      <c r="K6" s="3" t="s">
        <v>4</v>
      </c>
      <c r="M6" s="4" t="s">
        <v>86</v>
      </c>
      <c r="N6" s="5">
        <f>SUM(F3:F7)</f>
        <v>0.11449000000000001</v>
      </c>
    </row>
    <row r="7" spans="1:17" ht="18" x14ac:dyDescent="0.25">
      <c r="A7" s="5">
        <v>4</v>
      </c>
      <c r="B7" s="2">
        <v>0.54</v>
      </c>
      <c r="C7" s="5">
        <v>1</v>
      </c>
      <c r="D7" s="5">
        <f t="shared" si="0"/>
        <v>1.07</v>
      </c>
      <c r="E7" s="5">
        <f>D7*A7/10</f>
        <v>0.42800000000000005</v>
      </c>
      <c r="F7" s="5">
        <f t="shared" si="1"/>
        <v>4.5795999999999996E-2</v>
      </c>
      <c r="H7" s="3" t="s">
        <v>5</v>
      </c>
      <c r="I7" s="8">
        <v>5.6250000000000008E-2</v>
      </c>
      <c r="J7" s="28">
        <v>3.0000000000000174E-5</v>
      </c>
      <c r="K7" s="3" t="s">
        <v>6</v>
      </c>
      <c r="M7" s="15" t="s">
        <v>57</v>
      </c>
      <c r="N7" s="27">
        <f>J5/ABS(I3)*SQRT(1/5+N3/I3^2/N6)</f>
        <v>7.7248492639095459E-3</v>
      </c>
      <c r="P7" s="15" t="s">
        <v>11</v>
      </c>
      <c r="Q7" s="8" t="s">
        <v>76</v>
      </c>
    </row>
    <row r="8" spans="1:17" x14ac:dyDescent="0.2">
      <c r="E8" s="13"/>
      <c r="F8" s="13"/>
      <c r="M8" s="34" t="s">
        <v>58</v>
      </c>
      <c r="N8" s="34"/>
      <c r="P8" s="15" t="s">
        <v>72</v>
      </c>
      <c r="Q8" s="2" t="s">
        <v>82</v>
      </c>
    </row>
    <row r="9" spans="1:17" x14ac:dyDescent="0.2">
      <c r="A9" s="32" t="s">
        <v>37</v>
      </c>
      <c r="B9" s="32"/>
      <c r="H9" s="26" t="s">
        <v>36</v>
      </c>
      <c r="I9" s="27">
        <f>-J3/I3</f>
        <v>-0.34525333333333341</v>
      </c>
      <c r="P9" s="15" t="s">
        <v>56</v>
      </c>
      <c r="Q9" s="2" t="s">
        <v>79</v>
      </c>
    </row>
    <row r="10" spans="1:17" ht="18" x14ac:dyDescent="0.25">
      <c r="A10" s="3" t="s">
        <v>44</v>
      </c>
      <c r="B10" s="2" t="s">
        <v>38</v>
      </c>
      <c r="K10" s="4" t="s">
        <v>29</v>
      </c>
      <c r="L10" s="4" t="s">
        <v>33</v>
      </c>
      <c r="P10" s="15" t="s">
        <v>74</v>
      </c>
      <c r="Q10" s="2" t="s">
        <v>80</v>
      </c>
    </row>
    <row r="11" spans="1:17" ht="18" x14ac:dyDescent="0.25">
      <c r="A11" s="3" t="s">
        <v>45</v>
      </c>
      <c r="B11" s="2" t="s">
        <v>39</v>
      </c>
      <c r="C11" s="1" t="s">
        <v>55</v>
      </c>
      <c r="K11" s="2" t="s">
        <v>30</v>
      </c>
      <c r="L11" s="2">
        <v>6.0000000000000001E-3</v>
      </c>
      <c r="P11" s="15" t="s">
        <v>75</v>
      </c>
      <c r="Q11" s="2" t="s">
        <v>83</v>
      </c>
    </row>
    <row r="12" spans="1:17" ht="18" x14ac:dyDescent="0.25">
      <c r="A12" s="3" t="s">
        <v>46</v>
      </c>
      <c r="B12" s="2" t="s">
        <v>40</v>
      </c>
      <c r="K12" s="2" t="s">
        <v>31</v>
      </c>
      <c r="L12" s="2">
        <v>0.02</v>
      </c>
    </row>
    <row r="13" spans="1:17" ht="18" x14ac:dyDescent="0.25">
      <c r="A13" s="3" t="s">
        <v>50</v>
      </c>
      <c r="B13" s="2" t="s">
        <v>41</v>
      </c>
      <c r="K13" s="2" t="s">
        <v>32</v>
      </c>
      <c r="L13" s="2">
        <v>0.12</v>
      </c>
    </row>
    <row r="14" spans="1:17" ht="18" x14ac:dyDescent="0.25">
      <c r="A14" s="3" t="s">
        <v>47</v>
      </c>
      <c r="B14" s="2" t="s">
        <v>42</v>
      </c>
      <c r="K14" s="33" t="s">
        <v>27</v>
      </c>
      <c r="L14" s="33"/>
    </row>
    <row r="15" spans="1:17" ht="18" x14ac:dyDescent="0.25">
      <c r="A15" s="3" t="s">
        <v>48</v>
      </c>
      <c r="B15" s="2" t="s">
        <v>43</v>
      </c>
    </row>
    <row r="16" spans="1:17" ht="18" x14ac:dyDescent="0.25">
      <c r="A16" s="3" t="s">
        <v>52</v>
      </c>
      <c r="B16" s="2" t="s">
        <v>84</v>
      </c>
      <c r="K16" s="32" t="s">
        <v>59</v>
      </c>
      <c r="L16" s="32"/>
      <c r="M16" s="4" t="s">
        <v>60</v>
      </c>
    </row>
    <row r="17" spans="11:13" ht="18" x14ac:dyDescent="0.25">
      <c r="K17" s="4" t="s">
        <v>63</v>
      </c>
      <c r="L17" s="8">
        <f>ABS(I9)</f>
        <v>0.34525333333333341</v>
      </c>
      <c r="M17" s="7">
        <f>ABS(N7)</f>
        <v>7.7248492639095459E-3</v>
      </c>
    </row>
    <row r="18" spans="11:13" ht="18" x14ac:dyDescent="0.25">
      <c r="K18" s="4" t="s">
        <v>64</v>
      </c>
      <c r="L18" s="5">
        <v>10</v>
      </c>
      <c r="M18" s="5">
        <f>L12</f>
        <v>0.02</v>
      </c>
    </row>
    <row r="19" spans="11:13" ht="18" x14ac:dyDescent="0.25">
      <c r="K19" s="4" t="s">
        <v>65</v>
      </c>
      <c r="L19" s="8">
        <v>1</v>
      </c>
      <c r="M19" s="8">
        <f>L11</f>
        <v>6.0000000000000001E-3</v>
      </c>
    </row>
    <row r="20" spans="11:13" ht="18" x14ac:dyDescent="0.25">
      <c r="K20" s="4" t="s">
        <v>66</v>
      </c>
      <c r="L20" s="5">
        <f>L17*L18/L19</f>
        <v>3.4525333333333341</v>
      </c>
      <c r="M20" s="5">
        <f>L20*(SQRT((M17/L17)^2+(M18/L18)^2+(M19/L19)^2))</f>
        <v>8.0275332896995816E-2</v>
      </c>
    </row>
    <row r="21" spans="11:13" x14ac:dyDescent="0.2">
      <c r="K21" s="32" t="s">
        <v>61</v>
      </c>
      <c r="L21" s="32"/>
      <c r="M21" s="4" t="s">
        <v>60</v>
      </c>
    </row>
    <row r="22" spans="11:13" ht="18" x14ac:dyDescent="0.25">
      <c r="K22" s="6" t="s">
        <v>63</v>
      </c>
      <c r="L22" s="5">
        <f>L20</f>
        <v>3.4525333333333341</v>
      </c>
      <c r="M22" s="5">
        <f>ABS(M20)</f>
        <v>8.0275332896995816E-2</v>
      </c>
    </row>
    <row r="23" spans="11:13" ht="18" x14ac:dyDescent="0.25">
      <c r="K23" s="6" t="s">
        <v>64</v>
      </c>
      <c r="L23" s="5">
        <v>250</v>
      </c>
      <c r="M23" s="5">
        <f>L13</f>
        <v>0.12</v>
      </c>
    </row>
    <row r="24" spans="11:13" ht="18" x14ac:dyDescent="0.25">
      <c r="K24" s="6" t="s">
        <v>65</v>
      </c>
      <c r="L24" s="5">
        <v>1</v>
      </c>
      <c r="M24" s="5">
        <f>L11</f>
        <v>6.0000000000000001E-3</v>
      </c>
    </row>
    <row r="25" spans="11:13" ht="18" x14ac:dyDescent="0.25">
      <c r="K25" s="6" t="s">
        <v>66</v>
      </c>
      <c r="L25" s="11">
        <f>L22*L23/L24</f>
        <v>863.13333333333355</v>
      </c>
      <c r="M25" s="11">
        <f>L25*(SQRT((M22/L22)^2+(M23/L23)^2+(M24/L24)^2))</f>
        <v>20.730404825452265</v>
      </c>
    </row>
    <row r="26" spans="11:13" x14ac:dyDescent="0.2">
      <c r="L26" s="36" t="s">
        <v>69</v>
      </c>
      <c r="M26" s="37"/>
    </row>
  </sheetData>
  <mergeCells count="7">
    <mergeCell ref="L26:M26"/>
    <mergeCell ref="K21:L21"/>
    <mergeCell ref="H2:K2"/>
    <mergeCell ref="A9:B9"/>
    <mergeCell ref="M8:N8"/>
    <mergeCell ref="K14:L14"/>
    <mergeCell ref="K16:L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I</vt:lpstr>
      <vt:lpstr>Part 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2021-09-11T18:53:19Z</dcterms:created>
  <dcterms:modified xsi:type="dcterms:W3CDTF">2021-09-24T23:34:47Z</dcterms:modified>
</cp:coreProperties>
</file>