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SPRING 2021/CHEG 345 -JLab/KIN/"/>
    </mc:Choice>
  </mc:AlternateContent>
  <xr:revisionPtr revIDLastSave="0" documentId="8_{7D0F07B6-9475-0049-836D-3DEC7AF0F0F4}" xr6:coauthVersionLast="47" xr6:coauthVersionMax="47" xr10:uidLastSave="{00000000-0000-0000-0000-000000000000}"/>
  <bookViews>
    <workbookView xWindow="1060" yWindow="1040" windowWidth="12020" windowHeight="6000" firstSheet="2" activeTab="4" xr2:uid="{527FF29A-2B8F-AA47-8F27-68B3FDB16358}"/>
  </bookViews>
  <sheets>
    <sheet name="Absorbance Data Matlab" sheetId="3" r:id="rId1"/>
    <sheet name="Initial Conditions and Runs" sheetId="2" r:id="rId2"/>
    <sheet name="LINEST on I2 conc. " sheetId="4" r:id="rId3"/>
    <sheet name="Rate Order" sheetId="5" r:id="rId4"/>
    <sheet name="Activation Energy" sheetId="6" r:id="rId5"/>
    <sheet name="Error" sheetId="7" r:id="rId6"/>
    <sheet name="Error Phase 3" sheetId="8" r:id="rId7"/>
    <sheet name="Sensitivity Analysi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6" l="1"/>
  <c r="P10" i="6"/>
  <c r="R10" i="6" s="1"/>
  <c r="T11" i="9"/>
  <c r="T13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S2" i="9"/>
  <c r="T4" i="9" s="1"/>
  <c r="H2" i="9"/>
  <c r="I7" i="9" s="1"/>
  <c r="C2" i="9"/>
  <c r="D14" i="9" s="1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4" i="9"/>
  <c r="Q2" i="9"/>
  <c r="S16" i="9" s="1"/>
  <c r="G9" i="8"/>
  <c r="G18" i="8"/>
  <c r="G17" i="8"/>
  <c r="H10" i="8"/>
  <c r="C7" i="8"/>
  <c r="H11" i="8"/>
  <c r="B8" i="8"/>
  <c r="R3" i="3"/>
  <c r="S5" i="6"/>
  <c r="S7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O12" i="6"/>
  <c r="O13" i="6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11" i="6"/>
  <c r="O10" i="6"/>
  <c r="D34" i="9" l="1"/>
  <c r="S9" i="9"/>
  <c r="D11" i="9"/>
  <c r="I40" i="9"/>
  <c r="D43" i="9"/>
  <c r="D19" i="9"/>
  <c r="I24" i="9"/>
  <c r="S12" i="9"/>
  <c r="D49" i="9"/>
  <c r="D37" i="9"/>
  <c r="D25" i="9"/>
  <c r="D13" i="9"/>
  <c r="I54" i="9"/>
  <c r="I42" i="9"/>
  <c r="I30" i="9"/>
  <c r="I18" i="9"/>
  <c r="I6" i="9"/>
  <c r="D48" i="9"/>
  <c r="D36" i="9"/>
  <c r="D24" i="9"/>
  <c r="D12" i="9"/>
  <c r="I53" i="9"/>
  <c r="I41" i="9"/>
  <c r="I29" i="9"/>
  <c r="I17" i="9"/>
  <c r="I5" i="9"/>
  <c r="S51" i="9"/>
  <c r="S45" i="9"/>
  <c r="S39" i="9"/>
  <c r="S33" i="9"/>
  <c r="S27" i="9"/>
  <c r="S21" i="9"/>
  <c r="T14" i="9"/>
  <c r="T8" i="9"/>
  <c r="S14" i="9"/>
  <c r="S8" i="9"/>
  <c r="T7" i="9"/>
  <c r="I52" i="9"/>
  <c r="D46" i="9"/>
  <c r="D22" i="9"/>
  <c r="I51" i="9"/>
  <c r="I39" i="9"/>
  <c r="I27" i="9"/>
  <c r="I15" i="9"/>
  <c r="S7" i="9"/>
  <c r="S50" i="9"/>
  <c r="S44" i="9"/>
  <c r="S38" i="9"/>
  <c r="S32" i="9"/>
  <c r="S26" i="9"/>
  <c r="S20" i="9"/>
  <c r="D45" i="9"/>
  <c r="D33" i="9"/>
  <c r="D21" i="9"/>
  <c r="D9" i="9"/>
  <c r="I50" i="9"/>
  <c r="I38" i="9"/>
  <c r="I26" i="9"/>
  <c r="I14" i="9"/>
  <c r="I4" i="9"/>
  <c r="S13" i="9"/>
  <c r="D44" i="9"/>
  <c r="D32" i="9"/>
  <c r="D20" i="9"/>
  <c r="D8" i="9"/>
  <c r="I49" i="9"/>
  <c r="I37" i="9"/>
  <c r="I25" i="9"/>
  <c r="I13" i="9"/>
  <c r="S49" i="9"/>
  <c r="S43" i="9"/>
  <c r="S37" i="9"/>
  <c r="S31" i="9"/>
  <c r="S25" i="9"/>
  <c r="S19" i="9"/>
  <c r="T12" i="9"/>
  <c r="T6" i="9"/>
  <c r="S6" i="9"/>
  <c r="T5" i="9"/>
  <c r="S5" i="9"/>
  <c r="D35" i="9"/>
  <c r="I28" i="9"/>
  <c r="D10" i="9"/>
  <c r="D4" i="9"/>
  <c r="D31" i="9"/>
  <c r="D7" i="9"/>
  <c r="I36" i="9"/>
  <c r="D42" i="9"/>
  <c r="D18" i="9"/>
  <c r="I47" i="9"/>
  <c r="I23" i="9"/>
  <c r="I11" i="9"/>
  <c r="S48" i="9"/>
  <c r="S36" i="9"/>
  <c r="S30" i="9"/>
  <c r="S24" i="9"/>
  <c r="S18" i="9"/>
  <c r="D53" i="9"/>
  <c r="D41" i="9"/>
  <c r="D29" i="9"/>
  <c r="D17" i="9"/>
  <c r="D5" i="9"/>
  <c r="I46" i="9"/>
  <c r="I34" i="9"/>
  <c r="I22" i="9"/>
  <c r="I10" i="9"/>
  <c r="S11" i="9"/>
  <c r="D52" i="9"/>
  <c r="D40" i="9"/>
  <c r="D28" i="9"/>
  <c r="D16" i="9"/>
  <c r="I45" i="9"/>
  <c r="I33" i="9"/>
  <c r="I21" i="9"/>
  <c r="I9" i="9"/>
  <c r="S53" i="9"/>
  <c r="S47" i="9"/>
  <c r="S41" i="9"/>
  <c r="S35" i="9"/>
  <c r="S29" i="9"/>
  <c r="S23" i="9"/>
  <c r="S17" i="9"/>
  <c r="T10" i="9"/>
  <c r="S4" i="9"/>
  <c r="S15" i="9"/>
  <c r="D47" i="9"/>
  <c r="D23" i="9"/>
  <c r="I16" i="9"/>
  <c r="I48" i="9"/>
  <c r="I12" i="9"/>
  <c r="D54" i="9"/>
  <c r="D30" i="9"/>
  <c r="D6" i="9"/>
  <c r="I35" i="9"/>
  <c r="S54" i="9"/>
  <c r="S42" i="9"/>
  <c r="D51" i="9"/>
  <c r="D39" i="9"/>
  <c r="D27" i="9"/>
  <c r="D15" i="9"/>
  <c r="I44" i="9"/>
  <c r="I32" i="9"/>
  <c r="I20" i="9"/>
  <c r="I8" i="9"/>
  <c r="S10" i="9"/>
  <c r="D50" i="9"/>
  <c r="D38" i="9"/>
  <c r="D26" i="9"/>
  <c r="I43" i="9"/>
  <c r="I31" i="9"/>
  <c r="I19" i="9"/>
  <c r="S52" i="9"/>
  <c r="S46" i="9"/>
  <c r="S40" i="9"/>
  <c r="S34" i="9"/>
  <c r="S28" i="9"/>
  <c r="S22" i="9"/>
  <c r="T9" i="9"/>
  <c r="G11" i="8"/>
  <c r="G25" i="8" s="1"/>
  <c r="E37" i="5"/>
  <c r="G37" i="5"/>
  <c r="F37" i="5"/>
  <c r="F39" i="5"/>
  <c r="F38" i="5"/>
  <c r="G40" i="5"/>
  <c r="G39" i="5"/>
  <c r="G38" i="5"/>
  <c r="F40" i="5"/>
  <c r="C85" i="7"/>
  <c r="E135" i="7" s="1"/>
  <c r="C77" i="7"/>
  <c r="E134" i="7" s="1"/>
  <c r="C69" i="7"/>
  <c r="E133" i="7" s="1"/>
  <c r="W82" i="7"/>
  <c r="X82" i="7" s="1"/>
  <c r="X83" i="7" s="1"/>
  <c r="W66" i="7"/>
  <c r="G67" i="7"/>
  <c r="G66" i="7"/>
  <c r="O67" i="7"/>
  <c r="C67" i="7"/>
  <c r="C66" i="7"/>
  <c r="C54" i="7"/>
  <c r="M105" i="7"/>
  <c r="M106" i="7"/>
  <c r="M103" i="7"/>
  <c r="N103" i="7" s="1"/>
  <c r="J104" i="7"/>
  <c r="J103" i="7"/>
  <c r="I104" i="7"/>
  <c r="M104" i="7" s="1"/>
  <c r="N104" i="7" s="1"/>
  <c r="I105" i="7"/>
  <c r="I106" i="7"/>
  <c r="J106" i="7" s="1"/>
  <c r="N106" i="7" s="1"/>
  <c r="I107" i="7"/>
  <c r="M107" i="7" s="1"/>
  <c r="I103" i="7"/>
  <c r="C113" i="7" s="1"/>
  <c r="H104" i="7"/>
  <c r="H105" i="7"/>
  <c r="J105" i="7" s="1"/>
  <c r="H106" i="7"/>
  <c r="H107" i="7"/>
  <c r="H103" i="7"/>
  <c r="K82" i="7"/>
  <c r="K83" i="7" s="1"/>
  <c r="C82" i="7"/>
  <c r="D82" i="7" s="1"/>
  <c r="D83" i="7" s="1"/>
  <c r="C74" i="7"/>
  <c r="D74" i="7" s="1"/>
  <c r="E74" i="7" s="1"/>
  <c r="W67" i="7"/>
  <c r="P66" i="7"/>
  <c r="O66" i="7"/>
  <c r="S66" i="7"/>
  <c r="S67" i="7" s="1"/>
  <c r="K66" i="7"/>
  <c r="L66" i="7" s="1"/>
  <c r="L67" i="7" s="1"/>
  <c r="H66" i="7"/>
  <c r="G7" i="7"/>
  <c r="H7" i="7" s="1"/>
  <c r="C7" i="7"/>
  <c r="D7" i="7" s="1"/>
  <c r="C1" i="7"/>
  <c r="C2" i="7" s="1"/>
  <c r="D2" i="7" s="1"/>
  <c r="AG48" i="7"/>
  <c r="AG49" i="7" s="1"/>
  <c r="AG50" i="7" s="1"/>
  <c r="AG51" i="7" s="1"/>
  <c r="AG52" i="7" s="1"/>
  <c r="BF48" i="7"/>
  <c r="BF49" i="7" s="1"/>
  <c r="BF50" i="7" s="1"/>
  <c r="BF51" i="7" s="1"/>
  <c r="BF52" i="7" s="1"/>
  <c r="BE48" i="7"/>
  <c r="BE49" i="7" s="1"/>
  <c r="BE50" i="7" s="1"/>
  <c r="BE51" i="7" s="1"/>
  <c r="BE52" i="7" s="1"/>
  <c r="BD48" i="7"/>
  <c r="BD49" i="7" s="1"/>
  <c r="BD50" i="7" s="1"/>
  <c r="BD51" i="7" s="1"/>
  <c r="BD52" i="7" s="1"/>
  <c r="BB48" i="7"/>
  <c r="BB49" i="7" s="1"/>
  <c r="BB50" i="7" s="1"/>
  <c r="BB51" i="7" s="1"/>
  <c r="BB52" i="7" s="1"/>
  <c r="BA48" i="7"/>
  <c r="BA49" i="7" s="1"/>
  <c r="BA50" i="7" s="1"/>
  <c r="BA51" i="7" s="1"/>
  <c r="BA52" i="7" s="1"/>
  <c r="AZ48" i="7"/>
  <c r="AZ49" i="7" s="1"/>
  <c r="AZ50" i="7" s="1"/>
  <c r="AZ51" i="7" s="1"/>
  <c r="AZ52" i="7" s="1"/>
  <c r="AV48" i="7"/>
  <c r="AV49" i="7" s="1"/>
  <c r="AV50" i="7" s="1"/>
  <c r="AV51" i="7" s="1"/>
  <c r="AV52" i="7" s="1"/>
  <c r="AW48" i="7"/>
  <c r="AW49" i="7" s="1"/>
  <c r="AW50" i="7" s="1"/>
  <c r="AW51" i="7" s="1"/>
  <c r="AW52" i="7" s="1"/>
  <c r="AX48" i="7"/>
  <c r="AX49" i="7" s="1"/>
  <c r="AX50" i="7" s="1"/>
  <c r="AX51" i="7" s="1"/>
  <c r="AX52" i="7" s="1"/>
  <c r="AT48" i="7"/>
  <c r="AT49" i="7" s="1"/>
  <c r="AT50" i="7" s="1"/>
  <c r="AT51" i="7" s="1"/>
  <c r="AT52" i="7" s="1"/>
  <c r="AS48" i="7"/>
  <c r="AS49" i="7" s="1"/>
  <c r="AS50" i="7" s="1"/>
  <c r="AS51" i="7" s="1"/>
  <c r="AS52" i="7" s="1"/>
  <c r="AR48" i="7"/>
  <c r="AR49" i="7" s="1"/>
  <c r="AR50" i="7" s="1"/>
  <c r="AR51" i="7" s="1"/>
  <c r="AR52" i="7" s="1"/>
  <c r="AP48" i="7"/>
  <c r="AP49" i="7" s="1"/>
  <c r="AP50" i="7" s="1"/>
  <c r="AP51" i="7" s="1"/>
  <c r="AP52" i="7" s="1"/>
  <c r="AO48" i="7"/>
  <c r="AO49" i="7" s="1"/>
  <c r="AO50" i="7" s="1"/>
  <c r="AO51" i="7" s="1"/>
  <c r="AO52" i="7" s="1"/>
  <c r="AN48" i="7"/>
  <c r="AN49" i="7" s="1"/>
  <c r="AN50" i="7" s="1"/>
  <c r="AN51" i="7" s="1"/>
  <c r="AN52" i="7" s="1"/>
  <c r="AL48" i="7"/>
  <c r="AL49" i="7" s="1"/>
  <c r="AL50" i="7" s="1"/>
  <c r="AL51" i="7" s="1"/>
  <c r="AL52" i="7" s="1"/>
  <c r="AK48" i="7"/>
  <c r="AK49" i="7" s="1"/>
  <c r="AK50" i="7" s="1"/>
  <c r="AK51" i="7" s="1"/>
  <c r="AK52" i="7" s="1"/>
  <c r="AJ48" i="7"/>
  <c r="AJ49" i="7" s="1"/>
  <c r="AJ50" i="7" s="1"/>
  <c r="AJ51" i="7" s="1"/>
  <c r="AJ52" i="7" s="1"/>
  <c r="AH48" i="7"/>
  <c r="AH49" i="7" s="1"/>
  <c r="AH50" i="7" s="1"/>
  <c r="AH51" i="7" s="1"/>
  <c r="AH52" i="7" s="1"/>
  <c r="AF48" i="7"/>
  <c r="AF49" i="7" s="1"/>
  <c r="AF50" i="7" s="1"/>
  <c r="AF51" i="7" s="1"/>
  <c r="AF52" i="7" s="1"/>
  <c r="AD48" i="7"/>
  <c r="AD49" i="7" s="1"/>
  <c r="AD50" i="7" s="1"/>
  <c r="AD51" i="7" s="1"/>
  <c r="AD52" i="7" s="1"/>
  <c r="AC48" i="7"/>
  <c r="AC49" i="7" s="1"/>
  <c r="AC50" i="7" s="1"/>
  <c r="AC51" i="7" s="1"/>
  <c r="AC52" i="7" s="1"/>
  <c r="AB48" i="7"/>
  <c r="AB49" i="7" s="1"/>
  <c r="AB50" i="7" s="1"/>
  <c r="AB51" i="7" s="1"/>
  <c r="AB52" i="7" s="1"/>
  <c r="Z48" i="7"/>
  <c r="Z49" i="7" s="1"/>
  <c r="Z50" i="7" s="1"/>
  <c r="Z51" i="7" s="1"/>
  <c r="Z52" i="7" s="1"/>
  <c r="Y48" i="7"/>
  <c r="Y49" i="7" s="1"/>
  <c r="Y50" i="7" s="1"/>
  <c r="Y51" i="7" s="1"/>
  <c r="Y52" i="7" s="1"/>
  <c r="X48" i="7"/>
  <c r="X49" i="7" s="1"/>
  <c r="X50" i="7" s="1"/>
  <c r="X51" i="7" s="1"/>
  <c r="X52" i="7" s="1"/>
  <c r="V48" i="7"/>
  <c r="V49" i="7" s="1"/>
  <c r="V50" i="7" s="1"/>
  <c r="V51" i="7" s="1"/>
  <c r="V52" i="7" s="1"/>
  <c r="U48" i="7"/>
  <c r="U49" i="7" s="1"/>
  <c r="U50" i="7" s="1"/>
  <c r="U51" i="7" s="1"/>
  <c r="U52" i="7" s="1"/>
  <c r="T48" i="7"/>
  <c r="T49" i="7" s="1"/>
  <c r="T50" i="7" s="1"/>
  <c r="T51" i="7" s="1"/>
  <c r="T52" i="7" s="1"/>
  <c r="R48" i="7"/>
  <c r="R49" i="7" s="1"/>
  <c r="R50" i="7" s="1"/>
  <c r="R51" i="7" s="1"/>
  <c r="R52" i="7" s="1"/>
  <c r="Q48" i="7"/>
  <c r="Q49" i="7" s="1"/>
  <c r="Q50" i="7" s="1"/>
  <c r="Q51" i="7" s="1"/>
  <c r="Q52" i="7" s="1"/>
  <c r="P48" i="7"/>
  <c r="P49" i="7" s="1"/>
  <c r="P50" i="7" s="1"/>
  <c r="P51" i="7" s="1"/>
  <c r="P52" i="7" s="1"/>
  <c r="N48" i="7"/>
  <c r="N49" i="7" s="1"/>
  <c r="N50" i="7" s="1"/>
  <c r="N51" i="7" s="1"/>
  <c r="N52" i="7" s="1"/>
  <c r="M48" i="7"/>
  <c r="M49" i="7" s="1"/>
  <c r="M50" i="7" s="1"/>
  <c r="M51" i="7" s="1"/>
  <c r="M52" i="7" s="1"/>
  <c r="L48" i="7"/>
  <c r="L49" i="7" s="1"/>
  <c r="L50" i="7" s="1"/>
  <c r="L51" i="7" s="1"/>
  <c r="L52" i="7" s="1"/>
  <c r="J48" i="7"/>
  <c r="J49" i="7" s="1"/>
  <c r="J50" i="7" s="1"/>
  <c r="J51" i="7" s="1"/>
  <c r="J52" i="7" s="1"/>
  <c r="I48" i="7"/>
  <c r="I49" i="7" s="1"/>
  <c r="I50" i="7" s="1"/>
  <c r="I51" i="7" s="1"/>
  <c r="I52" i="7" s="1"/>
  <c r="H48" i="7"/>
  <c r="H49" i="7" s="1"/>
  <c r="H50" i="7" s="1"/>
  <c r="H51" i="7" s="1"/>
  <c r="H52" i="7" s="1"/>
  <c r="F48" i="7"/>
  <c r="F49" i="7" s="1"/>
  <c r="F50" i="7" s="1"/>
  <c r="F51" i="7" s="1"/>
  <c r="F52" i="7" s="1"/>
  <c r="E48" i="7"/>
  <c r="E49" i="7" s="1"/>
  <c r="E50" i="7" s="1"/>
  <c r="E51" i="7" s="1"/>
  <c r="E52" i="7" s="1"/>
  <c r="D48" i="7"/>
  <c r="D49" i="7" s="1"/>
  <c r="D50" i="7" s="1"/>
  <c r="D51" i="7" s="1"/>
  <c r="D52" i="7" s="1"/>
  <c r="BF8" i="7"/>
  <c r="BF9" i="7"/>
  <c r="BF10" i="7"/>
  <c r="BF11" i="7"/>
  <c r="BF12" i="7"/>
  <c r="BF13" i="7"/>
  <c r="BF14" i="7"/>
  <c r="BF15" i="7"/>
  <c r="BF16" i="7"/>
  <c r="BF17" i="7"/>
  <c r="BF18" i="7"/>
  <c r="BF19" i="7"/>
  <c r="BF20" i="7"/>
  <c r="BF21" i="7"/>
  <c r="BF22" i="7"/>
  <c r="BF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7" i="7"/>
  <c r="AX8" i="7"/>
  <c r="AX9" i="7"/>
  <c r="AX10" i="7"/>
  <c r="AX11" i="7"/>
  <c r="AX12" i="7"/>
  <c r="AX13" i="7"/>
  <c r="AX14" i="7"/>
  <c r="AX15" i="7"/>
  <c r="AX16" i="7"/>
  <c r="AX17" i="7"/>
  <c r="AX18" i="7"/>
  <c r="AX19" i="7"/>
  <c r="AX20" i="7"/>
  <c r="AX7" i="7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7" i="7"/>
  <c r="AH8" i="7"/>
  <c r="AH9" i="7"/>
  <c r="AH10" i="7"/>
  <c r="AH11" i="7"/>
  <c r="AH12" i="7"/>
  <c r="AH13" i="7"/>
  <c r="AH7" i="7"/>
  <c r="AD8" i="7"/>
  <c r="AD9" i="7"/>
  <c r="AD10" i="7"/>
  <c r="AD11" i="7"/>
  <c r="AD12" i="7"/>
  <c r="AD7" i="7"/>
  <c r="Z8" i="7"/>
  <c r="Z9" i="7"/>
  <c r="Z10" i="7"/>
  <c r="Z11" i="7"/>
  <c r="Z12" i="7"/>
  <c r="Z13" i="7"/>
  <c r="Z14" i="7"/>
  <c r="Z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7" i="7"/>
  <c r="R8" i="7"/>
  <c r="R9" i="7"/>
  <c r="R10" i="7"/>
  <c r="R11" i="7"/>
  <c r="R12" i="7"/>
  <c r="R13" i="7"/>
  <c r="R14" i="7"/>
  <c r="R7" i="7"/>
  <c r="N8" i="7"/>
  <c r="N9" i="7"/>
  <c r="N10" i="7"/>
  <c r="N11" i="7"/>
  <c r="N12" i="7"/>
  <c r="N13" i="7"/>
  <c r="N14" i="7"/>
  <c r="N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7" i="7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BC22" i="7"/>
  <c r="BD22" i="7" s="1"/>
  <c r="BC23" i="7"/>
  <c r="BC24" i="7"/>
  <c r="BC25" i="7"/>
  <c r="BC26" i="7"/>
  <c r="BC27" i="7"/>
  <c r="BC28" i="7"/>
  <c r="BC29" i="7"/>
  <c r="BC30" i="7"/>
  <c r="BC31" i="7"/>
  <c r="BC32" i="7"/>
  <c r="BC33" i="7"/>
  <c r="BC34" i="7"/>
  <c r="BC35" i="7"/>
  <c r="BC36" i="7"/>
  <c r="BC37" i="7"/>
  <c r="BC38" i="7"/>
  <c r="BC39" i="7"/>
  <c r="BC40" i="7"/>
  <c r="BC41" i="7"/>
  <c r="BC42" i="7"/>
  <c r="BC43" i="7"/>
  <c r="BC7" i="7"/>
  <c r="BD7" i="7" s="1"/>
  <c r="AY8" i="7"/>
  <c r="AZ8" i="7" s="1"/>
  <c r="AY9" i="7"/>
  <c r="AZ9" i="7" s="1"/>
  <c r="AY10" i="7"/>
  <c r="AZ10" i="7" s="1"/>
  <c r="AY11" i="7"/>
  <c r="AZ11" i="7" s="1"/>
  <c r="AY12" i="7"/>
  <c r="AZ12" i="7" s="1"/>
  <c r="AY13" i="7"/>
  <c r="AZ13" i="7" s="1"/>
  <c r="AY14" i="7"/>
  <c r="AZ14" i="7" s="1"/>
  <c r="AY15" i="7"/>
  <c r="AZ15" i="7" s="1"/>
  <c r="AY16" i="7"/>
  <c r="AZ16" i="7" s="1"/>
  <c r="AY17" i="7"/>
  <c r="AZ17" i="7" s="1"/>
  <c r="AY18" i="7"/>
  <c r="AZ18" i="7" s="1"/>
  <c r="AY19" i="7"/>
  <c r="AZ19" i="7" s="1"/>
  <c r="AY20" i="7"/>
  <c r="AZ20" i="7" s="1"/>
  <c r="AY21" i="7"/>
  <c r="AZ21" i="7" s="1"/>
  <c r="AY22" i="7"/>
  <c r="AY23" i="7"/>
  <c r="AY24" i="7"/>
  <c r="AY25" i="7"/>
  <c r="AY26" i="7"/>
  <c r="AY27" i="7"/>
  <c r="AY28" i="7"/>
  <c r="AY29" i="7"/>
  <c r="AY30" i="7"/>
  <c r="AY31" i="7"/>
  <c r="AY32" i="7"/>
  <c r="AY33" i="7"/>
  <c r="AY34" i="7"/>
  <c r="AY35" i="7"/>
  <c r="AY36" i="7"/>
  <c r="AY37" i="7"/>
  <c r="AY38" i="7"/>
  <c r="AY39" i="7"/>
  <c r="AY40" i="7"/>
  <c r="AY41" i="7"/>
  <c r="AY42" i="7"/>
  <c r="AY43" i="7"/>
  <c r="AY7" i="7"/>
  <c r="AZ7" i="7" s="1"/>
  <c r="AU8" i="7"/>
  <c r="AV8" i="7" s="1"/>
  <c r="AU9" i="7"/>
  <c r="AV9" i="7" s="1"/>
  <c r="AU10" i="7"/>
  <c r="AV10" i="7" s="1"/>
  <c r="AU11" i="7"/>
  <c r="AV11" i="7" s="1"/>
  <c r="AU12" i="7"/>
  <c r="AV12" i="7" s="1"/>
  <c r="AU13" i="7"/>
  <c r="AV13" i="7" s="1"/>
  <c r="AU14" i="7"/>
  <c r="AV14" i="7" s="1"/>
  <c r="AU15" i="7"/>
  <c r="AV15" i="7" s="1"/>
  <c r="AU16" i="7"/>
  <c r="AV16" i="7" s="1"/>
  <c r="AU17" i="7"/>
  <c r="AV17" i="7" s="1"/>
  <c r="AU18" i="7"/>
  <c r="AV18" i="7" s="1"/>
  <c r="AU19" i="7"/>
  <c r="AV19" i="7" s="1"/>
  <c r="AU20" i="7"/>
  <c r="AV20" i="7" s="1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U39" i="7"/>
  <c r="AU40" i="7"/>
  <c r="AU41" i="7"/>
  <c r="AU42" i="7"/>
  <c r="AU43" i="7"/>
  <c r="AU7" i="7"/>
  <c r="AV7" i="7" s="1"/>
  <c r="AQ8" i="7"/>
  <c r="AR8" i="7" s="1"/>
  <c r="AQ9" i="7"/>
  <c r="AR9" i="7" s="1"/>
  <c r="AQ10" i="7"/>
  <c r="AR10" i="7" s="1"/>
  <c r="AQ11" i="7"/>
  <c r="AR11" i="7" s="1"/>
  <c r="AQ12" i="7"/>
  <c r="AR12" i="7" s="1"/>
  <c r="AQ13" i="7"/>
  <c r="AR13" i="7" s="1"/>
  <c r="AQ14" i="7"/>
  <c r="AR14" i="7" s="1"/>
  <c r="AQ15" i="7"/>
  <c r="AR15" i="7" s="1"/>
  <c r="AQ16" i="7"/>
  <c r="AR16" i="7" s="1"/>
  <c r="AQ17" i="7"/>
  <c r="AR17" i="7" s="1"/>
  <c r="AQ18" i="7"/>
  <c r="AR18" i="7" s="1"/>
  <c r="AQ19" i="7"/>
  <c r="AR19" i="7" s="1"/>
  <c r="AQ20" i="7"/>
  <c r="AR20" i="7" s="1"/>
  <c r="AQ21" i="7"/>
  <c r="AR21" i="7" s="1"/>
  <c r="AQ22" i="7"/>
  <c r="AR22" i="7" s="1"/>
  <c r="AQ23" i="7"/>
  <c r="AR23" i="7" s="1"/>
  <c r="AQ24" i="7"/>
  <c r="AR24" i="7" s="1"/>
  <c r="AQ25" i="7"/>
  <c r="AR25" i="7" s="1"/>
  <c r="AQ26" i="7"/>
  <c r="AR26" i="7" s="1"/>
  <c r="AQ27" i="7"/>
  <c r="AR27" i="7" s="1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7" i="7"/>
  <c r="AR7" i="7" s="1"/>
  <c r="AM8" i="7"/>
  <c r="AN8" i="7" s="1"/>
  <c r="AM9" i="7"/>
  <c r="AN9" i="7" s="1"/>
  <c r="AM10" i="7"/>
  <c r="AN10" i="7" s="1"/>
  <c r="AM11" i="7"/>
  <c r="AN11" i="7" s="1"/>
  <c r="AM12" i="7"/>
  <c r="AN12" i="7" s="1"/>
  <c r="AM13" i="7"/>
  <c r="AN13" i="7" s="1"/>
  <c r="AM14" i="7"/>
  <c r="AN14" i="7" s="1"/>
  <c r="AM15" i="7"/>
  <c r="AN15" i="7" s="1"/>
  <c r="AM16" i="7"/>
  <c r="AN16" i="7" s="1"/>
  <c r="AM17" i="7"/>
  <c r="AN17" i="7" s="1"/>
  <c r="AM18" i="7"/>
  <c r="AN18" i="7" s="1"/>
  <c r="AM19" i="7"/>
  <c r="AN19" i="7" s="1"/>
  <c r="AM20" i="7"/>
  <c r="AN20" i="7" s="1"/>
  <c r="AM21" i="7"/>
  <c r="AN21" i="7" s="1"/>
  <c r="AM22" i="7"/>
  <c r="AN22" i="7" s="1"/>
  <c r="AM23" i="7"/>
  <c r="AN23" i="7" s="1"/>
  <c r="AM24" i="7"/>
  <c r="AN24" i="7" s="1"/>
  <c r="AM25" i="7"/>
  <c r="AN25" i="7" s="1"/>
  <c r="AM26" i="7"/>
  <c r="AN26" i="7" s="1"/>
  <c r="AM27" i="7"/>
  <c r="AN27" i="7" s="1"/>
  <c r="AM28" i="7"/>
  <c r="AN28" i="7" s="1"/>
  <c r="AM29" i="7"/>
  <c r="AN29" i="7" s="1"/>
  <c r="AM30" i="7"/>
  <c r="AN30" i="7" s="1"/>
  <c r="AM31" i="7"/>
  <c r="AN31" i="7" s="1"/>
  <c r="AM32" i="7"/>
  <c r="AN32" i="7" s="1"/>
  <c r="AM33" i="7"/>
  <c r="AM34" i="7"/>
  <c r="AM35" i="7"/>
  <c r="AM36" i="7"/>
  <c r="AM37" i="7"/>
  <c r="AM38" i="7"/>
  <c r="AM39" i="7"/>
  <c r="AM40" i="7"/>
  <c r="AM41" i="7"/>
  <c r="AM42" i="7"/>
  <c r="AM43" i="7"/>
  <c r="AM7" i="7"/>
  <c r="AN7" i="7" s="1"/>
  <c r="AI8" i="7"/>
  <c r="AJ8" i="7" s="1"/>
  <c r="AI9" i="7"/>
  <c r="AJ9" i="7" s="1"/>
  <c r="AI10" i="7"/>
  <c r="AJ10" i="7" s="1"/>
  <c r="AI11" i="7"/>
  <c r="AJ11" i="7" s="1"/>
  <c r="AI12" i="7"/>
  <c r="AJ12" i="7" s="1"/>
  <c r="AI13" i="7"/>
  <c r="AJ13" i="7" s="1"/>
  <c r="AI14" i="7"/>
  <c r="AJ14" i="7" s="1"/>
  <c r="AI15" i="7"/>
  <c r="AJ15" i="7" s="1"/>
  <c r="AI16" i="7"/>
  <c r="AJ16" i="7" s="1"/>
  <c r="AI17" i="7"/>
  <c r="AJ17" i="7" s="1"/>
  <c r="AI18" i="7"/>
  <c r="AJ18" i="7" s="1"/>
  <c r="AI19" i="7"/>
  <c r="AJ19" i="7" s="1"/>
  <c r="AI20" i="7"/>
  <c r="AJ20" i="7" s="1"/>
  <c r="AI21" i="7"/>
  <c r="AJ21" i="7" s="1"/>
  <c r="AI22" i="7"/>
  <c r="AJ22" i="7" s="1"/>
  <c r="AI23" i="7"/>
  <c r="AJ23" i="7" s="1"/>
  <c r="AI24" i="7"/>
  <c r="AJ24" i="7" s="1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7" i="7"/>
  <c r="AJ7" i="7" s="1"/>
  <c r="AE8" i="7"/>
  <c r="AF8" i="7" s="1"/>
  <c r="AE9" i="7"/>
  <c r="AF9" i="7" s="1"/>
  <c r="AE10" i="7"/>
  <c r="AF10" i="7" s="1"/>
  <c r="AE11" i="7"/>
  <c r="AF11" i="7" s="1"/>
  <c r="AE12" i="7"/>
  <c r="AF12" i="7" s="1"/>
  <c r="AE13" i="7"/>
  <c r="AF13" i="7" s="1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7" i="7"/>
  <c r="AF7" i="7" s="1"/>
  <c r="AA8" i="7"/>
  <c r="AB8" i="7" s="1"/>
  <c r="AA9" i="7"/>
  <c r="AB9" i="7" s="1"/>
  <c r="AA10" i="7"/>
  <c r="AB10" i="7" s="1"/>
  <c r="AA11" i="7"/>
  <c r="AB11" i="7" s="1"/>
  <c r="AA12" i="7"/>
  <c r="AB12" i="7" s="1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7" i="7"/>
  <c r="AB7" i="7" s="1"/>
  <c r="W8" i="7"/>
  <c r="X8" i="7" s="1"/>
  <c r="W9" i="7"/>
  <c r="X9" i="7" s="1"/>
  <c r="W10" i="7"/>
  <c r="X10" i="7" s="1"/>
  <c r="W11" i="7"/>
  <c r="X11" i="7" s="1"/>
  <c r="W12" i="7"/>
  <c r="X12" i="7" s="1"/>
  <c r="W13" i="7"/>
  <c r="X13" i="7" s="1"/>
  <c r="W14" i="7"/>
  <c r="X14" i="7" s="1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7" i="7"/>
  <c r="X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7" i="7"/>
  <c r="T7" i="7" s="1"/>
  <c r="O8" i="7"/>
  <c r="P8" i="7" s="1"/>
  <c r="O9" i="7"/>
  <c r="P9" i="7" s="1"/>
  <c r="O10" i="7"/>
  <c r="P10" i="7" s="1"/>
  <c r="O11" i="7"/>
  <c r="P11" i="7" s="1"/>
  <c r="O12" i="7"/>
  <c r="P12" i="7" s="1"/>
  <c r="O13" i="7"/>
  <c r="P13" i="7" s="1"/>
  <c r="O14" i="7"/>
  <c r="P14" i="7" s="1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7" i="7"/>
  <c r="P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7" i="7"/>
  <c r="L7" i="7" s="1"/>
  <c r="G8" i="7"/>
  <c r="H8" i="7" s="1"/>
  <c r="G9" i="7"/>
  <c r="H9" i="7" s="1"/>
  <c r="G10" i="7"/>
  <c r="H10" i="7" s="1"/>
  <c r="G11" i="7"/>
  <c r="H11" i="7" s="1"/>
  <c r="G12" i="7"/>
  <c r="H12" i="7" s="1"/>
  <c r="G13" i="7"/>
  <c r="H13" i="7" s="1"/>
  <c r="G14" i="7"/>
  <c r="H14" i="7" s="1"/>
  <c r="G15" i="7"/>
  <c r="H15" i="7" s="1"/>
  <c r="G16" i="7"/>
  <c r="H16" i="7" s="1"/>
  <c r="G17" i="7"/>
  <c r="H17" i="7" s="1"/>
  <c r="G18" i="7"/>
  <c r="H18" i="7" s="1"/>
  <c r="G19" i="7"/>
  <c r="H19" i="7" s="1"/>
  <c r="G20" i="7"/>
  <c r="H20" i="7" s="1"/>
  <c r="G21" i="7"/>
  <c r="H21" i="7" s="1"/>
  <c r="G22" i="7"/>
  <c r="H22" i="7" s="1"/>
  <c r="G23" i="7"/>
  <c r="H23" i="7" s="1"/>
  <c r="G24" i="7"/>
  <c r="H24" i="7" s="1"/>
  <c r="G25" i="7"/>
  <c r="H25" i="7" s="1"/>
  <c r="G26" i="7"/>
  <c r="H26" i="7" s="1"/>
  <c r="G27" i="7"/>
  <c r="H27" i="7" s="1"/>
  <c r="G28" i="7"/>
  <c r="H28" i="7" s="1"/>
  <c r="G29" i="7"/>
  <c r="H29" i="7" s="1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D18" i="7" s="1"/>
  <c r="C19" i="7"/>
  <c r="D19" i="7" s="1"/>
  <c r="C20" i="7"/>
  <c r="D20" i="7" s="1"/>
  <c r="C21" i="7"/>
  <c r="D21" i="7" s="1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3" i="5"/>
  <c r="H61" i="7" s="1"/>
  <c r="C4" i="5"/>
  <c r="C5" i="5"/>
  <c r="C6" i="5"/>
  <c r="C7" i="5"/>
  <c r="C8" i="5"/>
  <c r="C9" i="5"/>
  <c r="C10" i="5"/>
  <c r="C11" i="5"/>
  <c r="C12" i="5"/>
  <c r="C13" i="5"/>
  <c r="C14" i="5"/>
  <c r="C15" i="5"/>
  <c r="C2" i="5"/>
  <c r="D61" i="7" s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R16" i="4" a="1"/>
  <c r="R16" i="4" s="1"/>
  <c r="R9" i="4" a="1"/>
  <c r="R9" i="4" s="1"/>
  <c r="R2" i="4" a="1"/>
  <c r="R2" i="4" s="1"/>
  <c r="G23" i="8" l="1"/>
  <c r="G22" i="8"/>
  <c r="G24" i="8"/>
  <c r="N105" i="7"/>
  <c r="D113" i="7" a="1"/>
  <c r="D113" i="7" s="1"/>
  <c r="E113" i="7" s="1"/>
  <c r="E83" i="7"/>
  <c r="G89" i="7"/>
  <c r="K89" i="7"/>
  <c r="O90" i="7"/>
  <c r="W88" i="7"/>
  <c r="AA89" i="7"/>
  <c r="AE90" i="7"/>
  <c r="AM88" i="7"/>
  <c r="C75" i="7"/>
  <c r="C83" i="7"/>
  <c r="C116" i="7"/>
  <c r="C117" i="7" s="1"/>
  <c r="G90" i="7"/>
  <c r="C98" i="7"/>
  <c r="K90" i="7"/>
  <c r="S88" i="7"/>
  <c r="W89" i="7"/>
  <c r="AA90" i="7"/>
  <c r="AI88" i="7"/>
  <c r="AM89" i="7"/>
  <c r="D66" i="7"/>
  <c r="E66" i="7" s="1"/>
  <c r="G82" i="7"/>
  <c r="G83" i="7" s="1"/>
  <c r="W83" i="7"/>
  <c r="J107" i="7"/>
  <c r="N107" i="7" s="1"/>
  <c r="D116" i="7" s="1" a="1"/>
  <c r="D116" i="7" s="1"/>
  <c r="O74" i="7"/>
  <c r="C124" i="7"/>
  <c r="O88" i="7"/>
  <c r="S89" i="7"/>
  <c r="W90" i="7"/>
  <c r="AE88" i="7"/>
  <c r="AI89" i="7"/>
  <c r="AM90" i="7"/>
  <c r="C96" i="7"/>
  <c r="C88" i="7"/>
  <c r="K88" i="7"/>
  <c r="O89" i="7"/>
  <c r="S90" i="7"/>
  <c r="AA88" i="7"/>
  <c r="AE89" i="7"/>
  <c r="AI90" i="7"/>
  <c r="I67" i="7"/>
  <c r="W74" i="7"/>
  <c r="W75" i="7" s="1"/>
  <c r="H67" i="7"/>
  <c r="G74" i="7"/>
  <c r="O82" i="7"/>
  <c r="O83" i="7" s="1"/>
  <c r="L82" i="7"/>
  <c r="L83" i="7" s="1"/>
  <c r="K74" i="7"/>
  <c r="S74" i="7"/>
  <c r="S75" i="7" s="1"/>
  <c r="S82" i="7"/>
  <c r="S83" i="7" s="1"/>
  <c r="C89" i="7"/>
  <c r="G88" i="7"/>
  <c r="C119" i="7"/>
  <c r="C118" i="7"/>
  <c r="E82" i="7"/>
  <c r="T82" i="7"/>
  <c r="T83" i="7" s="1"/>
  <c r="X74" i="7"/>
  <c r="X75" i="7" s="1"/>
  <c r="T74" i="7"/>
  <c r="T75" i="7" s="1"/>
  <c r="D75" i="7"/>
  <c r="X66" i="7"/>
  <c r="X67" i="7" s="1"/>
  <c r="T66" i="7"/>
  <c r="K67" i="7"/>
  <c r="M66" i="7"/>
  <c r="I66" i="7"/>
  <c r="AA60" i="7"/>
  <c r="AC60" i="7" s="1"/>
  <c r="S55" i="7"/>
  <c r="S56" i="7" s="1"/>
  <c r="K60" i="7"/>
  <c r="M60" i="7" s="1"/>
  <c r="C60" i="7"/>
  <c r="E60" i="7" s="1"/>
  <c r="O54" i="7"/>
  <c r="Q54" i="7" s="1"/>
  <c r="BC60" i="7"/>
  <c r="BE60" i="7" s="1"/>
  <c r="G60" i="7"/>
  <c r="I60" i="7" s="1"/>
  <c r="AI60" i="7"/>
  <c r="AK60" i="7" s="1"/>
  <c r="S54" i="7"/>
  <c r="U54" i="7" s="1"/>
  <c r="AE55" i="7"/>
  <c r="AE56" i="7" s="1"/>
  <c r="AE59" i="7" s="1"/>
  <c r="AI54" i="7"/>
  <c r="AK54" i="7" s="1"/>
  <c r="S60" i="7"/>
  <c r="U60" i="7" s="1"/>
  <c r="W60" i="7"/>
  <c r="Y60" i="7" s="1"/>
  <c r="AA54" i="7"/>
  <c r="AC54" i="7" s="1"/>
  <c r="AM55" i="7"/>
  <c r="AM56" i="7" s="1"/>
  <c r="AQ54" i="7"/>
  <c r="AS54" i="7" s="1"/>
  <c r="AE60" i="7"/>
  <c r="AG60" i="7" s="1"/>
  <c r="AU60" i="7"/>
  <c r="AW60" i="7" s="1"/>
  <c r="AU55" i="7"/>
  <c r="AU56" i="7" s="1"/>
  <c r="AM60" i="7"/>
  <c r="AO60" i="7" s="1"/>
  <c r="AY55" i="7"/>
  <c r="AY56" i="7" s="1"/>
  <c r="O60" i="7"/>
  <c r="Q60" i="7" s="1"/>
  <c r="AY60" i="7"/>
  <c r="BA60" i="7" s="1"/>
  <c r="AQ60" i="7"/>
  <c r="AS60" i="7" s="1"/>
  <c r="W57" i="7"/>
  <c r="W58" i="7" s="1"/>
  <c r="K55" i="7"/>
  <c r="K56" i="7" s="1"/>
  <c r="W55" i="7"/>
  <c r="W56" i="7" s="1"/>
  <c r="W59" i="7" s="1"/>
  <c r="AQ55" i="7"/>
  <c r="AQ56" i="7" s="1"/>
  <c r="AQ59" i="7" s="1"/>
  <c r="BC54" i="7"/>
  <c r="BE54" i="7" s="1"/>
  <c r="E54" i="7"/>
  <c r="E7" i="7"/>
  <c r="BC55" i="7"/>
  <c r="BC56" i="7" s="1"/>
  <c r="W54" i="7"/>
  <c r="Y54" i="7" s="1"/>
  <c r="AY54" i="7"/>
  <c r="BA54" i="7" s="1"/>
  <c r="BC57" i="7"/>
  <c r="BC58" i="7" s="1"/>
  <c r="AA55" i="7"/>
  <c r="AA56" i="7" s="1"/>
  <c r="AA59" i="7" s="1"/>
  <c r="AM54" i="7"/>
  <c r="AO54" i="7" s="1"/>
  <c r="AQ57" i="7"/>
  <c r="AQ58" i="7" s="1"/>
  <c r="C57" i="7"/>
  <c r="C58" i="7" s="1"/>
  <c r="O55" i="7"/>
  <c r="O56" i="7" s="1"/>
  <c r="AE54" i="7"/>
  <c r="AG54" i="7" s="1"/>
  <c r="O57" i="7"/>
  <c r="O58" i="7" s="1"/>
  <c r="AI55" i="7"/>
  <c r="AI56" i="7" s="1"/>
  <c r="AU54" i="7"/>
  <c r="AW54" i="7" s="1"/>
  <c r="AY57" i="7"/>
  <c r="AY58" i="7" s="1"/>
  <c r="AY59" i="7" s="1"/>
  <c r="AM57" i="7"/>
  <c r="AM58" i="7" s="1"/>
  <c r="K54" i="7"/>
  <c r="M54" i="7" s="1"/>
  <c r="G55" i="7"/>
  <c r="G56" i="7" s="1"/>
  <c r="AE57" i="7"/>
  <c r="AE58" i="7" s="1"/>
  <c r="AI57" i="7"/>
  <c r="AI58" i="7" s="1"/>
  <c r="AU57" i="7"/>
  <c r="AU58" i="7" s="1"/>
  <c r="AU59" i="7" s="1"/>
  <c r="I7" i="7"/>
  <c r="S57" i="7"/>
  <c r="S58" i="7" s="1"/>
  <c r="S59" i="7" s="1"/>
  <c r="K57" i="7"/>
  <c r="K58" i="7" s="1"/>
  <c r="AA57" i="7"/>
  <c r="AA58" i="7" s="1"/>
  <c r="G57" i="7"/>
  <c r="G58" i="7" s="1"/>
  <c r="G54" i="7"/>
  <c r="I54" i="7" s="1"/>
  <c r="BD57" i="7"/>
  <c r="P57" i="7"/>
  <c r="AV57" i="7"/>
  <c r="AZ57" i="7"/>
  <c r="X57" i="7"/>
  <c r="D57" i="7"/>
  <c r="E57" i="7" s="1"/>
  <c r="AJ57" i="7"/>
  <c r="T57" i="7"/>
  <c r="AN57" i="7"/>
  <c r="AB57" i="7"/>
  <c r="AC57" i="7" s="1"/>
  <c r="AR57" i="7"/>
  <c r="L57" i="7"/>
  <c r="AF57" i="7"/>
  <c r="H57" i="7"/>
  <c r="I20" i="7"/>
  <c r="I15" i="7"/>
  <c r="AS26" i="7"/>
  <c r="AC8" i="7"/>
  <c r="E13" i="7"/>
  <c r="AK9" i="7"/>
  <c r="AS11" i="7"/>
  <c r="AK11" i="7"/>
  <c r="BE15" i="7"/>
  <c r="I14" i="7"/>
  <c r="AG7" i="7"/>
  <c r="AK21" i="7"/>
  <c r="AO10" i="7"/>
  <c r="BA13" i="7"/>
  <c r="E11" i="7"/>
  <c r="I24" i="7"/>
  <c r="I12" i="7"/>
  <c r="M13" i="7"/>
  <c r="Q14" i="7"/>
  <c r="U27" i="7"/>
  <c r="U15" i="7"/>
  <c r="AK19" i="7"/>
  <c r="AO7" i="7"/>
  <c r="AO32" i="7"/>
  <c r="AO20" i="7"/>
  <c r="AO8" i="7"/>
  <c r="AS21" i="7"/>
  <c r="AS9" i="7"/>
  <c r="AW10" i="7"/>
  <c r="BA11" i="7"/>
  <c r="BE12" i="7"/>
  <c r="Y10" i="7"/>
  <c r="I26" i="7"/>
  <c r="U17" i="7"/>
  <c r="AO22" i="7"/>
  <c r="AW12" i="7"/>
  <c r="AK23" i="7"/>
  <c r="U26" i="7"/>
  <c r="U14" i="7"/>
  <c r="AG8" i="7"/>
  <c r="I27" i="7"/>
  <c r="U29" i="7"/>
  <c r="AS23" i="7"/>
  <c r="BE14" i="7"/>
  <c r="E20" i="7"/>
  <c r="E8" i="7"/>
  <c r="I21" i="7"/>
  <c r="I9" i="7"/>
  <c r="M10" i="7"/>
  <c r="Q11" i="7"/>
  <c r="U24" i="7"/>
  <c r="U12" i="7"/>
  <c r="Y13" i="7"/>
  <c r="E19" i="7"/>
  <c r="M9" i="7"/>
  <c r="U11" i="7"/>
  <c r="AO16" i="7"/>
  <c r="BE20" i="7"/>
  <c r="I8" i="7"/>
  <c r="Q10" i="7"/>
  <c r="Y12" i="7"/>
  <c r="AK15" i="7"/>
  <c r="AO28" i="7"/>
  <c r="AS17" i="7"/>
  <c r="AW18" i="7"/>
  <c r="BA19" i="7"/>
  <c r="BE7" i="7"/>
  <c r="BE8" i="7"/>
  <c r="E18" i="7"/>
  <c r="I19" i="7"/>
  <c r="M7" i="7"/>
  <c r="M8" i="7"/>
  <c r="Q9" i="7"/>
  <c r="U22" i="7"/>
  <c r="U10" i="7"/>
  <c r="Y11" i="7"/>
  <c r="AC12" i="7"/>
  <c r="AG13" i="7"/>
  <c r="AK14" i="7"/>
  <c r="AO27" i="7"/>
  <c r="AO15" i="7"/>
  <c r="AS16" i="7"/>
  <c r="AW17" i="7"/>
  <c r="BA18" i="7"/>
  <c r="BE19" i="7"/>
  <c r="U23" i="7"/>
  <c r="E16" i="7"/>
  <c r="I29" i="7"/>
  <c r="I17" i="7"/>
  <c r="U7" i="7"/>
  <c r="U20" i="7"/>
  <c r="U8" i="7"/>
  <c r="Y9" i="7"/>
  <c r="AC10" i="7"/>
  <c r="AG11" i="7"/>
  <c r="AK24" i="7"/>
  <c r="AK12" i="7"/>
  <c r="AO25" i="7"/>
  <c r="AO13" i="7"/>
  <c r="AS14" i="7"/>
  <c r="AW15" i="7"/>
  <c r="BA16" i="7"/>
  <c r="BE17" i="7"/>
  <c r="C55" i="7"/>
  <c r="C56" i="7" s="1"/>
  <c r="E14" i="7"/>
  <c r="U30" i="7"/>
  <c r="U18" i="7"/>
  <c r="AC7" i="7"/>
  <c r="AG9" i="7"/>
  <c r="AK22" i="7"/>
  <c r="AK10" i="7"/>
  <c r="AO23" i="7"/>
  <c r="AO11" i="7"/>
  <c r="AS24" i="7"/>
  <c r="AS12" i="7"/>
  <c r="AW13" i="7"/>
  <c r="BA14" i="7"/>
  <c r="E12" i="7"/>
  <c r="I25" i="7"/>
  <c r="I13" i="7"/>
  <c r="M14" i="7"/>
  <c r="U28" i="7"/>
  <c r="U16" i="7"/>
  <c r="AK7" i="7"/>
  <c r="AK20" i="7"/>
  <c r="AK8" i="7"/>
  <c r="AO21" i="7"/>
  <c r="AO9" i="7"/>
  <c r="AS22" i="7"/>
  <c r="AS10" i="7"/>
  <c r="AW11" i="7"/>
  <c r="BA12" i="7"/>
  <c r="BE13" i="7"/>
  <c r="E10" i="7"/>
  <c r="I23" i="7"/>
  <c r="I11" i="7"/>
  <c r="M12" i="7"/>
  <c r="Q13" i="7"/>
  <c r="AK18" i="7"/>
  <c r="AO31" i="7"/>
  <c r="AO19" i="7"/>
  <c r="AS7" i="7"/>
  <c r="AS20" i="7"/>
  <c r="AS8" i="7"/>
  <c r="AW9" i="7"/>
  <c r="BA10" i="7"/>
  <c r="BE11" i="7"/>
  <c r="E21" i="7"/>
  <c r="E9" i="7"/>
  <c r="I22" i="7"/>
  <c r="I10" i="7"/>
  <c r="M11" i="7"/>
  <c r="Q12" i="7"/>
  <c r="U25" i="7"/>
  <c r="U13" i="7"/>
  <c r="Y14" i="7"/>
  <c r="AK17" i="7"/>
  <c r="AO30" i="7"/>
  <c r="AO18" i="7"/>
  <c r="AS19" i="7"/>
  <c r="AW7" i="7"/>
  <c r="AW20" i="7"/>
  <c r="AW8" i="7"/>
  <c r="BA21" i="7"/>
  <c r="BA9" i="7"/>
  <c r="BE22" i="7"/>
  <c r="BE10" i="7"/>
  <c r="AK16" i="7"/>
  <c r="AO29" i="7"/>
  <c r="AO17" i="7"/>
  <c r="AS18" i="7"/>
  <c r="AW19" i="7"/>
  <c r="BA7" i="7"/>
  <c r="BA20" i="7"/>
  <c r="BA8" i="7"/>
  <c r="BE21" i="7"/>
  <c r="BE9" i="7"/>
  <c r="E17" i="7"/>
  <c r="I18" i="7"/>
  <c r="Q7" i="7"/>
  <c r="Q8" i="7"/>
  <c r="U21" i="7"/>
  <c r="U9" i="7"/>
  <c r="AC11" i="7"/>
  <c r="AG12" i="7"/>
  <c r="AK13" i="7"/>
  <c r="AO26" i="7"/>
  <c r="AO14" i="7"/>
  <c r="AS27" i="7"/>
  <c r="AS15" i="7"/>
  <c r="AW16" i="7"/>
  <c r="BA17" i="7"/>
  <c r="BE18" i="7"/>
  <c r="E15" i="7"/>
  <c r="I28" i="7"/>
  <c r="I16" i="7"/>
  <c r="U19" i="7"/>
  <c r="Y7" i="7"/>
  <c r="Y8" i="7"/>
  <c r="AC9" i="7"/>
  <c r="AG10" i="7"/>
  <c r="AO24" i="7"/>
  <c r="AO12" i="7"/>
  <c r="AS25" i="7"/>
  <c r="AS13" i="7"/>
  <c r="AW14" i="7"/>
  <c r="BA15" i="7"/>
  <c r="BE16" i="7"/>
  <c r="C2" i="6"/>
  <c r="B2" i="6"/>
  <c r="L2" i="6"/>
  <c r="B4" i="4"/>
  <c r="B47" i="4" s="1"/>
  <c r="C4" i="4"/>
  <c r="C72" i="4" s="1"/>
  <c r="D4" i="4"/>
  <c r="E4" i="4"/>
  <c r="F4" i="4"/>
  <c r="G4" i="4"/>
  <c r="H4" i="4"/>
  <c r="I4" i="4"/>
  <c r="J4" i="4"/>
  <c r="J47" i="4" s="1"/>
  <c r="K4" i="4"/>
  <c r="K72" i="4" s="1"/>
  <c r="L4" i="4"/>
  <c r="M4" i="4"/>
  <c r="N4" i="4"/>
  <c r="O4" i="4"/>
  <c r="B5" i="4"/>
  <c r="C5" i="4"/>
  <c r="D5" i="4"/>
  <c r="D48" i="4" s="1"/>
  <c r="E5" i="4"/>
  <c r="F5" i="4"/>
  <c r="G5" i="4"/>
  <c r="H5" i="4"/>
  <c r="I5" i="4"/>
  <c r="J5" i="4"/>
  <c r="K5" i="4"/>
  <c r="L5" i="4"/>
  <c r="L73" i="4" s="1"/>
  <c r="M5" i="4"/>
  <c r="N5" i="4"/>
  <c r="O5" i="4"/>
  <c r="B6" i="4"/>
  <c r="C6" i="4"/>
  <c r="D6" i="4"/>
  <c r="E6" i="4"/>
  <c r="F6" i="4"/>
  <c r="F49" i="4" s="1"/>
  <c r="G6" i="4"/>
  <c r="H6" i="4"/>
  <c r="I6" i="4"/>
  <c r="J6" i="4"/>
  <c r="K6" i="4"/>
  <c r="L6" i="4"/>
  <c r="M6" i="4"/>
  <c r="N6" i="4"/>
  <c r="N74" i="4" s="1"/>
  <c r="O6" i="4"/>
  <c r="O48" i="4" s="1"/>
  <c r="B7" i="4"/>
  <c r="C7" i="4"/>
  <c r="D7" i="4"/>
  <c r="E7" i="4"/>
  <c r="F7" i="4"/>
  <c r="G7" i="4"/>
  <c r="H7" i="4"/>
  <c r="H50" i="4" s="1"/>
  <c r="I7" i="4"/>
  <c r="J7" i="4"/>
  <c r="K7" i="4"/>
  <c r="L7" i="4"/>
  <c r="M7" i="4"/>
  <c r="N7" i="4"/>
  <c r="O7" i="4"/>
  <c r="B8" i="4"/>
  <c r="B51" i="4" s="1"/>
  <c r="C8" i="4"/>
  <c r="C76" i="4" s="1"/>
  <c r="D8" i="4"/>
  <c r="E8" i="4"/>
  <c r="F8" i="4"/>
  <c r="G8" i="4"/>
  <c r="H8" i="4"/>
  <c r="I8" i="4"/>
  <c r="J8" i="4"/>
  <c r="J51" i="4" s="1"/>
  <c r="K8" i="4"/>
  <c r="K50" i="4" s="1"/>
  <c r="L8" i="4"/>
  <c r="M8" i="4"/>
  <c r="N8" i="4"/>
  <c r="O8" i="4"/>
  <c r="B9" i="4"/>
  <c r="C9" i="4"/>
  <c r="D9" i="4"/>
  <c r="D51" i="4" s="1"/>
  <c r="E9" i="4"/>
  <c r="F9" i="4"/>
  <c r="G9" i="4"/>
  <c r="H9" i="4"/>
  <c r="I9" i="4"/>
  <c r="J9" i="4"/>
  <c r="K9" i="4"/>
  <c r="K52" i="4" s="1"/>
  <c r="L9" i="4"/>
  <c r="L77" i="4" s="1"/>
  <c r="M9" i="4"/>
  <c r="M51" i="4" s="1"/>
  <c r="N9" i="4"/>
  <c r="O9" i="4"/>
  <c r="B10" i="4"/>
  <c r="C10" i="4"/>
  <c r="D10" i="4"/>
  <c r="E10" i="4"/>
  <c r="F10" i="4"/>
  <c r="F78" i="4" s="1"/>
  <c r="G10" i="4"/>
  <c r="H10" i="4"/>
  <c r="I10" i="4"/>
  <c r="J10" i="4"/>
  <c r="K10" i="4"/>
  <c r="L10" i="4"/>
  <c r="M10" i="4"/>
  <c r="N10" i="4"/>
  <c r="N78" i="4" s="1"/>
  <c r="O10" i="4"/>
  <c r="B11" i="4"/>
  <c r="C11" i="4"/>
  <c r="D11" i="4"/>
  <c r="E11" i="4"/>
  <c r="F11" i="4"/>
  <c r="G11" i="4"/>
  <c r="H11" i="4"/>
  <c r="I11" i="4"/>
  <c r="I53" i="4" s="1"/>
  <c r="J11" i="4"/>
  <c r="K11" i="4"/>
  <c r="L11" i="4"/>
  <c r="M11" i="4"/>
  <c r="N11" i="4"/>
  <c r="O11" i="4"/>
  <c r="B12" i="4"/>
  <c r="B54" i="4" s="1"/>
  <c r="C12" i="4"/>
  <c r="D12" i="4"/>
  <c r="E12" i="4"/>
  <c r="F12" i="4"/>
  <c r="G12" i="4"/>
  <c r="H12" i="4"/>
  <c r="I12" i="4"/>
  <c r="J12" i="4"/>
  <c r="J54" i="4" s="1"/>
  <c r="K12" i="4"/>
  <c r="K54" i="4" s="1"/>
  <c r="L12" i="4"/>
  <c r="M12" i="4"/>
  <c r="N12" i="4"/>
  <c r="O12" i="4"/>
  <c r="B13" i="4"/>
  <c r="C13" i="4"/>
  <c r="D13" i="4"/>
  <c r="D55" i="4" s="1"/>
  <c r="E13" i="4"/>
  <c r="F13" i="4"/>
  <c r="G13" i="4"/>
  <c r="H13" i="4"/>
  <c r="I13" i="4"/>
  <c r="J13" i="4"/>
  <c r="K13" i="4"/>
  <c r="L13" i="4"/>
  <c r="L81" i="4" s="1"/>
  <c r="M13" i="4"/>
  <c r="M81" i="4" s="1"/>
  <c r="N13" i="4"/>
  <c r="O13" i="4"/>
  <c r="B14" i="4"/>
  <c r="C14" i="4"/>
  <c r="D14" i="4"/>
  <c r="E14" i="4"/>
  <c r="F14" i="4"/>
  <c r="F56" i="4" s="1"/>
  <c r="G14" i="4"/>
  <c r="H14" i="4"/>
  <c r="I14" i="4"/>
  <c r="J14" i="4"/>
  <c r="K14" i="4"/>
  <c r="L14" i="4"/>
  <c r="L82" i="4" s="1"/>
  <c r="M14" i="4"/>
  <c r="N14" i="4"/>
  <c r="N57" i="4" s="1"/>
  <c r="O14" i="4"/>
  <c r="B15" i="4"/>
  <c r="C15" i="4"/>
  <c r="D15" i="4"/>
  <c r="E15" i="4"/>
  <c r="F15" i="4"/>
  <c r="F83" i="4" s="1"/>
  <c r="G15" i="4"/>
  <c r="H15" i="4"/>
  <c r="I15" i="4"/>
  <c r="J15" i="4"/>
  <c r="K15" i="4"/>
  <c r="L15" i="4"/>
  <c r="M15" i="4"/>
  <c r="N15" i="4"/>
  <c r="O15" i="4"/>
  <c r="B16" i="4"/>
  <c r="B58" i="4" s="1"/>
  <c r="C16" i="4"/>
  <c r="C58" i="4" s="1"/>
  <c r="D16" i="4"/>
  <c r="E16" i="4"/>
  <c r="F16" i="4"/>
  <c r="G16" i="4"/>
  <c r="H16" i="4"/>
  <c r="I16" i="4"/>
  <c r="J16" i="4"/>
  <c r="J58" i="4" s="1"/>
  <c r="K16" i="4"/>
  <c r="K84" i="4" s="1"/>
  <c r="L16" i="4"/>
  <c r="M16" i="4"/>
  <c r="N16" i="4"/>
  <c r="O16" i="4"/>
  <c r="B17" i="4"/>
  <c r="C17" i="4"/>
  <c r="D17" i="4"/>
  <c r="D60" i="4" s="1"/>
  <c r="E17" i="4"/>
  <c r="F17" i="4"/>
  <c r="G17" i="4"/>
  <c r="H17" i="4"/>
  <c r="I17" i="4"/>
  <c r="J17" i="4"/>
  <c r="K17" i="4"/>
  <c r="K85" i="4" s="1"/>
  <c r="L17" i="4"/>
  <c r="L60" i="4" s="1"/>
  <c r="M17" i="4"/>
  <c r="N17" i="4"/>
  <c r="O17" i="4"/>
  <c r="B18" i="4"/>
  <c r="C18" i="4"/>
  <c r="D18" i="4"/>
  <c r="D86" i="4" s="1"/>
  <c r="E18" i="4"/>
  <c r="F18" i="4"/>
  <c r="F60" i="4" s="1"/>
  <c r="G18" i="4"/>
  <c r="G60" i="4" s="1"/>
  <c r="H18" i="4"/>
  <c r="I18" i="4"/>
  <c r="J18" i="4"/>
  <c r="K18" i="4"/>
  <c r="L18" i="4"/>
  <c r="M18" i="4"/>
  <c r="N18" i="4"/>
  <c r="N86" i="4" s="1"/>
  <c r="O18" i="4"/>
  <c r="B19" i="4"/>
  <c r="C19" i="4"/>
  <c r="D19" i="4"/>
  <c r="E19" i="4"/>
  <c r="F19" i="4"/>
  <c r="F87" i="4" s="1"/>
  <c r="G19" i="4"/>
  <c r="H19" i="4"/>
  <c r="I19" i="4"/>
  <c r="J19" i="4"/>
  <c r="K19" i="4"/>
  <c r="K87" i="4" s="1"/>
  <c r="L19" i="4"/>
  <c r="M19" i="4"/>
  <c r="N19" i="4"/>
  <c r="O19" i="4"/>
  <c r="B20" i="4"/>
  <c r="B62" i="4" s="1"/>
  <c r="C20" i="4"/>
  <c r="D20" i="4"/>
  <c r="E20" i="4"/>
  <c r="F20" i="4"/>
  <c r="G20" i="4"/>
  <c r="H20" i="4"/>
  <c r="I20" i="4"/>
  <c r="I63" i="4" s="1"/>
  <c r="J20" i="4"/>
  <c r="J63" i="4" s="1"/>
  <c r="K20" i="4"/>
  <c r="L20" i="4"/>
  <c r="M20" i="4"/>
  <c r="N20" i="4"/>
  <c r="O20" i="4"/>
  <c r="B21" i="4"/>
  <c r="C21" i="4"/>
  <c r="D21" i="4"/>
  <c r="D89" i="4" s="1"/>
  <c r="E21" i="4"/>
  <c r="E89" i="4" s="1"/>
  <c r="F21" i="4"/>
  <c r="G21" i="4"/>
  <c r="H21" i="4"/>
  <c r="I21" i="4"/>
  <c r="J21" i="4"/>
  <c r="K21" i="4"/>
  <c r="K64" i="4" s="1"/>
  <c r="L21" i="4"/>
  <c r="L89" i="4" s="1"/>
  <c r="M21" i="4"/>
  <c r="N21" i="4"/>
  <c r="O21" i="4"/>
  <c r="B22" i="4"/>
  <c r="C22" i="4"/>
  <c r="D22" i="4"/>
  <c r="D90" i="4" s="1"/>
  <c r="E22" i="4"/>
  <c r="E65" i="4" s="1"/>
  <c r="F22" i="4"/>
  <c r="F65" i="4" s="1"/>
  <c r="G22" i="4"/>
  <c r="G64" i="4" s="1"/>
  <c r="H22" i="4"/>
  <c r="I22" i="4"/>
  <c r="J22" i="4"/>
  <c r="K22" i="4"/>
  <c r="L22" i="4"/>
  <c r="M22" i="4"/>
  <c r="N22" i="4"/>
  <c r="N90" i="4" s="1"/>
  <c r="O22" i="4"/>
  <c r="B23" i="4"/>
  <c r="C23" i="4"/>
  <c r="C91" i="4" s="1"/>
  <c r="D23" i="4"/>
  <c r="E23" i="4"/>
  <c r="F23" i="4"/>
  <c r="G23" i="4"/>
  <c r="H23" i="4"/>
  <c r="I23" i="4"/>
  <c r="I65" i="4" s="1"/>
  <c r="J23" i="4"/>
  <c r="K23" i="4"/>
  <c r="K91" i="4" s="1"/>
  <c r="L23" i="4"/>
  <c r="M23" i="4"/>
  <c r="N23" i="4"/>
  <c r="O23" i="4"/>
  <c r="O66" i="4" s="1"/>
  <c r="B24" i="4"/>
  <c r="B66" i="4" s="1"/>
  <c r="C24" i="4"/>
  <c r="D24" i="4"/>
  <c r="E24" i="4"/>
  <c r="F24" i="4"/>
  <c r="G24" i="4"/>
  <c r="H24" i="4"/>
  <c r="H92" i="4" s="1"/>
  <c r="I24" i="4"/>
  <c r="I67" i="4" s="1"/>
  <c r="J24" i="4"/>
  <c r="J66" i="4" s="1"/>
  <c r="K24" i="4"/>
  <c r="K66" i="4" s="1"/>
  <c r="L24" i="4"/>
  <c r="M24" i="4"/>
  <c r="N24" i="4"/>
  <c r="O24" i="4"/>
  <c r="B25" i="4"/>
  <c r="C25" i="4"/>
  <c r="C68" i="4" s="1"/>
  <c r="D25" i="4"/>
  <c r="D67" i="4" s="1"/>
  <c r="E25" i="4"/>
  <c r="E93" i="4" s="1"/>
  <c r="F25" i="4"/>
  <c r="G25" i="4"/>
  <c r="H25" i="4"/>
  <c r="I25" i="4"/>
  <c r="J25" i="4"/>
  <c r="K25" i="4"/>
  <c r="K93" i="4" s="1"/>
  <c r="L25" i="4"/>
  <c r="L67" i="4" s="1"/>
  <c r="M25" i="4"/>
  <c r="M67" i="4" s="1"/>
  <c r="N25" i="4"/>
  <c r="O25" i="4"/>
  <c r="B26" i="4"/>
  <c r="C26" i="4"/>
  <c r="D26" i="4"/>
  <c r="E26" i="4"/>
  <c r="F26" i="4"/>
  <c r="F94" i="4" s="1"/>
  <c r="G26" i="4"/>
  <c r="H26" i="4"/>
  <c r="I26" i="4"/>
  <c r="J26" i="4"/>
  <c r="K26" i="4"/>
  <c r="L26" i="4"/>
  <c r="L94" i="4" s="1"/>
  <c r="M26" i="4"/>
  <c r="M94" i="4" s="1"/>
  <c r="N26" i="4"/>
  <c r="N68" i="4" s="1"/>
  <c r="O26" i="4"/>
  <c r="O94" i="4" s="1"/>
  <c r="C3" i="4"/>
  <c r="D3" i="4"/>
  <c r="E3" i="4"/>
  <c r="E71" i="4" s="1"/>
  <c r="F3" i="4"/>
  <c r="F92" i="4" s="1"/>
  <c r="G3" i="4"/>
  <c r="G45" i="4" s="1"/>
  <c r="H3" i="4"/>
  <c r="H80" i="4" s="1"/>
  <c r="I3" i="4"/>
  <c r="J3" i="4"/>
  <c r="J90" i="4" s="1"/>
  <c r="K3" i="4"/>
  <c r="L3" i="4"/>
  <c r="M3" i="4"/>
  <c r="M46" i="4" s="1"/>
  <c r="N3" i="4"/>
  <c r="N79" i="4" s="1"/>
  <c r="O3" i="4"/>
  <c r="B3" i="4"/>
  <c r="B93" i="4" s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L6" i="6"/>
  <c r="H15" i="5"/>
  <c r="I15" i="5"/>
  <c r="J15" i="5"/>
  <c r="O51" i="4"/>
  <c r="O55" i="4"/>
  <c r="AE39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" i="3"/>
  <c r="C15" i="2"/>
  <c r="B3" i="6"/>
  <c r="B4" i="6"/>
  <c r="C3" i="6"/>
  <c r="C4" i="6"/>
  <c r="L74" i="4"/>
  <c r="F75" i="4"/>
  <c r="N75" i="4"/>
  <c r="D76" i="4"/>
  <c r="F77" i="4"/>
  <c r="L78" i="4"/>
  <c r="F79" i="4"/>
  <c r="D80" i="4"/>
  <c r="L80" i="4"/>
  <c r="F81" i="4"/>
  <c r="G81" i="4"/>
  <c r="H81" i="4"/>
  <c r="J82" i="4"/>
  <c r="M83" i="4"/>
  <c r="N83" i="4"/>
  <c r="D84" i="4"/>
  <c r="F84" i="4"/>
  <c r="L84" i="4"/>
  <c r="N85" i="4"/>
  <c r="K86" i="4"/>
  <c r="D87" i="4"/>
  <c r="N88" i="4"/>
  <c r="G89" i="4"/>
  <c r="H89" i="4"/>
  <c r="I89" i="4"/>
  <c r="D91" i="4"/>
  <c r="L91" i="4"/>
  <c r="N91" i="4"/>
  <c r="E92" i="4"/>
  <c r="N93" i="4"/>
  <c r="M72" i="4"/>
  <c r="L72" i="4"/>
  <c r="C74" i="4"/>
  <c r="C79" i="4"/>
  <c r="C90" i="4"/>
  <c r="F71" i="4"/>
  <c r="F47" i="4"/>
  <c r="H47" i="4"/>
  <c r="N47" i="4"/>
  <c r="B48" i="4"/>
  <c r="G48" i="4"/>
  <c r="H48" i="4"/>
  <c r="I48" i="4"/>
  <c r="J48" i="4"/>
  <c r="B49" i="4"/>
  <c r="D49" i="4"/>
  <c r="J49" i="4"/>
  <c r="L49" i="4"/>
  <c r="D50" i="4"/>
  <c r="F50" i="4"/>
  <c r="L50" i="4"/>
  <c r="M50" i="4"/>
  <c r="N50" i="4"/>
  <c r="F51" i="4"/>
  <c r="G51" i="4"/>
  <c r="H51" i="4"/>
  <c r="N51" i="4"/>
  <c r="B52" i="4"/>
  <c r="H52" i="4"/>
  <c r="J52" i="4"/>
  <c r="B53" i="4"/>
  <c r="C53" i="4"/>
  <c r="D53" i="4"/>
  <c r="J53" i="4"/>
  <c r="L53" i="4"/>
  <c r="C54" i="4"/>
  <c r="D54" i="4"/>
  <c r="E54" i="4"/>
  <c r="F54" i="4"/>
  <c r="L54" i="4"/>
  <c r="M54" i="4"/>
  <c r="N54" i="4"/>
  <c r="F55" i="4"/>
  <c r="G55" i="4"/>
  <c r="H55" i="4"/>
  <c r="N55" i="4"/>
  <c r="B56" i="4"/>
  <c r="D56" i="4"/>
  <c r="G56" i="4"/>
  <c r="H56" i="4"/>
  <c r="I56" i="4"/>
  <c r="J56" i="4"/>
  <c r="B57" i="4"/>
  <c r="C57" i="4"/>
  <c r="D57" i="4"/>
  <c r="J57" i="4"/>
  <c r="K57" i="4"/>
  <c r="L57" i="4"/>
  <c r="D58" i="4"/>
  <c r="F58" i="4"/>
  <c r="L58" i="4"/>
  <c r="N58" i="4"/>
  <c r="F59" i="4"/>
  <c r="H59" i="4"/>
  <c r="N59" i="4"/>
  <c r="B60" i="4"/>
  <c r="H60" i="4"/>
  <c r="J60" i="4"/>
  <c r="N60" i="4"/>
  <c r="B61" i="4"/>
  <c r="D61" i="4"/>
  <c r="J61" i="4"/>
  <c r="L61" i="4"/>
  <c r="D62" i="4"/>
  <c r="F62" i="4"/>
  <c r="L62" i="4"/>
  <c r="N62" i="4"/>
  <c r="F63" i="4"/>
  <c r="H63" i="4"/>
  <c r="N63" i="4"/>
  <c r="B64" i="4"/>
  <c r="H64" i="4"/>
  <c r="J64" i="4"/>
  <c r="B65" i="4"/>
  <c r="C65" i="4"/>
  <c r="D65" i="4"/>
  <c r="J65" i="4"/>
  <c r="K65" i="4"/>
  <c r="L65" i="4"/>
  <c r="D66" i="4"/>
  <c r="E66" i="4"/>
  <c r="F66" i="4"/>
  <c r="L66" i="4"/>
  <c r="N66" i="4"/>
  <c r="E67" i="4"/>
  <c r="F67" i="4"/>
  <c r="G67" i="4"/>
  <c r="H67" i="4"/>
  <c r="N67" i="4"/>
  <c r="B68" i="4"/>
  <c r="H68" i="4"/>
  <c r="J68" i="4"/>
  <c r="D46" i="4"/>
  <c r="L46" i="4"/>
  <c r="N46" i="4"/>
  <c r="D45" i="4"/>
  <c r="E45" i="4"/>
  <c r="L45" i="4"/>
  <c r="R19" i="3"/>
  <c r="L3" i="6"/>
  <c r="L4" i="6"/>
  <c r="L5" i="6"/>
  <c r="G91" i="7" l="1"/>
  <c r="W91" i="7"/>
  <c r="H26" i="8"/>
  <c r="E116" i="7"/>
  <c r="D117" i="7"/>
  <c r="D124" i="7"/>
  <c r="E124" i="7" s="1"/>
  <c r="AM91" i="7"/>
  <c r="AA91" i="7"/>
  <c r="AE91" i="7"/>
  <c r="AI91" i="7"/>
  <c r="P74" i="7"/>
  <c r="O75" i="7"/>
  <c r="H74" i="7"/>
  <c r="H75" i="7" s="1"/>
  <c r="G75" i="7"/>
  <c r="AJ58" i="7"/>
  <c r="AK58" i="7" s="1"/>
  <c r="E75" i="7"/>
  <c r="D67" i="7"/>
  <c r="E67" i="7" s="1"/>
  <c r="H82" i="7"/>
  <c r="H83" i="7" s="1"/>
  <c r="I83" i="7" s="1"/>
  <c r="K91" i="7"/>
  <c r="O91" i="7"/>
  <c r="S91" i="7"/>
  <c r="P82" i="7"/>
  <c r="P83" i="7" s="1"/>
  <c r="Q83" i="7" s="1"/>
  <c r="D118" i="7"/>
  <c r="E118" i="7" s="1"/>
  <c r="L74" i="7"/>
  <c r="K75" i="7"/>
  <c r="E117" i="7"/>
  <c r="D119" i="7"/>
  <c r="E119" i="7" s="1"/>
  <c r="S97" i="7"/>
  <c r="K96" i="7"/>
  <c r="O97" i="7"/>
  <c r="G97" i="7"/>
  <c r="K97" i="7"/>
  <c r="C97" i="7"/>
  <c r="C99" i="7" s="1"/>
  <c r="Y82" i="7"/>
  <c r="U83" i="7"/>
  <c r="U82" i="7"/>
  <c r="Q82" i="7"/>
  <c r="M82" i="7"/>
  <c r="I82" i="7"/>
  <c r="Y75" i="7"/>
  <c r="Y74" i="7"/>
  <c r="U75" i="7"/>
  <c r="U74" i="7"/>
  <c r="L75" i="7"/>
  <c r="M75" i="7" s="1"/>
  <c r="M74" i="7"/>
  <c r="Y66" i="7"/>
  <c r="T67" i="7"/>
  <c r="U67" i="7" s="1"/>
  <c r="U66" i="7"/>
  <c r="P67" i="7"/>
  <c r="Q67" i="7" s="1"/>
  <c r="Q66" i="7"/>
  <c r="M67" i="7"/>
  <c r="AM59" i="7"/>
  <c r="G59" i="7"/>
  <c r="BE57" i="7"/>
  <c r="BC59" i="7"/>
  <c r="C59" i="7"/>
  <c r="AI59" i="7"/>
  <c r="K59" i="7"/>
  <c r="O59" i="7"/>
  <c r="Y57" i="7"/>
  <c r="AZ58" i="7"/>
  <c r="BA58" i="7" s="1"/>
  <c r="D58" i="7"/>
  <c r="E58" i="7" s="1"/>
  <c r="I57" i="7"/>
  <c r="Q57" i="7"/>
  <c r="M57" i="7"/>
  <c r="L58" i="7"/>
  <c r="M58" i="7" s="1"/>
  <c r="AS57" i="7"/>
  <c r="BD58" i="7"/>
  <c r="BE58" i="7" s="1"/>
  <c r="X58" i="7"/>
  <c r="Y58" i="7" s="1"/>
  <c r="AK57" i="7"/>
  <c r="H58" i="7"/>
  <c r="I58" i="7" s="1"/>
  <c r="AR58" i="7"/>
  <c r="AS58" i="7" s="1"/>
  <c r="T55" i="7" a="1"/>
  <c r="T55" i="7" s="1"/>
  <c r="U55" i="7" s="1"/>
  <c r="BA57" i="7"/>
  <c r="P58" i="7"/>
  <c r="Q58" i="7" s="1"/>
  <c r="H55" i="7" a="1"/>
  <c r="H55" i="7" s="1"/>
  <c r="I55" i="7" s="1"/>
  <c r="L55" i="7" a="1"/>
  <c r="L55" i="7" s="1"/>
  <c r="L56" i="7" s="1"/>
  <c r="AF58" i="7"/>
  <c r="AG58" i="7" s="1"/>
  <c r="AG57" i="7"/>
  <c r="AF55" i="7" a="1"/>
  <c r="AF55" i="7" s="1"/>
  <c r="AG55" i="7" s="1"/>
  <c r="AB58" i="7"/>
  <c r="AC58" i="7" s="1"/>
  <c r="U57" i="7"/>
  <c r="T58" i="7"/>
  <c r="U58" i="7" s="1"/>
  <c r="AO57" i="7"/>
  <c r="AN58" i="7"/>
  <c r="AO58" i="7" s="1"/>
  <c r="P55" i="7" a="1"/>
  <c r="P55" i="7" s="1"/>
  <c r="Q55" i="7" s="1"/>
  <c r="AN55" i="7" a="1"/>
  <c r="AN55" i="7" s="1"/>
  <c r="AN56" i="7" s="1"/>
  <c r="AW57" i="7"/>
  <c r="AV58" i="7"/>
  <c r="AW58" i="7" s="1"/>
  <c r="AZ55" i="7" a="1"/>
  <c r="AZ55" i="7" s="1"/>
  <c r="AZ56" i="7" s="1"/>
  <c r="BA56" i="7" s="1"/>
  <c r="D55" i="7" a="1"/>
  <c r="D55" i="7" s="1"/>
  <c r="D56" i="7" s="1"/>
  <c r="E56" i="7" s="1"/>
  <c r="AV55" i="7" a="1"/>
  <c r="AV55" i="7" s="1"/>
  <c r="AJ55" i="7" a="1"/>
  <c r="AJ55" i="7" s="1"/>
  <c r="AB55" i="7" a="1"/>
  <c r="AB55" i="7" s="1"/>
  <c r="AR55" i="7" a="1"/>
  <c r="AR55" i="7" s="1"/>
  <c r="BD55" i="7" a="1"/>
  <c r="BD55" i="7" s="1"/>
  <c r="X55" i="7" a="1"/>
  <c r="X55" i="7" s="1"/>
  <c r="B5" i="6"/>
  <c r="C84" i="4"/>
  <c r="H91" i="4"/>
  <c r="F64" i="4"/>
  <c r="M64" i="4"/>
  <c r="M56" i="4"/>
  <c r="E56" i="4"/>
  <c r="K55" i="4"/>
  <c r="C55" i="4"/>
  <c r="C51" i="4"/>
  <c r="I50" i="4"/>
  <c r="C47" i="4"/>
  <c r="F91" i="4"/>
  <c r="B92" i="4"/>
  <c r="H87" i="4"/>
  <c r="H79" i="4"/>
  <c r="B84" i="4"/>
  <c r="L93" i="4"/>
  <c r="D77" i="4"/>
  <c r="N45" i="4"/>
  <c r="J67" i="4"/>
  <c r="N56" i="4"/>
  <c r="M55" i="4"/>
  <c r="H54" i="4"/>
  <c r="N48" i="4"/>
  <c r="B83" i="4"/>
  <c r="F88" i="4"/>
  <c r="F85" i="4"/>
  <c r="G80" i="4"/>
  <c r="N76" i="4"/>
  <c r="J74" i="4"/>
  <c r="L90" i="4"/>
  <c r="D82" i="4"/>
  <c r="M91" i="4"/>
  <c r="E91" i="4"/>
  <c r="B88" i="4"/>
  <c r="H85" i="4"/>
  <c r="F46" i="4"/>
  <c r="L51" i="4"/>
  <c r="B71" i="4"/>
  <c r="B76" i="4"/>
  <c r="F72" i="4"/>
  <c r="N92" i="4"/>
  <c r="E88" i="4"/>
  <c r="N84" i="4"/>
  <c r="N82" i="4"/>
  <c r="F80" i="4"/>
  <c r="M76" i="4"/>
  <c r="N73" i="4"/>
  <c r="K46" i="4"/>
  <c r="H83" i="4"/>
  <c r="B46" i="4"/>
  <c r="B91" i="4"/>
  <c r="N71" i="4"/>
  <c r="B75" i="4"/>
  <c r="G72" i="4"/>
  <c r="G92" i="4"/>
  <c r="N89" i="4"/>
  <c r="N87" i="4"/>
  <c r="F76" i="4"/>
  <c r="F73" i="4"/>
  <c r="O93" i="4"/>
  <c r="G68" i="4"/>
  <c r="M92" i="4"/>
  <c r="O64" i="4"/>
  <c r="M88" i="4"/>
  <c r="E63" i="4"/>
  <c r="C62" i="4"/>
  <c r="G85" i="4"/>
  <c r="M59" i="4"/>
  <c r="E59" i="4"/>
  <c r="K58" i="4"/>
  <c r="C83" i="4"/>
  <c r="O56" i="4"/>
  <c r="M80" i="4"/>
  <c r="E80" i="4"/>
  <c r="O52" i="4"/>
  <c r="G52" i="4"/>
  <c r="E51" i="4"/>
  <c r="I49" i="4"/>
  <c r="M47" i="4"/>
  <c r="E47" i="4"/>
  <c r="F45" i="4"/>
  <c r="N65" i="4"/>
  <c r="D63" i="4"/>
  <c r="L52" i="4"/>
  <c r="B50" i="4"/>
  <c r="M71" i="4"/>
  <c r="E76" i="4"/>
  <c r="W16" i="4" a="1"/>
  <c r="W16" i="4" s="1"/>
  <c r="B63" i="4"/>
  <c r="N61" i="4"/>
  <c r="F68" i="4"/>
  <c r="N64" i="4"/>
  <c r="H58" i="4"/>
  <c r="H53" i="4"/>
  <c r="L47" i="4"/>
  <c r="B90" i="4"/>
  <c r="B82" i="4"/>
  <c r="B74" i="4"/>
  <c r="H93" i="4"/>
  <c r="D88" i="4"/>
  <c r="D85" i="4"/>
  <c r="H82" i="4"/>
  <c r="L79" i="4"/>
  <c r="H78" i="4"/>
  <c r="L75" i="4"/>
  <c r="H74" i="4"/>
  <c r="AB23" i="4" a="1"/>
  <c r="AB23" i="4" s="1"/>
  <c r="W2" i="4" a="1"/>
  <c r="W2" i="4" s="1"/>
  <c r="L86" i="4"/>
  <c r="I45" i="4"/>
  <c r="K56" i="4"/>
  <c r="H45" i="4"/>
  <c r="D68" i="4"/>
  <c r="H66" i="4"/>
  <c r="L64" i="4"/>
  <c r="H57" i="4"/>
  <c r="F53" i="4"/>
  <c r="F52" i="4"/>
  <c r="J50" i="4"/>
  <c r="L71" i="4"/>
  <c r="B89" i="4"/>
  <c r="B81" i="4"/>
  <c r="B73" i="4"/>
  <c r="N94" i="4"/>
  <c r="G93" i="4"/>
  <c r="D92" i="4"/>
  <c r="H86" i="4"/>
  <c r="L83" i="4"/>
  <c r="F82" i="4"/>
  <c r="D81" i="4"/>
  <c r="I79" i="4"/>
  <c r="L76" i="4"/>
  <c r="I75" i="4"/>
  <c r="F74" i="4"/>
  <c r="O71" i="4"/>
  <c r="AB16" i="4" a="1"/>
  <c r="AB16" i="4" s="1"/>
  <c r="R30" i="4" a="1"/>
  <c r="R30" i="4" s="1"/>
  <c r="K94" i="4"/>
  <c r="C94" i="4"/>
  <c r="I68" i="4"/>
  <c r="K90" i="4"/>
  <c r="O88" i="4"/>
  <c r="G63" i="4"/>
  <c r="M87" i="4"/>
  <c r="E87" i="4"/>
  <c r="K61" i="4"/>
  <c r="C86" i="4"/>
  <c r="I85" i="4"/>
  <c r="O59" i="4"/>
  <c r="G84" i="4"/>
  <c r="M58" i="4"/>
  <c r="E83" i="4"/>
  <c r="K82" i="4"/>
  <c r="C82" i="4"/>
  <c r="O80" i="4"/>
  <c r="M79" i="4"/>
  <c r="E79" i="4"/>
  <c r="K78" i="4"/>
  <c r="C78" i="4"/>
  <c r="I77" i="4"/>
  <c r="G76" i="4"/>
  <c r="M75" i="4"/>
  <c r="E75" i="4"/>
  <c r="K49" i="4"/>
  <c r="C49" i="4"/>
  <c r="I73" i="4"/>
  <c r="O72" i="4"/>
  <c r="G47" i="4"/>
  <c r="D64" i="4"/>
  <c r="L56" i="4"/>
  <c r="N49" i="4"/>
  <c r="I78" i="4"/>
  <c r="D73" i="4"/>
  <c r="I84" i="4"/>
  <c r="J59" i="4"/>
  <c r="B55" i="4"/>
  <c r="H46" i="4"/>
  <c r="L63" i="4"/>
  <c r="J62" i="4"/>
  <c r="H61" i="4"/>
  <c r="F57" i="4"/>
  <c r="L55" i="4"/>
  <c r="D52" i="4"/>
  <c r="H49" i="4"/>
  <c r="H71" i="4"/>
  <c r="B80" i="4"/>
  <c r="B72" i="4"/>
  <c r="D72" i="4"/>
  <c r="H94" i="4"/>
  <c r="H90" i="4"/>
  <c r="L87" i="4"/>
  <c r="F86" i="4"/>
  <c r="M84" i="4"/>
  <c r="K83" i="4"/>
  <c r="N81" i="4"/>
  <c r="N80" i="4"/>
  <c r="N77" i="4"/>
  <c r="K76" i="4"/>
  <c r="H75" i="4"/>
  <c r="D74" i="4"/>
  <c r="N72" i="4"/>
  <c r="L59" i="4"/>
  <c r="L48" i="4"/>
  <c r="I93" i="4"/>
  <c r="H65" i="4"/>
  <c r="H62" i="4"/>
  <c r="D59" i="4"/>
  <c r="J55" i="4"/>
  <c r="B87" i="4"/>
  <c r="D93" i="4"/>
  <c r="F90" i="4"/>
  <c r="I87" i="4"/>
  <c r="H76" i="4"/>
  <c r="I94" i="4"/>
  <c r="I90" i="4"/>
  <c r="I86" i="4"/>
  <c r="O85" i="4"/>
  <c r="I82" i="4"/>
  <c r="K79" i="4"/>
  <c r="K75" i="4"/>
  <c r="C75" i="4"/>
  <c r="G73" i="4"/>
  <c r="F61" i="4"/>
  <c r="B67" i="4"/>
  <c r="B59" i="4"/>
  <c r="N53" i="4"/>
  <c r="F48" i="4"/>
  <c r="D47" i="4"/>
  <c r="D71" i="4"/>
  <c r="B86" i="4"/>
  <c r="B78" i="4"/>
  <c r="D94" i="4"/>
  <c r="I91" i="4"/>
  <c r="L88" i="4"/>
  <c r="L85" i="4"/>
  <c r="D79" i="4"/>
  <c r="H77" i="4"/>
  <c r="D75" i="4"/>
  <c r="O67" i="4"/>
  <c r="O86" i="4"/>
  <c r="D78" i="4"/>
  <c r="F93" i="4"/>
  <c r="F89" i="4"/>
  <c r="B79" i="4"/>
  <c r="B45" i="4"/>
  <c r="L68" i="4"/>
  <c r="N52" i="4"/>
  <c r="B94" i="4"/>
  <c r="B85" i="4"/>
  <c r="B77" i="4"/>
  <c r="C87" i="4"/>
  <c r="H72" i="4"/>
  <c r="L92" i="4"/>
  <c r="G88" i="4"/>
  <c r="D83" i="4"/>
  <c r="I81" i="4"/>
  <c r="H73" i="4"/>
  <c r="O63" i="4"/>
  <c r="O76" i="4"/>
  <c r="J93" i="4"/>
  <c r="G94" i="4"/>
  <c r="M93" i="4"/>
  <c r="K92" i="4"/>
  <c r="O90" i="4"/>
  <c r="G90" i="4"/>
  <c r="K88" i="4"/>
  <c r="C88" i="4"/>
  <c r="G86" i="4"/>
  <c r="E85" i="4"/>
  <c r="I83" i="4"/>
  <c r="O82" i="4"/>
  <c r="G82" i="4"/>
  <c r="K80" i="4"/>
  <c r="C80" i="4"/>
  <c r="M77" i="4"/>
  <c r="E77" i="4"/>
  <c r="O74" i="4"/>
  <c r="G74" i="4"/>
  <c r="E73" i="4"/>
  <c r="O92" i="4"/>
  <c r="O81" i="4"/>
  <c r="G87" i="4"/>
  <c r="AB9" i="4" a="1"/>
  <c r="AB9" i="4" s="1"/>
  <c r="M45" i="4"/>
  <c r="G46" i="4"/>
  <c r="M63" i="4"/>
  <c r="E62" i="4"/>
  <c r="I61" i="4"/>
  <c r="C56" i="4"/>
  <c r="C71" i="4"/>
  <c r="E84" i="4"/>
  <c r="G77" i="4"/>
  <c r="K74" i="4"/>
  <c r="M73" i="4"/>
  <c r="O60" i="4"/>
  <c r="O47" i="4"/>
  <c r="W30" i="4" a="1"/>
  <c r="W30" i="4" s="1"/>
  <c r="W23" i="4" a="1"/>
  <c r="W23" i="4" s="1"/>
  <c r="C66" i="4"/>
  <c r="I64" i="4"/>
  <c r="I60" i="4"/>
  <c r="E58" i="4"/>
  <c r="C92" i="4"/>
  <c r="E72" i="4"/>
  <c r="E81" i="4"/>
  <c r="G78" i="4"/>
  <c r="O46" i="4"/>
  <c r="O78" i="4"/>
  <c r="AB2" i="4" a="1"/>
  <c r="AB2" i="4" s="1"/>
  <c r="C45" i="4"/>
  <c r="M66" i="4"/>
  <c r="I57" i="4"/>
  <c r="E55" i="4"/>
  <c r="K53" i="4"/>
  <c r="K71" i="4"/>
  <c r="M89" i="4"/>
  <c r="M85" i="4"/>
  <c r="O89" i="4"/>
  <c r="K45" i="4"/>
  <c r="E46" i="4"/>
  <c r="M62" i="4"/>
  <c r="I71" i="4"/>
  <c r="I74" i="4"/>
  <c r="O45" i="4"/>
  <c r="O77" i="4"/>
  <c r="H84" i="4"/>
  <c r="W9" i="4" a="1"/>
  <c r="W9" i="4" s="1"/>
  <c r="K89" i="4"/>
  <c r="C89" i="4"/>
  <c r="O87" i="4"/>
  <c r="M61" i="4"/>
  <c r="E61" i="4"/>
  <c r="K60" i="4"/>
  <c r="C60" i="4"/>
  <c r="O58" i="4"/>
  <c r="G83" i="4"/>
  <c r="C81" i="4"/>
  <c r="I55" i="4"/>
  <c r="O79" i="4"/>
  <c r="G79" i="4"/>
  <c r="M78" i="4"/>
  <c r="E53" i="4"/>
  <c r="I76" i="4"/>
  <c r="O75" i="4"/>
  <c r="K48" i="4"/>
  <c r="R23" i="4" a="1"/>
  <c r="R23" i="4" s="1"/>
  <c r="E94" i="4"/>
  <c r="G91" i="4"/>
  <c r="C46" i="4"/>
  <c r="K62" i="4"/>
  <c r="C61" i="4"/>
  <c r="G59" i="4"/>
  <c r="I52" i="4"/>
  <c r="E50" i="4"/>
  <c r="G71" i="4"/>
  <c r="O68" i="4"/>
  <c r="O84" i="4"/>
  <c r="O73" i="4"/>
  <c r="I58" i="4"/>
  <c r="C50" i="4"/>
  <c r="O50" i="4"/>
  <c r="H88" i="4"/>
  <c r="G75" i="4"/>
  <c r="O83" i="4"/>
  <c r="I66" i="4"/>
  <c r="C48" i="4"/>
  <c r="K47" i="4"/>
  <c r="C73" i="4"/>
  <c r="K63" i="4"/>
  <c r="C64" i="4"/>
  <c r="C63" i="4"/>
  <c r="G54" i="4"/>
  <c r="I47" i="4"/>
  <c r="O91" i="4"/>
  <c r="M65" i="4"/>
  <c r="K59" i="4"/>
  <c r="E57" i="4"/>
  <c r="K51" i="4"/>
  <c r="E49" i="4"/>
  <c r="K81" i="4"/>
  <c r="O65" i="4"/>
  <c r="O57" i="4"/>
  <c r="O49" i="4"/>
  <c r="I46" i="4"/>
  <c r="M68" i="4"/>
  <c r="E68" i="4"/>
  <c r="G66" i="4"/>
  <c r="M60" i="4"/>
  <c r="E60" i="4"/>
  <c r="G58" i="4"/>
  <c r="M52" i="4"/>
  <c r="E52" i="4"/>
  <c r="G50" i="4"/>
  <c r="K73" i="4"/>
  <c r="K67" i="4"/>
  <c r="M57" i="4"/>
  <c r="K77" i="4"/>
  <c r="I59" i="4"/>
  <c r="G53" i="4"/>
  <c r="I51" i="4"/>
  <c r="I92" i="4"/>
  <c r="E90" i="4"/>
  <c r="I88" i="4"/>
  <c r="E86" i="4"/>
  <c r="C59" i="4"/>
  <c r="M49" i="4"/>
  <c r="I62" i="4"/>
  <c r="I54" i="4"/>
  <c r="C52" i="4"/>
  <c r="C93" i="4"/>
  <c r="C85" i="4"/>
  <c r="C77" i="4"/>
  <c r="M90" i="4"/>
  <c r="M86" i="4"/>
  <c r="M82" i="4"/>
  <c r="E82" i="4"/>
  <c r="I80" i="4"/>
  <c r="E78" i="4"/>
  <c r="O62" i="4"/>
  <c r="O54" i="4"/>
  <c r="C67" i="4"/>
  <c r="G61" i="4"/>
  <c r="K68" i="4"/>
  <c r="M53" i="4"/>
  <c r="M74" i="4"/>
  <c r="E74" i="4"/>
  <c r="O61" i="4"/>
  <c r="O53" i="4"/>
  <c r="E64" i="4"/>
  <c r="G62" i="4"/>
  <c r="M48" i="4"/>
  <c r="E48" i="4"/>
  <c r="I72" i="4"/>
  <c r="J77" i="4"/>
  <c r="G65" i="4"/>
  <c r="G57" i="4"/>
  <c r="G49" i="4"/>
  <c r="J45" i="4"/>
  <c r="J87" i="4"/>
  <c r="J76" i="4"/>
  <c r="J73" i="4"/>
  <c r="J84" i="4"/>
  <c r="J89" i="4"/>
  <c r="J81" i="4"/>
  <c r="J86" i="4"/>
  <c r="J78" i="4"/>
  <c r="J72" i="4"/>
  <c r="J94" i="4"/>
  <c r="J83" i="4"/>
  <c r="J75" i="4"/>
  <c r="J71" i="4"/>
  <c r="J80" i="4"/>
  <c r="J79" i="4"/>
  <c r="J92" i="4"/>
  <c r="J46" i="4"/>
  <c r="J91" i="4"/>
  <c r="J88" i="4"/>
  <c r="J85" i="4"/>
  <c r="Q74" i="7" l="1"/>
  <c r="P75" i="7"/>
  <c r="Q75" i="7" s="1"/>
  <c r="I74" i="7"/>
  <c r="S98" i="7"/>
  <c r="C90" i="7"/>
  <c r="C91" i="7" s="1"/>
  <c r="G98" i="7"/>
  <c r="K98" i="7"/>
  <c r="K99" i="7" s="1"/>
  <c r="O98" i="7"/>
  <c r="O96" i="7"/>
  <c r="G96" i="7"/>
  <c r="S96" i="7"/>
  <c r="Y83" i="7"/>
  <c r="M83" i="7"/>
  <c r="I75" i="7"/>
  <c r="Y67" i="7"/>
  <c r="M55" i="7"/>
  <c r="AZ59" i="7"/>
  <c r="BA59" i="7" s="1"/>
  <c r="AF56" i="7"/>
  <c r="BA55" i="7"/>
  <c r="L59" i="7"/>
  <c r="M56" i="7"/>
  <c r="T56" i="7"/>
  <c r="T59" i="7" s="1"/>
  <c r="U59" i="7" s="1"/>
  <c r="H56" i="7"/>
  <c r="AN59" i="7"/>
  <c r="AO59" i="7" s="1"/>
  <c r="AO56" i="7"/>
  <c r="E55" i="7"/>
  <c r="AO55" i="7"/>
  <c r="P56" i="7"/>
  <c r="D59" i="7"/>
  <c r="E59" i="7" s="1"/>
  <c r="AK55" i="7"/>
  <c r="AJ56" i="7"/>
  <c r="AW55" i="7"/>
  <c r="AV56" i="7"/>
  <c r="Y55" i="7"/>
  <c r="X56" i="7"/>
  <c r="BE55" i="7"/>
  <c r="BD56" i="7"/>
  <c r="AR56" i="7"/>
  <c r="AS55" i="7"/>
  <c r="AC55" i="7"/>
  <c r="AB56" i="7"/>
  <c r="C42" i="4"/>
  <c r="E42" i="4" s="1"/>
  <c r="B15" i="5" s="1"/>
  <c r="BC61" i="7" s="1"/>
  <c r="D42" i="4"/>
  <c r="O99" i="7" l="1"/>
  <c r="G99" i="7"/>
  <c r="S99" i="7"/>
  <c r="S100" i="7" s="1"/>
  <c r="C107" i="7" s="1"/>
  <c r="E107" i="7" s="1"/>
  <c r="K107" i="7" s="1"/>
  <c r="U56" i="7"/>
  <c r="AG56" i="7"/>
  <c r="AF59" i="7"/>
  <c r="H59" i="7"/>
  <c r="I56" i="7"/>
  <c r="M59" i="7"/>
  <c r="Q56" i="7"/>
  <c r="P59" i="7"/>
  <c r="AB59" i="7"/>
  <c r="AC56" i="7"/>
  <c r="BD59" i="7"/>
  <c r="BE56" i="7"/>
  <c r="Y56" i="7"/>
  <c r="X59" i="7"/>
  <c r="AS56" i="7"/>
  <c r="AR59" i="7"/>
  <c r="AV59" i="7"/>
  <c r="AW56" i="7"/>
  <c r="AJ59" i="7"/>
  <c r="AK56" i="7"/>
  <c r="G15" i="5"/>
  <c r="F6" i="6"/>
  <c r="AG59" i="7" l="1"/>
  <c r="I59" i="7"/>
  <c r="Q59" i="7"/>
  <c r="Y59" i="7"/>
  <c r="AW59" i="7"/>
  <c r="BE59" i="7"/>
  <c r="BD61" i="7"/>
  <c r="BE61" i="7" s="1"/>
  <c r="AK59" i="7"/>
  <c r="AS59" i="7"/>
  <c r="AC59" i="7"/>
  <c r="K6" i="6"/>
  <c r="M6" i="6" s="1"/>
  <c r="C35" i="4" l="1"/>
  <c r="E35" i="4" s="1"/>
  <c r="B8" i="5" s="1"/>
  <c r="C34" i="4"/>
  <c r="E34" i="4" s="1"/>
  <c r="B7" i="5" s="1"/>
  <c r="C11" i="2"/>
  <c r="I9" i="5"/>
  <c r="J14" i="5"/>
  <c r="H3" i="5"/>
  <c r="I3" i="5"/>
  <c r="J3" i="5"/>
  <c r="H4" i="5"/>
  <c r="I4" i="5"/>
  <c r="J4" i="5"/>
  <c r="H5" i="5"/>
  <c r="I5" i="5"/>
  <c r="J5" i="5"/>
  <c r="H6" i="5"/>
  <c r="I6" i="5"/>
  <c r="J6" i="5"/>
  <c r="H7" i="5"/>
  <c r="I7" i="5"/>
  <c r="J7" i="5"/>
  <c r="H8" i="5"/>
  <c r="I8" i="5"/>
  <c r="J8" i="5"/>
  <c r="H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2" i="5"/>
  <c r="I2" i="5"/>
  <c r="H2" i="5"/>
  <c r="C2" i="2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AC18" i="3"/>
  <c r="R14" i="3"/>
  <c r="R13" i="3"/>
  <c r="R17" i="3"/>
  <c r="Y11" i="3"/>
  <c r="R4" i="3"/>
  <c r="S4" i="3"/>
  <c r="T4" i="3"/>
  <c r="U4" i="3"/>
  <c r="V4" i="3"/>
  <c r="W4" i="3"/>
  <c r="X4" i="3"/>
  <c r="Y4" i="3"/>
  <c r="Z4" i="3"/>
  <c r="AB4" i="3"/>
  <c r="AC4" i="3"/>
  <c r="AD4" i="3"/>
  <c r="R5" i="3"/>
  <c r="S5" i="3"/>
  <c r="T5" i="3"/>
  <c r="U5" i="3"/>
  <c r="V5" i="3"/>
  <c r="W5" i="3"/>
  <c r="X5" i="3"/>
  <c r="Y5" i="3"/>
  <c r="Z5" i="3"/>
  <c r="AB5" i="3"/>
  <c r="AC5" i="3"/>
  <c r="AD5" i="3"/>
  <c r="R6" i="3"/>
  <c r="S6" i="3"/>
  <c r="T6" i="3"/>
  <c r="U6" i="3"/>
  <c r="V6" i="3"/>
  <c r="W6" i="3"/>
  <c r="X6" i="3"/>
  <c r="Y6" i="3"/>
  <c r="Z6" i="3"/>
  <c r="AB6" i="3"/>
  <c r="AC6" i="3"/>
  <c r="AD6" i="3"/>
  <c r="R7" i="3"/>
  <c r="S7" i="3"/>
  <c r="T7" i="3"/>
  <c r="U7" i="3"/>
  <c r="V7" i="3"/>
  <c r="W7" i="3"/>
  <c r="X7" i="3"/>
  <c r="Y7" i="3"/>
  <c r="Z7" i="3"/>
  <c r="AB7" i="3"/>
  <c r="AC7" i="3"/>
  <c r="AD7" i="3"/>
  <c r="R8" i="3"/>
  <c r="S8" i="3"/>
  <c r="T8" i="3"/>
  <c r="U8" i="3"/>
  <c r="V8" i="3"/>
  <c r="W8" i="3"/>
  <c r="X8" i="3"/>
  <c r="Y8" i="3"/>
  <c r="Z8" i="3"/>
  <c r="AB8" i="3"/>
  <c r="AC8" i="3"/>
  <c r="AD8" i="3"/>
  <c r="R9" i="3"/>
  <c r="S9" i="3"/>
  <c r="T9" i="3"/>
  <c r="U9" i="3"/>
  <c r="V9" i="3"/>
  <c r="W9" i="3"/>
  <c r="X9" i="3"/>
  <c r="Y9" i="3"/>
  <c r="Z9" i="3"/>
  <c r="AB9" i="3"/>
  <c r="AC9" i="3"/>
  <c r="AD9" i="3"/>
  <c r="R10" i="3"/>
  <c r="S10" i="3"/>
  <c r="T10" i="3"/>
  <c r="U10" i="3"/>
  <c r="V10" i="3"/>
  <c r="W10" i="3"/>
  <c r="X10" i="3"/>
  <c r="Y10" i="3"/>
  <c r="Z10" i="3"/>
  <c r="AB10" i="3"/>
  <c r="AC10" i="3"/>
  <c r="AD10" i="3"/>
  <c r="R11" i="3"/>
  <c r="S11" i="3"/>
  <c r="T11" i="3"/>
  <c r="U11" i="3"/>
  <c r="V11" i="3"/>
  <c r="W11" i="3"/>
  <c r="X11" i="3"/>
  <c r="Z11" i="3"/>
  <c r="AB11" i="3"/>
  <c r="AC11" i="3"/>
  <c r="AD11" i="3"/>
  <c r="R12" i="3"/>
  <c r="S12" i="3"/>
  <c r="T12" i="3"/>
  <c r="U12" i="3"/>
  <c r="V12" i="3"/>
  <c r="W12" i="3"/>
  <c r="X12" i="3"/>
  <c r="Y12" i="3"/>
  <c r="Z12" i="3"/>
  <c r="AB12" i="3"/>
  <c r="AC12" i="3"/>
  <c r="AD12" i="3"/>
  <c r="S13" i="3"/>
  <c r="T13" i="3"/>
  <c r="U13" i="3"/>
  <c r="V13" i="3"/>
  <c r="W13" i="3"/>
  <c r="X13" i="3"/>
  <c r="Y13" i="3"/>
  <c r="Z13" i="3"/>
  <c r="AB13" i="3"/>
  <c r="AC13" i="3"/>
  <c r="AD13" i="3"/>
  <c r="S14" i="3"/>
  <c r="T14" i="3"/>
  <c r="U14" i="3"/>
  <c r="V14" i="3"/>
  <c r="W14" i="3"/>
  <c r="X14" i="3"/>
  <c r="Y14" i="3"/>
  <c r="Z14" i="3"/>
  <c r="AB14" i="3"/>
  <c r="AC14" i="3"/>
  <c r="AD14" i="3"/>
  <c r="R15" i="3"/>
  <c r="S15" i="3"/>
  <c r="T15" i="3"/>
  <c r="U15" i="3"/>
  <c r="V15" i="3"/>
  <c r="W15" i="3"/>
  <c r="X15" i="3"/>
  <c r="Y15" i="3"/>
  <c r="Z15" i="3"/>
  <c r="AB15" i="3"/>
  <c r="AC15" i="3"/>
  <c r="AD15" i="3"/>
  <c r="R16" i="3"/>
  <c r="S16" i="3"/>
  <c r="T16" i="3"/>
  <c r="U16" i="3"/>
  <c r="V16" i="3"/>
  <c r="W16" i="3"/>
  <c r="X16" i="3"/>
  <c r="Y16" i="3"/>
  <c r="Z16" i="3"/>
  <c r="AB16" i="3"/>
  <c r="AC16" i="3"/>
  <c r="AD16" i="3"/>
  <c r="S17" i="3"/>
  <c r="T17" i="3"/>
  <c r="U17" i="3"/>
  <c r="V17" i="3"/>
  <c r="W17" i="3"/>
  <c r="X17" i="3"/>
  <c r="Y17" i="3"/>
  <c r="Z17" i="3"/>
  <c r="AB17" i="3"/>
  <c r="AC17" i="3"/>
  <c r="AD17" i="3"/>
  <c r="R18" i="3"/>
  <c r="S18" i="3"/>
  <c r="T18" i="3"/>
  <c r="U18" i="3"/>
  <c r="V18" i="3"/>
  <c r="W18" i="3"/>
  <c r="X18" i="3"/>
  <c r="Y18" i="3"/>
  <c r="Z18" i="3"/>
  <c r="AB18" i="3"/>
  <c r="AD18" i="3"/>
  <c r="S19" i="3"/>
  <c r="T19" i="3"/>
  <c r="U19" i="3"/>
  <c r="V19" i="3"/>
  <c r="W19" i="3"/>
  <c r="X19" i="3"/>
  <c r="Y19" i="3"/>
  <c r="Z19" i="3"/>
  <c r="AB19" i="3"/>
  <c r="AC19" i="3"/>
  <c r="AD19" i="3"/>
  <c r="R20" i="3"/>
  <c r="S20" i="3"/>
  <c r="T20" i="3"/>
  <c r="U20" i="3"/>
  <c r="V20" i="3"/>
  <c r="W20" i="3"/>
  <c r="X20" i="3"/>
  <c r="Y20" i="3"/>
  <c r="Z20" i="3"/>
  <c r="AB20" i="3"/>
  <c r="AC20" i="3"/>
  <c r="AD20" i="3"/>
  <c r="R21" i="3"/>
  <c r="S21" i="3"/>
  <c r="T21" i="3"/>
  <c r="U21" i="3"/>
  <c r="V21" i="3"/>
  <c r="W21" i="3"/>
  <c r="X21" i="3"/>
  <c r="Y21" i="3"/>
  <c r="Z21" i="3"/>
  <c r="AB21" i="3"/>
  <c r="AC21" i="3"/>
  <c r="AD21" i="3"/>
  <c r="R22" i="3"/>
  <c r="S22" i="3"/>
  <c r="T22" i="3"/>
  <c r="U22" i="3"/>
  <c r="V22" i="3"/>
  <c r="W22" i="3"/>
  <c r="X22" i="3"/>
  <c r="Y22" i="3"/>
  <c r="Z22" i="3"/>
  <c r="AB22" i="3"/>
  <c r="AC22" i="3"/>
  <c r="AD22" i="3"/>
  <c r="R23" i="3"/>
  <c r="S23" i="3"/>
  <c r="T23" i="3"/>
  <c r="U23" i="3"/>
  <c r="V23" i="3"/>
  <c r="W23" i="3"/>
  <c r="X23" i="3"/>
  <c r="Y23" i="3"/>
  <c r="Z23" i="3"/>
  <c r="AB23" i="3"/>
  <c r="AC23" i="3"/>
  <c r="AD23" i="3"/>
  <c r="R24" i="3"/>
  <c r="S24" i="3"/>
  <c r="T24" i="3"/>
  <c r="U24" i="3"/>
  <c r="V24" i="3"/>
  <c r="W24" i="3"/>
  <c r="X24" i="3"/>
  <c r="Y24" i="3"/>
  <c r="Z24" i="3"/>
  <c r="AB24" i="3"/>
  <c r="AC24" i="3"/>
  <c r="AD24" i="3"/>
  <c r="R25" i="3"/>
  <c r="S25" i="3"/>
  <c r="T25" i="3"/>
  <c r="U25" i="3"/>
  <c r="V25" i="3"/>
  <c r="W25" i="3"/>
  <c r="X25" i="3"/>
  <c r="Y25" i="3"/>
  <c r="Z25" i="3"/>
  <c r="AB25" i="3"/>
  <c r="AC25" i="3"/>
  <c r="AD25" i="3"/>
  <c r="R26" i="3"/>
  <c r="S26" i="3"/>
  <c r="T26" i="3"/>
  <c r="U26" i="3"/>
  <c r="V26" i="3"/>
  <c r="W26" i="3"/>
  <c r="X26" i="3"/>
  <c r="Y26" i="3"/>
  <c r="Z26" i="3"/>
  <c r="AB26" i="3"/>
  <c r="AC26" i="3"/>
  <c r="AD26" i="3"/>
  <c r="R27" i="3"/>
  <c r="S27" i="3"/>
  <c r="T27" i="3"/>
  <c r="U27" i="3"/>
  <c r="V27" i="3"/>
  <c r="W27" i="3"/>
  <c r="X27" i="3"/>
  <c r="Y27" i="3"/>
  <c r="Z27" i="3"/>
  <c r="AB27" i="3"/>
  <c r="AC27" i="3"/>
  <c r="AD27" i="3"/>
  <c r="R28" i="3"/>
  <c r="S28" i="3"/>
  <c r="T28" i="3"/>
  <c r="U28" i="3"/>
  <c r="V28" i="3"/>
  <c r="W28" i="3"/>
  <c r="X28" i="3"/>
  <c r="Y28" i="3"/>
  <c r="Z28" i="3"/>
  <c r="AB28" i="3"/>
  <c r="AC28" i="3"/>
  <c r="AD28" i="3"/>
  <c r="R29" i="3"/>
  <c r="S29" i="3"/>
  <c r="T29" i="3"/>
  <c r="U29" i="3"/>
  <c r="V29" i="3"/>
  <c r="W29" i="3"/>
  <c r="X29" i="3"/>
  <c r="Y29" i="3"/>
  <c r="Z29" i="3"/>
  <c r="AB29" i="3"/>
  <c r="AC29" i="3"/>
  <c r="AD29" i="3"/>
  <c r="R30" i="3"/>
  <c r="S30" i="3"/>
  <c r="T30" i="3"/>
  <c r="U30" i="3"/>
  <c r="V30" i="3"/>
  <c r="W30" i="3"/>
  <c r="X30" i="3"/>
  <c r="Y30" i="3"/>
  <c r="Z30" i="3"/>
  <c r="AB30" i="3"/>
  <c r="AC30" i="3"/>
  <c r="AD30" i="3"/>
  <c r="R31" i="3"/>
  <c r="S31" i="3"/>
  <c r="T31" i="3"/>
  <c r="U31" i="3"/>
  <c r="V31" i="3"/>
  <c r="W31" i="3"/>
  <c r="X31" i="3"/>
  <c r="Y31" i="3"/>
  <c r="Z31" i="3"/>
  <c r="AB31" i="3"/>
  <c r="AC31" i="3"/>
  <c r="AD31" i="3"/>
  <c r="R32" i="3"/>
  <c r="S32" i="3"/>
  <c r="T32" i="3"/>
  <c r="U32" i="3"/>
  <c r="V32" i="3"/>
  <c r="W32" i="3"/>
  <c r="X32" i="3"/>
  <c r="Y32" i="3"/>
  <c r="Z32" i="3"/>
  <c r="AB32" i="3"/>
  <c r="AC32" i="3"/>
  <c r="AD32" i="3"/>
  <c r="R33" i="3"/>
  <c r="S33" i="3"/>
  <c r="T33" i="3"/>
  <c r="U33" i="3"/>
  <c r="V33" i="3"/>
  <c r="W33" i="3"/>
  <c r="X33" i="3"/>
  <c r="Y33" i="3"/>
  <c r="Z33" i="3"/>
  <c r="AB33" i="3"/>
  <c r="AC33" i="3"/>
  <c r="AD33" i="3"/>
  <c r="R34" i="3"/>
  <c r="S34" i="3"/>
  <c r="T34" i="3"/>
  <c r="U34" i="3"/>
  <c r="V34" i="3"/>
  <c r="W34" i="3"/>
  <c r="X34" i="3"/>
  <c r="Y34" i="3"/>
  <c r="Z34" i="3"/>
  <c r="AB34" i="3"/>
  <c r="AC34" i="3"/>
  <c r="AD34" i="3"/>
  <c r="R35" i="3"/>
  <c r="S35" i="3"/>
  <c r="T35" i="3"/>
  <c r="U35" i="3"/>
  <c r="V35" i="3"/>
  <c r="W35" i="3"/>
  <c r="X35" i="3"/>
  <c r="Y35" i="3"/>
  <c r="Z35" i="3"/>
  <c r="AB35" i="3"/>
  <c r="AC35" i="3"/>
  <c r="AD35" i="3"/>
  <c r="R36" i="3"/>
  <c r="S36" i="3"/>
  <c r="T36" i="3"/>
  <c r="U36" i="3"/>
  <c r="V36" i="3"/>
  <c r="W36" i="3"/>
  <c r="X36" i="3"/>
  <c r="Y36" i="3"/>
  <c r="Z36" i="3"/>
  <c r="AB36" i="3"/>
  <c r="AC36" i="3"/>
  <c r="AD36" i="3"/>
  <c r="R37" i="3"/>
  <c r="S37" i="3"/>
  <c r="T37" i="3"/>
  <c r="U37" i="3"/>
  <c r="V37" i="3"/>
  <c r="W37" i="3"/>
  <c r="X37" i="3"/>
  <c r="Y37" i="3"/>
  <c r="Z37" i="3"/>
  <c r="AB37" i="3"/>
  <c r="AC37" i="3"/>
  <c r="AD37" i="3"/>
  <c r="R38" i="3"/>
  <c r="S38" i="3"/>
  <c r="T38" i="3"/>
  <c r="U38" i="3"/>
  <c r="V38" i="3"/>
  <c r="W38" i="3"/>
  <c r="X38" i="3"/>
  <c r="Y38" i="3"/>
  <c r="Z38" i="3"/>
  <c r="AB38" i="3"/>
  <c r="AC38" i="3"/>
  <c r="AD38" i="3"/>
  <c r="R39" i="3"/>
  <c r="S39" i="3"/>
  <c r="T39" i="3"/>
  <c r="U39" i="3"/>
  <c r="V39" i="3"/>
  <c r="W39" i="3"/>
  <c r="X39" i="3"/>
  <c r="Y39" i="3"/>
  <c r="Z39" i="3"/>
  <c r="AB39" i="3"/>
  <c r="AC39" i="3"/>
  <c r="AD39" i="3"/>
  <c r="S3" i="3"/>
  <c r="T3" i="3"/>
  <c r="U3" i="3"/>
  <c r="V3" i="3"/>
  <c r="W3" i="3"/>
  <c r="X3" i="3"/>
  <c r="Y3" i="3"/>
  <c r="Z3" i="3"/>
  <c r="AB3" i="3"/>
  <c r="AC3" i="3"/>
  <c r="AD3" i="3"/>
  <c r="G7" i="5" l="1"/>
  <c r="W61" i="7"/>
  <c r="G8" i="5"/>
  <c r="AA61" i="7"/>
  <c r="C38" i="4"/>
  <c r="E38" i="4" s="1"/>
  <c r="B11" i="5" s="1"/>
  <c r="D38" i="4"/>
  <c r="C30" i="4"/>
  <c r="E30" i="4" s="1"/>
  <c r="B3" i="5" s="1"/>
  <c r="D30" i="4"/>
  <c r="C36" i="4"/>
  <c r="E36" i="4" s="1"/>
  <c r="B9" i="5" s="1"/>
  <c r="D36" i="4"/>
  <c r="C37" i="4"/>
  <c r="E37" i="4" s="1"/>
  <c r="B10" i="5" s="1"/>
  <c r="D37" i="4"/>
  <c r="C39" i="4"/>
  <c r="E39" i="4" s="1"/>
  <c r="B12" i="5" s="1"/>
  <c r="AQ61" i="7" s="1"/>
  <c r="D39" i="4"/>
  <c r="C29" i="4"/>
  <c r="E29" i="4" s="1"/>
  <c r="D29" i="4"/>
  <c r="C31" i="4"/>
  <c r="E31" i="4" s="1"/>
  <c r="B4" i="5" s="1"/>
  <c r="D31" i="4"/>
  <c r="C40" i="4"/>
  <c r="E40" i="4" s="1"/>
  <c r="B13" i="5" s="1"/>
  <c r="AU61" i="7" s="1"/>
  <c r="D40" i="4"/>
  <c r="C32" i="4"/>
  <c r="E32" i="4" s="1"/>
  <c r="B5" i="5" s="1"/>
  <c r="D32" i="4"/>
  <c r="C41" i="4"/>
  <c r="E41" i="4" s="1"/>
  <c r="B14" i="5" s="1"/>
  <c r="AY61" i="7" s="1"/>
  <c r="D41" i="4"/>
  <c r="C33" i="4"/>
  <c r="E33" i="4" s="1"/>
  <c r="B6" i="5" s="1"/>
  <c r="D33" i="4"/>
  <c r="D34" i="4"/>
  <c r="D35" i="4"/>
  <c r="K100" i="7" l="1"/>
  <c r="C105" i="7" s="1"/>
  <c r="E105" i="7" s="1"/>
  <c r="K105" i="7" s="1"/>
  <c r="AV61" i="7"/>
  <c r="AW61" i="7" s="1"/>
  <c r="G10" i="5"/>
  <c r="AI61" i="7"/>
  <c r="G6" i="5"/>
  <c r="S61" i="7"/>
  <c r="AA92" i="7"/>
  <c r="AB61" i="7"/>
  <c r="AC61" i="7" s="1"/>
  <c r="G9" i="5"/>
  <c r="AE61" i="7"/>
  <c r="G3" i="5"/>
  <c r="G61" i="7"/>
  <c r="W72" i="7"/>
  <c r="W92" i="7"/>
  <c r="X61" i="7"/>
  <c r="G4" i="5"/>
  <c r="K61" i="7"/>
  <c r="O100" i="7"/>
  <c r="C106" i="7" s="1"/>
  <c r="E106" i="7" s="1"/>
  <c r="K106" i="7" s="1"/>
  <c r="AZ61" i="7"/>
  <c r="BA61" i="7" s="1"/>
  <c r="G5" i="5"/>
  <c r="O61" i="7"/>
  <c r="G100" i="7"/>
  <c r="C104" i="7" s="1"/>
  <c r="E104" i="7" s="1"/>
  <c r="K104" i="7" s="1"/>
  <c r="AR61" i="7"/>
  <c r="AS61" i="7" s="1"/>
  <c r="G11" i="5"/>
  <c r="AM61" i="7"/>
  <c r="G13" i="5"/>
  <c r="F4" i="6"/>
  <c r="G14" i="5"/>
  <c r="F5" i="6"/>
  <c r="B2" i="5"/>
  <c r="G12" i="5"/>
  <c r="F3" i="6"/>
  <c r="C10" i="2"/>
  <c r="C7" i="2"/>
  <c r="C8" i="2"/>
  <c r="C3" i="2"/>
  <c r="C4" i="2"/>
  <c r="C5" i="2"/>
  <c r="C6" i="2"/>
  <c r="C9" i="2"/>
  <c r="C12" i="2"/>
  <c r="C13" i="2"/>
  <c r="C14" i="2"/>
  <c r="A3" i="2"/>
  <c r="A4" i="2" s="1"/>
  <c r="A5" i="2" s="1"/>
  <c r="A6" i="2" s="1"/>
  <c r="O72" i="7" l="1"/>
  <c r="S64" i="7"/>
  <c r="S72" i="7"/>
  <c r="S92" i="7"/>
  <c r="T61" i="7"/>
  <c r="U61" i="7" s="1"/>
  <c r="O64" i="7"/>
  <c r="O92" i="7"/>
  <c r="P61" i="7"/>
  <c r="Q61" i="7" s="1"/>
  <c r="I61" i="7"/>
  <c r="G92" i="7"/>
  <c r="AI92" i="7"/>
  <c r="AJ61" i="7"/>
  <c r="Y61" i="7"/>
  <c r="F2" i="6"/>
  <c r="K2" i="6" s="1"/>
  <c r="M2" i="6" s="1"/>
  <c r="C61" i="7"/>
  <c r="W73" i="7"/>
  <c r="W76" i="7" s="1"/>
  <c r="X72" i="7"/>
  <c r="S80" i="7"/>
  <c r="O80" i="7"/>
  <c r="AE92" i="7"/>
  <c r="AF61" i="7"/>
  <c r="W80" i="7"/>
  <c r="AM92" i="7"/>
  <c r="AN61" i="7"/>
  <c r="AO61" i="7" s="1"/>
  <c r="W64" i="7"/>
  <c r="K92" i="7"/>
  <c r="L61" i="7"/>
  <c r="M61" i="7" s="1"/>
  <c r="K5" i="6"/>
  <c r="M5" i="6" s="1"/>
  <c r="K4" i="6"/>
  <c r="M4" i="6" s="1"/>
  <c r="K3" i="6"/>
  <c r="M3" i="6" s="1"/>
  <c r="G2" i="5"/>
  <c r="A7" i="2"/>
  <c r="A8" i="2" s="1"/>
  <c r="A9" i="2" s="1"/>
  <c r="A10" i="2" s="1"/>
  <c r="A11" i="2" s="1"/>
  <c r="A12" i="2" s="1"/>
  <c r="A13" i="2" s="1"/>
  <c r="A14" i="2" s="1"/>
  <c r="AG61" i="7" l="1"/>
  <c r="O65" i="7"/>
  <c r="O68" i="7" s="1"/>
  <c r="P64" i="7"/>
  <c r="C80" i="7"/>
  <c r="C81" i="7" s="1"/>
  <c r="C84" i="7" s="1"/>
  <c r="C72" i="7"/>
  <c r="K64" i="7"/>
  <c r="G64" i="7"/>
  <c r="K80" i="7"/>
  <c r="K72" i="7"/>
  <c r="G72" i="7"/>
  <c r="C64" i="7"/>
  <c r="G80" i="7"/>
  <c r="G81" i="7" s="1"/>
  <c r="G84" i="7" s="1"/>
  <c r="C100" i="7"/>
  <c r="C103" i="7" s="1"/>
  <c r="E103" i="7" s="1"/>
  <c r="C92" i="7"/>
  <c r="C93" i="7" s="1"/>
  <c r="E136" i="7" s="1"/>
  <c r="E61" i="7"/>
  <c r="W81" i="7"/>
  <c r="W84" i="7" s="1"/>
  <c r="X80" i="7"/>
  <c r="AK61" i="7"/>
  <c r="S81" i="7"/>
  <c r="S84" i="7" s="1"/>
  <c r="T80" i="7"/>
  <c r="S73" i="7"/>
  <c r="S76" i="7" s="1"/>
  <c r="T72" i="7"/>
  <c r="O81" i="7"/>
  <c r="O84" i="7" s="1"/>
  <c r="P80" i="7"/>
  <c r="W65" i="7"/>
  <c r="W68" i="7" s="1"/>
  <c r="X64" i="7"/>
  <c r="X73" i="7"/>
  <c r="Y73" i="7" s="1"/>
  <c r="Y72" i="7"/>
  <c r="S65" i="7"/>
  <c r="S68" i="7" s="1"/>
  <c r="T64" i="7"/>
  <c r="O73" i="7"/>
  <c r="O76" i="7" s="1"/>
  <c r="P72" i="7"/>
  <c r="Q14" i="6"/>
  <c r="S6" i="6"/>
  <c r="Q15" i="6"/>
  <c r="Q23" i="6"/>
  <c r="Q10" i="6"/>
  <c r="S10" i="6" s="1"/>
  <c r="Q24" i="6"/>
  <c r="Q25" i="6"/>
  <c r="Q18" i="6"/>
  <c r="Q26" i="6"/>
  <c r="Q19" i="6"/>
  <c r="Q27" i="6"/>
  <c r="Q12" i="6"/>
  <c r="Q20" i="6"/>
  <c r="Q28" i="6"/>
  <c r="Q21" i="6"/>
  <c r="Q29" i="6"/>
  <c r="Q22" i="6"/>
  <c r="Q30" i="6"/>
  <c r="Q16" i="6"/>
  <c r="Q17" i="6"/>
  <c r="Q11" i="6"/>
  <c r="Q13" i="6"/>
  <c r="B10" i="6" a="1"/>
  <c r="U64" i="7" l="1"/>
  <c r="T65" i="7"/>
  <c r="T73" i="7"/>
  <c r="U73" i="7" s="1"/>
  <c r="U72" i="7"/>
  <c r="G65" i="7"/>
  <c r="G68" i="7" s="1"/>
  <c r="H64" i="7"/>
  <c r="K65" i="7"/>
  <c r="K68" i="7" s="1"/>
  <c r="L64" i="7"/>
  <c r="U80" i="7"/>
  <c r="T81" i="7"/>
  <c r="U81" i="7" s="1"/>
  <c r="C123" i="7"/>
  <c r="K103" i="7"/>
  <c r="C110" i="7" s="1"/>
  <c r="C111" i="7" s="1"/>
  <c r="C112" i="7"/>
  <c r="C114" i="7" s="1"/>
  <c r="C73" i="7"/>
  <c r="C76" i="7" s="1"/>
  <c r="D72" i="7"/>
  <c r="X65" i="7"/>
  <c r="Y65" i="7" s="1"/>
  <c r="Y64" i="7"/>
  <c r="C65" i="7"/>
  <c r="C68" i="7" s="1"/>
  <c r="D64" i="7"/>
  <c r="Q64" i="7"/>
  <c r="P65" i="7"/>
  <c r="Q65" i="7" s="1"/>
  <c r="Q72" i="7"/>
  <c r="P73" i="7"/>
  <c r="Q73" i="7" s="1"/>
  <c r="H80" i="7"/>
  <c r="G73" i="7"/>
  <c r="G76" i="7" s="1"/>
  <c r="H72" i="7"/>
  <c r="P81" i="7"/>
  <c r="Q81" i="7" s="1"/>
  <c r="Q80" i="7"/>
  <c r="X81" i="7"/>
  <c r="Y81" i="7" s="1"/>
  <c r="Y80" i="7"/>
  <c r="K73" i="7"/>
  <c r="K76" i="7" s="1"/>
  <c r="L72" i="7"/>
  <c r="X76" i="7"/>
  <c r="Y76" i="7" s="1"/>
  <c r="K81" i="7"/>
  <c r="K84" i="7" s="1"/>
  <c r="L80" i="7"/>
  <c r="D80" i="7"/>
  <c r="B10" i="6"/>
  <c r="D17" i="6"/>
  <c r="I46" i="6" s="1"/>
  <c r="C126" i="7"/>
  <c r="C127" i="7" s="1"/>
  <c r="E138" i="7" s="1"/>
  <c r="R14" i="6"/>
  <c r="S14" i="6" s="1"/>
  <c r="R22" i="6"/>
  <c r="T22" i="6" s="1"/>
  <c r="R30" i="6"/>
  <c r="S30" i="6" s="1"/>
  <c r="R15" i="6"/>
  <c r="S15" i="6" s="1"/>
  <c r="R23" i="6"/>
  <c r="T23" i="6" s="1"/>
  <c r="T10" i="6"/>
  <c r="R18" i="6"/>
  <c r="T18" i="6" s="1"/>
  <c r="R26" i="6"/>
  <c r="S26" i="6" s="1"/>
  <c r="R12" i="6"/>
  <c r="S12" i="6" s="1"/>
  <c r="R20" i="6"/>
  <c r="S20" i="6" s="1"/>
  <c r="R28" i="6"/>
  <c r="S28" i="6" s="1"/>
  <c r="R16" i="6"/>
  <c r="S16" i="6" s="1"/>
  <c r="R24" i="6"/>
  <c r="S24" i="6" s="1"/>
  <c r="R17" i="6"/>
  <c r="T17" i="6" s="1"/>
  <c r="R25" i="6"/>
  <c r="S25" i="6" s="1"/>
  <c r="R11" i="6"/>
  <c r="S11" i="6" s="1"/>
  <c r="R19" i="6"/>
  <c r="T19" i="6" s="1"/>
  <c r="R27" i="6"/>
  <c r="T27" i="6" s="1"/>
  <c r="R13" i="6"/>
  <c r="S13" i="6" s="1"/>
  <c r="R21" i="6"/>
  <c r="S21" i="6" s="1"/>
  <c r="R29" i="6"/>
  <c r="S29" i="6" s="1"/>
  <c r="T14" i="6" l="1"/>
  <c r="T26" i="6"/>
  <c r="T76" i="7"/>
  <c r="U76" i="7" s="1"/>
  <c r="T30" i="6"/>
  <c r="P68" i="7"/>
  <c r="Q68" i="7" s="1"/>
  <c r="S27" i="6"/>
  <c r="S22" i="6"/>
  <c r="M72" i="7"/>
  <c r="L73" i="7"/>
  <c r="I72" i="7"/>
  <c r="H73" i="7"/>
  <c r="I73" i="7" s="1"/>
  <c r="E64" i="7"/>
  <c r="D65" i="7"/>
  <c r="E65" i="7" s="1"/>
  <c r="H65" i="7"/>
  <c r="I65" i="7" s="1"/>
  <c r="I64" i="7"/>
  <c r="S23" i="6"/>
  <c r="D81" i="7"/>
  <c r="E80" i="7"/>
  <c r="I80" i="7"/>
  <c r="H81" i="7"/>
  <c r="C115" i="7"/>
  <c r="H68" i="7"/>
  <c r="I68" i="7" s="1"/>
  <c r="M80" i="7"/>
  <c r="L81" i="7"/>
  <c r="M81" i="7" s="1"/>
  <c r="X68" i="7"/>
  <c r="Y68" i="7" s="1"/>
  <c r="T24" i="6"/>
  <c r="S19" i="6"/>
  <c r="T13" i="6"/>
  <c r="X84" i="7"/>
  <c r="Y84" i="7" s="1"/>
  <c r="T68" i="7"/>
  <c r="U68" i="7" s="1"/>
  <c r="U65" i="7"/>
  <c r="E72" i="7"/>
  <c r="D73" i="7"/>
  <c r="E73" i="7" s="1"/>
  <c r="S17" i="6"/>
  <c r="P84" i="7"/>
  <c r="Q84" i="7" s="1"/>
  <c r="P76" i="7"/>
  <c r="Q76" i="7" s="1"/>
  <c r="T84" i="7"/>
  <c r="U84" i="7" s="1"/>
  <c r="M64" i="7"/>
  <c r="L65" i="7"/>
  <c r="M65" i="7" s="1"/>
  <c r="T25" i="6"/>
  <c r="S18" i="6"/>
  <c r="T16" i="6"/>
  <c r="T21" i="6"/>
  <c r="T29" i="6"/>
  <c r="T11" i="6"/>
  <c r="T15" i="6"/>
  <c r="T12" i="6"/>
  <c r="T28" i="6"/>
  <c r="C109" i="7"/>
  <c r="E109" i="7" s="1"/>
  <c r="D16" i="6"/>
  <c r="I47" i="6" s="1"/>
  <c r="C120" i="7"/>
  <c r="T20" i="6"/>
  <c r="H76" i="7" l="1"/>
  <c r="I76" i="7" s="1"/>
  <c r="D76" i="7"/>
  <c r="E81" i="7"/>
  <c r="D84" i="7"/>
  <c r="I81" i="7"/>
  <c r="H84" i="7"/>
  <c r="I84" i="7" s="1"/>
  <c r="L68" i="7"/>
  <c r="M68" i="7" s="1"/>
  <c r="L84" i="7"/>
  <c r="M84" i="7" s="1"/>
  <c r="L76" i="7"/>
  <c r="M76" i="7" s="1"/>
  <c r="M73" i="7"/>
  <c r="D68" i="7"/>
  <c r="C121" i="7"/>
  <c r="E137" i="7" s="1"/>
  <c r="C125" i="7"/>
  <c r="E68" i="7" l="1"/>
  <c r="D69" i="7"/>
  <c r="E84" i="7"/>
  <c r="D85" i="7"/>
  <c r="D77" i="7"/>
  <c r="E76" i="7"/>
  <c r="L97" i="7" l="1"/>
  <c r="M97" i="7" s="1"/>
  <c r="X89" i="7"/>
  <c r="Y89" i="7" s="1"/>
  <c r="D89" i="7"/>
  <c r="E89" i="7" s="1"/>
  <c r="P97" i="7"/>
  <c r="Q97" i="7" s="1"/>
  <c r="AF89" i="7"/>
  <c r="AG89" i="7" s="1"/>
  <c r="F135" i="7"/>
  <c r="D97" i="7"/>
  <c r="E97" i="7" s="1"/>
  <c r="P89" i="7"/>
  <c r="Q89" i="7" s="1"/>
  <c r="AB89" i="7"/>
  <c r="AC89" i="7" s="1"/>
  <c r="H97" i="7"/>
  <c r="I97" i="7" s="1"/>
  <c r="AJ89" i="7"/>
  <c r="AK89" i="7" s="1"/>
  <c r="L89" i="7"/>
  <c r="M89" i="7" s="1"/>
  <c r="E85" i="7"/>
  <c r="G135" i="7" s="1"/>
  <c r="H89" i="7"/>
  <c r="I89" i="7" s="1"/>
  <c r="T89" i="7"/>
  <c r="U89" i="7" s="1"/>
  <c r="T97" i="7"/>
  <c r="U97" i="7" s="1"/>
  <c r="AN89" i="7"/>
  <c r="AO89" i="7" s="1"/>
  <c r="T88" i="7"/>
  <c r="U88" i="7" s="1"/>
  <c r="E69" i="7"/>
  <c r="G133" i="7" s="1"/>
  <c r="H88" i="7"/>
  <c r="I88" i="7" s="1"/>
  <c r="F133" i="7"/>
  <c r="D88" i="7"/>
  <c r="E88" i="7" s="1"/>
  <c r="T96" i="7"/>
  <c r="U96" i="7" s="1"/>
  <c r="D96" i="7"/>
  <c r="E96" i="7" s="1"/>
  <c r="AB88" i="7"/>
  <c r="AC88" i="7" s="1"/>
  <c r="AN88" i="7"/>
  <c r="AO88" i="7" s="1"/>
  <c r="L88" i="7"/>
  <c r="M88" i="7" s="1"/>
  <c r="X88" i="7"/>
  <c r="Y88" i="7" s="1"/>
  <c r="H96" i="7"/>
  <c r="I96" i="7" s="1"/>
  <c r="P88" i="7"/>
  <c r="Q88" i="7" s="1"/>
  <c r="P96" i="7"/>
  <c r="Q96" i="7" s="1"/>
  <c r="AF88" i="7"/>
  <c r="AG88" i="7" s="1"/>
  <c r="L96" i="7"/>
  <c r="M96" i="7" s="1"/>
  <c r="AJ88" i="7"/>
  <c r="AK88" i="7" s="1"/>
  <c r="X90" i="7"/>
  <c r="E77" i="7"/>
  <c r="G134" i="7" s="1"/>
  <c r="H90" i="7"/>
  <c r="L98" i="7"/>
  <c r="AJ90" i="7"/>
  <c r="T98" i="7"/>
  <c r="P98" i="7"/>
  <c r="F134" i="7"/>
  <c r="D90" i="7"/>
  <c r="L90" i="7"/>
  <c r="T90" i="7"/>
  <c r="AN90" i="7"/>
  <c r="AB90" i="7"/>
  <c r="H98" i="7"/>
  <c r="AF90" i="7"/>
  <c r="P90" i="7"/>
  <c r="D98" i="7"/>
  <c r="D110" i="7" a="1"/>
  <c r="U98" i="7" l="1"/>
  <c r="T99" i="7"/>
  <c r="M98" i="7"/>
  <c r="L99" i="7"/>
  <c r="AK90" i="7"/>
  <c r="AJ91" i="7"/>
  <c r="AO90" i="7"/>
  <c r="AN91" i="7"/>
  <c r="U90" i="7"/>
  <c r="T91" i="7"/>
  <c r="M90" i="7"/>
  <c r="L91" i="7"/>
  <c r="Y90" i="7"/>
  <c r="X91" i="7"/>
  <c r="I98" i="7"/>
  <c r="H99" i="7"/>
  <c r="AC90" i="7"/>
  <c r="AB91" i="7"/>
  <c r="I90" i="7"/>
  <c r="H91" i="7"/>
  <c r="E98" i="7"/>
  <c r="D99" i="7"/>
  <c r="E90" i="7"/>
  <c r="D91" i="7"/>
  <c r="Q90" i="7"/>
  <c r="P91" i="7"/>
  <c r="AF91" i="7"/>
  <c r="AG90" i="7"/>
  <c r="Q98" i="7"/>
  <c r="P99" i="7"/>
  <c r="AN92" i="7" l="1"/>
  <c r="AO92" i="7" s="1"/>
  <c r="AO91" i="7"/>
  <c r="Q99" i="7"/>
  <c r="P100" i="7"/>
  <c r="AJ92" i="7"/>
  <c r="AK92" i="7" s="1"/>
  <c r="AK91" i="7"/>
  <c r="L100" i="7"/>
  <c r="M99" i="7"/>
  <c r="H92" i="7"/>
  <c r="I92" i="7" s="1"/>
  <c r="I91" i="7"/>
  <c r="Q91" i="7"/>
  <c r="P92" i="7"/>
  <c r="Q92" i="7" s="1"/>
  <c r="T100" i="7"/>
  <c r="U99" i="7"/>
  <c r="H100" i="7"/>
  <c r="I99" i="7"/>
  <c r="E99" i="7"/>
  <c r="D100" i="7"/>
  <c r="Y91" i="7"/>
  <c r="X92" i="7"/>
  <c r="Y92" i="7" s="1"/>
  <c r="AF92" i="7"/>
  <c r="AG92" i="7" s="1"/>
  <c r="AG91" i="7"/>
  <c r="L92" i="7"/>
  <c r="M92" i="7" s="1"/>
  <c r="M91" i="7"/>
  <c r="AC91" i="7"/>
  <c r="AB92" i="7"/>
  <c r="AC92" i="7" s="1"/>
  <c r="T92" i="7"/>
  <c r="U92" i="7" s="1"/>
  <c r="U91" i="7"/>
  <c r="D92" i="7"/>
  <c r="E91" i="7"/>
  <c r="D105" i="7" l="1"/>
  <c r="F105" i="7" s="1"/>
  <c r="L105" i="7" s="1"/>
  <c r="M100" i="7"/>
  <c r="Q100" i="7"/>
  <c r="D106" i="7"/>
  <c r="F106" i="7" s="1"/>
  <c r="L106" i="7" s="1"/>
  <c r="E92" i="7"/>
  <c r="D93" i="7"/>
  <c r="E100" i="7"/>
  <c r="D103" i="7"/>
  <c r="F103" i="7" s="1"/>
  <c r="I100" i="7"/>
  <c r="D104" i="7"/>
  <c r="F104" i="7" s="1"/>
  <c r="L104" i="7" s="1"/>
  <c r="U100" i="7"/>
  <c r="D107" i="7"/>
  <c r="F107" i="7" s="1"/>
  <c r="L107" i="7" s="1"/>
  <c r="D112" i="7" l="1" a="1"/>
  <c r="D112" i="7"/>
  <c r="D123" i="7"/>
  <c r="E123" i="7" s="1"/>
  <c r="L103" i="7"/>
  <c r="D110" i="7" s="1"/>
  <c r="F136" i="7"/>
  <c r="E93" i="7"/>
  <c r="G136" i="7" s="1"/>
  <c r="E112" i="7" l="1"/>
  <c r="D114" i="7"/>
  <c r="E114" i="7" s="1"/>
  <c r="E110" i="7"/>
  <c r="D111" i="7"/>
  <c r="E111" i="7" l="1"/>
  <c r="D115" i="7"/>
  <c r="D120" i="7" l="1"/>
  <c r="E115" i="7"/>
  <c r="D121" i="7" l="1"/>
  <c r="D125" i="7"/>
  <c r="E120" i="7"/>
  <c r="E125" i="7" l="1"/>
  <c r="D126" i="7"/>
  <c r="F137" i="7"/>
  <c r="G137" i="7" s="1"/>
  <c r="E121" i="7"/>
  <c r="D127" i="7" l="1"/>
  <c r="E126" i="7"/>
  <c r="F138" i="7" l="1"/>
  <c r="G138" i="7" s="1"/>
  <c r="E12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<sst xmlns="http://schemas.openxmlformats.org/spreadsheetml/2006/main" count="907" uniqueCount="266">
  <si>
    <t>ACTIVATION ENERGY ~ 80kJ</t>
  </si>
  <si>
    <t>A ~ 10^11 s-1</t>
  </si>
  <si>
    <t>order as close to 1 as possible (0.98/0.99, not even 0.95) - iodine is 0</t>
  </si>
  <si>
    <t xml:space="preserve">do uncertainty along the way </t>
  </si>
  <si>
    <t>do the different samples by doubling or halving it</t>
  </si>
  <si>
    <t>temperature range - use 4 different Ts</t>
  </si>
  <si>
    <t>Temperature (K)</t>
  </si>
  <si>
    <t>Time (s)</t>
  </si>
  <si>
    <t>Run #</t>
  </si>
  <si>
    <t>TIPS FROM CYCLE 1</t>
  </si>
  <si>
    <t>same color: data is varied for the colored parameters, while the rest remain constant</t>
  </si>
  <si>
    <t>Temperature (C)</t>
  </si>
  <si>
    <t xml:space="preserve">Time (s) 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</si>
  <si>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</si>
  <si>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</si>
  <si>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</si>
  <si>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</si>
  <si>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</si>
  <si>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</si>
  <si>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</si>
  <si>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</si>
  <si>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</si>
  <si>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</si>
  <si>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</si>
  <si>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</si>
  <si>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</si>
  <si>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r>
      <t>Absorbance (M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cm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</si>
  <si>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[I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] (M)</t>
    </r>
  </si>
  <si>
    <t>[absorbance] = 96.654*[I2] + 0.0476</t>
  </si>
  <si>
    <t>m </t>
  </si>
  <si>
    <t>b </t>
  </si>
  <si>
    <t>Fisher value </t>
  </si>
  <si>
    <t>df </t>
  </si>
  <si>
    <t>Regression SOS </t>
  </si>
  <si>
    <t>Residual SOS </t>
  </si>
  <si>
    <r>
      <t>u</t>
    </r>
    <r>
      <rPr>
        <b/>
        <vertAlign val="subscript"/>
        <sz val="12"/>
        <color theme="1"/>
        <rFont val="Calibri (Body)"/>
      </rPr>
      <t>m</t>
    </r>
    <r>
      <rPr>
        <b/>
        <sz val="12"/>
        <color theme="1"/>
        <rFont val="Calibri (Body)"/>
      </rPr>
      <t> </t>
    </r>
  </si>
  <si>
    <r>
      <t>u</t>
    </r>
    <r>
      <rPr>
        <b/>
        <vertAlign val="subscript"/>
        <sz val="12"/>
        <color theme="1"/>
        <rFont val="Calibri (Body)"/>
      </rPr>
      <t>b </t>
    </r>
  </si>
  <si>
    <r>
      <t>R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 (Body)"/>
      </rPr>
      <t> </t>
    </r>
  </si>
  <si>
    <r>
      <t>s</t>
    </r>
    <r>
      <rPr>
        <b/>
        <vertAlign val="subscript"/>
        <sz val="12"/>
        <color theme="1"/>
        <rFont val="Calibri (Body)"/>
      </rPr>
      <t>y</t>
    </r>
  </si>
  <si>
    <r>
      <t>u</t>
    </r>
    <r>
      <rPr>
        <b/>
        <vertAlign val="subscript"/>
        <sz val="12"/>
        <color rgb="FF000000"/>
        <rFont val="Calibri"/>
        <family val="2"/>
        <scheme val="minor"/>
      </rPr>
      <t>m</t>
    </r>
    <r>
      <rPr>
        <b/>
        <sz val="12"/>
        <color rgb="FF000000"/>
        <rFont val="Calibri"/>
        <family val="2"/>
        <scheme val="minor"/>
      </rPr>
      <t> </t>
    </r>
  </si>
  <si>
    <r>
      <t>u</t>
    </r>
    <r>
      <rPr>
        <b/>
        <vertAlign val="subscript"/>
        <sz val="12"/>
        <color rgb="FF000000"/>
        <rFont val="Calibri"/>
        <family val="2"/>
        <scheme val="minor"/>
      </rPr>
      <t>b </t>
    </r>
  </si>
  <si>
    <r>
      <t>R</t>
    </r>
    <r>
      <rPr>
        <b/>
        <vertAlign val="superscript"/>
        <sz val="12"/>
        <color rgb="FF000000"/>
        <rFont val="Calibri"/>
        <family val="2"/>
        <scheme val="minor"/>
      </rPr>
      <t>2</t>
    </r>
    <r>
      <rPr>
        <b/>
        <sz val="12"/>
        <color rgb="FF000000"/>
        <rFont val="Calibri"/>
        <family val="2"/>
        <scheme val="minor"/>
      </rPr>
      <t> </t>
    </r>
  </si>
  <si>
    <r>
      <t>s</t>
    </r>
    <r>
      <rPr>
        <b/>
        <vertAlign val="subscript"/>
        <sz val="12"/>
        <color rgb="FF000000"/>
        <rFont val="Calibri"/>
        <family val="2"/>
        <scheme val="minor"/>
      </rPr>
      <t>y</t>
    </r>
  </si>
  <si>
    <t>m</t>
  </si>
  <si>
    <t>Initial Rate (M/s)</t>
  </si>
  <si>
    <r>
      <t>u</t>
    </r>
    <r>
      <rPr>
        <b/>
        <vertAlign val="subscript"/>
        <sz val="12"/>
        <color theme="1"/>
        <rFont val="Calibri (Body)"/>
      </rPr>
      <t>m</t>
    </r>
  </si>
  <si>
    <t>ln [Acetone]0</t>
  </si>
  <si>
    <t>ln [HCl]0</t>
  </si>
  <si>
    <t>ln [I2]0</t>
  </si>
  <si>
    <r>
      <t>Initial Rate, r</t>
    </r>
    <r>
      <rPr>
        <b/>
        <vertAlign val="subscript"/>
        <sz val="12"/>
        <color theme="1"/>
        <rFont val="Calibri (Body)"/>
      </rPr>
      <t>0</t>
    </r>
    <r>
      <rPr>
        <b/>
        <sz val="12"/>
        <color theme="1"/>
        <rFont val="Calibri"/>
        <family val="2"/>
        <scheme val="minor"/>
      </rPr>
      <t xml:space="preserve"> (M/s)</t>
    </r>
  </si>
  <si>
    <r>
      <t>[Acetone]</t>
    </r>
    <r>
      <rPr>
        <b/>
        <vertAlign val="subscript"/>
        <sz val="12"/>
        <color theme="1"/>
        <rFont val="Calibri (Body)"/>
      </rPr>
      <t>0</t>
    </r>
    <r>
      <rPr>
        <b/>
        <sz val="12"/>
        <color theme="1"/>
        <rFont val="Calibri"/>
        <family val="2"/>
        <scheme val="minor"/>
      </rPr>
      <t xml:space="preserve"> (M)</t>
    </r>
  </si>
  <si>
    <r>
      <t>[HCl]</t>
    </r>
    <r>
      <rPr>
        <b/>
        <vertAlign val="subscript"/>
        <sz val="12"/>
        <color theme="1"/>
        <rFont val="Calibri (Body)"/>
      </rPr>
      <t>0</t>
    </r>
    <r>
      <rPr>
        <b/>
        <sz val="12"/>
        <color theme="1"/>
        <rFont val="Calibri"/>
        <family val="2"/>
        <scheme val="minor"/>
      </rPr>
      <t xml:space="preserve"> (M)</t>
    </r>
  </si>
  <si>
    <r>
      <t>[I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]</t>
    </r>
    <r>
      <rPr>
        <b/>
        <vertAlign val="subscript"/>
        <sz val="12"/>
        <color theme="1"/>
        <rFont val="Calibri (Body)"/>
      </rPr>
      <t>0</t>
    </r>
    <r>
      <rPr>
        <b/>
        <sz val="12"/>
        <color theme="1"/>
        <rFont val="Calibri"/>
        <family val="2"/>
        <scheme val="minor"/>
      </rPr>
      <t xml:space="preserve"> (M)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</si>
  <si>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</si>
  <si>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</si>
  <si>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</si>
  <si>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</si>
  <si>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</si>
  <si>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</si>
  <si>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</si>
  <si>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</si>
  <si>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</si>
  <si>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</si>
  <si>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</si>
  <si>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</si>
  <si>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</si>
  <si>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</si>
  <si>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</si>
  <si>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</si>
  <si>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</si>
  <si>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</si>
  <si>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</si>
  <si>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</si>
  <si>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</si>
  <si>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</si>
  <si>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</si>
  <si>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</si>
  <si>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</si>
  <si>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</si>
  <si>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ln r0 </t>
  </si>
  <si>
    <t>Residuals</t>
  </si>
  <si>
    <t>Standard Residuals</t>
  </si>
  <si>
    <t>Reactants</t>
  </si>
  <si>
    <t>Orders</t>
  </si>
  <si>
    <t>Pvalue</t>
  </si>
  <si>
    <t>[Acetone]</t>
  </si>
  <si>
    <t>[HCl]</t>
  </si>
  <si>
    <r>
      <t>[I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]</t>
    </r>
  </si>
  <si>
    <r>
      <t>k (M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)</t>
    </r>
  </si>
  <si>
    <t>ln k</t>
  </si>
  <si>
    <r>
      <t>1/T (K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</si>
  <si>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E</t>
    </r>
    <r>
      <rPr>
        <b/>
        <vertAlign val="subscript"/>
        <sz val="12"/>
        <color theme="1"/>
        <rFont val="Calibri (Body)"/>
      </rPr>
      <t>A</t>
    </r>
    <r>
      <rPr>
        <b/>
        <sz val="12"/>
        <color theme="1"/>
        <rFont val="Calibri"/>
        <family val="2"/>
        <scheme val="minor"/>
      </rPr>
      <t xml:space="preserve"> (J/mol)</t>
    </r>
  </si>
  <si>
    <r>
      <t>A (M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</si>
  <si>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 xml:space="preserve">Yao, X.; Deng, Q.; Wang, S.; Wang, W.; Hou, Y. I.; Gao, Z.; Wu, Y.; Guo, Z. Acetone Iodination Kinetics in Flow with Online UV Monitoring and Continuous Control. </t>
    </r>
    <r>
      <rPr>
        <i/>
        <sz val="12"/>
        <color theme="1"/>
        <rFont val="Calibri"/>
        <family val="2"/>
        <scheme val="minor"/>
      </rPr>
      <t>ChemistrySelect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2019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(17), 5116–5121.</t>
    </r>
  </si>
  <si>
    <t>DIFFERENCE TABLE</t>
  </si>
  <si>
    <t>PERCENT TABLE</t>
  </si>
  <si>
    <t>Run 14</t>
  </si>
  <si>
    <t>red data is when the conc. Is negative</t>
  </si>
  <si>
    <t>where it shouldn't!</t>
  </si>
  <si>
    <t>blue data is when the conc. starts to increase back,</t>
  </si>
  <si>
    <t>yellow data is when the conc. Is less than 10% of</t>
  </si>
  <si>
    <t>the initial conc</t>
  </si>
  <si>
    <t>Overall Order</t>
  </si>
  <si>
    <t>1/T (K-1)</t>
  </si>
  <si>
    <t>Predicted ln k</t>
  </si>
  <si>
    <t>All Runs with Varying Temperature</t>
  </si>
  <si>
    <t>b</t>
  </si>
  <si>
    <r>
      <t>u</t>
    </r>
    <r>
      <rPr>
        <b/>
        <vertAlign val="subscript"/>
        <sz val="12"/>
        <color theme="1"/>
        <rFont val="Calibri (Body)"/>
      </rPr>
      <t>b</t>
    </r>
  </si>
  <si>
    <t>Iodine Conc Error</t>
  </si>
  <si>
    <t>Run</t>
  </si>
  <si>
    <t>Time(s)</t>
  </si>
  <si>
    <t>Iodine</t>
  </si>
  <si>
    <t>x*y</t>
  </si>
  <si>
    <t>x*y error</t>
  </si>
  <si>
    <t>x^2</t>
  </si>
  <si>
    <t>Info</t>
  </si>
  <si>
    <t>HCI (M)</t>
  </si>
  <si>
    <t xml:space="preserve"> Iodine (M)</t>
  </si>
  <si>
    <t>Acetone (M)</t>
  </si>
  <si>
    <t>Volume (mL)</t>
  </si>
  <si>
    <t>Mass (g)</t>
  </si>
  <si>
    <t>New Conc</t>
  </si>
  <si>
    <t>Conc Error</t>
  </si>
  <si>
    <t>% Conc Error</t>
  </si>
  <si>
    <t>Rate</t>
  </si>
  <si>
    <t>Value</t>
  </si>
  <si>
    <t>Error</t>
  </si>
  <si>
    <t>% error</t>
  </si>
  <si>
    <t>Blank</t>
  </si>
  <si>
    <t xml:space="preserve">slope </t>
  </si>
  <si>
    <t>sum(xy)</t>
  </si>
  <si>
    <t>Nsum(xy)</t>
  </si>
  <si>
    <t>sum(y)</t>
  </si>
  <si>
    <t>sum(x)sum(y)</t>
  </si>
  <si>
    <t>Nsum(xy)-sum(x)sum(y)</t>
  </si>
  <si>
    <t>Nsum(x^2)-(sum(x))^2</t>
  </si>
  <si>
    <t>Temp ◦C</t>
  </si>
  <si>
    <t>Run 1 / Run 2</t>
  </si>
  <si>
    <t>Rate/Rate</t>
  </si>
  <si>
    <t xml:space="preserve"> ln(Rate/Rate)</t>
  </si>
  <si>
    <t>Conc/Conc</t>
  </si>
  <si>
    <t xml:space="preserve"> ln(Conc/Conc)</t>
  </si>
  <si>
    <t>Gamma</t>
  </si>
  <si>
    <t>Avgeraged Gamma</t>
  </si>
  <si>
    <t>Alpha (Acetone)</t>
  </si>
  <si>
    <t>Alpha</t>
  </si>
  <si>
    <t>Avgeraged Alpha</t>
  </si>
  <si>
    <t>Run 2 / Run 3</t>
  </si>
  <si>
    <t>Run 1 / Run 3</t>
  </si>
  <si>
    <t>Run 1 / Run 4</t>
  </si>
  <si>
    <t>Run 2 / Run 4</t>
  </si>
  <si>
    <t>Run 3 / Run 4</t>
  </si>
  <si>
    <t>Beta (Iodine)</t>
  </si>
  <si>
    <t>Beta</t>
  </si>
  <si>
    <t>Avgeraged Beta</t>
  </si>
  <si>
    <t>Run 1 / Run 5</t>
  </si>
  <si>
    <t>Run 1 / Run 6</t>
  </si>
  <si>
    <t>Run 1 / Run 7</t>
  </si>
  <si>
    <t>Run 5 / Run 6</t>
  </si>
  <si>
    <t>Run 5 / Run 7</t>
  </si>
  <si>
    <t>Run 6 / Run 7</t>
  </si>
  <si>
    <t>Gamma (HCl)</t>
  </si>
  <si>
    <t>Run 1 / Run 8</t>
  </si>
  <si>
    <t>Run 1 / Run 9</t>
  </si>
  <si>
    <t>Run 1 / Run 10</t>
  </si>
  <si>
    <t>Run 8 / Run 9</t>
  </si>
  <si>
    <t>Run 8 / Run 10</t>
  </si>
  <si>
    <t>Run 9 / Run 10</t>
  </si>
  <si>
    <t>K</t>
  </si>
  <si>
    <t>[acetone]^alpha</t>
  </si>
  <si>
    <t>[iodine]^beta</t>
  </si>
  <si>
    <t>[HCl]^gamma</t>
  </si>
  <si>
    <t>[ace]^a * [I2]^b * [HCl]^y</t>
  </si>
  <si>
    <t>k</t>
  </si>
  <si>
    <t xml:space="preserve">Averaged K </t>
  </si>
  <si>
    <t>K, for Ea</t>
  </si>
  <si>
    <t>Ea</t>
  </si>
  <si>
    <t>sum(x)</t>
  </si>
  <si>
    <t>sum(x^2)</t>
  </si>
  <si>
    <t>Nsum(x^2)</t>
  </si>
  <si>
    <t>sum(x)^2</t>
  </si>
  <si>
    <t>.-Ea/R</t>
  </si>
  <si>
    <t>Setting up Ahrennius Slope</t>
  </si>
  <si>
    <t xml:space="preserve">K </t>
  </si>
  <si>
    <t xml:space="preserve">k error </t>
  </si>
  <si>
    <t>ln K  (y)</t>
  </si>
  <si>
    <t>ln K error</t>
  </si>
  <si>
    <t xml:space="preserve">T </t>
  </si>
  <si>
    <t xml:space="preserve">T error </t>
  </si>
  <si>
    <t>1/T  (x)</t>
  </si>
  <si>
    <t xml:space="preserve">1/T error </t>
  </si>
  <si>
    <t xml:space="preserve">x*y error </t>
  </si>
  <si>
    <t xml:space="preserve">x^2 error </t>
  </si>
  <si>
    <t>A</t>
  </si>
  <si>
    <t>y avg</t>
  </si>
  <si>
    <t>X avg</t>
  </si>
  <si>
    <t>mX</t>
  </si>
  <si>
    <t>lnA</t>
  </si>
  <si>
    <t>Parameter</t>
  </si>
  <si>
    <t>% Error</t>
  </si>
  <si>
    <t xml:space="preserve">Beta </t>
  </si>
  <si>
    <t>K (1/Ms)</t>
  </si>
  <si>
    <t>Pre Exponential Factor</t>
  </si>
  <si>
    <t>Activation Energy (J/mol)</t>
  </si>
  <si>
    <t>Ea (kJ/mol)</t>
  </si>
  <si>
    <t>A (M-1s-1)</t>
  </si>
  <si>
    <t>Values</t>
  </si>
  <si>
    <t>95 % CI</t>
  </si>
  <si>
    <t>5.951E8 - 1.769E13</t>
  </si>
  <si>
    <t>69.8104 - 96.2098</t>
  </si>
  <si>
    <t>95 % Confidence Interval</t>
  </si>
  <si>
    <t>alpha</t>
  </si>
  <si>
    <t>n</t>
  </si>
  <si>
    <t>mean(x)</t>
  </si>
  <si>
    <t>devsq(x)</t>
  </si>
  <si>
    <t>steyx</t>
  </si>
  <si>
    <t>t-crit</t>
  </si>
  <si>
    <t>T (K)</t>
  </si>
  <si>
    <t>low ci</t>
  </si>
  <si>
    <t>hi ci</t>
  </si>
  <si>
    <t>CI IS PLOTTED IN MATLAB, BUT CALCULATED IN EXCEL</t>
  </si>
  <si>
    <t>the formula might be wrong; sum of sq dev. from mean of x shouldn't be in the sqrt</t>
  </si>
  <si>
    <t>conf int</t>
  </si>
  <si>
    <t>ERROR IN ARRHENIUS PLOT DATA POINTS</t>
  </si>
  <si>
    <t>0.4105 - 1.5647</t>
  </si>
  <si>
    <t>0.4243 - 1.5785</t>
  </si>
  <si>
    <t>-0.5774 - 0.5768</t>
  </si>
  <si>
    <t>Ea (J/mol)</t>
  </si>
  <si>
    <t>ln A</t>
  </si>
  <si>
    <t>Error of ln A</t>
  </si>
  <si>
    <t>x = e^a</t>
  </si>
  <si>
    <t>sigma_x = x*sigma_a</t>
  </si>
  <si>
    <t>k1 = Aexp(-Ea/RT)</t>
  </si>
  <si>
    <t>Parameters</t>
  </si>
  <si>
    <t>k1</t>
  </si>
  <si>
    <t>R (J/mol.K)</t>
  </si>
  <si>
    <t>q (L/s)</t>
  </si>
  <si>
    <t>ac0 - ac (M)</t>
  </si>
  <si>
    <t>dv/dk1</t>
  </si>
  <si>
    <t>Ac</t>
  </si>
  <si>
    <t>HCl</t>
  </si>
  <si>
    <t>I2</t>
  </si>
  <si>
    <t>dv/dalpha</t>
  </si>
  <si>
    <t>dv/dbeta</t>
  </si>
  <si>
    <t>dv/dgamma</t>
  </si>
  <si>
    <t>V (L)</t>
  </si>
  <si>
    <t>sigma_f = sqrt((df/dx * sigma_x)^2 + (df/dy * sigma_y)^2+…)</t>
  </si>
  <si>
    <t>Varied Acetone Rate Order</t>
  </si>
  <si>
    <t>Iodacetone (kmol/hr)</t>
  </si>
  <si>
    <t>Varied HCl Rate Order</t>
  </si>
  <si>
    <t>Varied I2 Rate Order</t>
  </si>
  <si>
    <t>Varied Ea</t>
  </si>
  <si>
    <t>% alpha vary</t>
  </si>
  <si>
    <t>% iodoacetone vary</t>
  </si>
  <si>
    <t>% beta vary</t>
  </si>
  <si>
    <t>% vary ea</t>
  </si>
  <si>
    <t>% vary iodoacetone</t>
  </si>
  <si>
    <r>
      <t>Initial Rate, r</t>
    </r>
    <r>
      <rPr>
        <b/>
        <vertAlign val="subscript"/>
        <sz val="12"/>
        <color theme="1"/>
        <rFont val="TimeS"/>
        <family val="1"/>
      </rPr>
      <t>0</t>
    </r>
    <r>
      <rPr>
        <b/>
        <sz val="12"/>
        <color theme="1"/>
        <rFont val="TimeS"/>
        <family val="1"/>
      </rPr>
      <t xml:space="preserve"> (M/s)</t>
    </r>
  </si>
  <si>
    <r>
      <t>u</t>
    </r>
    <r>
      <rPr>
        <b/>
        <vertAlign val="subscript"/>
        <sz val="12"/>
        <color theme="1"/>
        <rFont val="TimeS"/>
        <family val="1"/>
      </rPr>
      <t>r0</t>
    </r>
    <r>
      <rPr>
        <b/>
        <sz val="12"/>
        <color theme="1"/>
        <rFont val="TimeS"/>
        <family val="1"/>
      </rPr>
      <t xml:space="preserve"> (M/s)</t>
    </r>
  </si>
  <si>
    <r>
      <t>[Acetone]</t>
    </r>
    <r>
      <rPr>
        <b/>
        <vertAlign val="subscript"/>
        <sz val="12"/>
        <color theme="1"/>
        <rFont val="TimeS"/>
        <family val="1"/>
      </rPr>
      <t>0</t>
    </r>
    <r>
      <rPr>
        <b/>
        <sz val="12"/>
        <color theme="1"/>
        <rFont val="TimeS"/>
        <family val="1"/>
      </rPr>
      <t xml:space="preserve"> (M)</t>
    </r>
  </si>
  <si>
    <r>
      <t>[HCl]</t>
    </r>
    <r>
      <rPr>
        <b/>
        <vertAlign val="subscript"/>
        <sz val="12"/>
        <color theme="1"/>
        <rFont val="TimeS"/>
        <family val="1"/>
      </rPr>
      <t>0</t>
    </r>
    <r>
      <rPr>
        <b/>
        <sz val="12"/>
        <color theme="1"/>
        <rFont val="TimeS"/>
        <family val="1"/>
      </rPr>
      <t xml:space="preserve"> (M)</t>
    </r>
  </si>
  <si>
    <r>
      <t>[I</t>
    </r>
    <r>
      <rPr>
        <b/>
        <vertAlign val="subscript"/>
        <sz val="12"/>
        <color theme="1"/>
        <rFont val="TimeS"/>
        <family val="1"/>
      </rPr>
      <t>2</t>
    </r>
    <r>
      <rPr>
        <b/>
        <sz val="12"/>
        <color theme="1"/>
        <rFont val="TimeS"/>
        <family val="1"/>
      </rPr>
      <t>]</t>
    </r>
    <r>
      <rPr>
        <b/>
        <vertAlign val="subscript"/>
        <sz val="12"/>
        <color theme="1"/>
        <rFont val="TimeS"/>
        <family val="1"/>
      </rPr>
      <t>0</t>
    </r>
    <r>
      <rPr>
        <b/>
        <sz val="12"/>
        <color theme="1"/>
        <rFont val="TimeS"/>
        <family val="1"/>
      </rPr>
      <t xml:space="preserve"> (M)</t>
    </r>
  </si>
  <si>
    <r>
      <t>ln r</t>
    </r>
    <r>
      <rPr>
        <b/>
        <vertAlign val="subscript"/>
        <sz val="12"/>
        <color theme="1"/>
        <rFont val="TimeS"/>
        <family val="1"/>
      </rPr>
      <t>0</t>
    </r>
    <r>
      <rPr>
        <b/>
        <sz val="12"/>
        <color theme="1"/>
        <rFont val="TimeS"/>
        <family val="1"/>
      </rPr>
      <t xml:space="preserve"> </t>
    </r>
  </si>
  <si>
    <r>
      <t>ln [Acetone]</t>
    </r>
    <r>
      <rPr>
        <b/>
        <vertAlign val="subscript"/>
        <sz val="12"/>
        <color theme="1"/>
        <rFont val="TimeS"/>
        <family val="1"/>
      </rPr>
      <t>0</t>
    </r>
  </si>
  <si>
    <r>
      <t>ln [HCl]</t>
    </r>
    <r>
      <rPr>
        <b/>
        <vertAlign val="subscript"/>
        <sz val="12"/>
        <color theme="1"/>
        <rFont val="TimeS"/>
        <family val="1"/>
      </rPr>
      <t>0</t>
    </r>
  </si>
  <si>
    <r>
      <t>ln [I</t>
    </r>
    <r>
      <rPr>
        <b/>
        <vertAlign val="subscript"/>
        <sz val="12"/>
        <color theme="1"/>
        <rFont val="TimeS"/>
        <family val="1"/>
      </rPr>
      <t>2</t>
    </r>
    <r>
      <rPr>
        <b/>
        <sz val="12"/>
        <color theme="1"/>
        <rFont val="TimeS"/>
        <family val="1"/>
      </rPr>
      <t>]</t>
    </r>
    <r>
      <rPr>
        <b/>
        <vertAlign val="subscript"/>
        <sz val="12"/>
        <color theme="1"/>
        <rFont val="TimeS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</si>
</sst>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"/>
    <numFmt numFmtId="165" formatCode="0.0000"/>
    <numFmt numFmtId="166" formatCode="0.0000E+00"/>
    <numFmt numFmtId="167" formatCode="0.000E+00"/>
    <numFmt numFmtId="168" formatCode="0.000"/>
    <numFmt numFmtId="169" formatCode="0.0000000"/>
    <numFmt numFmtId="170" formatCode="0.000%"/>
    <numFmt numFmtId="171" formatCode="0.0000%"/>
    <numFmt numFmtId="172" formatCode="0.000000000"/>
    <numFmt numFmtId="173" formatCode="0.00000000000000"/>
    <numFmt numFmtId="174" formatCode="0.000000"/>
  </numFmts>
  <fonts count="4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sz val="12"/>
      <color theme="1"/>
      <name val="Calibri (Body)"/>
    </font>
    <font>
      <b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bscript"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bscript"/>
      <sz val="12"/>
      <color theme="1"/>
      <name val="Calibri (Body)"/>
    </font>
    <font>
      <sz val="30"/>
      <color rgb="FF000000"/>
      <name val="Ff4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1"/>
      <color theme="1"/>
      <name val="Times New Roman"/>
      <family val="1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3.5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TimeS"/>
      <family val="1"/>
    </font>
    <font>
      <b/>
      <vertAlign val="subscript"/>
      <sz val="12"/>
      <color theme="1"/>
      <name val="TimeS"/>
      <family val="1"/>
    </font>
    <font>
      <sz val="12"/>
      <color theme="1"/>
      <name val="TimeS"/>
      <family val="1"/>
    </font>
    <font>
      <b/>
      <sz val="12"/>
      <color theme="0"/>
      <name val="TimeS"/>
      <family val="1"/>
    </font>
    <font>
      <b/>
      <i/>
      <sz val="12"/>
      <color theme="0"/>
      <name val="TimeS"/>
      <family val="1"/>
    </font>
    <font>
      <i/>
      <sz val="12"/>
      <color theme="1"/>
      <name val="TimeS"/>
      <family val="1"/>
    </font>
    <font>
      <b/>
      <i/>
      <sz val="12"/>
      <color theme="1"/>
      <name val="TimeS"/>
      <family val="1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8EAADB"/>
      </patternFill>
    </fill>
    <fill>
      <patternFill patternType="solid">
        <fgColor rgb="FFFFFF00"/>
        <bgColor rgb="FFF4B083"/>
      </patternFill>
    </fill>
    <fill>
      <patternFill patternType="solid">
        <fgColor rgb="FFFFFF00"/>
        <bgColor rgb="FF8EAADB"/>
      </patternFill>
    </fill>
    <fill>
      <patternFill patternType="solid">
        <fgColor theme="7"/>
        <bgColor rgb="FF8EAADB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4" tint="0.39997558519241921"/>
        <bgColor rgb="FFF4B083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rgb="FF8EAADB"/>
      </patternFill>
    </fill>
    <fill>
      <patternFill patternType="solid">
        <fgColor theme="9" tint="0.39997558519241921"/>
        <bgColor rgb="FF8EAADB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rgb="FFCCCCCC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NumberFormat="1"/>
    <xf numFmtId="0" fontId="15" fillId="0" borderId="0" xfId="0" applyFont="1"/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9" fontId="0" fillId="0" borderId="1" xfId="0" applyNumberFormat="1" applyFill="1" applyBorder="1" applyAlignment="1">
      <alignment horizontal="center"/>
    </xf>
    <xf numFmtId="169" fontId="0" fillId="7" borderId="1" xfId="0" applyNumberFormat="1" applyFill="1" applyBorder="1" applyAlignment="1">
      <alignment horizontal="center"/>
    </xf>
    <xf numFmtId="169" fontId="0" fillId="0" borderId="1" xfId="0" applyNumberFormat="1" applyFont="1" applyBorder="1" applyAlignment="1">
      <alignment horizontal="center"/>
    </xf>
    <xf numFmtId="168" fontId="0" fillId="0" borderId="1" xfId="0" applyNumberFormat="1" applyFont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11" borderId="10" xfId="0" applyFill="1" applyBorder="1" applyAlignment="1">
      <alignment horizontal="left"/>
    </xf>
    <xf numFmtId="0" fontId="0" fillId="11" borderId="11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11" borderId="13" xfId="0" applyFill="1" applyBorder="1"/>
    <xf numFmtId="0" fontId="0" fillId="11" borderId="4" xfId="0" applyFill="1" applyBorder="1"/>
    <xf numFmtId="0" fontId="0" fillId="11" borderId="14" xfId="0" applyFill="1" applyBorder="1"/>
    <xf numFmtId="0" fontId="0" fillId="0" borderId="0" xfId="0" applyFont="1" applyFill="1"/>
    <xf numFmtId="0" fontId="18" fillId="10" borderId="9" xfId="0" applyFont="1" applyFill="1" applyBorder="1" applyAlignment="1">
      <alignment horizontal="left"/>
    </xf>
    <xf numFmtId="0" fontId="18" fillId="10" borderId="10" xfId="0" applyFont="1" applyFill="1" applyBorder="1" applyAlignment="1">
      <alignment horizontal="left"/>
    </xf>
    <xf numFmtId="0" fontId="2" fillId="10" borderId="10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0" fontId="18" fillId="10" borderId="8" xfId="0" applyFont="1" applyFill="1" applyBorder="1" applyAlignment="1">
      <alignment horizontal="left"/>
    </xf>
    <xf numFmtId="0" fontId="18" fillId="10" borderId="5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0" fontId="2" fillId="10" borderId="12" xfId="0" applyFont="1" applyFill="1" applyBorder="1" applyAlignment="1">
      <alignment horizontal="left"/>
    </xf>
    <xf numFmtId="0" fontId="18" fillId="7" borderId="10" xfId="0" applyFont="1" applyFill="1" applyBorder="1" applyAlignment="1">
      <alignment horizontal="left"/>
    </xf>
    <xf numFmtId="0" fontId="19" fillId="7" borderId="10" xfId="0" applyFont="1" applyFill="1" applyBorder="1" applyAlignment="1">
      <alignment horizontal="left"/>
    </xf>
    <xf numFmtId="0" fontId="19" fillId="7" borderId="11" xfId="0" applyFont="1" applyFill="1" applyBorder="1" applyAlignment="1">
      <alignment horizontal="left"/>
    </xf>
    <xf numFmtId="0" fontId="20" fillId="7" borderId="11" xfId="0" applyFont="1" applyFill="1" applyBorder="1"/>
    <xf numFmtId="0" fontId="20" fillId="7" borderId="5" xfId="0" applyFont="1" applyFill="1" applyBorder="1"/>
    <xf numFmtId="0" fontId="20" fillId="7" borderId="12" xfId="0" applyFont="1" applyFill="1" applyBorder="1"/>
    <xf numFmtId="0" fontId="16" fillId="11" borderId="9" xfId="0" applyFont="1" applyFill="1" applyBorder="1" applyAlignment="1">
      <alignment horizontal="left"/>
    </xf>
    <xf numFmtId="0" fontId="20" fillId="2" borderId="11" xfId="0" applyFont="1" applyFill="1" applyBorder="1"/>
    <xf numFmtId="0" fontId="20" fillId="2" borderId="5" xfId="0" applyFont="1" applyFill="1" applyBorder="1"/>
    <xf numFmtId="0" fontId="20" fillId="2" borderId="12" xfId="0" applyFont="1" applyFill="1" applyBorder="1"/>
    <xf numFmtId="0" fontId="17" fillId="2" borderId="10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164" fontId="0" fillId="0" borderId="0" xfId="0" applyNumberFormat="1"/>
    <xf numFmtId="0" fontId="0" fillId="9" borderId="1" xfId="0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8" fillId="7" borderId="5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66" fontId="23" fillId="0" borderId="1" xfId="0" applyNumberFormat="1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10" fontId="23" fillId="0" borderId="0" xfId="0" applyNumberFormat="1" applyFont="1" applyAlignment="1">
      <alignment horizontal="center" vertical="center"/>
    </xf>
    <xf numFmtId="10" fontId="23" fillId="0" borderId="15" xfId="0" applyNumberFormat="1" applyFont="1" applyBorder="1" applyAlignment="1">
      <alignment horizontal="center" vertical="center"/>
    </xf>
    <xf numFmtId="0" fontId="26" fillId="23" borderId="1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166" fontId="23" fillId="0" borderId="1" xfId="0" applyNumberFormat="1" applyFont="1" applyBorder="1" applyAlignment="1">
      <alignment horizontal="center" wrapText="1"/>
    </xf>
    <xf numFmtId="166" fontId="23" fillId="0" borderId="2" xfId="0" applyNumberFormat="1" applyFont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166" fontId="23" fillId="0" borderId="13" xfId="0" applyNumberFormat="1" applyFont="1" applyBorder="1" applyAlignment="1">
      <alignment horizontal="center" wrapText="1"/>
    </xf>
    <xf numFmtId="166" fontId="23" fillId="6" borderId="9" xfId="0" applyNumberFormat="1" applyFont="1" applyFill="1" applyBorder="1" applyAlignment="1">
      <alignment horizontal="center" wrapText="1"/>
    </xf>
    <xf numFmtId="166" fontId="23" fillId="6" borderId="10" xfId="0" applyNumberFormat="1" applyFont="1" applyFill="1" applyBorder="1" applyAlignment="1">
      <alignment horizontal="center" wrapText="1"/>
    </xf>
    <xf numFmtId="0" fontId="23" fillId="6" borderId="11" xfId="0" applyFont="1" applyFill="1" applyBorder="1" applyAlignment="1">
      <alignment horizontal="center" wrapText="1"/>
    </xf>
    <xf numFmtId="166" fontId="23" fillId="0" borderId="14" xfId="0" applyNumberFormat="1" applyFont="1" applyBorder="1" applyAlignment="1">
      <alignment horizontal="center" wrapText="1"/>
    </xf>
    <xf numFmtId="166" fontId="23" fillId="6" borderId="6" xfId="0" applyNumberFormat="1" applyFont="1" applyFill="1" applyBorder="1" applyAlignment="1">
      <alignment horizontal="center" wrapText="1"/>
    </xf>
    <xf numFmtId="166" fontId="23" fillId="6" borderId="0" xfId="0" applyNumberFormat="1" applyFont="1" applyFill="1" applyBorder="1" applyAlignment="1">
      <alignment horizontal="center" wrapText="1"/>
    </xf>
    <xf numFmtId="0" fontId="23" fillId="6" borderId="7" xfId="0" applyFont="1" applyFill="1" applyBorder="1" applyAlignment="1">
      <alignment horizontal="center" wrapText="1"/>
    </xf>
    <xf numFmtId="166" fontId="23" fillId="6" borderId="8" xfId="0" applyNumberFormat="1" applyFont="1" applyFill="1" applyBorder="1" applyAlignment="1">
      <alignment horizontal="center" wrapText="1"/>
    </xf>
    <xf numFmtId="166" fontId="23" fillId="6" borderId="5" xfId="0" applyNumberFormat="1" applyFont="1" applyFill="1" applyBorder="1" applyAlignment="1">
      <alignment horizontal="center" wrapText="1"/>
    </xf>
    <xf numFmtId="0" fontId="23" fillId="6" borderId="12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28" fillId="0" borderId="15" xfId="0" applyFont="1" applyBorder="1" applyAlignment="1">
      <alignment horizontal="center" wrapText="1"/>
    </xf>
    <xf numFmtId="0" fontId="30" fillId="0" borderId="23" xfId="0" applyFont="1" applyBorder="1" applyAlignment="1">
      <alignment horizontal="center"/>
    </xf>
    <xf numFmtId="0" fontId="30" fillId="0" borderId="24" xfId="0" applyFont="1" applyBorder="1" applyAlignment="1">
      <alignment horizontal="center"/>
    </xf>
    <xf numFmtId="0" fontId="30" fillId="0" borderId="25" xfId="0" applyFont="1" applyBorder="1" applyAlignment="1">
      <alignment horizontal="center"/>
    </xf>
    <xf numFmtId="0" fontId="30" fillId="0" borderId="26" xfId="0" applyFont="1" applyBorder="1" applyAlignment="1">
      <alignment horizontal="center"/>
    </xf>
    <xf numFmtId="0" fontId="30" fillId="0" borderId="27" xfId="0" applyFont="1" applyBorder="1" applyAlignment="1">
      <alignment horizontal="center"/>
    </xf>
    <xf numFmtId="10" fontId="30" fillId="0" borderId="30" xfId="0" applyNumberFormat="1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30" fillId="0" borderId="32" xfId="0" applyFont="1" applyBorder="1" applyAlignment="1">
      <alignment horizontal="center"/>
    </xf>
    <xf numFmtId="166" fontId="30" fillId="0" borderId="33" xfId="0" applyNumberFormat="1" applyFont="1" applyBorder="1" applyAlignment="1">
      <alignment horizontal="center"/>
    </xf>
    <xf numFmtId="10" fontId="30" fillId="0" borderId="34" xfId="0" applyNumberFormat="1" applyFont="1" applyBorder="1" applyAlignment="1">
      <alignment horizontal="center"/>
    </xf>
    <xf numFmtId="166" fontId="30" fillId="0" borderId="32" xfId="0" applyNumberFormat="1" applyFont="1" applyBorder="1" applyAlignment="1">
      <alignment horizontal="center"/>
    </xf>
    <xf numFmtId="0" fontId="30" fillId="0" borderId="33" xfId="0" applyFont="1" applyBorder="1" applyAlignment="1">
      <alignment horizontal="center"/>
    </xf>
    <xf numFmtId="0" fontId="30" fillId="0" borderId="35" xfId="0" applyFont="1" applyBorder="1" applyAlignment="1">
      <alignment horizontal="center"/>
    </xf>
    <xf numFmtId="0" fontId="30" fillId="0" borderId="36" xfId="0" applyFont="1" applyBorder="1" applyAlignment="1">
      <alignment horizontal="center"/>
    </xf>
    <xf numFmtId="0" fontId="30" fillId="0" borderId="37" xfId="0" applyFont="1" applyBorder="1" applyAlignment="1">
      <alignment horizontal="center"/>
    </xf>
    <xf numFmtId="10" fontId="30" fillId="0" borderId="38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1" fontId="0" fillId="0" borderId="0" xfId="0" applyNumberForma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73" fontId="0" fillId="0" borderId="0" xfId="0" applyNumberFormat="1"/>
    <xf numFmtId="0" fontId="25" fillId="0" borderId="1" xfId="0" applyFont="1" applyBorder="1" applyAlignment="1">
      <alignment horizontal="center"/>
    </xf>
    <xf numFmtId="172" fontId="25" fillId="0" borderId="1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0" fontId="23" fillId="0" borderId="16" xfId="0" applyNumberFormat="1" applyFont="1" applyBorder="1" applyAlignment="1">
      <alignment horizontal="center"/>
    </xf>
    <xf numFmtId="10" fontId="23" fillId="0" borderId="17" xfId="0" applyNumberFormat="1" applyFont="1" applyBorder="1" applyAlignment="1">
      <alignment horizontal="center"/>
    </xf>
    <xf numFmtId="10" fontId="23" fillId="0" borderId="18" xfId="0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165" fontId="23" fillId="0" borderId="0" xfId="0" applyNumberFormat="1" applyFont="1" applyAlignment="1">
      <alignment horizontal="center"/>
    </xf>
    <xf numFmtId="167" fontId="23" fillId="0" borderId="0" xfId="0" applyNumberFormat="1" applyFont="1" applyAlignment="1">
      <alignment horizontal="center"/>
    </xf>
    <xf numFmtId="170" fontId="23" fillId="0" borderId="0" xfId="0" applyNumberFormat="1" applyFont="1" applyAlignment="1">
      <alignment horizontal="center"/>
    </xf>
    <xf numFmtId="167" fontId="23" fillId="0" borderId="15" xfId="0" applyNumberFormat="1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166" fontId="29" fillId="0" borderId="16" xfId="0" applyNumberFormat="1" applyFont="1" applyBorder="1" applyAlignment="1">
      <alignment horizontal="center"/>
    </xf>
    <xf numFmtId="166" fontId="29" fillId="0" borderId="17" xfId="0" applyNumberFormat="1" applyFont="1" applyBorder="1" applyAlignment="1">
      <alignment horizontal="center"/>
    </xf>
    <xf numFmtId="170" fontId="29" fillId="0" borderId="17" xfId="0" applyNumberFormat="1" applyFont="1" applyBorder="1" applyAlignment="1">
      <alignment horizontal="center"/>
    </xf>
    <xf numFmtId="166" fontId="29" fillId="0" borderId="18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18" xfId="0" applyFont="1" applyBorder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171" fontId="24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0" fontId="24" fillId="0" borderId="16" xfId="0" applyFont="1" applyBorder="1" applyAlignment="1">
      <alignment horizontal="center"/>
    </xf>
    <xf numFmtId="166" fontId="24" fillId="0" borderId="17" xfId="0" applyNumberFormat="1" applyFont="1" applyBorder="1" applyAlignment="1">
      <alignment horizontal="center"/>
    </xf>
    <xf numFmtId="171" fontId="24" fillId="0" borderId="17" xfId="0" applyNumberFormat="1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165" fontId="23" fillId="0" borderId="0" xfId="0" applyNumberFormat="1" applyFont="1" applyBorder="1" applyAlignment="1">
      <alignment horizontal="center"/>
    </xf>
    <xf numFmtId="166" fontId="25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6" fontId="24" fillId="0" borderId="16" xfId="0" applyNumberFormat="1" applyFont="1" applyBorder="1" applyAlignment="1">
      <alignment horizontal="center"/>
    </xf>
    <xf numFmtId="10" fontId="24" fillId="0" borderId="17" xfId="0" applyNumberFormat="1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6" fontId="23" fillId="0" borderId="17" xfId="0" applyNumberFormat="1" applyFont="1" applyBorder="1" applyAlignment="1">
      <alignment horizontal="center"/>
    </xf>
    <xf numFmtId="2" fontId="24" fillId="0" borderId="0" xfId="0" applyNumberFormat="1" applyFont="1" applyAlignment="1">
      <alignment horizontal="center"/>
    </xf>
    <xf numFmtId="10" fontId="24" fillId="0" borderId="0" xfId="0" applyNumberFormat="1" applyFont="1" applyAlignment="1">
      <alignment horizontal="center"/>
    </xf>
    <xf numFmtId="166" fontId="23" fillId="0" borderId="20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74" fontId="30" fillId="0" borderId="28" xfId="0" applyNumberFormat="1" applyFont="1" applyBorder="1" applyAlignment="1">
      <alignment horizontal="center"/>
    </xf>
    <xf numFmtId="174" fontId="30" fillId="0" borderId="29" xfId="0" applyNumberFormat="1" applyFont="1" applyBorder="1" applyAlignment="1">
      <alignment horizontal="center"/>
    </xf>
    <xf numFmtId="174" fontId="30" fillId="0" borderId="32" xfId="0" applyNumberFormat="1" applyFont="1" applyBorder="1" applyAlignment="1">
      <alignment horizontal="center"/>
    </xf>
    <xf numFmtId="174" fontId="30" fillId="0" borderId="33" xfId="0" applyNumberFormat="1" applyFont="1" applyBorder="1" applyAlignment="1">
      <alignment horizontal="center"/>
    </xf>
    <xf numFmtId="0" fontId="33" fillId="0" borderId="0" xfId="0" applyFont="1" applyAlignment="1">
      <alignment wrapText="1"/>
    </xf>
    <xf numFmtId="0" fontId="3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65" fontId="34" fillId="0" borderId="1" xfId="0" applyNumberFormat="1" applyFont="1" applyBorder="1" applyAlignment="1">
      <alignment horizontal="center"/>
    </xf>
    <xf numFmtId="0" fontId="35" fillId="0" borderId="39" xfId="0" applyFont="1" applyBorder="1" applyAlignment="1">
      <alignment horizontal="right" wrapText="1"/>
    </xf>
    <xf numFmtId="0" fontId="35" fillId="0" borderId="0" xfId="0" applyFont="1" applyBorder="1" applyAlignment="1">
      <alignment horizontal="right" wrapText="1"/>
    </xf>
    <xf numFmtId="0" fontId="36" fillId="0" borderId="0" xfId="0" applyFont="1" applyAlignment="1">
      <alignment horizontal="right" wrapText="1"/>
    </xf>
    <xf numFmtId="0" fontId="35" fillId="0" borderId="1" xfId="0" applyFont="1" applyBorder="1" applyAlignment="1">
      <alignment horizontal="center" wrapText="1"/>
    </xf>
    <xf numFmtId="0" fontId="36" fillId="0" borderId="1" xfId="0" applyFont="1" applyBorder="1" applyAlignment="1">
      <alignment horizontal="center" wrapText="1"/>
    </xf>
    <xf numFmtId="0" fontId="38" fillId="6" borderId="1" xfId="0" applyFont="1" applyFill="1" applyBorder="1" applyAlignment="1">
      <alignment horizontal="center"/>
    </xf>
    <xf numFmtId="0" fontId="40" fillId="0" borderId="0" xfId="0" applyFont="1"/>
    <xf numFmtId="0" fontId="40" fillId="0" borderId="1" xfId="0" applyFont="1" applyBorder="1" applyAlignment="1">
      <alignment horizontal="center"/>
    </xf>
    <xf numFmtId="166" fontId="40" fillId="0" borderId="1" xfId="0" applyNumberFormat="1" applyFont="1" applyBorder="1" applyAlignment="1">
      <alignment horizontal="center"/>
    </xf>
    <xf numFmtId="168" fontId="40" fillId="0" borderId="1" xfId="0" applyNumberFormat="1" applyFont="1" applyBorder="1" applyAlignment="1">
      <alignment horizontal="center"/>
    </xf>
    <xf numFmtId="165" fontId="40" fillId="0" borderId="1" xfId="0" applyNumberFormat="1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166" fontId="40" fillId="0" borderId="0" xfId="0" applyNumberFormat="1" applyFont="1" applyBorder="1" applyAlignment="1">
      <alignment horizontal="center"/>
    </xf>
    <xf numFmtId="168" fontId="40" fillId="0" borderId="0" xfId="0" applyNumberFormat="1" applyFont="1" applyBorder="1" applyAlignment="1">
      <alignment horizontal="center"/>
    </xf>
    <xf numFmtId="165" fontId="40" fillId="0" borderId="0" xfId="0" applyNumberFormat="1" applyFont="1" applyBorder="1" applyAlignment="1">
      <alignment horizontal="center"/>
    </xf>
    <xf numFmtId="0" fontId="38" fillId="11" borderId="1" xfId="0" applyFont="1" applyFill="1" applyBorder="1" applyAlignment="1">
      <alignment horizontal="center"/>
    </xf>
    <xf numFmtId="0" fontId="40" fillId="11" borderId="1" xfId="0" applyFont="1" applyFill="1" applyBorder="1" applyAlignment="1">
      <alignment horizontal="center"/>
    </xf>
    <xf numFmtId="0" fontId="43" fillId="11" borderId="1" xfId="0" applyFont="1" applyFill="1" applyBorder="1" applyAlignment="1">
      <alignment horizontal="center"/>
    </xf>
    <xf numFmtId="0" fontId="44" fillId="11" borderId="1" xfId="0" applyFont="1" applyFill="1" applyBorder="1" applyAlignment="1">
      <alignment horizontal="center"/>
    </xf>
    <xf numFmtId="165" fontId="40" fillId="11" borderId="1" xfId="0" applyNumberFormat="1" applyFont="1" applyFill="1" applyBorder="1" applyAlignment="1">
      <alignment horizontal="center"/>
    </xf>
    <xf numFmtId="0" fontId="40" fillId="0" borderId="0" xfId="0" quotePrefix="1" applyFont="1"/>
    <xf numFmtId="0" fontId="40" fillId="0" borderId="1" xfId="0" applyFont="1" applyFill="1" applyBorder="1" applyAlignment="1">
      <alignment horizontal="center"/>
    </xf>
    <xf numFmtId="165" fontId="40" fillId="11" borderId="2" xfId="0" applyNumberFormat="1" applyFont="1" applyFill="1" applyBorder="1" applyAlignment="1">
      <alignment horizontal="center"/>
    </xf>
    <xf numFmtId="0" fontId="43" fillId="6" borderId="1" xfId="0" applyFont="1" applyFill="1" applyBorder="1" applyAlignment="1">
      <alignment horizontal="center"/>
    </xf>
    <xf numFmtId="0" fontId="38" fillId="6" borderId="2" xfId="0" applyFont="1" applyFill="1" applyBorder="1" applyAlignment="1">
      <alignment horizontal="center"/>
    </xf>
    <xf numFmtId="0" fontId="40" fillId="11" borderId="2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/>
    </xf>
    <xf numFmtId="0" fontId="40" fillId="6" borderId="10" xfId="0" applyFont="1" applyFill="1" applyBorder="1"/>
    <xf numFmtId="0" fontId="40" fillId="6" borderId="11" xfId="0" applyFont="1" applyFill="1" applyBorder="1"/>
    <xf numFmtId="0" fontId="40" fillId="6" borderId="0" xfId="0" applyFont="1" applyFill="1" applyBorder="1"/>
    <xf numFmtId="0" fontId="40" fillId="6" borderId="7" xfId="0" applyFont="1" applyFill="1" applyBorder="1"/>
    <xf numFmtId="0" fontId="40" fillId="6" borderId="5" xfId="0" applyFont="1" applyFill="1" applyBorder="1"/>
    <xf numFmtId="0" fontId="40" fillId="6" borderId="12" xfId="0" applyFont="1" applyFill="1" applyBorder="1"/>
    <xf numFmtId="0" fontId="40" fillId="6" borderId="9" xfId="0" applyFont="1" applyFill="1" applyBorder="1"/>
    <xf numFmtId="0" fontId="40" fillId="6" borderId="6" xfId="0" applyFont="1" applyFill="1" applyBorder="1"/>
    <xf numFmtId="0" fontId="40" fillId="6" borderId="8" xfId="0" applyFont="1" applyFill="1" applyBorder="1"/>
    <xf numFmtId="174" fontId="0" fillId="0" borderId="1" xfId="0" applyNumberForma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41" fillId="7" borderId="13" xfId="0" applyFont="1" applyFill="1" applyBorder="1" applyAlignment="1">
      <alignment horizontal="center"/>
    </xf>
    <xf numFmtId="0" fontId="41" fillId="7" borderId="14" xfId="0" applyFont="1" applyFill="1" applyBorder="1" applyAlignment="1">
      <alignment horizontal="center"/>
    </xf>
    <xf numFmtId="0" fontId="42" fillId="7" borderId="13" xfId="0" applyFont="1" applyFill="1" applyBorder="1" applyAlignment="1">
      <alignment horizontal="center"/>
    </xf>
    <xf numFmtId="0" fontId="42" fillId="7" borderId="14" xfId="0" applyFont="1" applyFill="1" applyBorder="1" applyAlignment="1">
      <alignment horizontal="center"/>
    </xf>
    <xf numFmtId="0" fontId="41" fillId="7" borderId="1" xfId="0" applyFont="1" applyFill="1" applyBorder="1" applyAlignment="1">
      <alignment horizontal="center"/>
    </xf>
    <xf numFmtId="0" fontId="41" fillId="7" borderId="4" xfId="0" applyFont="1" applyFill="1" applyBorder="1" applyAlignment="1">
      <alignment horizontal="center"/>
    </xf>
    <xf numFmtId="0" fontId="40" fillId="6" borderId="1" xfId="0" applyFont="1" applyFill="1" applyBorder="1" applyAlignment="1">
      <alignment horizontal="center"/>
    </xf>
    <xf numFmtId="0" fontId="40" fillId="6" borderId="3" xfId="0" applyFont="1" applyFill="1" applyBorder="1" applyAlignment="1">
      <alignment horizontal="center"/>
    </xf>
    <xf numFmtId="0" fontId="41" fillId="7" borderId="5" xfId="0" applyFont="1" applyFill="1" applyBorder="1" applyAlignment="1">
      <alignment horizontal="center"/>
    </xf>
    <xf numFmtId="0" fontId="41" fillId="7" borderId="12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22" fillId="7" borderId="13" xfId="0" applyFont="1" applyFill="1" applyBorder="1" applyAlignment="1">
      <alignment horizontal="center"/>
    </xf>
    <xf numFmtId="0" fontId="22" fillId="7" borderId="14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26" fillId="16" borderId="20" xfId="0" applyFont="1" applyFill="1" applyBorder="1" applyAlignment="1">
      <alignment horizontal="center"/>
    </xf>
    <xf numFmtId="0" fontId="26" fillId="17" borderId="20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170" fontId="26" fillId="20" borderId="21" xfId="0" applyNumberFormat="1" applyFont="1" applyFill="1" applyBorder="1" applyAlignment="1">
      <alignment horizontal="center"/>
    </xf>
    <xf numFmtId="170" fontId="26" fillId="13" borderId="0" xfId="0" applyNumberFormat="1" applyFont="1" applyFill="1" applyBorder="1" applyAlignment="1">
      <alignment horizontal="center"/>
    </xf>
    <xf numFmtId="170" fontId="26" fillId="16" borderId="20" xfId="0" applyNumberFormat="1" applyFont="1" applyFill="1" applyBorder="1" applyAlignment="1">
      <alignment horizontal="center"/>
    </xf>
    <xf numFmtId="170" fontId="26" fillId="17" borderId="20" xfId="0" applyNumberFormat="1" applyFont="1" applyFill="1" applyBorder="1" applyAlignment="1">
      <alignment horizontal="center"/>
    </xf>
    <xf numFmtId="0" fontId="26" fillId="12" borderId="20" xfId="0" applyFont="1" applyFill="1" applyBorder="1" applyAlignment="1">
      <alignment horizontal="center"/>
    </xf>
    <xf numFmtId="0" fontId="26" fillId="12" borderId="21" xfId="0" applyFont="1" applyFill="1" applyBorder="1" applyAlignment="1">
      <alignment horizontal="center"/>
    </xf>
    <xf numFmtId="0" fontId="26" fillId="12" borderId="0" xfId="0" applyFont="1" applyFill="1" applyBorder="1" applyAlignment="1">
      <alignment horizontal="center"/>
    </xf>
    <xf numFmtId="170" fontId="26" fillId="21" borderId="21" xfId="0" applyNumberFormat="1" applyFont="1" applyFill="1" applyBorder="1" applyAlignment="1">
      <alignment horizontal="center"/>
    </xf>
    <xf numFmtId="0" fontId="26" fillId="16" borderId="21" xfId="0" applyFont="1" applyFill="1" applyBorder="1" applyAlignment="1">
      <alignment horizontal="center"/>
    </xf>
    <xf numFmtId="0" fontId="26" fillId="17" borderId="0" xfId="0" applyFont="1" applyFill="1" applyBorder="1" applyAlignment="1">
      <alignment horizontal="center"/>
    </xf>
    <xf numFmtId="0" fontId="23" fillId="6" borderId="9" xfId="0" applyFont="1" applyFill="1" applyBorder="1" applyAlignment="1">
      <alignment horizontal="center"/>
    </xf>
    <xf numFmtId="0" fontId="23" fillId="6" borderId="10" xfId="0" applyFont="1" applyFill="1" applyBorder="1" applyAlignment="1">
      <alignment horizontal="center"/>
    </xf>
    <xf numFmtId="0" fontId="23" fillId="6" borderId="11" xfId="0" applyFont="1" applyFill="1" applyBorder="1" applyAlignment="1">
      <alignment horizontal="center"/>
    </xf>
    <xf numFmtId="0" fontId="23" fillId="6" borderId="6" xfId="0" applyFont="1" applyFill="1" applyBorder="1" applyAlignment="1">
      <alignment horizontal="center"/>
    </xf>
    <xf numFmtId="0" fontId="23" fillId="6" borderId="0" xfId="0" applyFont="1" applyFill="1" applyBorder="1" applyAlignment="1">
      <alignment horizontal="center"/>
    </xf>
    <xf numFmtId="0" fontId="23" fillId="6" borderId="7" xfId="0" applyFont="1" applyFill="1" applyBorder="1" applyAlignment="1">
      <alignment horizontal="center"/>
    </xf>
    <xf numFmtId="0" fontId="23" fillId="6" borderId="8" xfId="0" applyFont="1" applyFill="1" applyBorder="1" applyAlignment="1">
      <alignment horizontal="center"/>
    </xf>
    <xf numFmtId="0" fontId="23" fillId="6" borderId="5" xfId="0" applyFont="1" applyFill="1" applyBorder="1" applyAlignment="1">
      <alignment horizontal="center"/>
    </xf>
    <xf numFmtId="0" fontId="23" fillId="6" borderId="12" xfId="0" applyFont="1" applyFill="1" applyBorder="1" applyAlignment="1">
      <alignment horizontal="center"/>
    </xf>
    <xf numFmtId="0" fontId="28" fillId="0" borderId="15" xfId="0" applyFont="1" applyBorder="1" applyAlignment="1">
      <alignment horizontal="center" wrapText="1"/>
    </xf>
    <xf numFmtId="0" fontId="26" fillId="15" borderId="20" xfId="0" applyFont="1" applyFill="1" applyBorder="1" applyAlignment="1">
      <alignment horizontal="center"/>
    </xf>
    <xf numFmtId="0" fontId="26" fillId="13" borderId="20" xfId="0" applyFont="1" applyFill="1" applyBorder="1" applyAlignment="1">
      <alignment horizontal="center"/>
    </xf>
    <xf numFmtId="0" fontId="26" fillId="14" borderId="20" xfId="0" applyFont="1" applyFill="1" applyBorder="1" applyAlignment="1">
      <alignment horizontal="center"/>
    </xf>
    <xf numFmtId="0" fontId="23" fillId="0" borderId="21" xfId="0" applyFont="1" applyBorder="1" applyAlignment="1">
      <alignment horizontal="center" vertical="center"/>
    </xf>
    <xf numFmtId="170" fontId="26" fillId="14" borderId="0" xfId="0" applyNumberFormat="1" applyFont="1" applyFill="1" applyBorder="1" applyAlignment="1">
      <alignment horizontal="center"/>
    </xf>
    <xf numFmtId="0" fontId="26" fillId="18" borderId="20" xfId="0" applyFont="1" applyFill="1" applyBorder="1" applyAlignment="1">
      <alignment horizontal="center"/>
    </xf>
    <xf numFmtId="0" fontId="26" fillId="19" borderId="20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170" fontId="26" fillId="16" borderId="21" xfId="0" applyNumberFormat="1" applyFont="1" applyFill="1" applyBorder="1" applyAlignment="1">
      <alignment horizontal="center"/>
    </xf>
    <xf numFmtId="170" fontId="26" fillId="16" borderId="19" xfId="0" applyNumberFormat="1" applyFont="1" applyFill="1" applyBorder="1" applyAlignment="1">
      <alignment horizontal="center"/>
    </xf>
    <xf numFmtId="0" fontId="26" fillId="15" borderId="21" xfId="0" applyFont="1" applyFill="1" applyBorder="1" applyAlignment="1">
      <alignment horizontal="center"/>
    </xf>
    <xf numFmtId="0" fontId="26" fillId="15" borderId="19" xfId="0" applyFont="1" applyFill="1" applyBorder="1" applyAlignment="1">
      <alignment horizontal="center"/>
    </xf>
    <xf numFmtId="0" fontId="26" fillId="13" borderId="0" xfId="0" applyFont="1" applyFill="1" applyBorder="1" applyAlignment="1">
      <alignment horizontal="center"/>
    </xf>
    <xf numFmtId="0" fontId="26" fillId="14" borderId="21" xfId="0" applyFont="1" applyFill="1" applyBorder="1" applyAlignment="1">
      <alignment horizontal="center"/>
    </xf>
    <xf numFmtId="0" fontId="26" fillId="13" borderId="21" xfId="0" applyFont="1" applyFill="1" applyBorder="1" applyAlignment="1">
      <alignment horizontal="center"/>
    </xf>
    <xf numFmtId="170" fontId="26" fillId="20" borderId="20" xfId="0" applyNumberFormat="1" applyFont="1" applyFill="1" applyBorder="1" applyAlignment="1">
      <alignment horizontal="center"/>
    </xf>
    <xf numFmtId="170" fontId="26" fillId="21" borderId="20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6" fillId="22" borderId="1" xfId="0" applyFont="1" applyFill="1" applyBorder="1" applyAlignment="1">
      <alignment horizontal="center" wrapText="1"/>
    </xf>
    <xf numFmtId="0" fontId="26" fillId="23" borderId="13" xfId="0" applyFont="1" applyFill="1" applyBorder="1" applyAlignment="1">
      <alignment horizontal="center" wrapText="1"/>
    </xf>
    <xf numFmtId="0" fontId="26" fillId="23" borderId="4" xfId="0" applyFont="1" applyFill="1" applyBorder="1" applyAlignment="1">
      <alignment horizontal="center" wrapText="1"/>
    </xf>
    <xf numFmtId="0" fontId="26" fillId="23" borderId="14" xfId="0" applyFont="1" applyFill="1" applyBorder="1" applyAlignment="1">
      <alignment horizontal="center" wrapText="1"/>
    </xf>
    <xf numFmtId="0" fontId="23" fillId="6" borderId="9" xfId="0" applyFont="1" applyFill="1" applyBorder="1" applyAlignment="1">
      <alignment horizontal="center" wrapText="1"/>
    </xf>
    <xf numFmtId="0" fontId="23" fillId="6" borderId="10" xfId="0" applyFont="1" applyFill="1" applyBorder="1" applyAlignment="1">
      <alignment horizontal="center" wrapText="1"/>
    </xf>
    <xf numFmtId="0" fontId="23" fillId="6" borderId="11" xfId="0" applyFont="1" applyFill="1" applyBorder="1" applyAlignment="1">
      <alignment horizontal="center" wrapText="1"/>
    </xf>
    <xf numFmtId="0" fontId="23" fillId="6" borderId="6" xfId="0" applyFont="1" applyFill="1" applyBorder="1" applyAlignment="1">
      <alignment horizontal="center" wrapText="1"/>
    </xf>
    <xf numFmtId="0" fontId="23" fillId="6" borderId="0" xfId="0" applyFont="1" applyFill="1" applyBorder="1" applyAlignment="1">
      <alignment horizontal="center" wrapText="1"/>
    </xf>
    <xf numFmtId="0" fontId="23" fillId="6" borderId="7" xfId="0" applyFont="1" applyFill="1" applyBorder="1" applyAlignment="1">
      <alignment horizontal="center" wrapText="1"/>
    </xf>
    <xf numFmtId="0" fontId="23" fillId="6" borderId="8" xfId="0" applyFont="1" applyFill="1" applyBorder="1" applyAlignment="1">
      <alignment horizontal="center" wrapText="1"/>
    </xf>
    <xf numFmtId="0" fontId="23" fillId="6" borderId="5" xfId="0" applyFont="1" applyFill="1" applyBorder="1" applyAlignment="1">
      <alignment horizontal="center" wrapText="1"/>
    </xf>
    <xf numFmtId="0" fontId="23" fillId="6" borderId="12" xfId="0" applyFont="1" applyFill="1" applyBorder="1" applyAlignment="1">
      <alignment horizontal="center" wrapText="1"/>
    </xf>
    <xf numFmtId="0" fontId="26" fillId="18" borderId="0" xfId="0" applyFont="1" applyFill="1" applyBorder="1" applyAlignment="1">
      <alignment horizontal="center"/>
    </xf>
    <xf numFmtId="0" fontId="26" fillId="19" borderId="0" xfId="0" applyFont="1" applyFill="1" applyBorder="1" applyAlignment="1">
      <alignment horizontal="center"/>
    </xf>
    <xf numFmtId="0" fontId="26" fillId="15" borderId="0" xfId="0" applyFont="1" applyFill="1" applyBorder="1" applyAlignment="1">
      <alignment horizontal="center"/>
    </xf>
    <xf numFmtId="0" fontId="26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'Activation Energy'!$M$1</c:f>
              <c:strCache>
                <c:ptCount val="1"/>
                <c:pt idx="0">
                  <c:v>ln 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Error!$I$111:$M$111</c:f>
                <c:numCache>
                  <c:formatCode>General</c:formatCode>
                  <c:ptCount val="5"/>
                  <c:pt idx="0">
                    <c:v>2.1255195132564058E-2</c:v>
                  </c:pt>
                  <c:pt idx="1">
                    <c:v>9.3953826839126287E-3</c:v>
                  </c:pt>
                  <c:pt idx="2">
                    <c:v>1.1795029657756462E-2</c:v>
                  </c:pt>
                  <c:pt idx="3">
                    <c:v>1.1057589095938222E-2</c:v>
                  </c:pt>
                  <c:pt idx="4">
                    <c:v>9.6054790373925735E-3</c:v>
                  </c:pt>
                </c:numCache>
              </c:numRef>
            </c:plus>
            <c:minus>
              <c:numRef>
                <c:f>Error!$I$111:$M$111</c:f>
                <c:numCache>
                  <c:formatCode>General</c:formatCode>
                  <c:ptCount val="5"/>
                  <c:pt idx="0">
                    <c:v>2.1255195132564058E-2</c:v>
                  </c:pt>
                  <c:pt idx="1">
                    <c:v>9.3953826839126287E-3</c:v>
                  </c:pt>
                  <c:pt idx="2">
                    <c:v>1.1795029657756462E-2</c:v>
                  </c:pt>
                  <c:pt idx="3">
                    <c:v>1.1057589095938222E-2</c:v>
                  </c:pt>
                  <c:pt idx="4">
                    <c:v>9.6054790373925735E-3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'Activation Energy'!$L$2:$L$6</c:f>
              <c:numCache>
                <c:formatCode>0.000000</c:formatCode>
                <c:ptCount val="5"/>
                <c:pt idx="0">
                  <c:v>3.2451728054518907E-3</c:v>
                </c:pt>
                <c:pt idx="1">
                  <c:v>3.298697014679202E-3</c:v>
                </c:pt>
                <c:pt idx="2">
                  <c:v>3.2663726931242859E-3</c:v>
                </c:pt>
                <c:pt idx="3">
                  <c:v>3.1933578157432542E-3</c:v>
                </c:pt>
                <c:pt idx="4">
                  <c:v>3.2138839787883662E-3</c:v>
                </c:pt>
              </c:numCache>
            </c:numRef>
          </c:xVal>
          <c:yVal>
            <c:numRef>
              <c:f>'Activation Energy'!$M$2:$M$6</c:f>
              <c:numCache>
                <c:formatCode>0.0000</c:formatCode>
                <c:ptCount val="5"/>
                <c:pt idx="0">
                  <c:v>-7.0121203992967391</c:v>
                </c:pt>
                <c:pt idx="1">
                  <c:v>-7.6164227530284556</c:v>
                </c:pt>
                <c:pt idx="2">
                  <c:v>-7.2219210385919084</c:v>
                </c:pt>
                <c:pt idx="3">
                  <c:v>-6.528146981706203</c:v>
                </c:pt>
                <c:pt idx="4">
                  <c:v>-6.7720740271072248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0-F64F-98C9-5CA0FDF47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46576"/>
        <c:axId val="1824630560"/>
      </c:scatterChart>
      <c:valAx>
        <c:axId val="182454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1/T (K</a:t>
                </a:r>
                <a:r>
                  <a:rPr lang="en-US" b="1" baseline="30000">
                    <a:solidFill>
                      <a:schemeClr val="tx1"/>
                    </a:solidFill>
                  </a:rPr>
                  <a:t>-1</a:t>
                </a:r>
                <a:r>
                  <a:rPr lang="en-US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30560"/>
        <c:crossesAt val="-7.8"/>
        <c:crossBetween val="midCat"/>
      </c:valAx>
      <c:valAx>
        <c:axId val="18246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ln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465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alpha vary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Analysis'!$D$3</c:f>
              <c:strCache>
                <c:ptCount val="1"/>
                <c:pt idx="0">
                  <c:v>% iodoacetone vary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'Sensitivity Analysis'!$C$4:$C$54</c:f>
              <c:numCache>
                <c:formatCode>General</c:formatCode>
                <c:ptCount val="51"/>
                <c:pt idx="0">
                  <c:v>-8.8702056470335222</c:v>
                </c:pt>
                <c:pt idx="1">
                  <c:v>-8.4569185626843222</c:v>
                </c:pt>
                <c:pt idx="2">
                  <c:v>-8.0436315795904481</c:v>
                </c:pt>
                <c:pt idx="3">
                  <c:v>-7.630344495241248</c:v>
                </c:pt>
                <c:pt idx="4">
                  <c:v>-7.2170574108920373</c:v>
                </c:pt>
                <c:pt idx="5">
                  <c:v>-6.8037704277981739</c:v>
                </c:pt>
                <c:pt idx="6">
                  <c:v>-6.3904833434489632</c:v>
                </c:pt>
                <c:pt idx="7">
                  <c:v>-5.9771962590997649</c:v>
                </c:pt>
                <c:pt idx="8">
                  <c:v>-5.5639092760058899</c:v>
                </c:pt>
                <c:pt idx="9">
                  <c:v>-5.1506221916566908</c:v>
                </c:pt>
                <c:pt idx="10">
                  <c:v>-4.7373351073074916</c:v>
                </c:pt>
                <c:pt idx="11">
                  <c:v>-4.3240481242136166</c:v>
                </c:pt>
                <c:pt idx="12">
                  <c:v>-3.9107610398644064</c:v>
                </c:pt>
                <c:pt idx="13">
                  <c:v>-3.4974740567705318</c:v>
                </c:pt>
                <c:pt idx="14">
                  <c:v>-3.0841869724213327</c:v>
                </c:pt>
                <c:pt idx="15">
                  <c:v>-2.6708998880721335</c:v>
                </c:pt>
                <c:pt idx="16">
                  <c:v>-2.2576129049782585</c:v>
                </c:pt>
                <c:pt idx="17">
                  <c:v>-1.8443258206290594</c:v>
                </c:pt>
                <c:pt idx="18">
                  <c:v>-1.4310387362798489</c:v>
                </c:pt>
                <c:pt idx="19">
                  <c:v>-1.0177517531859741</c:v>
                </c:pt>
                <c:pt idx="20">
                  <c:v>-0.60446466883677497</c:v>
                </c:pt>
                <c:pt idx="21">
                  <c:v>-0.19117758448757585</c:v>
                </c:pt>
                <c:pt idx="22">
                  <c:v>0.22210939860629908</c:v>
                </c:pt>
                <c:pt idx="23">
                  <c:v>0.63539648295549822</c:v>
                </c:pt>
                <c:pt idx="24">
                  <c:v>1.0486835673047086</c:v>
                </c:pt>
                <c:pt idx="25">
                  <c:v>1.2553270588516403</c:v>
                </c:pt>
                <c:pt idx="26">
                  <c:v>1.4619709554198801</c:v>
                </c:pt>
                <c:pt idx="27">
                  <c:v>1.8752577360030955</c:v>
                </c:pt>
                <c:pt idx="28">
                  <c:v>2.2885445165863332</c:v>
                </c:pt>
                <c:pt idx="29">
                  <c:v>2.7018312971695484</c:v>
                </c:pt>
                <c:pt idx="30">
                  <c:v>3.115119090306028</c:v>
                </c:pt>
                <c:pt idx="31">
                  <c:v>3.5284058708892658</c:v>
                </c:pt>
                <c:pt idx="32">
                  <c:v>3.9416926514724815</c:v>
                </c:pt>
                <c:pt idx="33">
                  <c:v>4.3549794320556963</c:v>
                </c:pt>
                <c:pt idx="34">
                  <c:v>4.7682672251921989</c:v>
                </c:pt>
                <c:pt idx="35">
                  <c:v>5.1815540057754141</c:v>
                </c:pt>
                <c:pt idx="36">
                  <c:v>5.5948407863586294</c:v>
                </c:pt>
                <c:pt idx="37">
                  <c:v>6.008128579495132</c:v>
                </c:pt>
                <c:pt idx="38">
                  <c:v>6.4214153600783472</c:v>
                </c:pt>
                <c:pt idx="39">
                  <c:v>6.8347021406615625</c:v>
                </c:pt>
                <c:pt idx="40">
                  <c:v>7.2479889212447777</c:v>
                </c:pt>
                <c:pt idx="41">
                  <c:v>7.6612767143812794</c:v>
                </c:pt>
                <c:pt idx="42">
                  <c:v>8.0745634949644938</c:v>
                </c:pt>
                <c:pt idx="43">
                  <c:v>8.4878502755477108</c:v>
                </c:pt>
                <c:pt idx="44">
                  <c:v>8.9011370561309473</c:v>
                </c:pt>
                <c:pt idx="45">
                  <c:v>9.3144248492674269</c:v>
                </c:pt>
                <c:pt idx="46">
                  <c:v>9.7277116298506421</c:v>
                </c:pt>
                <c:pt idx="47">
                  <c:v>10.14099841043388</c:v>
                </c:pt>
                <c:pt idx="48">
                  <c:v>10.554285191017096</c:v>
                </c:pt>
                <c:pt idx="49">
                  <c:v>10.967572984153575</c:v>
                </c:pt>
                <c:pt idx="50">
                  <c:v>11.380859764736813</c:v>
                </c:pt>
              </c:numCache>
            </c:numRef>
          </c:xVal>
          <c:yVal>
            <c:numRef>
              <c:f>'Sensitivity Analysis'!$D$4:$D$54</c:f>
              <c:numCache>
                <c:formatCode>General</c:formatCode>
                <c:ptCount val="51"/>
                <c:pt idx="0">
                  <c:v>-80.211664387636972</c:v>
                </c:pt>
                <c:pt idx="1">
                  <c:v>-76.792803357105328</c:v>
                </c:pt>
                <c:pt idx="2">
                  <c:v>-72.83115506464263</c:v>
                </c:pt>
                <c:pt idx="3">
                  <c:v>-72.473825017938992</c:v>
                </c:pt>
                <c:pt idx="4">
                  <c:v>-67.657832400931355</c:v>
                </c:pt>
                <c:pt idx="5">
                  <c:v>-62.191765637794191</c:v>
                </c:pt>
                <c:pt idx="6">
                  <c:v>-55.839653262228971</c:v>
                </c:pt>
                <c:pt idx="7">
                  <c:v>-53.771775550365064</c:v>
                </c:pt>
                <c:pt idx="8">
                  <c:v>-48.547074868085161</c:v>
                </c:pt>
                <c:pt idx="9">
                  <c:v>-46.071832557298393</c:v>
                </c:pt>
                <c:pt idx="10">
                  <c:v>-44.849187820102543</c:v>
                </c:pt>
                <c:pt idx="11">
                  <c:v>-39.817205429950683</c:v>
                </c:pt>
                <c:pt idx="12">
                  <c:v>-37.2377190827102</c:v>
                </c:pt>
                <c:pt idx="13">
                  <c:v>-30.016104074578827</c:v>
                </c:pt>
                <c:pt idx="14">
                  <c:v>-28.499214897909734</c:v>
                </c:pt>
                <c:pt idx="15">
                  <c:v>-27.017328217390812</c:v>
                </c:pt>
                <c:pt idx="16">
                  <c:v>-18.966988785905734</c:v>
                </c:pt>
                <c:pt idx="17">
                  <c:v>-15.329759986133624</c:v>
                </c:pt>
                <c:pt idx="18">
                  <c:v>-15.269602060437167</c:v>
                </c:pt>
                <c:pt idx="19">
                  <c:v>-6.4486500799434872</c:v>
                </c:pt>
                <c:pt idx="20">
                  <c:v>-6.3296084613079131</c:v>
                </c:pt>
                <c:pt idx="21">
                  <c:v>-5.8486169201422057E-2</c:v>
                </c:pt>
                <c:pt idx="22">
                  <c:v>6.794901140179703E-2</c:v>
                </c:pt>
                <c:pt idx="23">
                  <c:v>5.6209386539228516</c:v>
                </c:pt>
                <c:pt idx="24">
                  <c:v>8.1049194571811931</c:v>
                </c:pt>
                <c:pt idx="25">
                  <c:v>16.085087819411022</c:v>
                </c:pt>
                <c:pt idx="26">
                  <c:v>18.334546627507027</c:v>
                </c:pt>
                <c:pt idx="27">
                  <c:v>19.593851283763286</c:v>
                </c:pt>
                <c:pt idx="28">
                  <c:v>24.639161244964583</c:v>
                </c:pt>
                <c:pt idx="29">
                  <c:v>27.266946702994925</c:v>
                </c:pt>
                <c:pt idx="30">
                  <c:v>31.529775260364364</c:v>
                </c:pt>
                <c:pt idx="31">
                  <c:v>35.716083337844559</c:v>
                </c:pt>
                <c:pt idx="32">
                  <c:v>39.566711403095105</c:v>
                </c:pt>
                <c:pt idx="33">
                  <c:v>40.27159387265548</c:v>
                </c:pt>
                <c:pt idx="34">
                  <c:v>45.610155994899124</c:v>
                </c:pt>
                <c:pt idx="35">
                  <c:v>54.103274994700413</c:v>
                </c:pt>
                <c:pt idx="36">
                  <c:v>64.102378148347839</c:v>
                </c:pt>
                <c:pt idx="37">
                  <c:v>71.321684393975019</c:v>
                </c:pt>
                <c:pt idx="38">
                  <c:v>75.080189530501457</c:v>
                </c:pt>
                <c:pt idx="39">
                  <c:v>99.105459541985624</c:v>
                </c:pt>
                <c:pt idx="40">
                  <c:v>101.21731710882204</c:v>
                </c:pt>
                <c:pt idx="41">
                  <c:v>124.50613664275652</c:v>
                </c:pt>
                <c:pt idx="42">
                  <c:v>130.6786648615153</c:v>
                </c:pt>
                <c:pt idx="43">
                  <c:v>135.66896235431346</c:v>
                </c:pt>
                <c:pt idx="44">
                  <c:v>167.76745862399147</c:v>
                </c:pt>
                <c:pt idx="45">
                  <c:v>210.75661101420133</c:v>
                </c:pt>
                <c:pt idx="46">
                  <c:v>253.57065387113244</c:v>
                </c:pt>
                <c:pt idx="47">
                  <c:v>259.92266902683792</c:v>
                </c:pt>
                <c:pt idx="48">
                  <c:v>293.38583260327493</c:v>
                </c:pt>
                <c:pt idx="49">
                  <c:v>339.80666114098574</c:v>
                </c:pt>
                <c:pt idx="50">
                  <c:v>394.05263628925502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6-1440-8600-FE96DE25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84863"/>
        <c:axId val="438506575"/>
      </c:scatterChart>
      <c:valAx>
        <c:axId val="43878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06575"/>
        <c:crosses val="autoZero"/>
        <c:crossBetween val="midCat"/>
      </c:valAx>
      <c:valAx>
        <c:axId val="43850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8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vary 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Analysis'!$T$3</c:f>
              <c:strCache>
                <c:ptCount val="1"/>
                <c:pt idx="0">
                  <c:v>% vary iodoacetone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'Sensitivity Analysis'!$S$4:$S$54</c:f>
              <c:numCache>
                <c:formatCode>General</c:formatCode>
                <c:ptCount val="51"/>
                <c:pt idx="0">
                  <c:v>-9.6495791568070111</c:v>
                </c:pt>
                <c:pt idx="1">
                  <c:v>-9.403727710855641</c:v>
                </c:pt>
                <c:pt idx="2">
                  <c:v>-9.1578761444370578</c:v>
                </c:pt>
                <c:pt idx="3">
                  <c:v>-8.9120246984856895</c:v>
                </c:pt>
                <c:pt idx="4">
                  <c:v>-8.6661732525343389</c:v>
                </c:pt>
                <c:pt idx="5">
                  <c:v>-8.4203216861157362</c:v>
                </c:pt>
                <c:pt idx="6">
                  <c:v>-8.1744702401643856</c:v>
                </c:pt>
                <c:pt idx="7">
                  <c:v>-7.9286187942130173</c:v>
                </c:pt>
                <c:pt idx="8">
                  <c:v>-7.6827672277944332</c:v>
                </c:pt>
                <c:pt idx="9">
                  <c:v>-7.4369157818430649</c:v>
                </c:pt>
                <c:pt idx="10">
                  <c:v>-7.1910643358916966</c:v>
                </c:pt>
                <c:pt idx="11">
                  <c:v>-6.9452127694731125</c:v>
                </c:pt>
                <c:pt idx="12">
                  <c:v>-6.6993613235217433</c:v>
                </c:pt>
                <c:pt idx="13">
                  <c:v>-6.4535098775703927</c:v>
                </c:pt>
                <c:pt idx="14">
                  <c:v>-6.2076583111517909</c:v>
                </c:pt>
                <c:pt idx="15">
                  <c:v>-5.9618068652004395</c:v>
                </c:pt>
                <c:pt idx="16">
                  <c:v>-5.715955419249072</c:v>
                </c:pt>
                <c:pt idx="17">
                  <c:v>-5.4701038528304871</c:v>
                </c:pt>
                <c:pt idx="18">
                  <c:v>-5.2242524068791196</c:v>
                </c:pt>
                <c:pt idx="19">
                  <c:v>-4.9784009609277504</c:v>
                </c:pt>
                <c:pt idx="20">
                  <c:v>-4.7325493945091672</c:v>
                </c:pt>
                <c:pt idx="21">
                  <c:v>-4.486697948557798</c:v>
                </c:pt>
                <c:pt idx="22">
                  <c:v>-4.2408465026064475</c:v>
                </c:pt>
                <c:pt idx="23">
                  <c:v>-3.9949949361878456</c:v>
                </c:pt>
                <c:pt idx="24">
                  <c:v>-3.7491434902364942</c:v>
                </c:pt>
                <c:pt idx="25">
                  <c:v>-3.5032920442851263</c:v>
                </c:pt>
                <c:pt idx="26">
                  <c:v>-3.2574405983337753</c:v>
                </c:pt>
                <c:pt idx="27">
                  <c:v>-3.0115890319151735</c:v>
                </c:pt>
                <c:pt idx="28">
                  <c:v>-2.7657375859638229</c:v>
                </c:pt>
                <c:pt idx="29">
                  <c:v>-2.5198861400124546</c:v>
                </c:pt>
                <c:pt idx="30">
                  <c:v>-2.2740345735938705</c:v>
                </c:pt>
                <c:pt idx="31">
                  <c:v>-2.0281831276425017</c:v>
                </c:pt>
                <c:pt idx="32">
                  <c:v>-1.7823316816911337</c:v>
                </c:pt>
                <c:pt idx="33">
                  <c:v>-1.5364801152725494</c:v>
                </c:pt>
                <c:pt idx="34">
                  <c:v>-1.290628669321181</c:v>
                </c:pt>
                <c:pt idx="35">
                  <c:v>-1.04477722336983</c:v>
                </c:pt>
                <c:pt idx="36">
                  <c:v>-0.7989256569512283</c:v>
                </c:pt>
                <c:pt idx="37">
                  <c:v>-0.55307421099987752</c:v>
                </c:pt>
                <c:pt idx="38">
                  <c:v>-0.30722276504850921</c:v>
                </c:pt>
                <c:pt idx="39">
                  <c:v>-6.1371198629924892E-2</c:v>
                </c:pt>
                <c:pt idx="40">
                  <c:v>-1.2702429782086363E-8</c:v>
                </c:pt>
                <c:pt idx="41">
                  <c:v>0.18448024732144344</c:v>
                </c:pt>
                <c:pt idx="42">
                  <c:v>0.43033169327281173</c:v>
                </c:pt>
                <c:pt idx="43">
                  <c:v>0.67618325969139603</c:v>
                </c:pt>
                <c:pt idx="44">
                  <c:v>0.92203470564276446</c:v>
                </c:pt>
                <c:pt idx="45">
                  <c:v>1.1678861515941152</c:v>
                </c:pt>
                <c:pt idx="46">
                  <c:v>1.4137377180127171</c:v>
                </c:pt>
                <c:pt idx="47">
                  <c:v>1.6595891639640679</c:v>
                </c:pt>
                <c:pt idx="48">
                  <c:v>1.9054406099154362</c:v>
                </c:pt>
                <c:pt idx="49">
                  <c:v>2.1512921763340205</c:v>
                </c:pt>
                <c:pt idx="50">
                  <c:v>2.3971436222853888</c:v>
                </c:pt>
              </c:numCache>
            </c:numRef>
          </c:xVal>
          <c:yVal>
            <c:numRef>
              <c:f>'Sensitivity Analysis'!$T$4:$T$54</c:f>
              <c:numCache>
                <c:formatCode>General</c:formatCode>
                <c:ptCount val="51"/>
                <c:pt idx="0">
                  <c:v>0.53828023086284849</c:v>
                </c:pt>
                <c:pt idx="1">
                  <c:v>0.54571095422354643</c:v>
                </c:pt>
                <c:pt idx="2">
                  <c:v>0.54043124869698422</c:v>
                </c:pt>
                <c:pt idx="3">
                  <c:v>0.54020746212051463</c:v>
                </c:pt>
                <c:pt idx="4">
                  <c:v>0.44939083329893525</c:v>
                </c:pt>
                <c:pt idx="5">
                  <c:v>0.54241757979127214</c:v>
                </c:pt>
                <c:pt idx="6">
                  <c:v>0.46026844652119742</c:v>
                </c:pt>
                <c:pt idx="7">
                  <c:v>0.48606588557175379</c:v>
                </c:pt>
                <c:pt idx="8">
                  <c:v>0.4743770910553699</c:v>
                </c:pt>
                <c:pt idx="9">
                  <c:v>0.47262319529414193</c:v>
                </c:pt>
                <c:pt idx="10">
                  <c:v>0.44663692505827501</c:v>
                </c:pt>
                <c:pt idx="11">
                  <c:v>0.43883754844839518</c:v>
                </c:pt>
                <c:pt idx="12">
                  <c:v>0.41044764461330974</c:v>
                </c:pt>
                <c:pt idx="13">
                  <c:v>0.49823144279455173</c:v>
                </c:pt>
                <c:pt idx="14">
                  <c:v>0.37206626474045268</c:v>
                </c:pt>
                <c:pt idx="15">
                  <c:v>0.39249606923923752</c:v>
                </c:pt>
                <c:pt idx="16">
                  <c:v>0.32019462642879443</c:v>
                </c:pt>
                <c:pt idx="17">
                  <c:v>0.29745163991001927</c:v>
                </c:pt>
                <c:pt idx="18">
                  <c:v>0.32473774618671614</c:v>
                </c:pt>
                <c:pt idx="19">
                  <c:v>0.33272379179276212</c:v>
                </c:pt>
                <c:pt idx="20">
                  <c:v>0.27209420635040954</c:v>
                </c:pt>
                <c:pt idx="21">
                  <c:v>0.26010991265091676</c:v>
                </c:pt>
                <c:pt idx="22">
                  <c:v>0.25927963201933157</c:v>
                </c:pt>
                <c:pt idx="23">
                  <c:v>0.24421602061289716</c:v>
                </c:pt>
                <c:pt idx="24">
                  <c:v>0.24432268861070824</c:v>
                </c:pt>
                <c:pt idx="25">
                  <c:v>0.26099604983539437</c:v>
                </c:pt>
                <c:pt idx="26">
                  <c:v>0.2139633908296284</c:v>
                </c:pt>
                <c:pt idx="27">
                  <c:v>0.21731658582824781</c:v>
                </c:pt>
                <c:pt idx="28">
                  <c:v>0.15249667782340851</c:v>
                </c:pt>
                <c:pt idx="29">
                  <c:v>0.17793303128680113</c:v>
                </c:pt>
                <c:pt idx="30">
                  <c:v>0.15270929308930731</c:v>
                </c:pt>
                <c:pt idx="31">
                  <c:v>0.17118952370925886</c:v>
                </c:pt>
                <c:pt idx="32">
                  <c:v>6.1146709012812273E-2</c:v>
                </c:pt>
                <c:pt idx="33">
                  <c:v>0.10720782436287181</c:v>
                </c:pt>
                <c:pt idx="34">
                  <c:v>0.10673574639960821</c:v>
                </c:pt>
                <c:pt idx="35">
                  <c:v>0.10987380357830999</c:v>
                </c:pt>
                <c:pt idx="36">
                  <c:v>4.6909414224510386E-2</c:v>
                </c:pt>
                <c:pt idx="37">
                  <c:v>7.5082378415408227E-2</c:v>
                </c:pt>
                <c:pt idx="38">
                  <c:v>4.9241695581951316E-2</c:v>
                </c:pt>
                <c:pt idx="39">
                  <c:v>-1.7679139541841145E-2</c:v>
                </c:pt>
                <c:pt idx="40">
                  <c:v>0</c:v>
                </c:pt>
                <c:pt idx="41">
                  <c:v>-4.8018977620608735E-2</c:v>
                </c:pt>
                <c:pt idx="42">
                  <c:v>-2.5413290112514912E-2</c:v>
                </c:pt>
                <c:pt idx="43">
                  <c:v>2.8826666042328291E-2</c:v>
                </c:pt>
                <c:pt idx="44">
                  <c:v>-4.3627931832530185E-2</c:v>
                </c:pt>
                <c:pt idx="45">
                  <c:v>2.474265111285504E-3</c:v>
                </c:pt>
                <c:pt idx="46">
                  <c:v>-5.5714929516394077E-2</c:v>
                </c:pt>
                <c:pt idx="47">
                  <c:v>-0.10877901514136068</c:v>
                </c:pt>
                <c:pt idx="48">
                  <c:v>-3.9331662001968581E-2</c:v>
                </c:pt>
                <c:pt idx="49">
                  <c:v>-9.7999781525206581E-2</c:v>
                </c:pt>
                <c:pt idx="50">
                  <c:v>-0.13058649449019902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05-2045-823C-F388DC686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73999"/>
        <c:axId val="920255631"/>
      </c:scatterChart>
      <c:valAx>
        <c:axId val="72637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255631"/>
        <c:crosses val="autoZero"/>
        <c:crossBetween val="midCat"/>
      </c:valAx>
      <c:valAx>
        <c:axId val="9202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7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466417</xdr:colOff>
      <xdr:row>8</xdr:row>
      <xdr:rowOff>135319</xdr:rowOff>
    </xdr:from>
    <xdr:to>
      <xdr:col>13</xdr:col>
      <xdr:colOff>481817</xdr:colOff>
      <xdr:row>29</xdr:row>
      <xdr:rowOff>136520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FB7D8-B64F-BF45-8148-56C8A449C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105988</xdr:colOff>
      <xdr:row>0</xdr:row>
      <xdr:rowOff>99274</xdr:rowOff>
    </xdr:from>
    <xdr:to>
      <xdr:col>29</xdr:col>
      <xdr:colOff>211059</xdr:colOff>
      <xdr:row>6</xdr:row>
      <xdr:rowOff>81382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65B88-8EB9-CC40-9DB9-8725468D4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2052" y="99274"/>
          <a:ext cx="7765603" cy="127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20</xdr:col>
      <xdr:colOff>394983</xdr:colOff>
      <xdr:row>5</xdr:row>
      <xdr:rowOff>159366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ED93CB0-8A65-E84A-8E97-9AF9E226E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5841" y="213540"/>
          <a:ext cx="7771144" cy="9823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383024</xdr:colOff>
      <xdr:row>6</xdr:row>
      <xdr:rowOff>147732</xdr:rowOff>
    </xdr:from>
    <xdr:to>
      <xdr:col>7</xdr:col>
      <xdr:colOff>214148</xdr:colOff>
      <xdr:row>19</xdr:row>
      <xdr:rowOff>169503</xdr:rowOff>
    </xdr:to>
    <xdr:graphicFrame macro="">
      <xdr:nvGraphicFramePr>
        <xdr:cNvPr id="18" name="Chart 1">
          <a:extLst>
            <a:ext uri="{FF2B5EF4-FFF2-40B4-BE49-F238E27FC236}">
              <a16:creationId xmlns:a16="http://schemas.microsoft.com/office/drawing/2014/main" id="{9F411F2D-50FF-6548-86E4-248FDF6CC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433474</xdr:colOff>
      <xdr:row>2</xdr:row>
      <xdr:rowOff>85020</xdr:rowOff>
    </xdr:from>
    <xdr:to>
      <xdr:col>27</xdr:col>
      <xdr:colOff>310214</xdr:colOff>
      <xdr:row>15</xdr:row>
      <xdr:rowOff>58559</xdr:rowOff>
    </xdr:to>
    <xdr:graphicFrame macro="">
      <xdr:nvGraphicFramePr>
        <xdr:cNvPr id="15" name="Chart 3">
          <a:extLst>
            <a:ext uri="{FF2B5EF4-FFF2-40B4-BE49-F238E27FC236}">
              <a16:creationId xmlns:a16="http://schemas.microsoft.com/office/drawing/2014/main" id="{1818570F-5BE5-BB4A-A8BD-07BD715DB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16E-5E1C-2B4A-9FEA-70E416FA420D}">
  <dimension ref="A1:AE42"/>
  <sheetViews>
    <sheetView topLeftCell="D1" zoomScale="60" zoomScaleNormal="60" workbookViewId="0">
      <selection activeCell="R4" sqref="R4"/>
    </sheetView>
  </sheetViews>
  <sheetFormatPr baseColWidth="10" defaultColWidth="11.1640625" defaultRowHeight="16"/>
  <sheetData>
    <row r="1" spans="1:31" ht="20">
      <c r="A1" s="219" t="s">
        <v>12</v>
      </c>
      <c r="B1" s="221" t="s">
        <v>26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Q1" s="219" t="s">
        <v>12</v>
      </c>
      <c r="R1" s="221" t="s">
        <v>27</v>
      </c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</row>
    <row r="2" spans="1:31">
      <c r="A2" s="220"/>
      <c r="B2" s="14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  <c r="K2" s="14" t="s">
        <v>22</v>
      </c>
      <c r="L2" s="14" t="s">
        <v>23</v>
      </c>
      <c r="M2" s="14" t="s">
        <v>24</v>
      </c>
      <c r="N2" s="14" t="s">
        <v>25</v>
      </c>
      <c r="O2" s="14" t="s">
        <v>96</v>
      </c>
      <c r="P2" s="34"/>
      <c r="Q2" s="220"/>
      <c r="R2" s="14" t="s">
        <v>13</v>
      </c>
      <c r="S2" s="14" t="s">
        <v>14</v>
      </c>
      <c r="T2" s="14" t="s">
        <v>15</v>
      </c>
      <c r="U2" s="14" t="s">
        <v>16</v>
      </c>
      <c r="V2" s="14" t="s">
        <v>17</v>
      </c>
      <c r="W2" s="14" t="s">
        <v>18</v>
      </c>
      <c r="X2" s="14" t="s">
        <v>19</v>
      </c>
      <c r="Y2" s="14" t="s">
        <v>20</v>
      </c>
      <c r="Z2" s="14" t="s">
        <v>21</v>
      </c>
      <c r="AA2" s="14" t="s">
        <v>22</v>
      </c>
      <c r="AB2" s="14" t="s">
        <v>23</v>
      </c>
      <c r="AC2" s="14" t="s">
        <v>24</v>
      </c>
      <c r="AD2" s="14" t="s">
        <v>25</v>
      </c>
      <c r="AE2" s="14" t="s">
        <v>96</v>
      </c>
    </row>
    <row r="3" spans="1:31">
      <c r="A3" s="1">
        <v>0</v>
      </c>
      <c r="B3" s="4">
        <v>0.26053026539672802</v>
      </c>
      <c r="C3" s="4">
        <v>0.239488899270627</v>
      </c>
      <c r="D3" s="4">
        <v>0.23858845754435901</v>
      </c>
      <c r="E3" s="4">
        <v>0.22955377441622199</v>
      </c>
      <c r="F3" s="4">
        <v>0.241570565046616</v>
      </c>
      <c r="G3" s="4">
        <v>0.242186543659096</v>
      </c>
      <c r="H3" s="4">
        <v>0.23954933441884901</v>
      </c>
      <c r="I3" s="4">
        <v>0.13968200976106401</v>
      </c>
      <c r="J3" s="4">
        <v>0.33271154447811602</v>
      </c>
      <c r="K3" s="4">
        <v>0.43433231370234798</v>
      </c>
      <c r="L3" s="4">
        <v>0.240614712835438</v>
      </c>
      <c r="M3" s="4">
        <v>0.243132550793417</v>
      </c>
      <c r="N3" s="4">
        <v>0.23539463849498701</v>
      </c>
      <c r="O3" s="4">
        <v>0.25097953604169199</v>
      </c>
      <c r="Q3" s="1">
        <v>0</v>
      </c>
      <c r="R3" s="29">
        <f>(B3-0.0476)/96.654</f>
        <v>2.2030155544181104E-3</v>
      </c>
      <c r="S3" s="29">
        <f t="shared" ref="S3:AD3" si="0">(C3-0.0476)/96.654</f>
        <v>1.9853177237427007E-3</v>
      </c>
      <c r="T3" s="29">
        <f t="shared" si="0"/>
        <v>1.976001588598082E-3</v>
      </c>
      <c r="U3" s="29">
        <f t="shared" si="0"/>
        <v>1.8825271009603533E-3</v>
      </c>
      <c r="V3" s="29">
        <f t="shared" si="0"/>
        <v>2.0068550194158132E-3</v>
      </c>
      <c r="W3" s="29">
        <f t="shared" si="0"/>
        <v>2.0132280470450889E-3</v>
      </c>
      <c r="X3" s="29">
        <f t="shared" si="0"/>
        <v>1.9859429968635445E-3</v>
      </c>
      <c r="Y3" s="29">
        <f t="shared" si="0"/>
        <v>9.5269735097423813E-4</v>
      </c>
      <c r="Z3" s="29">
        <f t="shared" si="0"/>
        <v>2.949816298116126E-3</v>
      </c>
      <c r="AA3" s="29">
        <f t="shared" si="0"/>
        <v>4.001203402883978E-3</v>
      </c>
      <c r="AB3" s="29">
        <f t="shared" si="0"/>
        <v>1.9969655972379625E-3</v>
      </c>
      <c r="AC3" s="29">
        <f t="shared" si="0"/>
        <v>2.0230156102532437E-3</v>
      </c>
      <c r="AD3" s="29">
        <f t="shared" si="0"/>
        <v>1.9429577513086578E-3</v>
      </c>
      <c r="AE3" s="29">
        <f>(O3-0.0476)/96.654</f>
        <v>2.104201957929232E-3</v>
      </c>
    </row>
    <row r="4" spans="1:31">
      <c r="A4" s="1">
        <v>5</v>
      </c>
      <c r="B4" s="4">
        <v>0.22981069225378301</v>
      </c>
      <c r="C4" s="4">
        <v>0.23616034537154701</v>
      </c>
      <c r="D4" s="4">
        <v>0.21659978038164801</v>
      </c>
      <c r="E4" s="4">
        <v>0.20614866922081401</v>
      </c>
      <c r="F4" s="4">
        <v>0.22895170528664399</v>
      </c>
      <c r="G4" s="4">
        <v>0.21043821304648899</v>
      </c>
      <c r="H4" s="4">
        <v>0.20584285968521801</v>
      </c>
      <c r="I4" s="4">
        <v>0.12560888791952099</v>
      </c>
      <c r="J4" s="4">
        <v>0.32652317405410303</v>
      </c>
      <c r="K4" s="4">
        <v>0.400877396919745</v>
      </c>
      <c r="L4" s="4">
        <v>0.22472302705328401</v>
      </c>
      <c r="M4" s="4">
        <v>0.229661130402698</v>
      </c>
      <c r="N4" s="4">
        <v>0.212914566526825</v>
      </c>
      <c r="O4" s="4">
        <v>0.22619188138372101</v>
      </c>
      <c r="Q4" s="1">
        <v>5</v>
      </c>
      <c r="R4" s="29">
        <f t="shared" ref="R4:R39" si="1">(B4-0.0476)/96.654</f>
        <v>1.8851852199989966E-3</v>
      </c>
      <c r="S4" s="29">
        <f t="shared" ref="S4:S39" si="2">(C4-0.0476)/96.654</f>
        <v>1.9508798950022453E-3</v>
      </c>
      <c r="T4" s="29">
        <f t="shared" ref="T4:T39" si="3">(D4-0.0476)/96.654</f>
        <v>1.7485027043024398E-3</v>
      </c>
      <c r="U4" s="29">
        <f t="shared" ref="U4:U39" si="4">(E4-0.0476)/96.654</f>
        <v>1.6403735926171087E-3</v>
      </c>
      <c r="V4" s="29">
        <f t="shared" ref="V4:V39" si="5">(F4-0.0476)/96.654</f>
        <v>1.8762979833906925E-3</v>
      </c>
      <c r="W4" s="29">
        <f t="shared" ref="W4:W39" si="6">(G4-0.0476)/96.654</f>
        <v>1.6847539992808265E-3</v>
      </c>
      <c r="X4" s="29">
        <f t="shared" ref="X4:X39" si="7">(H4-0.0476)/96.654</f>
        <v>1.6372096311090903E-3</v>
      </c>
      <c r="Y4" s="29">
        <f t="shared" ref="Y4:Y39" si="8">(I4-0.0476)/96.654</f>
        <v>8.0709425289714849E-4</v>
      </c>
      <c r="Z4" s="29">
        <f t="shared" ref="Z4:Z39" si="9">(J4-0.0476)/96.654</f>
        <v>2.8857902834244116E-3</v>
      </c>
      <c r="AA4" s="29">
        <f t="shared" ref="AA4:AA39" si="10">(K4-0.0476)/96.654</f>
        <v>3.6550727017996671E-3</v>
      </c>
      <c r="AB4" s="29">
        <f t="shared" ref="AB4:AB39" si="11">(L4-0.0476)/96.654</f>
        <v>1.8325473033013017E-3</v>
      </c>
      <c r="AC4" s="29">
        <f t="shared" ref="AC4:AC39" si="12">(M4-0.0476)/96.654</f>
        <v>1.8836378256740333E-3</v>
      </c>
      <c r="AD4" s="29">
        <f t="shared" ref="AD4:AD39" si="13">(N4-0.0476)/96.654</f>
        <v>1.7103748062865997E-3</v>
      </c>
      <c r="AE4" s="29">
        <f t="shared" ref="AE4:AE38" si="14">(O4-0.0476)/96.654</f>
        <v>1.8477443394346951E-3</v>
      </c>
    </row>
    <row r="5" spans="1:31">
      <c r="A5" s="1">
        <v>10</v>
      </c>
      <c r="B5" s="4">
        <v>0.20867640082151001</v>
      </c>
      <c r="C5" s="4">
        <v>0.22537579355103801</v>
      </c>
      <c r="D5" s="4">
        <v>0.19045852897224</v>
      </c>
      <c r="E5" s="4">
        <v>0.17133549078888299</v>
      </c>
      <c r="F5" s="4">
        <v>0.22515714279976601</v>
      </c>
      <c r="G5" s="4">
        <v>0.20620034682281199</v>
      </c>
      <c r="H5" s="4">
        <v>0.17251375393857499</v>
      </c>
      <c r="I5" s="4">
        <v>0.110418870221872</v>
      </c>
      <c r="J5" s="4">
        <v>0.29928683958043301</v>
      </c>
      <c r="K5" s="4">
        <v>0.39642967428611697</v>
      </c>
      <c r="L5" s="4">
        <v>0.216204717313141</v>
      </c>
      <c r="M5" s="4">
        <v>0.212704406426172</v>
      </c>
      <c r="N5" s="4">
        <v>0.18606115842197599</v>
      </c>
      <c r="O5" s="4">
        <v>0.20997635807592999</v>
      </c>
      <c r="Q5" s="1">
        <v>10</v>
      </c>
      <c r="R5" s="29">
        <f t="shared" si="1"/>
        <v>1.6665259670733752E-3</v>
      </c>
      <c r="S5" s="29">
        <f t="shared" si="2"/>
        <v>1.8393009451345833E-3</v>
      </c>
      <c r="T5" s="29">
        <f t="shared" si="3"/>
        <v>1.4780405257127486E-3</v>
      </c>
      <c r="U5" s="29">
        <f t="shared" si="4"/>
        <v>1.2801900675490203E-3</v>
      </c>
      <c r="V5" s="29">
        <f t="shared" si="5"/>
        <v>1.8370387443847748E-3</v>
      </c>
      <c r="W5" s="29">
        <f t="shared" si="6"/>
        <v>1.6409082585595216E-3</v>
      </c>
      <c r="X5" s="29">
        <f t="shared" si="7"/>
        <v>1.2923805940631013E-3</v>
      </c>
      <c r="Y5" s="29">
        <f t="shared" si="8"/>
        <v>6.4993554557361301E-4</v>
      </c>
      <c r="Z5" s="29">
        <f t="shared" si="9"/>
        <v>2.6039981747308237E-3</v>
      </c>
      <c r="AA5" s="29">
        <f t="shared" si="10"/>
        <v>3.6090557481958017E-3</v>
      </c>
      <c r="AB5" s="29">
        <f t="shared" si="11"/>
        <v>1.7444153093833779E-3</v>
      </c>
      <c r="AC5" s="29">
        <f t="shared" si="12"/>
        <v>1.7082004513643719E-3</v>
      </c>
      <c r="AD5" s="29">
        <f t="shared" si="13"/>
        <v>1.4325445239925505E-3</v>
      </c>
      <c r="AE5" s="29">
        <f t="shared" si="14"/>
        <v>1.6799755631006475E-3</v>
      </c>
    </row>
    <row r="6" spans="1:31">
      <c r="A6" s="1">
        <v>15</v>
      </c>
      <c r="B6" s="4">
        <v>0.19382065373354099</v>
      </c>
      <c r="C6" s="4">
        <v>0.21845126826151401</v>
      </c>
      <c r="D6" s="4">
        <v>0.166696741611354</v>
      </c>
      <c r="E6" s="4">
        <v>0.14043771370302799</v>
      </c>
      <c r="F6" s="4">
        <v>0.22184670795922701</v>
      </c>
      <c r="G6" s="4">
        <v>0.168192189780871</v>
      </c>
      <c r="H6" s="4">
        <v>0.137813596463944</v>
      </c>
      <c r="I6" s="4">
        <v>9.4287376758380503E-2</v>
      </c>
      <c r="J6" s="4">
        <v>0.28148564241750301</v>
      </c>
      <c r="K6" s="4">
        <v>0.37553607316867399</v>
      </c>
      <c r="L6" s="4">
        <v>0.20952767809724099</v>
      </c>
      <c r="M6" s="4">
        <v>0.19171822283543699</v>
      </c>
      <c r="N6" s="4">
        <v>0.16102182255217901</v>
      </c>
      <c r="O6" s="4">
        <v>0.177763551877204</v>
      </c>
      <c r="Q6" s="1">
        <v>15</v>
      </c>
      <c r="R6" s="29">
        <f t="shared" si="1"/>
        <v>1.5128256847470462E-3</v>
      </c>
      <c r="S6" s="29">
        <f t="shared" si="2"/>
        <v>1.7676585372722704E-3</v>
      </c>
      <c r="T6" s="29">
        <f t="shared" si="3"/>
        <v>1.2321967183081301E-3</v>
      </c>
      <c r="U6" s="29">
        <f t="shared" si="4"/>
        <v>9.6051600247302733E-4</v>
      </c>
      <c r="V6" s="29">
        <f t="shared" si="5"/>
        <v>1.8027883787450805E-3</v>
      </c>
      <c r="W6" s="29">
        <f t="shared" si="6"/>
        <v>1.2476688991751091E-3</v>
      </c>
      <c r="X6" s="29">
        <f t="shared" si="7"/>
        <v>9.3336640453518739E-4</v>
      </c>
      <c r="Y6" s="29">
        <f t="shared" si="8"/>
        <v>4.8303615741076937E-4</v>
      </c>
      <c r="Z6" s="29">
        <f t="shared" si="9"/>
        <v>2.4198237260486168E-3</v>
      </c>
      <c r="AA6" s="29">
        <f t="shared" si="10"/>
        <v>3.3928867213842574E-3</v>
      </c>
      <c r="AB6" s="29">
        <f t="shared" si="11"/>
        <v>1.6753334378012395E-3</v>
      </c>
      <c r="AC6" s="29">
        <f t="shared" si="12"/>
        <v>1.4910735493144308E-3</v>
      </c>
      <c r="AD6" s="29">
        <f t="shared" si="13"/>
        <v>1.1734829655490617E-3</v>
      </c>
      <c r="AE6" s="29">
        <f t="shared" si="14"/>
        <v>1.3466959657872824E-3</v>
      </c>
    </row>
    <row r="7" spans="1:31">
      <c r="A7" s="1">
        <v>20</v>
      </c>
      <c r="B7" s="4">
        <v>0.168080505922445</v>
      </c>
      <c r="C7" s="4">
        <v>0.211011475425193</v>
      </c>
      <c r="D7" s="4">
        <v>0.14084570883283801</v>
      </c>
      <c r="E7" s="4">
        <v>0.10787454542762499</v>
      </c>
      <c r="F7" s="4">
        <v>0.21273898038861899</v>
      </c>
      <c r="G7" s="4">
        <v>0.147174344465729</v>
      </c>
      <c r="H7" s="4">
        <v>0.10621307290366699</v>
      </c>
      <c r="I7" s="4">
        <v>8.0023641105642002E-2</v>
      </c>
      <c r="J7" s="4">
        <v>0.267099992719802</v>
      </c>
      <c r="K7" s="4">
        <v>0.36658972024483599</v>
      </c>
      <c r="L7" s="4">
        <v>0.192797148205615</v>
      </c>
      <c r="M7" s="4">
        <v>0.18480244750448499</v>
      </c>
      <c r="N7" s="4">
        <v>0.12414639410153799</v>
      </c>
      <c r="O7" s="4">
        <v>0.15339799150872399</v>
      </c>
      <c r="Q7" s="1">
        <v>20</v>
      </c>
      <c r="R7" s="29">
        <f t="shared" si="1"/>
        <v>1.2465133975049661E-3</v>
      </c>
      <c r="S7" s="29">
        <f t="shared" si="2"/>
        <v>1.6906850769258697E-3</v>
      </c>
      <c r="T7" s="29">
        <f t="shared" si="3"/>
        <v>9.6473719486868631E-4</v>
      </c>
      <c r="U7" s="29">
        <f t="shared" si="4"/>
        <v>6.236114948954517E-4</v>
      </c>
      <c r="V7" s="29">
        <f t="shared" si="5"/>
        <v>1.7085581599170132E-3</v>
      </c>
      <c r="W7" s="29">
        <f t="shared" si="6"/>
        <v>1.0302144191210814E-3</v>
      </c>
      <c r="X7" s="29">
        <f t="shared" si="7"/>
        <v>6.064215956263268E-4</v>
      </c>
      <c r="Y7" s="29">
        <f t="shared" si="8"/>
        <v>3.354609339048772E-4</v>
      </c>
      <c r="Z7" s="29">
        <f t="shared" si="9"/>
        <v>2.2709871574875537E-3</v>
      </c>
      <c r="AA7" s="29">
        <f t="shared" si="10"/>
        <v>3.3003261142305128E-3</v>
      </c>
      <c r="AB7" s="29">
        <f t="shared" si="11"/>
        <v>1.5022363089537423E-3</v>
      </c>
      <c r="AC7" s="29">
        <f t="shared" si="12"/>
        <v>1.4195216701273097E-3</v>
      </c>
      <c r="AD7" s="29">
        <f t="shared" si="13"/>
        <v>7.919630237914416E-4</v>
      </c>
      <c r="AE7" s="29">
        <f t="shared" si="14"/>
        <v>1.0946054121787406E-3</v>
      </c>
    </row>
    <row r="8" spans="1:31">
      <c r="A8" s="1">
        <v>25</v>
      </c>
      <c r="B8" s="4">
        <v>0.16457830972217699</v>
      </c>
      <c r="C8" s="4">
        <v>0.20822242180311901</v>
      </c>
      <c r="D8" s="4">
        <v>0.11635856299957401</v>
      </c>
      <c r="E8" s="4">
        <v>7.49416938060221E-2</v>
      </c>
      <c r="F8" s="4">
        <v>0.202303158181839</v>
      </c>
      <c r="G8" s="4">
        <v>0.121239907926391</v>
      </c>
      <c r="H8" s="4">
        <v>7.1755418520452405E-2</v>
      </c>
      <c r="I8" s="4">
        <v>6.0841758136201199E-2</v>
      </c>
      <c r="J8" s="4">
        <v>0.250002176991102</v>
      </c>
      <c r="K8" s="4">
        <v>0.35543423327606199</v>
      </c>
      <c r="L8" s="4">
        <v>0.19247279595745301</v>
      </c>
      <c r="M8" s="4">
        <v>0.166981874543745</v>
      </c>
      <c r="N8" s="4">
        <v>9.5339147725990503E-2</v>
      </c>
      <c r="O8" s="4">
        <v>0.12763580256749399</v>
      </c>
      <c r="Q8" s="1">
        <v>25</v>
      </c>
      <c r="R8" s="29">
        <f t="shared" si="1"/>
        <v>1.2102790336890039E-3</v>
      </c>
      <c r="S8" s="29">
        <f t="shared" si="2"/>
        <v>1.6618290169379333E-3</v>
      </c>
      <c r="T8" s="29">
        <f t="shared" si="3"/>
        <v>7.1138869575572666E-4</v>
      </c>
      <c r="U8" s="29">
        <f t="shared" si="4"/>
        <v>2.8288217565772858E-4</v>
      </c>
      <c r="V8" s="29">
        <f t="shared" si="5"/>
        <v>1.6005872305526827E-3</v>
      </c>
      <c r="W8" s="29">
        <f t="shared" si="6"/>
        <v>7.6189198508484909E-4</v>
      </c>
      <c r="X8" s="29">
        <f t="shared" si="7"/>
        <v>2.4991638753132207E-4</v>
      </c>
      <c r="Y8" s="29">
        <f t="shared" si="8"/>
        <v>1.3700165679848941E-4</v>
      </c>
      <c r="Z8" s="29">
        <f t="shared" si="9"/>
        <v>2.0940900220487719E-3</v>
      </c>
      <c r="AA8" s="29">
        <f t="shared" si="10"/>
        <v>3.1849094013290911E-3</v>
      </c>
      <c r="AB8" s="29">
        <f t="shared" si="11"/>
        <v>1.498880501142767E-3</v>
      </c>
      <c r="AC8" s="29">
        <f t="shared" si="12"/>
        <v>1.235146755889513E-3</v>
      </c>
      <c r="AD8" s="29">
        <f t="shared" si="13"/>
        <v>4.9391797262390077E-4</v>
      </c>
      <c r="AE8" s="29">
        <f t="shared" si="14"/>
        <v>8.2806508336430971E-4</v>
      </c>
    </row>
    <row r="9" spans="1:31">
      <c r="A9" s="1">
        <v>30</v>
      </c>
      <c r="B9" s="4">
        <v>0.14589190936895299</v>
      </c>
      <c r="C9" s="4">
        <v>0.19687369239845301</v>
      </c>
      <c r="D9" s="4">
        <v>9.24255044398513E-2</v>
      </c>
      <c r="E9" s="4">
        <v>4.97804215059863E-2</v>
      </c>
      <c r="F9" s="4">
        <v>0.18973461778846201</v>
      </c>
      <c r="G9" s="4">
        <v>9.7365195648410494E-2</v>
      </c>
      <c r="H9" s="4">
        <v>4.7108781422855503E-2</v>
      </c>
      <c r="I9" s="4">
        <v>4.8540694259587402E-2</v>
      </c>
      <c r="J9" s="4">
        <v>0.22508972545643799</v>
      </c>
      <c r="K9" s="4">
        <v>0.34435981902482998</v>
      </c>
      <c r="L9" s="4">
        <v>0.17891658132781499</v>
      </c>
      <c r="M9" s="4">
        <v>0.15748026449001501</v>
      </c>
      <c r="N9" s="4">
        <v>6.5729254331371501E-2</v>
      </c>
      <c r="O9" s="4">
        <v>0.109953561609267</v>
      </c>
      <c r="Q9" s="1">
        <v>30</v>
      </c>
      <c r="R9" s="29">
        <f t="shared" si="1"/>
        <v>1.0169461105484822E-3</v>
      </c>
      <c r="S9" s="29">
        <f t="shared" si="2"/>
        <v>1.5444129823747907E-3</v>
      </c>
      <c r="T9" s="29">
        <f t="shared" si="3"/>
        <v>4.6377288513513456E-4</v>
      </c>
      <c r="U9" s="29">
        <f t="shared" si="4"/>
        <v>2.2559040556896731E-5</v>
      </c>
      <c r="V9" s="29">
        <f t="shared" si="5"/>
        <v>1.470550807917541E-3</v>
      </c>
      <c r="W9" s="29">
        <f t="shared" si="6"/>
        <v>5.1487983578962576E-4</v>
      </c>
      <c r="X9" s="29">
        <f t="shared" si="7"/>
        <v>-5.0822374360554189E-6</v>
      </c>
      <c r="Y9" s="29">
        <f t="shared" si="8"/>
        <v>9.732595232348368E-6</v>
      </c>
      <c r="Z9" s="29">
        <f t="shared" si="9"/>
        <v>1.8363412321935771E-3</v>
      </c>
      <c r="AA9" s="29">
        <f t="shared" si="10"/>
        <v>3.070331481623419E-3</v>
      </c>
      <c r="AB9" s="29">
        <f t="shared" si="11"/>
        <v>1.3586254198255116E-3</v>
      </c>
      <c r="AC9" s="29">
        <f t="shared" si="12"/>
        <v>1.1368413566951706E-3</v>
      </c>
      <c r="AD9" s="29">
        <f t="shared" si="13"/>
        <v>1.8756858827747943E-4</v>
      </c>
      <c r="AE9" s="29">
        <f t="shared" si="14"/>
        <v>6.4512137737979811E-4</v>
      </c>
    </row>
    <row r="10" spans="1:31">
      <c r="A10" s="1">
        <v>35</v>
      </c>
      <c r="B10" s="4">
        <v>0.12760585500688401</v>
      </c>
      <c r="C10" s="4">
        <v>0.18091346132376199</v>
      </c>
      <c r="D10" s="4">
        <v>6.5929075127778694E-2</v>
      </c>
      <c r="E10" s="4">
        <v>4.89305994653415E-2</v>
      </c>
      <c r="F10" s="4">
        <v>0.18506061268629601</v>
      </c>
      <c r="G10" s="4">
        <v>7.1825505464577999E-2</v>
      </c>
      <c r="H10" s="4">
        <v>4.6566986611920901E-2</v>
      </c>
      <c r="I10" s="4">
        <v>4.6807217623328498E-2</v>
      </c>
      <c r="J10" s="4">
        <v>0.21687536473052099</v>
      </c>
      <c r="K10" s="4">
        <v>0.32807163412232199</v>
      </c>
      <c r="L10" s="4">
        <v>0.17699425792406301</v>
      </c>
      <c r="M10" s="4">
        <v>0.14500874111602499</v>
      </c>
      <c r="N10" s="4">
        <v>4.96687301009806E-2</v>
      </c>
      <c r="O10" s="4">
        <v>8.5670522834299906E-2</v>
      </c>
      <c r="Q10" s="1">
        <v>35</v>
      </c>
      <c r="R10" s="29">
        <f t="shared" si="1"/>
        <v>8.277552404130611E-4</v>
      </c>
      <c r="S10" s="29">
        <f t="shared" si="2"/>
        <v>1.3792855062776707E-3</v>
      </c>
      <c r="T10" s="29">
        <f t="shared" si="3"/>
        <v>1.8963597086285813E-4</v>
      </c>
      <c r="U10" s="29">
        <f t="shared" si="4"/>
        <v>1.3766625957968593E-5</v>
      </c>
      <c r="V10" s="29">
        <f t="shared" si="5"/>
        <v>1.4221926944181927E-3</v>
      </c>
      <c r="W10" s="29">
        <f t="shared" si="6"/>
        <v>2.5064151990169051E-4</v>
      </c>
      <c r="X10" s="29">
        <f t="shared" si="7"/>
        <v>-1.0687745857172004E-5</v>
      </c>
      <c r="Y10" s="29">
        <f t="shared" si="8"/>
        <v>-8.2022717804902575E-6</v>
      </c>
      <c r="Z10" s="29">
        <f t="shared" si="9"/>
        <v>1.751353950488557E-3</v>
      </c>
      <c r="AA10" s="29">
        <f t="shared" si="10"/>
        <v>2.9018109351120701E-3</v>
      </c>
      <c r="AB10" s="29">
        <f t="shared" si="11"/>
        <v>1.3387367095419021E-3</v>
      </c>
      <c r="AC10" s="29">
        <f t="shared" si="12"/>
        <v>1.0078086899251452E-3</v>
      </c>
      <c r="AD10" s="29">
        <f t="shared" si="13"/>
        <v>2.1403460808456936E-5</v>
      </c>
      <c r="AE10" s="29">
        <f t="shared" si="14"/>
        <v>3.9388460730336981E-4</v>
      </c>
    </row>
    <row r="11" spans="1:31">
      <c r="A11" s="1">
        <v>40</v>
      </c>
      <c r="B11" s="4">
        <v>0.112758715322011</v>
      </c>
      <c r="C11" s="4">
        <v>0.17351381089632001</v>
      </c>
      <c r="D11" s="4">
        <v>4.5827059845039403E-2</v>
      </c>
      <c r="E11" s="4">
        <v>4.6891550795246199E-2</v>
      </c>
      <c r="F11" s="4">
        <v>0.17445730392735201</v>
      </c>
      <c r="G11" s="4">
        <v>4.6262052570113198E-2</v>
      </c>
      <c r="H11" s="4">
        <v>4.6926785021595599E-2</v>
      </c>
      <c r="I11" s="4">
        <v>4.6636195567673497E-2</v>
      </c>
      <c r="J11" s="4">
        <v>0.19713307351676301</v>
      </c>
      <c r="K11" s="4">
        <v>0.29854635916862898</v>
      </c>
      <c r="L11" s="4">
        <v>0.169191456451349</v>
      </c>
      <c r="M11" s="4">
        <v>0.12723338886566901</v>
      </c>
      <c r="N11" s="4">
        <v>4.7118513457400799E-2</v>
      </c>
      <c r="O11" s="4">
        <v>5.9447599884930098E-2</v>
      </c>
      <c r="Q11" s="1">
        <v>40</v>
      </c>
      <c r="R11" s="29">
        <f t="shared" si="1"/>
        <v>6.7414401185683984E-4</v>
      </c>
      <c r="S11" s="29">
        <f t="shared" si="2"/>
        <v>1.3027273666513545E-3</v>
      </c>
      <c r="T11" s="29">
        <f t="shared" si="3"/>
        <v>-1.8343163810712445E-5</v>
      </c>
      <c r="U11" s="29">
        <f t="shared" si="4"/>
        <v>-7.3297453261510554E-6</v>
      </c>
      <c r="V11" s="29">
        <f t="shared" si="5"/>
        <v>1.3124889184860638E-3</v>
      </c>
      <c r="W11" s="29">
        <f t="shared" si="6"/>
        <v>-1.3842649345984706E-5</v>
      </c>
      <c r="X11" s="29">
        <f t="shared" si="7"/>
        <v>-6.965205562153708E-6</v>
      </c>
      <c r="Y11" s="29">
        <f>(I11-0.0476)/96.654</f>
        <v>-9.9716973154396773E-6</v>
      </c>
      <c r="Z11" s="29">
        <f t="shared" si="9"/>
        <v>1.5470965869675648E-3</v>
      </c>
      <c r="AA11" s="29">
        <f t="shared" si="10"/>
        <v>2.5963370286654353E-3</v>
      </c>
      <c r="AB11" s="29">
        <f t="shared" si="11"/>
        <v>1.2580074953064437E-3</v>
      </c>
      <c r="AC11" s="29">
        <f t="shared" si="12"/>
        <v>8.2390163744562052E-4</v>
      </c>
      <c r="AD11" s="29">
        <f t="shared" si="13"/>
        <v>-4.9815480228361465E-6</v>
      </c>
      <c r="AE11" s="29">
        <f t="shared" si="14"/>
        <v>1.2257743999141365E-4</v>
      </c>
    </row>
    <row r="12" spans="1:31">
      <c r="A12" s="1">
        <v>45</v>
      </c>
      <c r="B12" s="4">
        <v>9.1828053498931098E-2</v>
      </c>
      <c r="C12" s="4">
        <v>0.16758947581851599</v>
      </c>
      <c r="D12" s="4">
        <v>4.7553003397493597E-2</v>
      </c>
      <c r="E12" s="4">
        <v>4.6408610908926097E-2</v>
      </c>
      <c r="F12" s="4">
        <v>0.16389255740967801</v>
      </c>
      <c r="G12" s="4">
        <v>4.7592531139820503E-2</v>
      </c>
      <c r="H12" s="4">
        <v>4.73128248724414E-2</v>
      </c>
      <c r="I12" s="4">
        <v>4.70771736319269E-2</v>
      </c>
      <c r="J12" s="4">
        <v>0.17688430710472</v>
      </c>
      <c r="K12" s="4">
        <v>0.279364206191408</v>
      </c>
      <c r="L12" s="4">
        <v>0.15173191172907599</v>
      </c>
      <c r="M12" s="4">
        <v>0.117531637721994</v>
      </c>
      <c r="N12" s="4">
        <v>4.6942564850654303E-2</v>
      </c>
      <c r="O12" s="4">
        <v>4.8455349141886997E-2</v>
      </c>
      <c r="Q12" s="1">
        <v>45</v>
      </c>
      <c r="R12" s="29">
        <f t="shared" si="1"/>
        <v>4.5759154819180887E-4</v>
      </c>
      <c r="S12" s="29">
        <f t="shared" si="2"/>
        <v>1.241433110047344E-3</v>
      </c>
      <c r="T12" s="29">
        <f t="shared" si="3"/>
        <v>-4.8623546367875534E-7</v>
      </c>
      <c r="U12" s="29">
        <f t="shared" si="4"/>
        <v>-1.2326329909511312E-5</v>
      </c>
      <c r="V12" s="29">
        <f t="shared" si="5"/>
        <v>1.2031841145703024E-3</v>
      </c>
      <c r="W12" s="29">
        <f t="shared" si="6"/>
        <v>-7.7274196406776777E-8</v>
      </c>
      <c r="X12" s="29">
        <f t="shared" si="7"/>
        <v>-2.971166506907145E-6</v>
      </c>
      <c r="Y12" s="29">
        <f t="shared" si="8"/>
        <v>-5.4092574344890417E-6</v>
      </c>
      <c r="Z12" s="29">
        <f t="shared" si="9"/>
        <v>1.3375991382117657E-3</v>
      </c>
      <c r="AA12" s="29">
        <f t="shared" si="10"/>
        <v>2.3978749580090635E-3</v>
      </c>
      <c r="AB12" s="29">
        <f t="shared" si="11"/>
        <v>1.0773678453977692E-3</v>
      </c>
      <c r="AC12" s="29">
        <f t="shared" si="12"/>
        <v>7.2352554185024938E-4</v>
      </c>
      <c r="AD12" s="29">
        <f t="shared" si="13"/>
        <v>-6.8019445583804128E-6</v>
      </c>
      <c r="AE12" s="29">
        <f t="shared" si="14"/>
        <v>8.8495990014587446E-6</v>
      </c>
    </row>
    <row r="13" spans="1:31">
      <c r="A13" s="1">
        <v>50</v>
      </c>
      <c r="B13" s="4">
        <v>7.5118598607287104E-2</v>
      </c>
      <c r="C13" s="4">
        <v>0.166811938834977</v>
      </c>
      <c r="D13" s="4">
        <v>4.6968859204442402E-2</v>
      </c>
      <c r="E13" s="4">
        <v>4.6693717892149399E-2</v>
      </c>
      <c r="F13" s="4">
        <v>0.15546119976728701</v>
      </c>
      <c r="G13" s="4">
        <v>4.7600668072399703E-2</v>
      </c>
      <c r="H13" s="4">
        <v>4.6457180640381998E-2</v>
      </c>
      <c r="I13" s="4">
        <v>4.7698889318868898E-2</v>
      </c>
      <c r="J13" s="4">
        <v>0.16101674315169001</v>
      </c>
      <c r="K13" s="4">
        <v>0.26760562587388798</v>
      </c>
      <c r="L13" s="4">
        <v>0.14423084854180099</v>
      </c>
      <c r="M13" s="4">
        <v>0.102420820794083</v>
      </c>
      <c r="N13" s="4">
        <v>4.7738932790035098E-2</v>
      </c>
      <c r="O13" s="4">
        <v>4.7774885658782899E-2</v>
      </c>
      <c r="Q13" s="1">
        <v>50</v>
      </c>
      <c r="R13" s="29">
        <f>(B13-0.0476)/96.654</f>
        <v>2.847124651570251E-4</v>
      </c>
      <c r="S13" s="29">
        <f t="shared" si="2"/>
        <v>1.2333885698985764E-3</v>
      </c>
      <c r="T13" s="29">
        <f t="shared" si="3"/>
        <v>-6.5298983545181907E-6</v>
      </c>
      <c r="U13" s="29">
        <f t="shared" si="4"/>
        <v>-9.3765608029735424E-6</v>
      </c>
      <c r="V13" s="29">
        <f t="shared" si="5"/>
        <v>1.1159517429934302E-3</v>
      </c>
      <c r="W13" s="29">
        <f t="shared" si="6"/>
        <v>6.9119995002754809E-9</v>
      </c>
      <c r="X13" s="29">
        <f t="shared" si="7"/>
        <v>-1.1823818565377587E-5</v>
      </c>
      <c r="Y13" s="29">
        <f t="shared" si="8"/>
        <v>1.0231270187358454E-6</v>
      </c>
      <c r="Z13" s="29">
        <f t="shared" si="9"/>
        <v>1.1734304131405841E-3</v>
      </c>
      <c r="AA13" s="29">
        <f t="shared" si="10"/>
        <v>2.2762185307787365E-3</v>
      </c>
      <c r="AB13" s="29">
        <f t="shared" si="11"/>
        <v>9.9976047076997328E-4</v>
      </c>
      <c r="AC13" s="29">
        <f t="shared" si="12"/>
        <v>5.6718626020736858E-4</v>
      </c>
      <c r="AD13" s="29">
        <f t="shared" si="13"/>
        <v>1.4374241111086374E-6</v>
      </c>
      <c r="AE13" s="29">
        <f t="shared" si="14"/>
        <v>1.8093990810819616E-6</v>
      </c>
    </row>
    <row r="14" spans="1:31">
      <c r="A14" s="1">
        <v>55</v>
      </c>
      <c r="B14" s="4">
        <v>5.54781868869966E-2</v>
      </c>
      <c r="C14" s="4">
        <v>0.14925962059086201</v>
      </c>
      <c r="D14" s="4">
        <v>4.7701677694517101E-2</v>
      </c>
      <c r="E14" s="4">
        <v>4.81050039678022E-2</v>
      </c>
      <c r="F14" s="4">
        <v>0.15504640199084299</v>
      </c>
      <c r="G14" s="4">
        <v>4.7239708504366901E-2</v>
      </c>
      <c r="H14" s="4">
        <v>4.7581567122536902E-2</v>
      </c>
      <c r="I14" s="4">
        <v>4.7896913741393599E-2</v>
      </c>
      <c r="J14" s="4">
        <v>0.13921635621480699</v>
      </c>
      <c r="K14" s="4">
        <v>0.24839554508699599</v>
      </c>
      <c r="L14" s="4">
        <v>0.13264788604080299</v>
      </c>
      <c r="M14" s="4">
        <v>8.5307685522886201E-2</v>
      </c>
      <c r="N14" s="4">
        <v>4.7851479619263601E-2</v>
      </c>
      <c r="O14" s="4">
        <v>4.7876832208409999E-2</v>
      </c>
      <c r="Q14" s="1">
        <v>55</v>
      </c>
      <c r="R14" s="29">
        <f>(B14-0.0476)/96.654</f>
        <v>8.1509165549243661E-5</v>
      </c>
      <c r="S14" s="29">
        <f t="shared" si="2"/>
        <v>1.0517890681281893E-3</v>
      </c>
      <c r="T14" s="29">
        <f t="shared" si="3"/>
        <v>1.0519760642818509E-6</v>
      </c>
      <c r="U14" s="29">
        <f t="shared" si="4"/>
        <v>5.22486361456532E-6</v>
      </c>
      <c r="V14" s="29">
        <f t="shared" si="5"/>
        <v>1.1116601691688185E-3</v>
      </c>
      <c r="W14" s="29">
        <f t="shared" si="6"/>
        <v>-3.7276418527231437E-6</v>
      </c>
      <c r="X14" s="29">
        <f t="shared" si="7"/>
        <v>-1.9070992885034206E-7</v>
      </c>
      <c r="Y14" s="29">
        <f t="shared" si="8"/>
        <v>3.0719239906635544E-6</v>
      </c>
      <c r="Z14" s="29">
        <f t="shared" si="9"/>
        <v>9.4787961403363535E-4</v>
      </c>
      <c r="AA14" s="29">
        <f t="shared" si="10"/>
        <v>2.0774675138845364E-3</v>
      </c>
      <c r="AB14" s="29">
        <f t="shared" si="11"/>
        <v>8.7992101765889657E-4</v>
      </c>
      <c r="AC14" s="29">
        <f t="shared" si="12"/>
        <v>3.9013062597395039E-4</v>
      </c>
      <c r="AD14" s="29">
        <f t="shared" si="13"/>
        <v>2.6018542353508145E-6</v>
      </c>
      <c r="AE14" s="29">
        <f t="shared" si="14"/>
        <v>2.8641567696111417E-6</v>
      </c>
    </row>
    <row r="15" spans="1:31">
      <c r="A15" s="1">
        <v>60</v>
      </c>
      <c r="B15" s="4">
        <v>4.8522553719689498E-2</v>
      </c>
      <c r="C15" s="4">
        <v>0.141544543842476</v>
      </c>
      <c r="D15" s="4">
        <v>4.8438532754100899E-2</v>
      </c>
      <c r="E15" s="4">
        <v>4.6985362840698701E-2</v>
      </c>
      <c r="F15" s="4">
        <v>0.14367714284365099</v>
      </c>
      <c r="G15" s="4">
        <v>4.7880718535330602E-2</v>
      </c>
      <c r="H15" s="4">
        <v>4.79240327771083E-2</v>
      </c>
      <c r="I15" s="4">
        <v>4.64969617123955E-2</v>
      </c>
      <c r="J15" s="4">
        <v>0.12269186502645001</v>
      </c>
      <c r="K15" s="4">
        <v>0.23131817118655701</v>
      </c>
      <c r="L15" s="4">
        <v>0.119465450616778</v>
      </c>
      <c r="M15" s="4">
        <v>7.3748296217675105E-2</v>
      </c>
      <c r="N15" s="4">
        <v>4.8524959372517801E-2</v>
      </c>
      <c r="O15" s="4">
        <v>4.7707523370604001E-2</v>
      </c>
      <c r="Q15" s="1">
        <v>60</v>
      </c>
      <c r="R15" s="29">
        <f t="shared" si="1"/>
        <v>9.5449098815309783E-6</v>
      </c>
      <c r="S15" s="29">
        <f t="shared" si="2"/>
        <v>9.7196746996995468E-4</v>
      </c>
      <c r="T15" s="29">
        <f t="shared" si="3"/>
        <v>8.6756135710978931E-6</v>
      </c>
      <c r="U15" s="29">
        <f t="shared" si="4"/>
        <v>-6.3591487088098015E-6</v>
      </c>
      <c r="V15" s="29">
        <f t="shared" si="5"/>
        <v>9.9403173012654411E-4</v>
      </c>
      <c r="W15" s="29">
        <f t="shared" si="6"/>
        <v>2.9043654202681579E-6</v>
      </c>
      <c r="X15" s="29">
        <f t="shared" si="7"/>
        <v>3.35250250489681E-6</v>
      </c>
      <c r="Y15" s="29">
        <f t="shared" si="8"/>
        <v>-1.1412236302734531E-5</v>
      </c>
      <c r="Z15" s="29">
        <f t="shared" si="9"/>
        <v>7.769141993756079E-4</v>
      </c>
      <c r="AA15" s="29">
        <f t="shared" si="10"/>
        <v>1.9007818733477871E-3</v>
      </c>
      <c r="AB15" s="29">
        <f t="shared" si="11"/>
        <v>7.435331245140191E-4</v>
      </c>
      <c r="AC15" s="29">
        <f t="shared" si="12"/>
        <v>2.7053506546728646E-4</v>
      </c>
      <c r="AD15" s="29">
        <f t="shared" si="13"/>
        <v>9.5697992066318765E-6</v>
      </c>
      <c r="AE15" s="29">
        <f t="shared" si="14"/>
        <v>1.1124565005483182E-6</v>
      </c>
    </row>
    <row r="16" spans="1:31">
      <c r="A16" s="1">
        <v>65</v>
      </c>
      <c r="B16" s="4">
        <v>4.8962505188368102E-2</v>
      </c>
      <c r="C16" s="4">
        <v>0.13318657224473399</v>
      </c>
      <c r="D16" s="4">
        <v>4.7946412015174203E-2</v>
      </c>
      <c r="E16" s="4">
        <v>4.8963076167480302E-2</v>
      </c>
      <c r="F16" s="4">
        <v>0.13316297792587201</v>
      </c>
      <c r="G16" s="4">
        <v>4.6892559769645403E-2</v>
      </c>
      <c r="H16" s="4">
        <v>4.6683004104946503E-2</v>
      </c>
      <c r="I16" s="4">
        <v>4.7101766866804999E-2</v>
      </c>
      <c r="J16" s="4">
        <v>9.8398628853217998E-2</v>
      </c>
      <c r="K16" s="4">
        <v>0.21283046720606</v>
      </c>
      <c r="L16" s="4">
        <v>0.11442690318441</v>
      </c>
      <c r="M16" s="4">
        <v>5.7482657848701102E-2</v>
      </c>
      <c r="N16" s="4">
        <v>4.7730477700610903E-2</v>
      </c>
      <c r="O16" s="4">
        <v>4.8018834483806602E-2</v>
      </c>
      <c r="Q16" s="1">
        <v>65</v>
      </c>
      <c r="R16" s="29">
        <f t="shared" si="1"/>
        <v>1.4096728416496978E-5</v>
      </c>
      <c r="S16" s="29">
        <f t="shared" si="2"/>
        <v>8.8549436386216795E-4</v>
      </c>
      <c r="T16" s="29">
        <f t="shared" si="3"/>
        <v>3.5840422038839524E-6</v>
      </c>
      <c r="U16" s="29">
        <f t="shared" si="4"/>
        <v>1.4102635871048258E-5</v>
      </c>
      <c r="V16" s="29">
        <f t="shared" si="5"/>
        <v>8.8525025271454891E-4</v>
      </c>
      <c r="W16" s="29">
        <f t="shared" si="6"/>
        <v>-7.3193062920789637E-6</v>
      </c>
      <c r="X16" s="29">
        <f t="shared" si="7"/>
        <v>-9.4874076091367196E-6</v>
      </c>
      <c r="Y16" s="29">
        <f t="shared" si="8"/>
        <v>-5.1548113186728363E-6</v>
      </c>
      <c r="Z16" s="29">
        <f t="shared" si="9"/>
        <v>5.2557192514761928E-4</v>
      </c>
      <c r="AA16" s="29">
        <f t="shared" si="10"/>
        <v>1.7095046992991495E-3</v>
      </c>
      <c r="AB16" s="29">
        <f t="shared" si="11"/>
        <v>6.9140338924834975E-4</v>
      </c>
      <c r="AC16" s="29">
        <f t="shared" si="12"/>
        <v>1.0224778952450079E-4</v>
      </c>
      <c r="AD16" s="29">
        <f t="shared" si="13"/>
        <v>1.349946206167355E-6</v>
      </c>
      <c r="AE16" s="29">
        <f t="shared" si="14"/>
        <v>4.333338338885083E-6</v>
      </c>
    </row>
    <row r="17" spans="1:31">
      <c r="A17" s="1">
        <v>70</v>
      </c>
      <c r="B17" s="4">
        <v>4.8500200015779399E-2</v>
      </c>
      <c r="C17" s="4">
        <v>0.12540370018274899</v>
      </c>
      <c r="D17" s="4">
        <v>4.6246272410769201E-2</v>
      </c>
      <c r="E17" s="4">
        <v>4.6981857061742099E-2</v>
      </c>
      <c r="F17" s="4">
        <v>0.125691008619009</v>
      </c>
      <c r="G17" s="4">
        <v>4.6454671885761599E-2</v>
      </c>
      <c r="H17" s="4">
        <v>4.8660454301853499E-2</v>
      </c>
      <c r="I17" s="4">
        <v>4.9697507150396801E-2</v>
      </c>
      <c r="J17" s="4">
        <v>8.2363252132297296E-2</v>
      </c>
      <c r="K17" s="4">
        <v>0.185989025836577</v>
      </c>
      <c r="L17" s="4">
        <v>0.101169045269893</v>
      </c>
      <c r="M17" s="4">
        <v>4.5733056859069803E-2</v>
      </c>
      <c r="N17" s="4">
        <v>4.8665874632302902E-2</v>
      </c>
      <c r="O17" s="4">
        <v>4.7696782646402702E-2</v>
      </c>
      <c r="Q17" s="1">
        <v>70</v>
      </c>
      <c r="R17" s="29">
        <f>(B17-0.0476)/96.654</f>
        <v>9.3136343636000105E-6</v>
      </c>
      <c r="S17" s="29">
        <f t="shared" si="2"/>
        <v>8.04971342963033E-4</v>
      </c>
      <c r="T17" s="29">
        <f t="shared" si="3"/>
        <v>-1.4005913766950175E-5</v>
      </c>
      <c r="U17" s="29">
        <f t="shared" si="4"/>
        <v>-6.3954201404794838E-6</v>
      </c>
      <c r="V17" s="29">
        <f t="shared" si="5"/>
        <v>8.0794388870619944E-4</v>
      </c>
      <c r="W17" s="29">
        <f t="shared" si="6"/>
        <v>-1.1849774600517356E-5</v>
      </c>
      <c r="X17" s="29">
        <f t="shared" si="7"/>
        <v>1.0971654580808823E-5</v>
      </c>
      <c r="Y17" s="29">
        <f t="shared" si="8"/>
        <v>2.1701193436348188E-5</v>
      </c>
      <c r="Z17" s="29">
        <f t="shared" si="9"/>
        <v>3.596669784209375E-4</v>
      </c>
      <c r="AA17" s="29">
        <f t="shared" si="10"/>
        <v>1.431798227042616E-3</v>
      </c>
      <c r="AB17" s="29">
        <f t="shared" si="11"/>
        <v>5.5423516119242858E-4</v>
      </c>
      <c r="AC17" s="29">
        <f t="shared" si="12"/>
        <v>-1.9315735933641661E-5</v>
      </c>
      <c r="AD17" s="29">
        <f t="shared" si="13"/>
        <v>1.1027734313146884E-5</v>
      </c>
      <c r="AE17" s="29">
        <f t="shared" si="14"/>
        <v>1.0013309992623053E-6</v>
      </c>
    </row>
    <row r="18" spans="1:31">
      <c r="A18" s="1">
        <v>75</v>
      </c>
      <c r="B18" s="4">
        <v>4.7325735351727898E-2</v>
      </c>
      <c r="C18" s="4">
        <v>0.11154095819936</v>
      </c>
      <c r="D18" s="4">
        <v>4.7044076758985399E-2</v>
      </c>
      <c r="E18" s="4">
        <v>4.8243515123241397E-2</v>
      </c>
      <c r="F18" s="4">
        <v>0.11410173574157</v>
      </c>
      <c r="G18" s="4">
        <v>4.7275306019480601E-2</v>
      </c>
      <c r="H18" s="4">
        <v>4.6090027634425101E-2</v>
      </c>
      <c r="I18" s="4">
        <v>4.81135580615044E-2</v>
      </c>
      <c r="J18" s="4">
        <v>6.3557801973431693E-2</v>
      </c>
      <c r="K18" s="4">
        <v>0.17558319316047699</v>
      </c>
      <c r="L18" s="4">
        <v>8.9248109520048996E-2</v>
      </c>
      <c r="M18" s="4">
        <v>4.7161232856724397E-2</v>
      </c>
      <c r="N18" s="4">
        <v>4.7556118509507098E-2</v>
      </c>
      <c r="O18" s="4">
        <v>5.0253543136878402E-2</v>
      </c>
      <c r="Q18" s="1">
        <v>75</v>
      </c>
      <c r="R18" s="29">
        <f t="shared" si="1"/>
        <v>-2.8375923218087807E-6</v>
      </c>
      <c r="S18" s="29">
        <f t="shared" si="2"/>
        <v>6.6154487345955677E-4</v>
      </c>
      <c r="T18" s="29">
        <f t="shared" si="3"/>
        <v>-5.7516837483663784E-6</v>
      </c>
      <c r="U18" s="29">
        <f t="shared" si="4"/>
        <v>6.6579254168621433E-6</v>
      </c>
      <c r="V18" s="29">
        <f t="shared" si="5"/>
        <v>6.8803914728381643E-4</v>
      </c>
      <c r="W18" s="29">
        <f t="shared" si="6"/>
        <v>-3.3593434365820626E-6</v>
      </c>
      <c r="X18" s="29">
        <f t="shared" si="7"/>
        <v>-1.5622450861577399E-5</v>
      </c>
      <c r="Y18" s="29">
        <f t="shared" si="8"/>
        <v>5.3133658359136314E-6</v>
      </c>
      <c r="Z18" s="29">
        <f t="shared" si="9"/>
        <v>1.6510234417025358E-4</v>
      </c>
      <c r="AA18" s="29">
        <f t="shared" si="10"/>
        <v>1.3241375748595712E-3</v>
      </c>
      <c r="AB18" s="29">
        <f t="shared" si="11"/>
        <v>4.3089897490066625E-4</v>
      </c>
      <c r="AC18" s="29">
        <f>(M18-0.0476)/96.654</f>
        <v>-4.5395652872680517E-6</v>
      </c>
      <c r="AD18" s="29">
        <f t="shared" si="13"/>
        <v>-4.5400594380890389E-7</v>
      </c>
      <c r="AE18" s="29">
        <f t="shared" si="14"/>
        <v>2.7454043669981573E-5</v>
      </c>
    </row>
    <row r="19" spans="1:31">
      <c r="A19" s="1">
        <v>80</v>
      </c>
      <c r="B19" s="4">
        <v>4.7744237251963202E-2</v>
      </c>
      <c r="C19" s="4">
        <v>0.110125219294588</v>
      </c>
      <c r="D19" s="4">
        <v>4.5976979513658103E-2</v>
      </c>
      <c r="E19" s="4">
        <v>4.7040269541787798E-2</v>
      </c>
      <c r="F19" s="4">
        <v>0.10224305343656701</v>
      </c>
      <c r="G19" s="4">
        <v>4.6974205035473698E-2</v>
      </c>
      <c r="H19" s="4">
        <v>4.7227011484607798E-2</v>
      </c>
      <c r="I19" s="4">
        <v>4.8467633526934201E-2</v>
      </c>
      <c r="J19" s="4">
        <v>4.8206640930812901E-2</v>
      </c>
      <c r="K19" s="4">
        <v>0.154745016780996</v>
      </c>
      <c r="L19" s="4">
        <v>8.3758494846933595E-2</v>
      </c>
      <c r="M19" s="4">
        <v>4.7733750286895797E-2</v>
      </c>
      <c r="N19" s="4">
        <v>4.8220067001157697E-2</v>
      </c>
      <c r="O19" s="4">
        <v>4.6489334891254702E-2</v>
      </c>
      <c r="Q19" s="1">
        <v>80</v>
      </c>
      <c r="R19" s="29">
        <f>(B19-0.0476)/96.654</f>
        <v>1.4923050464874579E-6</v>
      </c>
      <c r="S19" s="29">
        <f t="shared" si="2"/>
        <v>6.4689737925577838E-4</v>
      </c>
      <c r="T19" s="29">
        <f t="shared" si="3"/>
        <v>-1.6792067439960064E-5</v>
      </c>
      <c r="U19" s="29">
        <f t="shared" si="4"/>
        <v>-5.7910739153289637E-6</v>
      </c>
      <c r="V19" s="29">
        <f t="shared" si="5"/>
        <v>5.6534704654299874E-4</v>
      </c>
      <c r="W19" s="29">
        <f t="shared" si="6"/>
        <v>-6.4745894068150834E-6</v>
      </c>
      <c r="X19" s="29">
        <f t="shared" si="7"/>
        <v>-3.8590075464254535E-6</v>
      </c>
      <c r="Y19" s="29">
        <f t="shared" si="8"/>
        <v>8.9766955007986972E-6</v>
      </c>
      <c r="Z19" s="29">
        <f t="shared" si="9"/>
        <v>6.2764182632161895E-6</v>
      </c>
      <c r="AA19" s="29">
        <f t="shared" si="10"/>
        <v>1.1085419825459474E-3</v>
      </c>
      <c r="AB19" s="29">
        <f t="shared" si="11"/>
        <v>3.7410241528476417E-4</v>
      </c>
      <c r="AC19" s="29">
        <f t="shared" si="12"/>
        <v>1.3838049837129739E-6</v>
      </c>
      <c r="AD19" s="29">
        <f t="shared" si="13"/>
        <v>6.4153268479079387E-6</v>
      </c>
      <c r="AE19" s="29">
        <f t="shared" si="14"/>
        <v>-1.1491144792200025E-5</v>
      </c>
    </row>
    <row r="20" spans="1:31">
      <c r="A20" s="1">
        <v>85</v>
      </c>
      <c r="B20" s="4">
        <v>4.7014985328505003E-2</v>
      </c>
      <c r="C20" s="4">
        <v>9.7359355449040397E-2</v>
      </c>
      <c r="D20" s="4">
        <v>4.7572263137541801E-2</v>
      </c>
      <c r="E20" s="4">
        <v>4.8007932438229498E-2</v>
      </c>
      <c r="F20" s="4">
        <v>9.40501183896051E-2</v>
      </c>
      <c r="G20" s="4">
        <v>4.6362252787221898E-2</v>
      </c>
      <c r="H20" s="4">
        <v>4.6186578715723001E-2</v>
      </c>
      <c r="I20" s="4">
        <v>4.6322958585336797E-2</v>
      </c>
      <c r="J20" s="4">
        <v>4.9064150186720001E-2</v>
      </c>
      <c r="K20" s="4">
        <v>0.13401306982459599</v>
      </c>
      <c r="L20" s="4">
        <v>7.1447885579922404E-2</v>
      </c>
      <c r="M20" s="4">
        <v>4.72780019180713E-2</v>
      </c>
      <c r="N20" s="4">
        <v>4.8247380452886103E-2</v>
      </c>
      <c r="O20" s="4">
        <v>4.5834707273279401E-2</v>
      </c>
      <c r="Q20" s="1">
        <v>85</v>
      </c>
      <c r="R20" s="29">
        <f t="shared" si="1"/>
        <v>-6.0526690203716378E-6</v>
      </c>
      <c r="S20" s="29">
        <f t="shared" si="2"/>
        <v>5.1481941201647521E-4</v>
      </c>
      <c r="T20" s="29">
        <f t="shared" si="3"/>
        <v>-2.8697066296482823E-7</v>
      </c>
      <c r="U20" s="29">
        <f t="shared" si="4"/>
        <v>4.2205437770759005E-6</v>
      </c>
      <c r="V20" s="29">
        <f t="shared" si="5"/>
        <v>4.8058143883962485E-4</v>
      </c>
      <c r="W20" s="29">
        <f t="shared" si="6"/>
        <v>-1.2805959533781375E-5</v>
      </c>
      <c r="X20" s="29">
        <f t="shared" si="7"/>
        <v>-1.4623515677333611E-5</v>
      </c>
      <c r="Y20" s="29">
        <f t="shared" si="8"/>
        <v>-1.3212504548836118E-5</v>
      </c>
      <c r="Z20" s="29">
        <f t="shared" si="9"/>
        <v>1.5148366200260704E-5</v>
      </c>
      <c r="AA20" s="29">
        <f t="shared" si="10"/>
        <v>8.9404545931462734E-4</v>
      </c>
      <c r="AB20" s="29">
        <f t="shared" si="11"/>
        <v>2.4673459535996855E-4</v>
      </c>
      <c r="AC20" s="29">
        <f t="shared" si="12"/>
        <v>-3.3314511756233974E-6</v>
      </c>
      <c r="AD20" s="29">
        <f t="shared" si="13"/>
        <v>6.6979168258540737E-6</v>
      </c>
      <c r="AE20" s="29">
        <f t="shared" si="14"/>
        <v>-1.8264042116421485E-5</v>
      </c>
    </row>
    <row r="21" spans="1:31">
      <c r="A21" s="1">
        <v>90</v>
      </c>
      <c r="B21" s="4">
        <v>4.6905607914054397E-2</v>
      </c>
      <c r="C21" s="4">
        <v>9.2368489510497198E-2</v>
      </c>
      <c r="D21" s="4">
        <v>4.6612543769855498E-2</v>
      </c>
      <c r="E21" s="4">
        <v>4.8029030571660199E-2</v>
      </c>
      <c r="F21" s="4">
        <v>8.1997794419369593E-2</v>
      </c>
      <c r="G21" s="4">
        <v>4.8279820749912203E-2</v>
      </c>
      <c r="H21" s="4">
        <v>4.7271914935900397E-2</v>
      </c>
      <c r="I21" s="4">
        <v>4.7529573203417302E-2</v>
      </c>
      <c r="J21" s="4">
        <v>4.7248918345739403E-2</v>
      </c>
      <c r="K21" s="4">
        <v>0.115164237675294</v>
      </c>
      <c r="L21" s="4">
        <v>6.0989074946195203E-2</v>
      </c>
      <c r="M21" s="4">
        <v>4.7652354629834297E-2</v>
      </c>
      <c r="N21" s="4">
        <v>4.7516772202910902E-2</v>
      </c>
      <c r="O21" s="4">
        <v>4.6514071550274497E-2</v>
      </c>
      <c r="Q21" s="1">
        <v>90</v>
      </c>
      <c r="R21" s="29">
        <f t="shared" si="1"/>
        <v>-7.1843077983902049E-6</v>
      </c>
      <c r="S21" s="29">
        <f t="shared" si="2"/>
        <v>4.6318299822560057E-4</v>
      </c>
      <c r="T21" s="29">
        <f t="shared" si="3"/>
        <v>-1.0216403150873272E-5</v>
      </c>
      <c r="U21" s="29">
        <f t="shared" si="4"/>
        <v>4.4388289326897517E-6</v>
      </c>
      <c r="V21" s="29">
        <f t="shared" si="5"/>
        <v>3.5588588593715308E-4</v>
      </c>
      <c r="W21" s="29">
        <f t="shared" si="6"/>
        <v>7.0335500849649209E-6</v>
      </c>
      <c r="X21" s="29">
        <f t="shared" si="7"/>
        <v>-3.3944282088646757E-6</v>
      </c>
      <c r="Y21" s="29">
        <f t="shared" si="8"/>
        <v>-7.2864854618226891E-7</v>
      </c>
      <c r="Z21" s="29">
        <f t="shared" si="9"/>
        <v>-3.6323551457839323E-6</v>
      </c>
      <c r="AA21" s="29">
        <f t="shared" si="10"/>
        <v>6.9903198703927412E-4</v>
      </c>
      <c r="AB21" s="29">
        <f t="shared" si="11"/>
        <v>1.3852582351682496E-4</v>
      </c>
      <c r="AC21" s="29">
        <f t="shared" si="12"/>
        <v>5.4167059650188661E-7</v>
      </c>
      <c r="AD21" s="29">
        <f t="shared" si="13"/>
        <v>-8.6109004375505701E-7</v>
      </c>
      <c r="AE21" s="29">
        <f t="shared" si="14"/>
        <v>-1.1235214783925205E-5</v>
      </c>
    </row>
    <row r="22" spans="1:31">
      <c r="A22" s="1">
        <v>95</v>
      </c>
      <c r="B22" s="4">
        <v>4.6389806540685301E-2</v>
      </c>
      <c r="C22" s="4">
        <v>8.3395176163927595E-2</v>
      </c>
      <c r="D22" s="4">
        <v>4.7715739826642803E-2</v>
      </c>
      <c r="E22" s="4">
        <v>4.7178097938171001E-2</v>
      </c>
      <c r="F22" s="4">
        <v>7.6052626528843398E-2</v>
      </c>
      <c r="G22" s="4">
        <v>4.7287281894093099E-2</v>
      </c>
      <c r="H22" s="4">
        <v>4.6339632057745099E-2</v>
      </c>
      <c r="I22" s="4">
        <v>4.6114965060045601E-2</v>
      </c>
      <c r="J22" s="4">
        <v>4.8504323671241301E-2</v>
      </c>
      <c r="K22" s="4">
        <v>9.9822769687026705E-2</v>
      </c>
      <c r="L22" s="4">
        <v>4.9202886654826097E-2</v>
      </c>
      <c r="M22" s="4">
        <v>4.8841405189579398E-2</v>
      </c>
      <c r="N22" s="4">
        <v>4.9082792409048399E-2</v>
      </c>
      <c r="O22" s="4">
        <v>4.65591370296599E-2</v>
      </c>
      <c r="Q22" s="1">
        <v>95</v>
      </c>
      <c r="R22" s="29">
        <f t="shared" si="1"/>
        <v>-1.2520883350039343E-5</v>
      </c>
      <c r="S22" s="29">
        <f t="shared" si="2"/>
        <v>3.7034345359661879E-4</v>
      </c>
      <c r="T22" s="29">
        <f t="shared" si="3"/>
        <v>1.197465460744506E-6</v>
      </c>
      <c r="U22" s="29">
        <f t="shared" si="4"/>
        <v>-4.365076063370394E-6</v>
      </c>
      <c r="V22" s="29">
        <f t="shared" si="5"/>
        <v>2.9437608923421063E-4</v>
      </c>
      <c r="W22" s="29">
        <f t="shared" si="6"/>
        <v>-3.2354388427473753E-6</v>
      </c>
      <c r="X22" s="29">
        <f t="shared" si="7"/>
        <v>-1.303999774716933E-5</v>
      </c>
      <c r="Y22" s="29">
        <f t="shared" si="8"/>
        <v>-1.5364443685252574E-5</v>
      </c>
      <c r="Z22" s="29">
        <f t="shared" si="9"/>
        <v>9.3562984588459587E-6</v>
      </c>
      <c r="AA22" s="29">
        <f t="shared" si="10"/>
        <v>5.4030634724922617E-4</v>
      </c>
      <c r="AB22" s="29">
        <f t="shared" si="11"/>
        <v>1.6583759128707493E-5</v>
      </c>
      <c r="AC22" s="29">
        <f t="shared" si="12"/>
        <v>1.2843805632249E-5</v>
      </c>
      <c r="AD22" s="29">
        <f t="shared" si="13"/>
        <v>1.5341242049458853E-5</v>
      </c>
      <c r="AE22" s="29">
        <f t="shared" si="14"/>
        <v>-1.0768959074017667E-5</v>
      </c>
    </row>
    <row r="23" spans="1:31">
      <c r="A23" s="1">
        <v>100</v>
      </c>
      <c r="B23" s="4">
        <v>4.7313031984709299E-2</v>
      </c>
      <c r="C23" s="4">
        <v>6.9805542343865407E-2</v>
      </c>
      <c r="D23" s="4">
        <v>4.6973886082800398E-2</v>
      </c>
      <c r="E23" s="4">
        <v>4.6476252477863203E-2</v>
      </c>
      <c r="F23" s="4">
        <v>6.8645438818448395E-2</v>
      </c>
      <c r="G23" s="4">
        <v>4.80686715445122E-2</v>
      </c>
      <c r="H23" s="4">
        <v>4.7052757126805102E-2</v>
      </c>
      <c r="I23" s="4">
        <v>4.7523233734032E-2</v>
      </c>
      <c r="J23" s="4">
        <v>4.7377822965892297E-2</v>
      </c>
      <c r="K23" s="4">
        <v>7.6662965206599307E-2</v>
      </c>
      <c r="L23" s="4">
        <v>4.7819623437778201E-2</v>
      </c>
      <c r="M23" s="4">
        <v>4.7433511097680403E-2</v>
      </c>
      <c r="N23" s="4">
        <v>4.8590486998949502E-2</v>
      </c>
      <c r="O23" s="4">
        <v>4.7187203949756E-2</v>
      </c>
      <c r="Q23" s="1">
        <v>100</v>
      </c>
      <c r="R23" s="29">
        <f t="shared" si="1"/>
        <v>-2.9690236854212423E-6</v>
      </c>
      <c r="S23" s="29">
        <f t="shared" si="2"/>
        <v>2.2974261120973165E-4</v>
      </c>
      <c r="T23" s="29">
        <f t="shared" si="3"/>
        <v>-6.4778893496348373E-6</v>
      </c>
      <c r="U23" s="29">
        <f t="shared" si="4"/>
        <v>-1.1626497839063055E-5</v>
      </c>
      <c r="V23" s="29">
        <f t="shared" si="5"/>
        <v>2.1773996749693125E-4</v>
      </c>
      <c r="W23" s="29">
        <f t="shared" si="6"/>
        <v>4.8489617037287246E-6</v>
      </c>
      <c r="X23" s="29">
        <f t="shared" si="7"/>
        <v>-5.6618750718532254E-6</v>
      </c>
      <c r="Y23" s="29">
        <f t="shared" si="8"/>
        <v>-7.9423785842286421E-7</v>
      </c>
      <c r="Z23" s="29">
        <f t="shared" si="9"/>
        <v>-2.2986843183697182E-6</v>
      </c>
      <c r="AA23" s="29">
        <f t="shared" si="10"/>
        <v>3.0069076506507032E-4</v>
      </c>
      <c r="AB23" s="29">
        <f t="shared" si="11"/>
        <v>2.2722643426883293E-6</v>
      </c>
      <c r="AC23" s="29">
        <f t="shared" si="12"/>
        <v>-1.7225246996461641E-6</v>
      </c>
      <c r="AD23" s="29">
        <f t="shared" si="13"/>
        <v>1.0247760040448386E-5</v>
      </c>
      <c r="AE23" s="29">
        <f t="shared" si="14"/>
        <v>-4.2708635984439693E-6</v>
      </c>
    </row>
    <row r="24" spans="1:31">
      <c r="A24" s="1">
        <v>105</v>
      </c>
      <c r="B24" s="4">
        <v>4.77095216744505E-2</v>
      </c>
      <c r="C24" s="4">
        <v>6.51276751166492E-2</v>
      </c>
      <c r="D24" s="4">
        <v>4.7322847640881398E-2</v>
      </c>
      <c r="E24" s="4">
        <v>4.6801476051891798E-2</v>
      </c>
      <c r="F24" s="4">
        <v>5.7222919583847898E-2</v>
      </c>
      <c r="G24" s="4">
        <v>4.7267142454317998E-2</v>
      </c>
      <c r="H24" s="4">
        <v>4.6894847195316003E-2</v>
      </c>
      <c r="I24" s="4">
        <v>4.77795882138514E-2</v>
      </c>
      <c r="J24" s="4">
        <v>4.7253005344863298E-2</v>
      </c>
      <c r="K24" s="4">
        <v>5.7410992049470297E-2</v>
      </c>
      <c r="L24" s="4">
        <v>4.7225002864494998E-2</v>
      </c>
      <c r="M24" s="4">
        <v>4.7503286262541897E-2</v>
      </c>
      <c r="N24" s="4">
        <v>4.7032488089997097E-2</v>
      </c>
      <c r="O24" s="4">
        <v>4.7439616675881799E-2</v>
      </c>
      <c r="Q24" s="1">
        <v>105</v>
      </c>
      <c r="R24" s="29">
        <f t="shared" si="1"/>
        <v>1.1331313184192768E-6</v>
      </c>
      <c r="S24" s="29">
        <f t="shared" si="2"/>
        <v>1.8134453945671362E-4</v>
      </c>
      <c r="T24" s="29">
        <f t="shared" si="3"/>
        <v>-2.867469107523803E-6</v>
      </c>
      <c r="U24" s="29">
        <f t="shared" si="4"/>
        <v>-8.2616751309641135E-6</v>
      </c>
      <c r="V24" s="29">
        <f t="shared" si="5"/>
        <v>9.9560489828128107E-5</v>
      </c>
      <c r="W24" s="29">
        <f t="shared" si="6"/>
        <v>-3.443805178078563E-6</v>
      </c>
      <c r="X24" s="29">
        <f t="shared" si="7"/>
        <v>-7.2956401668218654E-6</v>
      </c>
      <c r="Y24" s="29">
        <f t="shared" si="8"/>
        <v>1.8580525777660137E-6</v>
      </c>
      <c r="Z24" s="29">
        <f t="shared" si="9"/>
        <v>-3.5900703037298516E-6</v>
      </c>
      <c r="AA24" s="29">
        <f t="shared" si="10"/>
        <v>1.0150632202982074E-4</v>
      </c>
      <c r="AB24" s="29">
        <f t="shared" si="11"/>
        <v>-3.8797890982784466E-6</v>
      </c>
      <c r="AC24" s="29">
        <f t="shared" si="12"/>
        <v>-1.0006180546910292E-6</v>
      </c>
      <c r="AD24" s="29">
        <f t="shared" si="13"/>
        <v>-5.8715822418410632E-6</v>
      </c>
      <c r="AE24" s="29">
        <f t="shared" si="14"/>
        <v>-1.6593552684648804E-6</v>
      </c>
    </row>
    <row r="25" spans="1:31">
      <c r="A25" s="1">
        <v>110</v>
      </c>
      <c r="B25" s="4">
        <v>4.60232682961349E-2</v>
      </c>
      <c r="C25" s="4">
        <v>5.2926764023846301E-2</v>
      </c>
      <c r="D25" s="4">
        <v>4.6369621442851998E-2</v>
      </c>
      <c r="E25" s="4">
        <v>4.8723558810929497E-2</v>
      </c>
      <c r="F25" s="4">
        <v>4.8261766469222998E-2</v>
      </c>
      <c r="G25" s="4">
        <v>4.8000092064401499E-2</v>
      </c>
      <c r="H25" s="4">
        <v>4.64718782154869E-2</v>
      </c>
      <c r="I25" s="4">
        <v>4.8965431107248103E-2</v>
      </c>
      <c r="J25" s="4">
        <v>4.7301674811480399E-2</v>
      </c>
      <c r="K25" s="4">
        <v>4.7804381498621498E-2</v>
      </c>
      <c r="L25" s="4">
        <v>4.7094832323132503E-2</v>
      </c>
      <c r="M25" s="4">
        <v>4.7400642095501197E-2</v>
      </c>
      <c r="N25" s="4">
        <v>4.8606644484894497E-2</v>
      </c>
      <c r="O25" s="4">
        <v>4.7391956050854701E-2</v>
      </c>
      <c r="Q25" s="1">
        <v>110</v>
      </c>
      <c r="R25" s="29">
        <f t="shared" si="1"/>
        <v>-1.6313155212046091E-5</v>
      </c>
      <c r="S25" s="29">
        <f t="shared" si="2"/>
        <v>5.5111676949182631E-5</v>
      </c>
      <c r="T25" s="29">
        <f t="shared" si="3"/>
        <v>-1.2729722072009494E-5</v>
      </c>
      <c r="U25" s="29">
        <f t="shared" si="4"/>
        <v>1.162454539832282E-5</v>
      </c>
      <c r="V25" s="29">
        <f t="shared" si="5"/>
        <v>6.8467571877314435E-6</v>
      </c>
      <c r="W25" s="29">
        <f t="shared" si="6"/>
        <v>4.139425832365921E-6</v>
      </c>
      <c r="X25" s="29">
        <f t="shared" si="7"/>
        <v>-1.1671754759379882E-5</v>
      </c>
      <c r="Y25" s="29">
        <f t="shared" si="8"/>
        <v>1.4127000509529866E-5</v>
      </c>
      <c r="Z25" s="29">
        <f t="shared" si="9"/>
        <v>-3.0865270813376039E-6</v>
      </c>
      <c r="AA25" s="29">
        <f t="shared" si="10"/>
        <v>2.1145684464325824E-6</v>
      </c>
      <c r="AB25" s="29">
        <f t="shared" si="11"/>
        <v>-5.2265573785616771E-6</v>
      </c>
      <c r="AC25" s="29">
        <f t="shared" si="12"/>
        <v>-2.062593420849695E-6</v>
      </c>
      <c r="AD25" s="29">
        <f t="shared" si="13"/>
        <v>1.0414928351589108E-5</v>
      </c>
      <c r="AE25" s="29">
        <f t="shared" si="14"/>
        <v>-2.1524608308533744E-6</v>
      </c>
    </row>
    <row r="26" spans="1:31">
      <c r="A26" s="1">
        <v>115</v>
      </c>
      <c r="B26" s="4">
        <v>4.7759845401931303E-2</v>
      </c>
      <c r="C26" s="4">
        <v>4.6335597039420799E-2</v>
      </c>
      <c r="D26" s="4">
        <v>4.7227431410692397E-2</v>
      </c>
      <c r="E26" s="4">
        <v>4.79213710532847E-2</v>
      </c>
      <c r="F26" s="4">
        <v>4.7907820806820003E-2</v>
      </c>
      <c r="G26" s="4">
        <v>4.8198359856250601E-2</v>
      </c>
      <c r="H26" s="4">
        <v>4.5634253245270401E-2</v>
      </c>
      <c r="I26" s="4">
        <v>4.7312459119257702E-2</v>
      </c>
      <c r="J26" s="4">
        <v>4.7849610823760103E-2</v>
      </c>
      <c r="K26" s="4">
        <v>4.9514254722691997E-2</v>
      </c>
      <c r="L26" s="4">
        <v>4.6921034376037597E-2</v>
      </c>
      <c r="M26" s="4">
        <v>4.6557764056590997E-2</v>
      </c>
      <c r="N26" s="4">
        <v>4.8394895577448402E-2</v>
      </c>
      <c r="O26" s="4">
        <v>4.81153503828049E-2</v>
      </c>
      <c r="Q26" s="1">
        <v>115</v>
      </c>
      <c r="R26" s="29">
        <f t="shared" si="1"/>
        <v>1.6537898269217983E-6</v>
      </c>
      <c r="S26" s="29">
        <f t="shared" si="2"/>
        <v>-1.3081744786343083E-5</v>
      </c>
      <c r="T26" s="29">
        <f t="shared" si="3"/>
        <v>-3.8546629141846833E-6</v>
      </c>
      <c r="U26" s="29">
        <f t="shared" si="4"/>
        <v>3.3249638223425513E-6</v>
      </c>
      <c r="V26" s="29">
        <f t="shared" si="5"/>
        <v>3.1847704887536989E-6</v>
      </c>
      <c r="W26" s="29">
        <f t="shared" si="6"/>
        <v>6.1907407479317765E-6</v>
      </c>
      <c r="X26" s="29">
        <f t="shared" si="7"/>
        <v>-2.0337976232019395E-5</v>
      </c>
      <c r="Y26" s="29">
        <f t="shared" si="8"/>
        <v>-2.9749506563856783E-6</v>
      </c>
      <c r="Z26" s="29">
        <f t="shared" si="9"/>
        <v>2.5825193345345162E-6</v>
      </c>
      <c r="AA26" s="29">
        <f t="shared" si="10"/>
        <v>1.980523023043013E-5</v>
      </c>
      <c r="AB26" s="29">
        <f t="shared" si="11"/>
        <v>-7.0247027951497731E-6</v>
      </c>
      <c r="AC26" s="29">
        <f t="shared" si="12"/>
        <v>-1.0783164105044862E-5</v>
      </c>
      <c r="AD26" s="29">
        <f t="shared" si="13"/>
        <v>8.2241353430628691E-6</v>
      </c>
      <c r="AE26" s="29">
        <f t="shared" si="14"/>
        <v>5.3319095206085283E-6</v>
      </c>
    </row>
    <row r="27" spans="1:31">
      <c r="A27" s="1">
        <v>120</v>
      </c>
      <c r="B27" s="4">
        <v>4.7759724556051902E-2</v>
      </c>
      <c r="C27" s="4">
        <v>4.7237918545327703E-2</v>
      </c>
      <c r="D27" s="4">
        <v>4.7030987991036298E-2</v>
      </c>
      <c r="E27" s="4">
        <v>4.6797648727880399E-2</v>
      </c>
      <c r="F27" s="4">
        <v>4.70566921463643E-2</v>
      </c>
      <c r="G27" s="4">
        <v>4.7653207992462199E-2</v>
      </c>
      <c r="H27" s="4">
        <v>4.8137936941264697E-2</v>
      </c>
      <c r="I27" s="4">
        <v>4.84154919631875E-2</v>
      </c>
      <c r="J27" s="4">
        <v>4.6135792068887002E-2</v>
      </c>
      <c r="K27" s="4">
        <v>4.7624327820608499E-2</v>
      </c>
      <c r="L27" s="4">
        <v>4.81690199850517E-2</v>
      </c>
      <c r="M27" s="4">
        <v>4.7536139545569497E-2</v>
      </c>
      <c r="N27" s="4">
        <v>4.6608125390890598E-2</v>
      </c>
      <c r="O27" s="4">
        <v>4.7970581426058798E-2</v>
      </c>
      <c r="Q27" s="1">
        <v>120</v>
      </c>
      <c r="R27" s="29">
        <f t="shared" si="1"/>
        <v>1.6525395333033185E-6</v>
      </c>
      <c r="S27" s="29">
        <f t="shared" si="2"/>
        <v>-3.746161097029611E-6</v>
      </c>
      <c r="T27" s="29">
        <f t="shared" si="3"/>
        <v>-5.8871025406471072E-6</v>
      </c>
      <c r="U27" s="29">
        <f t="shared" si="4"/>
        <v>-8.301273326707683E-6</v>
      </c>
      <c r="V27" s="29">
        <f t="shared" si="5"/>
        <v>-5.6211626382322885E-6</v>
      </c>
      <c r="W27" s="29">
        <f t="shared" si="6"/>
        <v>5.5049964266554231E-7</v>
      </c>
      <c r="X27" s="29">
        <f t="shared" si="7"/>
        <v>5.5655941943912712E-6</v>
      </c>
      <c r="Y27" s="29">
        <f t="shared" si="8"/>
        <v>8.4372293250925636E-6</v>
      </c>
      <c r="Z27" s="29">
        <f t="shared" si="9"/>
        <v>-1.5148963634334859E-5</v>
      </c>
      <c r="AA27" s="29">
        <f t="shared" si="10"/>
        <v>2.5170009113430816E-7</v>
      </c>
      <c r="AB27" s="29">
        <f t="shared" si="11"/>
        <v>5.8871850627154281E-6</v>
      </c>
      <c r="AC27" s="29">
        <f t="shared" si="12"/>
        <v>-6.6071196671121765E-7</v>
      </c>
      <c r="AD27" s="29">
        <f t="shared" si="13"/>
        <v>-1.0262116509501992E-5</v>
      </c>
      <c r="AE27" s="29">
        <f t="shared" si="14"/>
        <v>3.8341033589793928E-6</v>
      </c>
    </row>
    <row r="28" spans="1:31">
      <c r="A28" s="1">
        <v>125</v>
      </c>
      <c r="B28" s="4">
        <v>4.7762804180160497E-2</v>
      </c>
      <c r="C28" s="4">
        <v>4.6689872997969499E-2</v>
      </c>
      <c r="D28" s="4">
        <v>4.87018776652825E-2</v>
      </c>
      <c r="E28" s="4">
        <v>4.8521952725226102E-2</v>
      </c>
      <c r="F28" s="4">
        <v>4.6358562830187501E-2</v>
      </c>
      <c r="G28" s="4">
        <v>4.6430848581193097E-2</v>
      </c>
      <c r="H28" s="4">
        <v>4.9504135532996603E-2</v>
      </c>
      <c r="I28" s="4">
        <v>4.6758669331954397E-2</v>
      </c>
      <c r="J28" s="4">
        <v>4.7204374727620103E-2</v>
      </c>
      <c r="K28" s="4">
        <v>4.7893501063306997E-2</v>
      </c>
      <c r="L28" s="4">
        <v>4.9103851818605299E-2</v>
      </c>
      <c r="M28" s="4">
        <v>4.8381262617366201E-2</v>
      </c>
      <c r="N28" s="4">
        <v>4.8739335764429903E-2</v>
      </c>
      <c r="O28" s="4">
        <v>4.83151699934233E-2</v>
      </c>
      <c r="Q28" s="1">
        <v>125</v>
      </c>
      <c r="R28" s="29">
        <f t="shared" si="1"/>
        <v>1.6844018888043247E-6</v>
      </c>
      <c r="S28" s="29">
        <f t="shared" si="2"/>
        <v>-9.4163407829009092E-6</v>
      </c>
      <c r="T28" s="29">
        <f t="shared" si="3"/>
        <v>1.1400228291457125E-5</v>
      </c>
      <c r="U28" s="29">
        <f t="shared" si="4"/>
        <v>9.5386918826546038E-6</v>
      </c>
      <c r="V28" s="29">
        <f t="shared" si="5"/>
        <v>-1.2844136505602484E-5</v>
      </c>
      <c r="W28" s="29">
        <f t="shared" si="6"/>
        <v>-1.2096254876227637E-5</v>
      </c>
      <c r="X28" s="29">
        <f t="shared" si="7"/>
        <v>1.9700535239065113E-5</v>
      </c>
      <c r="Y28" s="29">
        <f t="shared" si="8"/>
        <v>-8.7045613016078611E-6</v>
      </c>
      <c r="Z28" s="29">
        <f t="shared" si="9"/>
        <v>-4.0932115833788569E-6</v>
      </c>
      <c r="AA28" s="29">
        <f t="shared" si="10"/>
        <v>3.0366157976596226E-6</v>
      </c>
      <c r="AB28" s="29">
        <f t="shared" si="11"/>
        <v>1.5559126560776536E-5</v>
      </c>
      <c r="AC28" s="29">
        <f t="shared" si="12"/>
        <v>8.0830862392264961E-6</v>
      </c>
      <c r="AD28" s="29">
        <f t="shared" si="13"/>
        <v>1.1787776651042891E-5</v>
      </c>
      <c r="AE28" s="29">
        <f t="shared" si="14"/>
        <v>7.3992798375990302E-6</v>
      </c>
    </row>
    <row r="29" spans="1:31">
      <c r="A29" s="1">
        <v>130</v>
      </c>
      <c r="B29" s="4">
        <v>4.8122165391086602E-2</v>
      </c>
      <c r="C29" s="4">
        <v>4.5893560870923E-2</v>
      </c>
      <c r="D29" s="4">
        <v>4.8244545275136698E-2</v>
      </c>
      <c r="E29" s="4">
        <v>4.6681389503193303E-2</v>
      </c>
      <c r="F29" s="4">
        <v>4.6916670335058003E-2</v>
      </c>
      <c r="G29" s="4">
        <v>4.7312409989211497E-2</v>
      </c>
      <c r="H29" s="4">
        <v>4.9716607989662702E-2</v>
      </c>
      <c r="I29" s="4">
        <v>4.6180026022854599E-2</v>
      </c>
      <c r="J29" s="4">
        <v>4.7156292301897197E-2</v>
      </c>
      <c r="K29" s="4">
        <v>4.6706788655482397E-2</v>
      </c>
      <c r="L29" s="4">
        <v>4.5952883962970398E-2</v>
      </c>
      <c r="M29" s="4">
        <v>4.7275270647012098E-2</v>
      </c>
      <c r="N29" s="4">
        <v>4.6234393881768303E-2</v>
      </c>
      <c r="O29" s="4">
        <v>4.9292899616124999E-2</v>
      </c>
      <c r="Q29" s="1">
        <v>130</v>
      </c>
      <c r="R29" s="29">
        <f t="shared" si="1"/>
        <v>5.402418845434216E-6</v>
      </c>
      <c r="S29" s="29">
        <f t="shared" si="2"/>
        <v>-1.7655132007749325E-5</v>
      </c>
      <c r="T29" s="29">
        <f t="shared" si="3"/>
        <v>6.6685835571905413E-6</v>
      </c>
      <c r="U29" s="29">
        <f t="shared" si="4"/>
        <v>-9.5041125748204957E-6</v>
      </c>
      <c r="V29" s="29">
        <f t="shared" si="5"/>
        <v>-7.0698539630227477E-6</v>
      </c>
      <c r="W29" s="29">
        <f t="shared" si="6"/>
        <v>-2.9754589648489074E-6</v>
      </c>
      <c r="X29" s="29">
        <f t="shared" si="7"/>
        <v>2.1898814220443011E-5</v>
      </c>
      <c r="Y29" s="29">
        <f t="shared" si="8"/>
        <v>-1.4691311038812716E-5</v>
      </c>
      <c r="Z29" s="29">
        <f t="shared" si="9"/>
        <v>-4.590681173079296E-6</v>
      </c>
      <c r="AA29" s="29">
        <f t="shared" si="10"/>
        <v>-9.2413282897511424E-6</v>
      </c>
      <c r="AB29" s="29">
        <f t="shared" si="11"/>
        <v>-1.7041364423920435E-5</v>
      </c>
      <c r="AC29" s="29">
        <f t="shared" si="12"/>
        <v>-3.3597094066247188E-6</v>
      </c>
      <c r="AD29" s="29">
        <f t="shared" si="13"/>
        <v>-1.4128811205244487E-5</v>
      </c>
      <c r="AE29" s="29">
        <f t="shared" si="14"/>
        <v>1.7515049725050138E-5</v>
      </c>
    </row>
    <row r="30" spans="1:31">
      <c r="A30" s="1">
        <v>135</v>
      </c>
      <c r="B30" s="4">
        <v>4.6158611233447097E-2</v>
      </c>
      <c r="C30" s="4">
        <v>4.8157697957241001E-2</v>
      </c>
      <c r="D30" s="4">
        <v>4.8712066448679897E-2</v>
      </c>
      <c r="E30" s="4">
        <v>4.6985128745198002E-2</v>
      </c>
      <c r="F30" s="4">
        <v>4.8051024318228198E-2</v>
      </c>
      <c r="G30" s="4">
        <v>4.6629416566086601E-2</v>
      </c>
      <c r="H30" s="4">
        <v>4.7131446938238897E-2</v>
      </c>
      <c r="I30" s="4">
        <v>4.8880546569661398E-2</v>
      </c>
      <c r="J30" s="4">
        <v>4.5764058748405299E-2</v>
      </c>
      <c r="K30" s="4">
        <v>4.9193853586093697E-2</v>
      </c>
      <c r="L30" s="4">
        <v>4.8040755954187803E-2</v>
      </c>
      <c r="M30" s="4">
        <v>4.6883216280091303E-2</v>
      </c>
      <c r="N30" s="4">
        <v>4.7499305342182802E-2</v>
      </c>
      <c r="O30" s="4">
        <v>4.8764355549250599E-2</v>
      </c>
      <c r="Q30" s="1">
        <v>135</v>
      </c>
      <c r="R30" s="29">
        <f t="shared" si="1"/>
        <v>-1.4912872375203369E-5</v>
      </c>
      <c r="S30" s="29">
        <f t="shared" si="2"/>
        <v>5.7700452877376796E-6</v>
      </c>
      <c r="T30" s="29">
        <f t="shared" si="3"/>
        <v>1.1505643312019096E-5</v>
      </c>
      <c r="U30" s="29">
        <f t="shared" si="4"/>
        <v>-6.3615707037681E-6</v>
      </c>
      <c r="V30" s="29">
        <f t="shared" si="5"/>
        <v>4.6663802659816983E-6</v>
      </c>
      <c r="W30" s="29">
        <f t="shared" si="6"/>
        <v>-1.0041834108401126E-5</v>
      </c>
      <c r="X30" s="29">
        <f t="shared" si="7"/>
        <v>-4.8477358594688962E-6</v>
      </c>
      <c r="Y30" s="29">
        <f t="shared" si="8"/>
        <v>1.3248769524917696E-5</v>
      </c>
      <c r="Z30" s="29">
        <f t="shared" si="9"/>
        <v>-1.8994984704147827E-5</v>
      </c>
      <c r="AA30" s="29">
        <f t="shared" si="10"/>
        <v>1.6490301343903965E-5</v>
      </c>
      <c r="AB30" s="29">
        <f t="shared" si="11"/>
        <v>4.560141889500685E-6</v>
      </c>
      <c r="AC30" s="29">
        <f t="shared" si="12"/>
        <v>-7.4159757476017627E-6</v>
      </c>
      <c r="AD30" s="29">
        <f t="shared" si="13"/>
        <v>-1.0418053864009962E-6</v>
      </c>
      <c r="AE30" s="29">
        <f t="shared" si="14"/>
        <v>1.2046635930748808E-5</v>
      </c>
    </row>
    <row r="31" spans="1:31">
      <c r="A31" s="1">
        <v>140</v>
      </c>
      <c r="B31" s="4">
        <v>4.6162436376556301E-2</v>
      </c>
      <c r="C31" s="4">
        <v>4.8300287350585801E-2</v>
      </c>
      <c r="D31" s="4">
        <v>4.8313646983618799E-2</v>
      </c>
      <c r="E31" s="4">
        <v>4.8082406331902097E-2</v>
      </c>
      <c r="F31" s="4">
        <v>4.6623945464030897E-2</v>
      </c>
      <c r="G31" s="4">
        <v>4.8063104564374397E-2</v>
      </c>
      <c r="H31" s="4">
        <v>4.7556205206360398E-2</v>
      </c>
      <c r="I31" s="4">
        <v>4.8124764623139901E-2</v>
      </c>
      <c r="J31" s="4">
        <v>4.87732276494178E-2</v>
      </c>
      <c r="K31" s="4">
        <v>4.7718988741500497E-2</v>
      </c>
      <c r="L31" s="4">
        <v>4.7405456229020503E-2</v>
      </c>
      <c r="M31" s="4">
        <v>4.71792903344374E-2</v>
      </c>
      <c r="N31" s="4">
        <v>4.7089079537146299E-2</v>
      </c>
      <c r="O31" s="4">
        <v>4.63783401884163E-2</v>
      </c>
      <c r="Q31" s="1">
        <v>140</v>
      </c>
      <c r="R31" s="29">
        <f t="shared" si="1"/>
        <v>-1.4873296743473652E-5</v>
      </c>
      <c r="S31" s="29">
        <f t="shared" si="2"/>
        <v>7.2453012869182588E-6</v>
      </c>
      <c r="T31" s="29">
        <f t="shared" si="3"/>
        <v>7.3835224990046545E-6</v>
      </c>
      <c r="U31" s="29">
        <f t="shared" si="4"/>
        <v>4.9910643315547607E-6</v>
      </c>
      <c r="V31" s="29">
        <f t="shared" si="5"/>
        <v>-1.0098439133084056E-5</v>
      </c>
      <c r="W31" s="29">
        <f t="shared" si="6"/>
        <v>4.7913647068346197E-6</v>
      </c>
      <c r="X31" s="29">
        <f t="shared" si="7"/>
        <v>-4.5310896227373109E-7</v>
      </c>
      <c r="Y31" s="29">
        <f t="shared" si="8"/>
        <v>5.429310976678646E-6</v>
      </c>
      <c r="Z31" s="29">
        <f t="shared" si="9"/>
        <v>1.2138428305272377E-5</v>
      </c>
      <c r="AA31" s="29">
        <f t="shared" si="10"/>
        <v>1.2310793293655036E-6</v>
      </c>
      <c r="AB31" s="29">
        <f t="shared" si="11"/>
        <v>-2.0127855130620654E-6</v>
      </c>
      <c r="AC31" s="29">
        <f t="shared" si="12"/>
        <v>-4.3527393130403641E-6</v>
      </c>
      <c r="AD31" s="29">
        <f t="shared" si="13"/>
        <v>-5.2860767568202541E-6</v>
      </c>
      <c r="AE31" s="29">
        <f t="shared" si="14"/>
        <v>-1.2639516332316335E-5</v>
      </c>
    </row>
    <row r="32" spans="1:31">
      <c r="A32" s="1">
        <v>145</v>
      </c>
      <c r="B32" s="4">
        <v>4.8159681117165599E-2</v>
      </c>
      <c r="C32" s="4">
        <v>4.7989578870359498E-2</v>
      </c>
      <c r="D32" s="4">
        <v>4.87848996835804E-2</v>
      </c>
      <c r="E32" s="4">
        <v>4.6046875708584199E-2</v>
      </c>
      <c r="F32" s="4">
        <v>4.8019104696502397E-2</v>
      </c>
      <c r="G32" s="4">
        <v>4.7205264287245703E-2</v>
      </c>
      <c r="H32" s="4">
        <v>4.7156608850445002E-2</v>
      </c>
      <c r="I32" s="4">
        <v>4.8520628041966198E-2</v>
      </c>
      <c r="J32" s="4">
        <v>4.7043941351109501E-2</v>
      </c>
      <c r="K32" s="4">
        <v>4.8104656396236303E-2</v>
      </c>
      <c r="L32" s="4">
        <v>4.7402377250977797E-2</v>
      </c>
      <c r="M32" s="4">
        <v>4.8246837626360603E-2</v>
      </c>
      <c r="N32" s="4">
        <v>4.7547795805711897E-2</v>
      </c>
      <c r="O32" s="4">
        <v>4.5382835300498303E-2</v>
      </c>
      <c r="Q32" s="1">
        <v>145</v>
      </c>
      <c r="R32" s="29">
        <f t="shared" si="1"/>
        <v>5.7905634238168736E-6</v>
      </c>
      <c r="S32" s="29">
        <f t="shared" si="2"/>
        <v>4.0306543998126761E-6</v>
      </c>
      <c r="T32" s="29">
        <f t="shared" si="3"/>
        <v>1.2259189310120605E-5</v>
      </c>
      <c r="U32" s="29">
        <f t="shared" si="4"/>
        <v>-1.6068908595772594E-5</v>
      </c>
      <c r="V32" s="29">
        <f t="shared" si="5"/>
        <v>4.3361340089638705E-6</v>
      </c>
      <c r="W32" s="29">
        <f t="shared" si="6"/>
        <v>-4.0840080364423639E-6</v>
      </c>
      <c r="X32" s="29">
        <f t="shared" si="7"/>
        <v>-4.5874061037825815E-6</v>
      </c>
      <c r="Y32" s="29">
        <f t="shared" si="8"/>
        <v>9.5249864668424913E-6</v>
      </c>
      <c r="Z32" s="29">
        <f t="shared" si="9"/>
        <v>-5.7530847030697338E-6</v>
      </c>
      <c r="AA32" s="29">
        <f t="shared" si="10"/>
        <v>5.221267575437125E-6</v>
      </c>
      <c r="AB32" s="29">
        <f t="shared" si="11"/>
        <v>-2.0446411842469721E-6</v>
      </c>
      <c r="AC32" s="29">
        <f t="shared" si="12"/>
        <v>6.692300643124957E-6</v>
      </c>
      <c r="AD32" s="29">
        <f t="shared" si="13"/>
        <v>-5.4011416276725827E-7</v>
      </c>
      <c r="AE32" s="29">
        <f t="shared" si="14"/>
        <v>-2.2939192371776649E-5</v>
      </c>
    </row>
    <row r="33" spans="1:31">
      <c r="A33" s="1">
        <v>150</v>
      </c>
      <c r="B33" s="4">
        <v>4.6106878783310198E-2</v>
      </c>
      <c r="C33" s="4">
        <v>4.7154127664361702E-2</v>
      </c>
      <c r="D33" s="4">
        <v>4.7253228784779798E-2</v>
      </c>
      <c r="E33" s="4">
        <v>4.6572235201337998E-2</v>
      </c>
      <c r="F33" s="4">
        <v>4.7897203818853103E-2</v>
      </c>
      <c r="G33" s="4">
        <v>4.6911042683148003E-2</v>
      </c>
      <c r="H33" s="4">
        <v>4.7672301955383599E-2</v>
      </c>
      <c r="I33" s="4">
        <v>4.7889693392440799E-2</v>
      </c>
      <c r="J33" s="4">
        <v>4.7131189356873097E-2</v>
      </c>
      <c r="K33" s="4">
        <v>4.66936310513218E-2</v>
      </c>
      <c r="L33" s="4">
        <v>4.8366560866264702E-2</v>
      </c>
      <c r="M33" s="4">
        <v>4.7535533928517802E-2</v>
      </c>
      <c r="N33" s="4">
        <v>4.7101478080975603E-2</v>
      </c>
      <c r="O33" s="4">
        <v>4.8458638756537997E-2</v>
      </c>
      <c r="Q33" s="1">
        <v>150</v>
      </c>
      <c r="R33" s="29">
        <f t="shared" si="1"/>
        <v>-1.5448105786514838E-5</v>
      </c>
      <c r="S33" s="29">
        <f t="shared" si="2"/>
        <v>-4.6130769097844041E-6</v>
      </c>
      <c r="T33" s="29">
        <f t="shared" si="3"/>
        <v>-3.5877585533987777E-6</v>
      </c>
      <c r="U33" s="29">
        <f t="shared" si="4"/>
        <v>-1.0633442989033098E-5</v>
      </c>
      <c r="V33" s="29">
        <f t="shared" si="5"/>
        <v>3.0749251852287465E-6</v>
      </c>
      <c r="W33" s="29">
        <f t="shared" si="6"/>
        <v>-7.1280786811927081E-6</v>
      </c>
      <c r="X33" s="29">
        <f t="shared" si="7"/>
        <v>7.4804928283977347E-7</v>
      </c>
      <c r="Y33" s="29">
        <f t="shared" si="8"/>
        <v>2.9972209369585918E-6</v>
      </c>
      <c r="Z33" s="29">
        <f t="shared" si="9"/>
        <v>-4.8504008434923124E-6</v>
      </c>
      <c r="AA33" s="29">
        <f t="shared" si="10"/>
        <v>-9.3774592740931896E-6</v>
      </c>
      <c r="AB33" s="29">
        <f t="shared" si="11"/>
        <v>7.9309792276025658E-6</v>
      </c>
      <c r="AC33" s="29">
        <f t="shared" si="12"/>
        <v>-6.6697779173341241E-7</v>
      </c>
      <c r="AD33" s="29">
        <f t="shared" si="13"/>
        <v>-5.1577991497961807E-6</v>
      </c>
      <c r="AE33" s="29">
        <f t="shared" si="14"/>
        <v>8.8836339576012767E-6</v>
      </c>
    </row>
    <row r="34" spans="1:31">
      <c r="A34" s="1">
        <v>155</v>
      </c>
      <c r="B34" s="4">
        <v>4.7547374212359599E-2</v>
      </c>
      <c r="C34" s="4">
        <v>4.8389352749064501E-2</v>
      </c>
      <c r="D34" s="4">
        <v>4.66553015681338E-2</v>
      </c>
      <c r="E34" s="4">
        <v>4.74769447087501E-2</v>
      </c>
      <c r="F34" s="4">
        <v>4.8593774162047999E-2</v>
      </c>
      <c r="G34" s="4">
        <v>4.81592000224405E-2</v>
      </c>
      <c r="H34" s="4">
        <v>4.6725331298759998E-2</v>
      </c>
      <c r="I34" s="4">
        <v>4.6185820414753498E-2</v>
      </c>
      <c r="J34" s="4">
        <v>4.9254147076443898E-2</v>
      </c>
      <c r="K34" s="4">
        <v>4.8413048762945901E-2</v>
      </c>
      <c r="L34" s="4">
        <v>4.76016888201675E-2</v>
      </c>
      <c r="M34" s="4">
        <v>4.8152484352213497E-2</v>
      </c>
      <c r="N34" s="4">
        <v>4.7047895946192297E-2</v>
      </c>
      <c r="O34" s="4">
        <v>4.5852471973084098E-2</v>
      </c>
      <c r="Q34" s="1">
        <v>155</v>
      </c>
      <c r="R34" s="29">
        <f t="shared" si="1"/>
        <v>-5.4447604486523967E-7</v>
      </c>
      <c r="S34" s="29">
        <f t="shared" si="2"/>
        <v>8.1667882246414843E-6</v>
      </c>
      <c r="T34" s="29">
        <f t="shared" si="3"/>
        <v>-9.7740231326815578E-6</v>
      </c>
      <c r="U34" s="29">
        <f t="shared" si="4"/>
        <v>-1.273152598442931E-6</v>
      </c>
      <c r="V34" s="29">
        <f t="shared" si="5"/>
        <v>1.0281769632379373E-5</v>
      </c>
      <c r="W34" s="29">
        <f t="shared" si="6"/>
        <v>5.7855859296097073E-6</v>
      </c>
      <c r="X34" s="29">
        <f t="shared" si="7"/>
        <v>-9.0494827036646769E-6</v>
      </c>
      <c r="Y34" s="29">
        <f t="shared" si="8"/>
        <v>-1.4631361198155333E-5</v>
      </c>
      <c r="Z34" s="29">
        <f t="shared" si="9"/>
        <v>1.7114108846440856E-5</v>
      </c>
      <c r="AA34" s="29">
        <f t="shared" si="10"/>
        <v>8.4119515275715195E-6</v>
      </c>
      <c r="AB34" s="29">
        <f t="shared" si="11"/>
        <v>1.7472843001801351E-8</v>
      </c>
      <c r="AC34" s="29">
        <f t="shared" si="12"/>
        <v>5.7161043745059016E-6</v>
      </c>
      <c r="AD34" s="29">
        <f t="shared" si="13"/>
        <v>-5.7121697374935957E-6</v>
      </c>
      <c r="AE34" s="29">
        <f t="shared" si="14"/>
        <v>-1.8080245276097267E-5</v>
      </c>
    </row>
    <row r="35" spans="1:31">
      <c r="A35" s="1">
        <v>160</v>
      </c>
      <c r="B35" s="4">
        <v>4.7914777493761503E-2</v>
      </c>
      <c r="C35" s="4">
        <v>4.7960086286519203E-2</v>
      </c>
      <c r="D35" s="4">
        <v>4.8877525110899503E-2</v>
      </c>
      <c r="E35" s="4">
        <v>4.8056773749844003E-2</v>
      </c>
      <c r="F35" s="4">
        <v>4.7689418476736502E-2</v>
      </c>
      <c r="G35" s="4">
        <v>4.8478767861246899E-2</v>
      </c>
      <c r="H35" s="4">
        <v>4.5772667863608299E-2</v>
      </c>
      <c r="I35" s="4">
        <v>4.8225059782434597E-2</v>
      </c>
      <c r="J35" s="4">
        <v>4.7873743457523502E-2</v>
      </c>
      <c r="K35" s="4">
        <v>4.7970466739260899E-2</v>
      </c>
      <c r="L35" s="4">
        <v>4.7266337497528697E-2</v>
      </c>
      <c r="M35" s="4">
        <v>4.7240450918349101E-2</v>
      </c>
      <c r="N35" s="4">
        <v>4.8457939869427702E-2</v>
      </c>
      <c r="O35" s="4">
        <v>4.76635525796879E-2</v>
      </c>
      <c r="Q35" s="1">
        <v>160</v>
      </c>
      <c r="R35" s="29">
        <f t="shared" si="1"/>
        <v>3.2567456469623521E-6</v>
      </c>
      <c r="S35" s="29">
        <f t="shared" si="2"/>
        <v>3.7255187216173132E-6</v>
      </c>
      <c r="T35" s="29">
        <f t="shared" si="3"/>
        <v>1.3217508958754935E-5</v>
      </c>
      <c r="U35" s="29">
        <f t="shared" si="4"/>
        <v>4.7258649393092889E-6</v>
      </c>
      <c r="V35" s="29">
        <f t="shared" si="5"/>
        <v>9.2513995009516766E-7</v>
      </c>
      <c r="W35" s="29">
        <f t="shared" si="6"/>
        <v>9.091893364443228E-6</v>
      </c>
      <c r="X35" s="29">
        <f t="shared" si="7"/>
        <v>-1.8905913220267184E-5</v>
      </c>
      <c r="Y35" s="29">
        <f t="shared" si="8"/>
        <v>6.4669830781405176E-6</v>
      </c>
      <c r="Z35" s="29">
        <f t="shared" si="9"/>
        <v>2.8321999867930781E-6</v>
      </c>
      <c r="AA35" s="29">
        <f t="shared" si="10"/>
        <v>3.832916788347046E-6</v>
      </c>
      <c r="AB35" s="29">
        <f t="shared" si="11"/>
        <v>-3.4521334085635988E-6</v>
      </c>
      <c r="AC35" s="29">
        <f t="shared" si="12"/>
        <v>-3.7199607015840216E-6</v>
      </c>
      <c r="AD35" s="29">
        <f t="shared" si="13"/>
        <v>8.8764031434570593E-6</v>
      </c>
      <c r="AE35" s="29">
        <f t="shared" si="14"/>
        <v>6.575266381928979E-7</v>
      </c>
    </row>
    <row r="36" spans="1:31">
      <c r="A36" s="1">
        <v>165</v>
      </c>
      <c r="B36" s="4">
        <v>4.70296090287112E-2</v>
      </c>
      <c r="C36" s="4">
        <v>4.6910643335168298E-2</v>
      </c>
      <c r="D36" s="4">
        <v>4.6993679375425E-2</v>
      </c>
      <c r="E36" s="4">
        <v>4.6567741531636099E-2</v>
      </c>
      <c r="F36" s="4">
        <v>4.8544314077200001E-2</v>
      </c>
      <c r="G36" s="4">
        <v>4.6490847242858901E-2</v>
      </c>
      <c r="H36" s="4">
        <v>4.7565306127854201E-2</v>
      </c>
      <c r="I36" s="4">
        <v>4.7614781053588899E-2</v>
      </c>
      <c r="J36" s="4">
        <v>4.7326701509446401E-2</v>
      </c>
      <c r="K36" s="4">
        <v>4.6499486967125997E-2</v>
      </c>
      <c r="L36" s="4">
        <v>4.8663066179552503E-2</v>
      </c>
      <c r="M36" s="4">
        <v>4.7249729835814498E-2</v>
      </c>
      <c r="N36" s="4">
        <v>4.7683991378601097E-2</v>
      </c>
      <c r="O36" s="4">
        <v>4.7633776470517399E-2</v>
      </c>
      <c r="Q36" s="1">
        <v>165</v>
      </c>
      <c r="R36" s="29">
        <f t="shared" si="1"/>
        <v>-5.9013695376166881E-6</v>
      </c>
      <c r="S36" s="29">
        <f t="shared" si="2"/>
        <v>-7.1322104085884259E-6</v>
      </c>
      <c r="T36" s="29">
        <f t="shared" si="3"/>
        <v>-6.2731043161690493E-6</v>
      </c>
      <c r="U36" s="29">
        <f t="shared" si="4"/>
        <v>-1.0679935319427075E-5</v>
      </c>
      <c r="V36" s="29">
        <f t="shared" si="5"/>
        <v>9.7700465288554853E-6</v>
      </c>
      <c r="W36" s="29">
        <f t="shared" si="6"/>
        <v>-1.1475497725299543E-5</v>
      </c>
      <c r="X36" s="29">
        <f t="shared" si="7"/>
        <v>-3.5894916036379593E-7</v>
      </c>
      <c r="Y36" s="29">
        <f t="shared" si="8"/>
        <v>1.5292748969412175E-7</v>
      </c>
      <c r="Z36" s="29">
        <f t="shared" si="9"/>
        <v>-2.8275962769632182E-6</v>
      </c>
      <c r="AA36" s="29">
        <f t="shared" si="10"/>
        <v>-1.1386109554431337E-5</v>
      </c>
      <c r="AB36" s="29">
        <f t="shared" si="11"/>
        <v>1.0998677546221567E-5</v>
      </c>
      <c r="AC36" s="29">
        <f t="shared" si="12"/>
        <v>-3.623959320726563E-6</v>
      </c>
      <c r="AD36" s="29">
        <f t="shared" si="13"/>
        <v>8.6899019803726138E-7</v>
      </c>
      <c r="AE36" s="29">
        <f t="shared" si="14"/>
        <v>3.4945755496301376E-7</v>
      </c>
    </row>
    <row r="37" spans="1:31">
      <c r="A37" s="1">
        <v>170</v>
      </c>
      <c r="B37" s="4">
        <v>4.7072493533698703E-2</v>
      </c>
      <c r="C37" s="4">
        <v>4.8183186611769097E-2</v>
      </c>
      <c r="D37" s="4">
        <v>4.8467730672626497E-2</v>
      </c>
      <c r="E37" s="4">
        <v>4.5912359090421899E-2</v>
      </c>
      <c r="F37" s="4">
        <v>4.7087266916766603E-2</v>
      </c>
      <c r="G37" s="4">
        <v>4.7579945206082497E-2</v>
      </c>
      <c r="H37" s="4">
        <v>4.6433680317001499E-2</v>
      </c>
      <c r="I37" s="4">
        <v>4.7829148344283798E-2</v>
      </c>
      <c r="J37" s="4">
        <v>4.7045148743836702E-2</v>
      </c>
      <c r="K37" s="4">
        <v>4.7637832600893798E-2</v>
      </c>
      <c r="L37" s="4">
        <v>4.7361627948702398E-2</v>
      </c>
      <c r="M37" s="4">
        <v>4.7704617818907197E-2</v>
      </c>
      <c r="N37" s="4">
        <v>4.8277232647527701E-2</v>
      </c>
      <c r="O37" s="4">
        <v>4.97202640104158E-2</v>
      </c>
      <c r="Q37" s="1">
        <v>170</v>
      </c>
      <c r="R37" s="29">
        <f t="shared" si="1"/>
        <v>-5.4576785885871269E-6</v>
      </c>
      <c r="S37" s="29">
        <f t="shared" si="2"/>
        <v>6.0337555793768819E-6</v>
      </c>
      <c r="T37" s="29">
        <f t="shared" si="3"/>
        <v>8.9777005879373158E-6</v>
      </c>
      <c r="U37" s="29">
        <f t="shared" si="4"/>
        <v>-1.7460642183231988E-5</v>
      </c>
      <c r="V37" s="29">
        <f t="shared" si="5"/>
        <v>-5.3048304595091838E-6</v>
      </c>
      <c r="W37" s="29">
        <f t="shared" si="6"/>
        <v>-2.074905737735287E-7</v>
      </c>
      <c r="X37" s="29">
        <f t="shared" si="7"/>
        <v>-1.2066957218516607E-5</v>
      </c>
      <c r="Y37" s="29">
        <f t="shared" si="8"/>
        <v>2.37081077124376E-6</v>
      </c>
      <c r="Z37" s="29">
        <f t="shared" si="9"/>
        <v>-5.7405927966074965E-6</v>
      </c>
      <c r="AA37" s="29">
        <f t="shared" si="10"/>
        <v>3.9142302329747956E-7</v>
      </c>
      <c r="AB37" s="29">
        <f t="shared" si="11"/>
        <v>-2.4662409346494263E-6</v>
      </c>
      <c r="AC37" s="29">
        <f t="shared" si="12"/>
        <v>1.0823951301259478E-6</v>
      </c>
      <c r="AD37" s="29">
        <f t="shared" si="13"/>
        <v>7.0067731033138621E-6</v>
      </c>
      <c r="AE37" s="29">
        <f t="shared" si="14"/>
        <v>2.1936640081277516E-5</v>
      </c>
    </row>
    <row r="38" spans="1:31">
      <c r="A38" s="1">
        <v>175</v>
      </c>
      <c r="B38" s="4">
        <v>4.9146026286567002E-2</v>
      </c>
      <c r="C38" s="4">
        <v>4.6720215704317301E-2</v>
      </c>
      <c r="D38" s="4">
        <v>4.7937424212951302E-2</v>
      </c>
      <c r="E38" s="4">
        <v>4.7820324917768199E-2</v>
      </c>
      <c r="F38" s="4">
        <v>4.8546150083382901E-2</v>
      </c>
      <c r="G38" s="4">
        <v>4.8104785082312702E-2</v>
      </c>
      <c r="H38" s="4">
        <v>4.5788882529459903E-2</v>
      </c>
      <c r="I38" s="4">
        <v>4.77046752946532E-2</v>
      </c>
      <c r="J38" s="4">
        <v>4.9135309932074697E-2</v>
      </c>
      <c r="K38" s="4">
        <v>4.7171030129270403E-2</v>
      </c>
      <c r="L38" s="4">
        <v>4.7365066491165703E-2</v>
      </c>
      <c r="M38" s="4">
        <v>4.7839380847315399E-2</v>
      </c>
      <c r="N38" s="4">
        <v>4.8334453990544798E-2</v>
      </c>
      <c r="O38" s="4">
        <v>4.7534108030171003E-2</v>
      </c>
      <c r="Q38" s="1">
        <v>175</v>
      </c>
      <c r="R38" s="29">
        <f t="shared" si="1"/>
        <v>1.5995471336592364E-5</v>
      </c>
      <c r="S38" s="29">
        <f t="shared" si="2"/>
        <v>-9.1024095814213796E-6</v>
      </c>
      <c r="T38" s="29">
        <f t="shared" si="3"/>
        <v>3.4910527546847345E-6</v>
      </c>
      <c r="U38" s="29">
        <f t="shared" si="4"/>
        <v>2.2795219832412076E-6</v>
      </c>
      <c r="V38" s="29">
        <f t="shared" si="5"/>
        <v>9.7890421853508146E-6</v>
      </c>
      <c r="W38" s="29">
        <f t="shared" si="6"/>
        <v>5.2225989851708048E-6</v>
      </c>
      <c r="X38" s="29">
        <f t="shared" si="7"/>
        <v>-1.8738153315332021E-5</v>
      </c>
      <c r="Y38" s="29">
        <f t="shared" si="8"/>
        <v>1.0829897847289941E-6</v>
      </c>
      <c r="Z38" s="29">
        <f t="shared" si="9"/>
        <v>1.5884597968782399E-5</v>
      </c>
      <c r="AA38" s="29">
        <f t="shared" si="10"/>
        <v>-4.4382009097357666E-6</v>
      </c>
      <c r="AB38" s="29">
        <f t="shared" si="11"/>
        <v>-2.4306651440633679E-6</v>
      </c>
      <c r="AC38" s="29">
        <f t="shared" si="12"/>
        <v>2.4766781231547147E-6</v>
      </c>
      <c r="AD38" s="29">
        <f t="shared" si="13"/>
        <v>7.5987956064394131E-6</v>
      </c>
      <c r="AE38" s="29">
        <f t="shared" si="14"/>
        <v>-6.8173039738655726E-7</v>
      </c>
    </row>
    <row r="39" spans="1:31">
      <c r="A39" s="1">
        <v>180</v>
      </c>
      <c r="B39" s="4">
        <v>4.6461156172189898E-2</v>
      </c>
      <c r="C39" s="4">
        <v>4.6337291862214601E-2</v>
      </c>
      <c r="D39" s="4">
        <v>4.8170511152332098E-2</v>
      </c>
      <c r="E39" s="4">
        <v>4.7433641025527599E-2</v>
      </c>
      <c r="F39" s="4">
        <v>4.7967164087517798E-2</v>
      </c>
      <c r="G39" s="4">
        <v>4.75264937964801E-2</v>
      </c>
      <c r="H39" s="4">
        <v>4.98602846203949E-2</v>
      </c>
      <c r="I39" s="4">
        <v>4.6496586319583103E-2</v>
      </c>
      <c r="J39" s="4">
        <v>4.6443642060801898E-2</v>
      </c>
      <c r="K39" s="4">
        <v>4.7704004040465701E-2</v>
      </c>
      <c r="L39" s="4">
        <v>4.9619326321979899E-2</v>
      </c>
      <c r="M39" s="4">
        <v>4.7693577339752498E-2</v>
      </c>
      <c r="N39" s="4">
        <v>4.8779670924211899E-2</v>
      </c>
      <c r="O39" s="4">
        <v>4.7117028442486997E-2</v>
      </c>
      <c r="Q39" s="1">
        <v>180</v>
      </c>
      <c r="R39" s="29">
        <f t="shared" si="1"/>
        <v>-1.1782686984605973E-5</v>
      </c>
      <c r="S39" s="29">
        <f t="shared" si="2"/>
        <v>-1.3064209839069283E-5</v>
      </c>
      <c r="T39" s="29">
        <f t="shared" si="3"/>
        <v>5.9026129527189163E-6</v>
      </c>
      <c r="U39" s="29">
        <f t="shared" si="4"/>
        <v>-1.7211804423242075E-6</v>
      </c>
      <c r="V39" s="29">
        <f t="shared" si="5"/>
        <v>3.7987469480600366E-6</v>
      </c>
      <c r="W39" s="29">
        <f t="shared" si="6"/>
        <v>-7.605086547882476E-7</v>
      </c>
      <c r="X39" s="29">
        <f t="shared" si="7"/>
        <v>2.3385318976916594E-5</v>
      </c>
      <c r="Y39" s="29">
        <f t="shared" si="8"/>
        <v>-1.1416120185578465E-5</v>
      </c>
      <c r="Z39" s="29">
        <f t="shared" si="9"/>
        <v>-1.1963891191239937E-5</v>
      </c>
      <c r="AA39" s="29">
        <f t="shared" si="10"/>
        <v>1.0760448658689558E-6</v>
      </c>
      <c r="AB39" s="29">
        <f t="shared" si="11"/>
        <v>2.0892320255549652E-5</v>
      </c>
      <c r="AC39" s="29">
        <f t="shared" si="12"/>
        <v>9.6816830914907232E-7</v>
      </c>
      <c r="AD39" s="29">
        <f t="shared" si="13"/>
        <v>1.2205091607299184E-5</v>
      </c>
      <c r="AE39" s="29">
        <f>(O39-0.0476)/96.654</f>
        <v>-4.9969122593271538E-6</v>
      </c>
    </row>
    <row r="41" spans="1:31" ht="24">
      <c r="R41" s="47" t="s">
        <v>97</v>
      </c>
      <c r="S41" s="48"/>
      <c r="T41" s="48"/>
      <c r="U41" s="49"/>
      <c r="V41" s="50"/>
      <c r="W41" s="46"/>
      <c r="X41" s="46"/>
      <c r="Y41" s="46"/>
      <c r="Z41" s="46"/>
    </row>
    <row r="42" spans="1:31" ht="24">
      <c r="R42" s="51" t="s">
        <v>28</v>
      </c>
      <c r="S42" s="52"/>
      <c r="T42" s="52"/>
      <c r="U42" s="53"/>
      <c r="V42" s="54"/>
      <c r="W42" s="46"/>
      <c r="X42" s="46"/>
      <c r="Y42" s="46"/>
      <c r="Z42" s="46"/>
    </row>
  </sheetData>
  <mergeCells count="4">
    <mergeCell ref="A1:A2"/>
    <mergeCell ref="Q1:Q2"/>
    <mergeCell ref="B1:O1"/>
    <mergeCell ref="R1:AE1"/>
  </mergeCells>
  <phoneticPr fontId="3" type="noConversion"/>
  <conditionalFormatting sqref="U22">
    <cfRule type="cellIs" dxfId="7" priority="2" operator="lessThan">
      <formula>0</formula>
    </cfRule>
  </conditionalFormatting>
  <conditionalFormatting sqref="R3:AE39">
    <cfRule type="cellIs" dxfId="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A037-31FE-0148-A80B-3897ED114F06}">
  <dimension ref="A1:O15"/>
  <sheetViews>
    <sheetView zoomScale="80" zoomScaleNormal="80" workbookViewId="0">
      <selection activeCell="E28" sqref="E28"/>
    </sheetView>
  </sheetViews>
  <sheetFormatPr baseColWidth="10" defaultColWidth="11.1640625" defaultRowHeight="16"/>
  <cols>
    <col min="1" max="1" width="10.83203125" customWidth="1"/>
    <col min="2" max="3" width="15.83203125" customWidth="1"/>
    <col min="4" max="4" width="13.1640625" customWidth="1"/>
    <col min="5" max="5" width="11" customWidth="1"/>
  </cols>
  <sheetData>
    <row r="1" spans="1:15" ht="21">
      <c r="A1" s="14" t="s">
        <v>8</v>
      </c>
      <c r="B1" s="14" t="s">
        <v>11</v>
      </c>
      <c r="C1" s="14" t="s">
        <v>6</v>
      </c>
      <c r="D1" s="14" t="s">
        <v>50</v>
      </c>
      <c r="E1" s="14" t="s">
        <v>51</v>
      </c>
      <c r="F1" s="14" t="s">
        <v>52</v>
      </c>
      <c r="G1" s="14" t="s">
        <v>7</v>
      </c>
      <c r="I1" s="61" t="s">
        <v>9</v>
      </c>
      <c r="J1" s="35"/>
      <c r="K1" s="35"/>
      <c r="L1" s="35"/>
      <c r="M1" s="35"/>
      <c r="N1" s="36"/>
    </row>
    <row r="2" spans="1:15">
      <c r="A2" s="22">
        <v>1</v>
      </c>
      <c r="B2" s="22">
        <v>35</v>
      </c>
      <c r="C2" s="22">
        <f>B2+273.15</f>
        <v>308.14999999999998</v>
      </c>
      <c r="D2" s="22">
        <v>2</v>
      </c>
      <c r="E2" s="22">
        <v>0.02</v>
      </c>
      <c r="F2" s="23">
        <v>2E-3</v>
      </c>
      <c r="G2" s="22">
        <v>180</v>
      </c>
      <c r="I2" s="37" t="s">
        <v>0</v>
      </c>
      <c r="J2" s="38"/>
      <c r="K2" s="38"/>
      <c r="L2" s="38"/>
      <c r="M2" s="38"/>
      <c r="N2" s="39"/>
    </row>
    <row r="3" spans="1:15">
      <c r="A3" s="1">
        <f>A2+1</f>
        <v>2</v>
      </c>
      <c r="B3" s="16">
        <v>35</v>
      </c>
      <c r="C3" s="16">
        <f>B3+273.15</f>
        <v>308.14999999999998</v>
      </c>
      <c r="D3" s="24">
        <v>1</v>
      </c>
      <c r="E3" s="16">
        <v>0.02</v>
      </c>
      <c r="F3" s="25">
        <v>2E-3</v>
      </c>
      <c r="G3" s="16">
        <v>180</v>
      </c>
      <c r="I3" s="37"/>
      <c r="J3" s="38"/>
      <c r="K3" s="38"/>
      <c r="L3" s="38"/>
      <c r="M3" s="38"/>
      <c r="N3" s="39"/>
    </row>
    <row r="4" spans="1:15">
      <c r="A4" s="1">
        <f t="shared" ref="A4:A5" si="0">A3+1</f>
        <v>3</v>
      </c>
      <c r="B4" s="16">
        <v>35</v>
      </c>
      <c r="C4" s="16">
        <f t="shared" ref="C4:C15" si="1">B4+273.15</f>
        <v>308.14999999999998</v>
      </c>
      <c r="D4" s="24">
        <v>3</v>
      </c>
      <c r="E4" s="16">
        <v>0.02</v>
      </c>
      <c r="F4" s="25">
        <v>2E-3</v>
      </c>
      <c r="G4" s="16">
        <v>180</v>
      </c>
      <c r="I4" s="37" t="s">
        <v>1</v>
      </c>
      <c r="J4" s="38"/>
      <c r="K4" s="38"/>
      <c r="L4" s="38"/>
      <c r="M4" s="38"/>
      <c r="N4" s="39"/>
    </row>
    <row r="5" spans="1:15">
      <c r="A5" s="1">
        <f t="shared" si="0"/>
        <v>4</v>
      </c>
      <c r="B5" s="16">
        <v>35</v>
      </c>
      <c r="C5" s="1">
        <f t="shared" si="1"/>
        <v>308.14999999999998</v>
      </c>
      <c r="D5" s="24">
        <v>4</v>
      </c>
      <c r="E5" s="1">
        <v>0.02</v>
      </c>
      <c r="F5" s="25">
        <v>2E-3</v>
      </c>
      <c r="G5" s="16">
        <v>180</v>
      </c>
      <c r="I5" s="37" t="s">
        <v>2</v>
      </c>
      <c r="J5" s="38"/>
      <c r="K5" s="38"/>
      <c r="L5" s="38"/>
      <c r="M5" s="38"/>
      <c r="N5" s="39"/>
    </row>
    <row r="6" spans="1:15">
      <c r="A6" s="1">
        <f>A5+1</f>
        <v>5</v>
      </c>
      <c r="B6" s="16">
        <v>35</v>
      </c>
      <c r="C6" s="1">
        <f t="shared" si="1"/>
        <v>308.14999999999998</v>
      </c>
      <c r="D6" s="16">
        <v>2</v>
      </c>
      <c r="E6" s="26">
        <v>0.01</v>
      </c>
      <c r="F6" s="25">
        <v>2E-3</v>
      </c>
      <c r="G6" s="16">
        <v>180</v>
      </c>
      <c r="I6" s="37" t="s">
        <v>3</v>
      </c>
      <c r="J6" s="38"/>
      <c r="K6" s="38"/>
      <c r="L6" s="38"/>
      <c r="M6" s="38"/>
      <c r="N6" s="39"/>
    </row>
    <row r="7" spans="1:15">
      <c r="A7" s="1">
        <f>A6+1</f>
        <v>6</v>
      </c>
      <c r="B7" s="16">
        <v>35</v>
      </c>
      <c r="C7" s="1">
        <f t="shared" ref="C7" si="2">B7+273.15</f>
        <v>308.14999999999998</v>
      </c>
      <c r="D7" s="16">
        <v>2</v>
      </c>
      <c r="E7" s="26">
        <v>0.03</v>
      </c>
      <c r="F7" s="25">
        <v>2E-3</v>
      </c>
      <c r="G7" s="16">
        <v>180</v>
      </c>
      <c r="I7" s="37"/>
      <c r="J7" s="38"/>
      <c r="K7" s="38"/>
      <c r="L7" s="38"/>
      <c r="M7" s="38"/>
      <c r="N7" s="39"/>
    </row>
    <row r="8" spans="1:15">
      <c r="A8" s="1">
        <f>A7+1</f>
        <v>7</v>
      </c>
      <c r="B8" s="16">
        <v>35</v>
      </c>
      <c r="C8" s="1">
        <f t="shared" si="1"/>
        <v>308.14999999999998</v>
      </c>
      <c r="D8" s="16">
        <v>2</v>
      </c>
      <c r="E8" s="26">
        <v>0.04</v>
      </c>
      <c r="F8" s="25">
        <v>2E-3</v>
      </c>
      <c r="G8" s="16">
        <v>180</v>
      </c>
      <c r="I8" s="37"/>
      <c r="J8" s="38"/>
      <c r="K8" s="38"/>
      <c r="L8" s="38"/>
      <c r="M8" s="38"/>
      <c r="N8" s="39"/>
    </row>
    <row r="9" spans="1:15">
      <c r="A9" s="1">
        <f>A8+1</f>
        <v>8</v>
      </c>
      <c r="B9" s="16">
        <v>35</v>
      </c>
      <c r="C9" s="1">
        <f t="shared" si="1"/>
        <v>308.14999999999998</v>
      </c>
      <c r="D9" s="16">
        <v>2</v>
      </c>
      <c r="E9" s="1">
        <v>0.02</v>
      </c>
      <c r="F9" s="27">
        <v>1E-3</v>
      </c>
      <c r="G9" s="16">
        <v>180</v>
      </c>
      <c r="I9" s="37" t="s">
        <v>4</v>
      </c>
      <c r="J9" s="38"/>
      <c r="K9" s="38"/>
      <c r="L9" s="38"/>
      <c r="M9" s="38"/>
      <c r="N9" s="39"/>
    </row>
    <row r="10" spans="1:15">
      <c r="A10" s="1">
        <f t="shared" ref="A10:A14" si="3">A9+1</f>
        <v>9</v>
      </c>
      <c r="B10" s="16">
        <v>35</v>
      </c>
      <c r="C10" s="1">
        <f t="shared" ref="C10" si="4">B10+273.15</f>
        <v>308.14999999999998</v>
      </c>
      <c r="D10" s="16">
        <v>2</v>
      </c>
      <c r="E10" s="1">
        <v>0.02</v>
      </c>
      <c r="F10" s="27">
        <v>3.0000000000000001E-3</v>
      </c>
      <c r="G10" s="16">
        <v>180</v>
      </c>
      <c r="I10" s="37"/>
      <c r="J10" s="38"/>
      <c r="K10" s="38"/>
      <c r="L10" s="38"/>
      <c r="M10" s="38"/>
      <c r="N10" s="39"/>
    </row>
    <row r="11" spans="1:15">
      <c r="A11" s="1">
        <f t="shared" si="3"/>
        <v>10</v>
      </c>
      <c r="B11" s="16">
        <v>35</v>
      </c>
      <c r="C11" s="1">
        <f>B11+273.15</f>
        <v>308.14999999999998</v>
      </c>
      <c r="D11" s="16">
        <v>2</v>
      </c>
      <c r="E11" s="1">
        <v>0.02</v>
      </c>
      <c r="F11" s="27">
        <v>4.0000000000000001E-3</v>
      </c>
      <c r="G11" s="16">
        <v>180</v>
      </c>
      <c r="I11" s="40" t="s">
        <v>5</v>
      </c>
      <c r="J11" s="41"/>
      <c r="K11" s="41"/>
      <c r="L11" s="41"/>
      <c r="M11" s="41"/>
      <c r="N11" s="42"/>
    </row>
    <row r="12" spans="1:15">
      <c r="A12" s="1">
        <f t="shared" si="3"/>
        <v>11</v>
      </c>
      <c r="B12" s="28">
        <v>30</v>
      </c>
      <c r="C12" s="28">
        <f t="shared" si="1"/>
        <v>303.14999999999998</v>
      </c>
      <c r="D12" s="16">
        <v>2</v>
      </c>
      <c r="E12" s="1">
        <v>0.02</v>
      </c>
      <c r="F12" s="25">
        <v>2E-3</v>
      </c>
      <c r="G12" s="16">
        <v>180</v>
      </c>
    </row>
    <row r="13" spans="1:15">
      <c r="A13" s="1">
        <f t="shared" si="3"/>
        <v>12</v>
      </c>
      <c r="B13" s="28">
        <v>33</v>
      </c>
      <c r="C13" s="28">
        <f t="shared" si="1"/>
        <v>306.14999999999998</v>
      </c>
      <c r="D13" s="16">
        <v>2</v>
      </c>
      <c r="E13" s="1">
        <v>0.02</v>
      </c>
      <c r="F13" s="25">
        <v>2E-3</v>
      </c>
      <c r="G13" s="16">
        <v>180</v>
      </c>
      <c r="I13" s="43" t="s">
        <v>10</v>
      </c>
      <c r="J13" s="44"/>
      <c r="K13" s="44"/>
      <c r="L13" s="44"/>
      <c r="M13" s="44"/>
      <c r="N13" s="44"/>
      <c r="O13" s="45"/>
    </row>
    <row r="14" spans="1:15">
      <c r="A14" s="1">
        <f t="shared" si="3"/>
        <v>13</v>
      </c>
      <c r="B14" s="28">
        <v>40</v>
      </c>
      <c r="C14" s="28">
        <f t="shared" si="1"/>
        <v>313.14999999999998</v>
      </c>
      <c r="D14" s="16">
        <v>2</v>
      </c>
      <c r="E14" s="1">
        <v>0.02</v>
      </c>
      <c r="F14" s="25">
        <v>2E-3</v>
      </c>
      <c r="G14" s="16">
        <v>180</v>
      </c>
    </row>
    <row r="15" spans="1:15">
      <c r="A15" s="1">
        <v>14</v>
      </c>
      <c r="B15" s="28">
        <v>38</v>
      </c>
      <c r="C15" s="28">
        <f t="shared" si="1"/>
        <v>311.14999999999998</v>
      </c>
      <c r="D15" s="16">
        <v>2</v>
      </c>
      <c r="E15" s="1">
        <v>0.02</v>
      </c>
      <c r="F15" s="25">
        <v>2E-3</v>
      </c>
      <c r="G15" s="16">
        <v>180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1F1C-08D6-6646-825C-9EED8023C2FF}">
  <dimension ref="A1:AD94"/>
  <sheetViews>
    <sheetView zoomScale="60" zoomScaleNormal="60" workbookViewId="0">
      <selection activeCell="B71" sqref="B71"/>
    </sheetView>
  </sheetViews>
  <sheetFormatPr baseColWidth="10" defaultColWidth="10.83203125" defaultRowHeight="16"/>
  <cols>
    <col min="1" max="1" width="17" style="5" customWidth="1"/>
    <col min="2" max="2" width="10.83203125" style="5"/>
    <col min="3" max="3" width="14" style="5" bestFit="1" customWidth="1"/>
    <col min="4" max="4" width="13.33203125" style="5" bestFit="1" customWidth="1"/>
    <col min="5" max="5" width="17.5" style="5" customWidth="1"/>
    <col min="6" max="6" width="10.83203125" style="5"/>
    <col min="7" max="7" width="12.1640625" style="5" bestFit="1" customWidth="1"/>
    <col min="8" max="16" width="10.83203125" style="5"/>
    <col min="17" max="17" width="15.33203125" style="5" customWidth="1"/>
    <col min="18" max="18" width="12.83203125" style="5" bestFit="1" customWidth="1"/>
    <col min="19" max="19" width="12.5" style="5" bestFit="1" customWidth="1"/>
    <col min="20" max="20" width="13.33203125" style="5" customWidth="1"/>
    <col min="21" max="21" width="10.83203125" style="5"/>
    <col min="22" max="22" width="15.1640625" style="5" customWidth="1"/>
    <col min="23" max="23" width="13.5" style="5" bestFit="1" customWidth="1"/>
    <col min="24" max="24" width="11" style="5" bestFit="1" customWidth="1"/>
    <col min="25" max="25" width="15" style="5" customWidth="1"/>
    <col min="26" max="26" width="10.83203125" style="5"/>
    <col min="27" max="27" width="15.5" style="5" customWidth="1"/>
    <col min="28" max="28" width="13.5" style="5" bestFit="1" customWidth="1"/>
    <col min="29" max="29" width="11" style="5" bestFit="1" customWidth="1"/>
    <col min="30" max="30" width="14" style="5" customWidth="1"/>
    <col min="31" max="31" width="10.83203125" style="5"/>
    <col min="32" max="32" width="10.83203125" style="5" customWidth="1"/>
    <col min="33" max="34" width="10.83203125" style="5"/>
    <col min="35" max="35" width="10.83203125" style="5" customWidth="1"/>
    <col min="36" max="16384" width="10.83203125" style="5"/>
  </cols>
  <sheetData>
    <row r="1" spans="1:30" ht="18">
      <c r="A1" s="219" t="s">
        <v>12</v>
      </c>
      <c r="B1" s="221" t="s">
        <v>27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Q1" s="222" t="s">
        <v>13</v>
      </c>
      <c r="R1" s="222"/>
      <c r="S1" s="222"/>
      <c r="T1" s="222"/>
      <c r="V1" s="223" t="s">
        <v>18</v>
      </c>
      <c r="W1" s="223"/>
      <c r="X1" s="223"/>
      <c r="Y1" s="223"/>
      <c r="AA1" s="223" t="s">
        <v>23</v>
      </c>
      <c r="AB1" s="223"/>
      <c r="AC1" s="223"/>
      <c r="AD1" s="223"/>
    </row>
    <row r="2" spans="1:30">
      <c r="A2" s="220"/>
      <c r="B2" s="14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  <c r="K2" s="14" t="s">
        <v>22</v>
      </c>
      <c r="L2" s="14" t="s">
        <v>23</v>
      </c>
      <c r="M2" s="14" t="s">
        <v>24</v>
      </c>
      <c r="N2" s="14" t="s">
        <v>25</v>
      </c>
      <c r="O2" s="14" t="s">
        <v>96</v>
      </c>
      <c r="Q2" s="6" t="s">
        <v>29</v>
      </c>
      <c r="R2" s="7" cm="1">
        <f t="array" ref="R2:S6">LINEST(B3:B15,A3:A15,TRUE,TRUE)</f>
        <v>-3.5603761671836853E-5</v>
      </c>
      <c r="S2" s="7">
        <v>2.0740011816189124E-3</v>
      </c>
      <c r="T2" s="6" t="s">
        <v>30</v>
      </c>
      <c r="V2" s="8" t="s">
        <v>29</v>
      </c>
      <c r="W2" s="7" cm="1">
        <f t="array" ref="W2:X6">LINEST(G3:G8,A3:A8,TRUE,TRUE)</f>
        <v>-4.922021948379913E-5</v>
      </c>
      <c r="X2" s="7">
        <v>2.0116970115919017E-3</v>
      </c>
      <c r="Y2" s="8" t="s">
        <v>30</v>
      </c>
      <c r="AA2" s="8" t="s">
        <v>29</v>
      </c>
      <c r="AB2" s="7" cm="1">
        <f t="array" ref="AB2:AC6">LINEST(L3:L15,A3:A15,TRUE,TRUE)</f>
        <v>-1.9455872324302388E-5</v>
      </c>
      <c r="AC2" s="7">
        <v>1.9610862113317567E-3</v>
      </c>
      <c r="AD2" s="8" t="s">
        <v>30</v>
      </c>
    </row>
    <row r="3" spans="1:30" ht="18">
      <c r="A3" s="1">
        <v>0</v>
      </c>
      <c r="B3" s="29">
        <f>'Absorbance Data Matlab'!R3</f>
        <v>2.2030155544181104E-3</v>
      </c>
      <c r="C3" s="29">
        <f>'Absorbance Data Matlab'!S3</f>
        <v>1.9853177237427007E-3</v>
      </c>
      <c r="D3" s="29">
        <f>'Absorbance Data Matlab'!T3</f>
        <v>1.976001588598082E-3</v>
      </c>
      <c r="E3" s="29">
        <f>'Absorbance Data Matlab'!U3</f>
        <v>1.8825271009603533E-3</v>
      </c>
      <c r="F3" s="29">
        <f>'Absorbance Data Matlab'!V3</f>
        <v>2.0068550194158132E-3</v>
      </c>
      <c r="G3" s="29">
        <f>'Absorbance Data Matlab'!W3</f>
        <v>2.0132280470450889E-3</v>
      </c>
      <c r="H3" s="29">
        <f>'Absorbance Data Matlab'!X3</f>
        <v>1.9859429968635445E-3</v>
      </c>
      <c r="I3" s="29">
        <f>'Absorbance Data Matlab'!Y3</f>
        <v>9.5269735097423813E-4</v>
      </c>
      <c r="J3" s="29">
        <f>'Absorbance Data Matlab'!Z3</f>
        <v>2.949816298116126E-3</v>
      </c>
      <c r="K3" s="29">
        <f>'Absorbance Data Matlab'!AA3</f>
        <v>4.001203402883978E-3</v>
      </c>
      <c r="L3" s="29">
        <f>'Absorbance Data Matlab'!AB3</f>
        <v>1.9969655972379625E-3</v>
      </c>
      <c r="M3" s="29">
        <f>'Absorbance Data Matlab'!AC3</f>
        <v>2.0230156102532437E-3</v>
      </c>
      <c r="N3" s="29">
        <f>'Absorbance Data Matlab'!AD3</f>
        <v>1.9429577513086578E-3</v>
      </c>
      <c r="O3" s="29">
        <f>'Absorbance Data Matlab'!AE3</f>
        <v>2.104201957929232E-3</v>
      </c>
      <c r="Q3" s="6" t="s">
        <v>35</v>
      </c>
      <c r="R3" s="7">
        <v>9.1039586771500099E-7</v>
      </c>
      <c r="S3" s="7">
        <v>3.2187354581274412E-5</v>
      </c>
      <c r="T3" s="6" t="s">
        <v>36</v>
      </c>
      <c r="V3" s="8" t="s">
        <v>39</v>
      </c>
      <c r="W3" s="7">
        <v>3.5714549749560698E-6</v>
      </c>
      <c r="X3" s="7">
        <v>5.4065584597844964E-5</v>
      </c>
      <c r="Y3" s="8" t="s">
        <v>40</v>
      </c>
      <c r="AA3" s="8" t="s">
        <v>39</v>
      </c>
      <c r="AB3" s="7">
        <v>6.4024603804387203E-7</v>
      </c>
      <c r="AC3" s="7">
        <v>2.263611575643211E-5</v>
      </c>
      <c r="AD3" s="8" t="s">
        <v>40</v>
      </c>
    </row>
    <row r="4" spans="1:30" ht="20" customHeight="1">
      <c r="A4" s="1">
        <v>5</v>
      </c>
      <c r="B4" s="29">
        <f>'Absorbance Data Matlab'!R4</f>
        <v>1.8851852199989966E-3</v>
      </c>
      <c r="C4" s="29">
        <f>'Absorbance Data Matlab'!S4</f>
        <v>1.9508798950022453E-3</v>
      </c>
      <c r="D4" s="29">
        <f>'Absorbance Data Matlab'!T4</f>
        <v>1.7485027043024398E-3</v>
      </c>
      <c r="E4" s="29">
        <f>'Absorbance Data Matlab'!U4</f>
        <v>1.6403735926171087E-3</v>
      </c>
      <c r="F4" s="29">
        <f>'Absorbance Data Matlab'!V4</f>
        <v>1.8762979833906925E-3</v>
      </c>
      <c r="G4" s="29">
        <f>'Absorbance Data Matlab'!W4</f>
        <v>1.6847539992808265E-3</v>
      </c>
      <c r="H4" s="29">
        <f>'Absorbance Data Matlab'!X4</f>
        <v>1.6372096311090903E-3</v>
      </c>
      <c r="I4" s="29">
        <f>'Absorbance Data Matlab'!Y4</f>
        <v>8.0709425289714849E-4</v>
      </c>
      <c r="J4" s="29">
        <f>'Absorbance Data Matlab'!Z4</f>
        <v>2.8857902834244116E-3</v>
      </c>
      <c r="K4" s="29">
        <f>'Absorbance Data Matlab'!AA4</f>
        <v>3.6550727017996671E-3</v>
      </c>
      <c r="L4" s="29">
        <f>'Absorbance Data Matlab'!AB4</f>
        <v>1.8325473033013017E-3</v>
      </c>
      <c r="M4" s="29">
        <f>'Absorbance Data Matlab'!AC4</f>
        <v>1.8836378256740333E-3</v>
      </c>
      <c r="N4" s="29">
        <f>'Absorbance Data Matlab'!AD4</f>
        <v>1.7103748062865997E-3</v>
      </c>
      <c r="O4" s="29">
        <f>'Absorbance Data Matlab'!AE4</f>
        <v>1.8477443394346951E-3</v>
      </c>
      <c r="Q4" s="6" t="s">
        <v>37</v>
      </c>
      <c r="R4" s="7">
        <v>0.9928591630214203</v>
      </c>
      <c r="S4" s="7">
        <v>6.140955864996996E-5</v>
      </c>
      <c r="T4" s="6" t="s">
        <v>38</v>
      </c>
      <c r="V4" s="8" t="s">
        <v>41</v>
      </c>
      <c r="W4" s="7">
        <v>0.97937414814162305</v>
      </c>
      <c r="X4" s="7">
        <v>7.4702340352800038E-5</v>
      </c>
      <c r="Y4" s="8" t="s">
        <v>42</v>
      </c>
      <c r="AA4" s="8" t="s">
        <v>41</v>
      </c>
      <c r="AB4" s="7">
        <v>0.98822821508028502</v>
      </c>
      <c r="AC4" s="7">
        <v>4.3186956375744776E-5</v>
      </c>
      <c r="AD4" s="8" t="s">
        <v>42</v>
      </c>
    </row>
    <row r="5" spans="1:30">
      <c r="A5" s="1">
        <v>10</v>
      </c>
      <c r="B5" s="29">
        <f>'Absorbance Data Matlab'!R5</f>
        <v>1.6665259670733752E-3</v>
      </c>
      <c r="C5" s="29">
        <f>'Absorbance Data Matlab'!S5</f>
        <v>1.8393009451345833E-3</v>
      </c>
      <c r="D5" s="29">
        <f>'Absorbance Data Matlab'!T5</f>
        <v>1.4780405257127486E-3</v>
      </c>
      <c r="E5" s="29">
        <f>'Absorbance Data Matlab'!U5</f>
        <v>1.2801900675490203E-3</v>
      </c>
      <c r="F5" s="29">
        <f>'Absorbance Data Matlab'!V5</f>
        <v>1.8370387443847748E-3</v>
      </c>
      <c r="G5" s="29">
        <f>'Absorbance Data Matlab'!W5</f>
        <v>1.6409082585595216E-3</v>
      </c>
      <c r="H5" s="29">
        <f>'Absorbance Data Matlab'!X5</f>
        <v>1.2923805940631013E-3</v>
      </c>
      <c r="I5" s="29">
        <f>'Absorbance Data Matlab'!Y5</f>
        <v>6.4993554557361301E-4</v>
      </c>
      <c r="J5" s="29">
        <f>'Absorbance Data Matlab'!Z5</f>
        <v>2.6039981747308237E-3</v>
      </c>
      <c r="K5" s="29">
        <f>'Absorbance Data Matlab'!AA5</f>
        <v>3.6090557481958017E-3</v>
      </c>
      <c r="L5" s="29">
        <f>'Absorbance Data Matlab'!AB5</f>
        <v>1.7444153093833779E-3</v>
      </c>
      <c r="M5" s="29">
        <f>'Absorbance Data Matlab'!AC5</f>
        <v>1.7082004513643719E-3</v>
      </c>
      <c r="N5" s="29">
        <f>'Absorbance Data Matlab'!AD5</f>
        <v>1.4325445239925505E-3</v>
      </c>
      <c r="O5" s="29">
        <f>'Absorbance Data Matlab'!AE5</f>
        <v>1.6799755631006475E-3</v>
      </c>
      <c r="Q5" s="6" t="s">
        <v>31</v>
      </c>
      <c r="R5" s="7">
        <v>1529.4356706358985</v>
      </c>
      <c r="S5" s="7">
        <v>11</v>
      </c>
      <c r="T5" s="6" t="s">
        <v>32</v>
      </c>
      <c r="V5" s="8" t="s">
        <v>31</v>
      </c>
      <c r="W5" s="7">
        <v>189.93138414186095</v>
      </c>
      <c r="X5" s="7">
        <v>4</v>
      </c>
      <c r="Y5" s="8" t="s">
        <v>32</v>
      </c>
      <c r="AA5" s="8" t="s">
        <v>31</v>
      </c>
      <c r="AB5" s="7">
        <v>923.43773183262851</v>
      </c>
      <c r="AC5" s="7">
        <v>11</v>
      </c>
      <c r="AD5" s="8" t="s">
        <v>32</v>
      </c>
    </row>
    <row r="6" spans="1:30">
      <c r="A6" s="1">
        <v>15</v>
      </c>
      <c r="B6" s="29">
        <f>'Absorbance Data Matlab'!R6</f>
        <v>1.5128256847470462E-3</v>
      </c>
      <c r="C6" s="29">
        <f>'Absorbance Data Matlab'!S6</f>
        <v>1.7676585372722704E-3</v>
      </c>
      <c r="D6" s="29">
        <f>'Absorbance Data Matlab'!T6</f>
        <v>1.2321967183081301E-3</v>
      </c>
      <c r="E6" s="29">
        <f>'Absorbance Data Matlab'!U6</f>
        <v>9.6051600247302733E-4</v>
      </c>
      <c r="F6" s="29">
        <f>'Absorbance Data Matlab'!V6</f>
        <v>1.8027883787450805E-3</v>
      </c>
      <c r="G6" s="29">
        <f>'Absorbance Data Matlab'!W6</f>
        <v>1.2476688991751091E-3</v>
      </c>
      <c r="H6" s="29">
        <f>'Absorbance Data Matlab'!X6</f>
        <v>9.3336640453518739E-4</v>
      </c>
      <c r="I6" s="29">
        <f>'Absorbance Data Matlab'!Y6</f>
        <v>4.8303615741076937E-4</v>
      </c>
      <c r="J6" s="29">
        <f>'Absorbance Data Matlab'!Z6</f>
        <v>2.4198237260486168E-3</v>
      </c>
      <c r="K6" s="29">
        <f>'Absorbance Data Matlab'!AA6</f>
        <v>3.3928867213842574E-3</v>
      </c>
      <c r="L6" s="29">
        <f>'Absorbance Data Matlab'!AB6</f>
        <v>1.6753334378012395E-3</v>
      </c>
      <c r="M6" s="29">
        <f>'Absorbance Data Matlab'!AC6</f>
        <v>1.4910735493144308E-3</v>
      </c>
      <c r="N6" s="29">
        <f>'Absorbance Data Matlab'!AD6</f>
        <v>1.1734829655490617E-3</v>
      </c>
      <c r="O6" s="29">
        <f>'Absorbance Data Matlab'!AE6</f>
        <v>1.3466959657872824E-3</v>
      </c>
      <c r="Q6" s="6" t="s">
        <v>33</v>
      </c>
      <c r="R6" s="7">
        <v>5.7677066955915671E-6</v>
      </c>
      <c r="S6" s="7">
        <v>4.148247282942511E-8</v>
      </c>
      <c r="T6" s="6" t="s">
        <v>34</v>
      </c>
      <c r="V6" s="8" t="s">
        <v>33</v>
      </c>
      <c r="W6" s="7">
        <v>1.0599006276395944E-6</v>
      </c>
      <c r="X6" s="7">
        <v>2.2321758616742306E-8</v>
      </c>
      <c r="Y6" s="8" t="s">
        <v>34</v>
      </c>
      <c r="AA6" s="8" t="s">
        <v>33</v>
      </c>
      <c r="AB6" s="7">
        <v>1.7223159039429789E-6</v>
      </c>
      <c r="AC6" s="7">
        <v>2.0516245211005309E-8</v>
      </c>
      <c r="AD6" s="8" t="s">
        <v>34</v>
      </c>
    </row>
    <row r="7" spans="1:30">
      <c r="A7" s="1">
        <v>20</v>
      </c>
      <c r="B7" s="29">
        <f>'Absorbance Data Matlab'!R7</f>
        <v>1.2465133975049661E-3</v>
      </c>
      <c r="C7" s="29">
        <f>'Absorbance Data Matlab'!S7</f>
        <v>1.6906850769258697E-3</v>
      </c>
      <c r="D7" s="29">
        <f>'Absorbance Data Matlab'!T7</f>
        <v>9.6473719486868631E-4</v>
      </c>
      <c r="E7" s="29">
        <f>'Absorbance Data Matlab'!U7</f>
        <v>6.236114948954517E-4</v>
      </c>
      <c r="F7" s="29">
        <f>'Absorbance Data Matlab'!V7</f>
        <v>1.7085581599170132E-3</v>
      </c>
      <c r="G7" s="29">
        <f>'Absorbance Data Matlab'!W7</f>
        <v>1.0302144191210814E-3</v>
      </c>
      <c r="H7" s="29">
        <f>'Absorbance Data Matlab'!X7</f>
        <v>6.064215956263268E-4</v>
      </c>
      <c r="I7" s="29">
        <f>'Absorbance Data Matlab'!Y7</f>
        <v>3.354609339048772E-4</v>
      </c>
      <c r="J7" s="29">
        <f>'Absorbance Data Matlab'!Z7</f>
        <v>2.2709871574875537E-3</v>
      </c>
      <c r="K7" s="29">
        <f>'Absorbance Data Matlab'!AA7</f>
        <v>3.3003261142305128E-3</v>
      </c>
      <c r="L7" s="29">
        <f>'Absorbance Data Matlab'!AB7</f>
        <v>1.5022363089537423E-3</v>
      </c>
      <c r="M7" s="29">
        <f>'Absorbance Data Matlab'!AC7</f>
        <v>1.4195216701273097E-3</v>
      </c>
      <c r="N7" s="29">
        <f>'Absorbance Data Matlab'!AD7</f>
        <v>7.919630237914416E-4</v>
      </c>
      <c r="O7" s="29">
        <f>'Absorbance Data Matlab'!AE7</f>
        <v>1.0946054121787406E-3</v>
      </c>
    </row>
    <row r="8" spans="1:30">
      <c r="A8" s="1">
        <v>25</v>
      </c>
      <c r="B8" s="29">
        <f>'Absorbance Data Matlab'!R8</f>
        <v>1.2102790336890039E-3</v>
      </c>
      <c r="C8" s="29">
        <f>'Absorbance Data Matlab'!S8</f>
        <v>1.6618290169379333E-3</v>
      </c>
      <c r="D8" s="29">
        <f>'Absorbance Data Matlab'!T8</f>
        <v>7.1138869575572666E-4</v>
      </c>
      <c r="E8" s="29">
        <f>'Absorbance Data Matlab'!U8</f>
        <v>2.8288217565772858E-4</v>
      </c>
      <c r="F8" s="29">
        <f>'Absorbance Data Matlab'!V8</f>
        <v>1.6005872305526827E-3</v>
      </c>
      <c r="G8" s="29">
        <f>'Absorbance Data Matlab'!W8</f>
        <v>7.6189198508484909E-4</v>
      </c>
      <c r="H8" s="29">
        <f>'Absorbance Data Matlab'!X8</f>
        <v>2.4991638753132207E-4</v>
      </c>
      <c r="I8" s="29">
        <f>'Absorbance Data Matlab'!Y8</f>
        <v>1.3700165679848941E-4</v>
      </c>
      <c r="J8" s="29">
        <f>'Absorbance Data Matlab'!Z8</f>
        <v>2.0940900220487719E-3</v>
      </c>
      <c r="K8" s="29">
        <f>'Absorbance Data Matlab'!AA8</f>
        <v>3.1849094013290911E-3</v>
      </c>
      <c r="L8" s="29">
        <f>'Absorbance Data Matlab'!AB8</f>
        <v>1.498880501142767E-3</v>
      </c>
      <c r="M8" s="29">
        <f>'Absorbance Data Matlab'!AC8</f>
        <v>1.235146755889513E-3</v>
      </c>
      <c r="N8" s="29">
        <f>'Absorbance Data Matlab'!AD8</f>
        <v>4.9391797262390077E-4</v>
      </c>
      <c r="O8" s="29">
        <f>'Absorbance Data Matlab'!AE8</f>
        <v>8.2806508336430971E-4</v>
      </c>
      <c r="Q8" s="222" t="s">
        <v>14</v>
      </c>
      <c r="R8" s="222"/>
      <c r="S8" s="222"/>
      <c r="T8" s="222"/>
      <c r="V8" s="223" t="s">
        <v>19</v>
      </c>
      <c r="W8" s="223"/>
      <c r="X8" s="223"/>
      <c r="Y8" s="223"/>
      <c r="AA8" s="223" t="s">
        <v>24</v>
      </c>
      <c r="AB8" s="223"/>
      <c r="AC8" s="223"/>
      <c r="AD8" s="223"/>
    </row>
    <row r="9" spans="1:30">
      <c r="A9" s="1">
        <v>30</v>
      </c>
      <c r="B9" s="29">
        <f>'Absorbance Data Matlab'!R9</f>
        <v>1.0169461105484822E-3</v>
      </c>
      <c r="C9" s="29">
        <f>'Absorbance Data Matlab'!S9</f>
        <v>1.5444129823747907E-3</v>
      </c>
      <c r="D9" s="29">
        <f>'Absorbance Data Matlab'!T9</f>
        <v>4.6377288513513456E-4</v>
      </c>
      <c r="E9" s="33">
        <f>'Absorbance Data Matlab'!U9</f>
        <v>2.2559040556896731E-5</v>
      </c>
      <c r="F9" s="29">
        <f>'Absorbance Data Matlab'!V9</f>
        <v>1.470550807917541E-3</v>
      </c>
      <c r="G9" s="29">
        <f>'Absorbance Data Matlab'!W9</f>
        <v>5.1487983578962576E-4</v>
      </c>
      <c r="H9" s="29">
        <f>'Absorbance Data Matlab'!X9</f>
        <v>-5.0822374360554189E-6</v>
      </c>
      <c r="I9" s="33">
        <f>'Absorbance Data Matlab'!Y9</f>
        <v>9.732595232348368E-6</v>
      </c>
      <c r="J9" s="29">
        <f>'Absorbance Data Matlab'!Z9</f>
        <v>1.8363412321935771E-3</v>
      </c>
      <c r="K9" s="29">
        <f>'Absorbance Data Matlab'!AA9</f>
        <v>3.070331481623419E-3</v>
      </c>
      <c r="L9" s="29">
        <f>'Absorbance Data Matlab'!AB9</f>
        <v>1.3586254198255116E-3</v>
      </c>
      <c r="M9" s="29">
        <f>'Absorbance Data Matlab'!AC9</f>
        <v>1.1368413566951706E-3</v>
      </c>
      <c r="N9" s="33">
        <f>'Absorbance Data Matlab'!AD9</f>
        <v>1.8756858827747943E-4</v>
      </c>
      <c r="O9" s="29">
        <f>'Absorbance Data Matlab'!AE9</f>
        <v>6.4512137737979811E-4</v>
      </c>
      <c r="Q9" s="6" t="s">
        <v>29</v>
      </c>
      <c r="R9" s="7" cm="1">
        <f t="array" ref="R9:S13">LINEST(C3:C6,A3:A6,TRUE,TRUE)</f>
        <v>-1.5291130185579056E-5</v>
      </c>
      <c r="S9" s="7">
        <v>2.0004727516797927E-3</v>
      </c>
      <c r="T9" s="6" t="s">
        <v>30</v>
      </c>
      <c r="V9" s="8" t="s">
        <v>29</v>
      </c>
      <c r="W9" s="7" cm="1">
        <f t="array" ref="W9:X13">LINEST(H3:H8,A3:A8,TRUE,TRUE)</f>
        <v>-6.9322921957927508E-5</v>
      </c>
      <c r="X9" s="7">
        <v>1.9840761260955229E-3</v>
      </c>
      <c r="Y9" s="8" t="s">
        <v>30</v>
      </c>
      <c r="AA9" s="8" t="s">
        <v>29</v>
      </c>
      <c r="AB9" s="7" cm="1">
        <f t="array" ref="AB9:AC13">LINEST(M3:M15,A3:A15,TRUE,TRUE)</f>
        <v>-2.8865602401719184E-5</v>
      </c>
      <c r="AC9" s="7">
        <v>1.9952392289890905E-3</v>
      </c>
      <c r="AD9" s="8" t="s">
        <v>30</v>
      </c>
    </row>
    <row r="10" spans="1:30" ht="18">
      <c r="A10" s="1">
        <v>35</v>
      </c>
      <c r="B10" s="29">
        <f>'Absorbance Data Matlab'!R10</f>
        <v>8.277552404130611E-4</v>
      </c>
      <c r="C10" s="29">
        <f>'Absorbance Data Matlab'!S10</f>
        <v>1.3792855062776707E-3</v>
      </c>
      <c r="D10" s="33">
        <f>'Absorbance Data Matlab'!T10</f>
        <v>1.8963597086285813E-4</v>
      </c>
      <c r="E10" s="29">
        <f>'Absorbance Data Matlab'!U10</f>
        <v>1.3766625957968593E-5</v>
      </c>
      <c r="F10" s="29">
        <f>'Absorbance Data Matlab'!V10</f>
        <v>1.4221926944181927E-3</v>
      </c>
      <c r="G10" s="29">
        <f>'Absorbance Data Matlab'!W10</f>
        <v>2.5064151990169051E-4</v>
      </c>
      <c r="H10" s="29">
        <f>'Absorbance Data Matlab'!X10</f>
        <v>-1.0687745857172004E-5</v>
      </c>
      <c r="I10" s="29">
        <f>'Absorbance Data Matlab'!Y10</f>
        <v>-8.2022717804902575E-6</v>
      </c>
      <c r="J10" s="29">
        <f>'Absorbance Data Matlab'!Z10</f>
        <v>1.751353950488557E-3</v>
      </c>
      <c r="K10" s="29">
        <f>'Absorbance Data Matlab'!AA10</f>
        <v>2.9018109351120701E-3</v>
      </c>
      <c r="L10" s="29">
        <f>'Absorbance Data Matlab'!AB10</f>
        <v>1.3387367095419021E-3</v>
      </c>
      <c r="M10" s="29">
        <f>'Absorbance Data Matlab'!AC10</f>
        <v>1.0078086899251452E-3</v>
      </c>
      <c r="N10" s="29">
        <f>'Absorbance Data Matlab'!AD10</f>
        <v>2.1403460808456936E-5</v>
      </c>
      <c r="O10" s="29">
        <f>'Absorbance Data Matlab'!AE10</f>
        <v>3.9388460730336981E-4</v>
      </c>
      <c r="Q10" s="6" t="s">
        <v>35</v>
      </c>
      <c r="R10" s="7">
        <v>2.0311613792484796E-6</v>
      </c>
      <c r="S10" s="7">
        <v>1.8999774945987554E-5</v>
      </c>
      <c r="T10" s="6" t="s">
        <v>36</v>
      </c>
      <c r="V10" s="8" t="s">
        <v>39</v>
      </c>
      <c r="W10" s="7">
        <v>3.4030084652586785E-7</v>
      </c>
      <c r="X10" s="7">
        <v>5.1515598924186009E-6</v>
      </c>
      <c r="Y10" s="8" t="s">
        <v>40</v>
      </c>
      <c r="AA10" s="8" t="s">
        <v>39</v>
      </c>
      <c r="AB10" s="7">
        <v>4.598783307304046E-7</v>
      </c>
      <c r="AC10" s="7">
        <v>1.6259154309010947E-5</v>
      </c>
      <c r="AD10" s="8" t="s">
        <v>40</v>
      </c>
    </row>
    <row r="11" spans="1:30" ht="20">
      <c r="A11" s="1">
        <v>40</v>
      </c>
      <c r="B11" s="29">
        <f>'Absorbance Data Matlab'!R11</f>
        <v>6.7414401185683984E-4</v>
      </c>
      <c r="C11" s="29">
        <f>'Absorbance Data Matlab'!S11</f>
        <v>1.3027273666513545E-3</v>
      </c>
      <c r="D11" s="29">
        <f>'Absorbance Data Matlab'!T11</f>
        <v>-1.8343163810712445E-5</v>
      </c>
      <c r="E11" s="29">
        <f>'Absorbance Data Matlab'!U11</f>
        <v>-7.3297453261510554E-6</v>
      </c>
      <c r="F11" s="29">
        <f>'Absorbance Data Matlab'!V11</f>
        <v>1.3124889184860638E-3</v>
      </c>
      <c r="G11" s="29">
        <f>'Absorbance Data Matlab'!W11</f>
        <v>-1.3842649345984706E-5</v>
      </c>
      <c r="H11" s="29">
        <f>'Absorbance Data Matlab'!X11</f>
        <v>-6.965205562153708E-6</v>
      </c>
      <c r="I11" s="29">
        <f>'Absorbance Data Matlab'!Y11</f>
        <v>-9.9716973154396773E-6</v>
      </c>
      <c r="J11" s="29">
        <f>'Absorbance Data Matlab'!Z11</f>
        <v>1.5470965869675648E-3</v>
      </c>
      <c r="K11" s="29">
        <f>'Absorbance Data Matlab'!AA11</f>
        <v>2.5963370286654353E-3</v>
      </c>
      <c r="L11" s="29">
        <f>'Absorbance Data Matlab'!AB11</f>
        <v>1.2580074953064437E-3</v>
      </c>
      <c r="M11" s="29">
        <f>'Absorbance Data Matlab'!AC11</f>
        <v>8.2390163744562052E-4</v>
      </c>
      <c r="N11" s="29">
        <f>'Absorbance Data Matlab'!AD11</f>
        <v>-4.9815480228361465E-6</v>
      </c>
      <c r="O11" s="33">
        <f>'Absorbance Data Matlab'!AE11</f>
        <v>1.2257743999141365E-4</v>
      </c>
      <c r="Q11" s="6" t="s">
        <v>37</v>
      </c>
      <c r="R11" s="7">
        <v>0.96591384037332739</v>
      </c>
      <c r="S11" s="7">
        <v>2.2709074586359155E-5</v>
      </c>
      <c r="T11" s="6" t="s">
        <v>38</v>
      </c>
      <c r="V11" s="8" t="s">
        <v>41</v>
      </c>
      <c r="W11" s="7">
        <v>0.99990361921244886</v>
      </c>
      <c r="X11" s="7">
        <v>7.117902882097525E-6</v>
      </c>
      <c r="Y11" s="8" t="s">
        <v>42</v>
      </c>
      <c r="AA11" s="8" t="s">
        <v>41</v>
      </c>
      <c r="AB11" s="7">
        <v>0.99721576132913836</v>
      </c>
      <c r="AC11" s="7">
        <v>3.1020489354505584E-5</v>
      </c>
      <c r="AD11" s="8" t="s">
        <v>42</v>
      </c>
    </row>
    <row r="12" spans="1:30">
      <c r="A12" s="1">
        <v>45</v>
      </c>
      <c r="B12" s="29">
        <f>'Absorbance Data Matlab'!R12</f>
        <v>4.5759154819180887E-4</v>
      </c>
      <c r="C12" s="29">
        <f>'Absorbance Data Matlab'!S12</f>
        <v>1.241433110047344E-3</v>
      </c>
      <c r="D12" s="29">
        <f>'Absorbance Data Matlab'!T12</f>
        <v>-4.8623546367875534E-7</v>
      </c>
      <c r="E12" s="29">
        <f>'Absorbance Data Matlab'!U12</f>
        <v>-1.2326329909511312E-5</v>
      </c>
      <c r="F12" s="29">
        <f>'Absorbance Data Matlab'!V12</f>
        <v>1.2031841145703024E-3</v>
      </c>
      <c r="G12" s="29">
        <f>'Absorbance Data Matlab'!W12</f>
        <v>-7.7274196406776777E-8</v>
      </c>
      <c r="H12" s="29">
        <f>'Absorbance Data Matlab'!X12</f>
        <v>-2.971166506907145E-6</v>
      </c>
      <c r="I12" s="29">
        <f>'Absorbance Data Matlab'!Y12</f>
        <v>-5.4092574344890417E-6</v>
      </c>
      <c r="J12" s="29">
        <f>'Absorbance Data Matlab'!Z12</f>
        <v>1.3375991382117657E-3</v>
      </c>
      <c r="K12" s="29">
        <f>'Absorbance Data Matlab'!AA12</f>
        <v>2.3978749580090635E-3</v>
      </c>
      <c r="L12" s="29">
        <f>'Absorbance Data Matlab'!AB12</f>
        <v>1.0773678453977692E-3</v>
      </c>
      <c r="M12" s="29">
        <f>'Absorbance Data Matlab'!AC12</f>
        <v>7.2352554185024938E-4</v>
      </c>
      <c r="N12" s="29">
        <f>'Absorbance Data Matlab'!AD12</f>
        <v>-6.8019445583804128E-6</v>
      </c>
      <c r="O12" s="29">
        <f>'Absorbance Data Matlab'!AE12</f>
        <v>8.8495990014587446E-6</v>
      </c>
      <c r="Q12" s="6" t="s">
        <v>31</v>
      </c>
      <c r="R12" s="7">
        <v>56.674841105742672</v>
      </c>
      <c r="S12" s="7">
        <v>2</v>
      </c>
      <c r="T12" s="6" t="s">
        <v>32</v>
      </c>
      <c r="V12" s="8" t="s">
        <v>31</v>
      </c>
      <c r="W12" s="7">
        <v>41498.047261040156</v>
      </c>
      <c r="X12" s="7">
        <v>4</v>
      </c>
      <c r="Y12" s="8" t="s">
        <v>32</v>
      </c>
      <c r="AA12" s="8" t="s">
        <v>31</v>
      </c>
      <c r="AB12" s="7">
        <v>3939.8107243535951</v>
      </c>
      <c r="AC12" s="7">
        <v>11</v>
      </c>
      <c r="AD12" s="8" t="s">
        <v>32</v>
      </c>
    </row>
    <row r="13" spans="1:30">
      <c r="A13" s="1">
        <v>50</v>
      </c>
      <c r="B13" s="29">
        <f>'Absorbance Data Matlab'!R13</f>
        <v>2.847124651570251E-4</v>
      </c>
      <c r="C13" s="29">
        <f>'Absorbance Data Matlab'!S13</f>
        <v>1.2333885698985764E-3</v>
      </c>
      <c r="D13" s="29">
        <f>'Absorbance Data Matlab'!T13</f>
        <v>-6.5298983545181907E-6</v>
      </c>
      <c r="E13" s="29">
        <f>'Absorbance Data Matlab'!U13</f>
        <v>-9.3765608029735424E-6</v>
      </c>
      <c r="F13" s="29">
        <f>'Absorbance Data Matlab'!V13</f>
        <v>1.1159517429934302E-3</v>
      </c>
      <c r="G13" s="29">
        <f>'Absorbance Data Matlab'!W13</f>
        <v>6.9119995002754809E-9</v>
      </c>
      <c r="H13" s="29">
        <f>'Absorbance Data Matlab'!X13</f>
        <v>-1.1823818565377587E-5</v>
      </c>
      <c r="I13" s="29">
        <f>'Absorbance Data Matlab'!Y13</f>
        <v>1.0231270187358454E-6</v>
      </c>
      <c r="J13" s="29">
        <f>'Absorbance Data Matlab'!Z13</f>
        <v>1.1734304131405841E-3</v>
      </c>
      <c r="K13" s="29">
        <f>'Absorbance Data Matlab'!AA13</f>
        <v>2.2762185307787365E-3</v>
      </c>
      <c r="L13" s="29">
        <f>'Absorbance Data Matlab'!AB13</f>
        <v>9.9976047076997328E-4</v>
      </c>
      <c r="M13" s="29">
        <f>'Absorbance Data Matlab'!AC13</f>
        <v>5.6718626020736858E-4</v>
      </c>
      <c r="N13" s="29">
        <f>'Absorbance Data Matlab'!AD13</f>
        <v>1.4374241111086374E-6</v>
      </c>
      <c r="O13" s="29">
        <f>'Absorbance Data Matlab'!AE13</f>
        <v>1.8093990810819616E-6</v>
      </c>
      <c r="Q13" s="6" t="s">
        <v>33</v>
      </c>
      <c r="R13" s="7">
        <v>2.9227332794040873E-8</v>
      </c>
      <c r="S13" s="7">
        <v>1.0314041371376466E-9</v>
      </c>
      <c r="T13" s="6" t="s">
        <v>34</v>
      </c>
      <c r="V13" s="8" t="s">
        <v>33</v>
      </c>
      <c r="W13" s="7">
        <v>2.1024795350933978E-6</v>
      </c>
      <c r="X13" s="7">
        <v>2.0265816575588901E-10</v>
      </c>
      <c r="Y13" s="8" t="s">
        <v>34</v>
      </c>
      <c r="AA13" s="8" t="s">
        <v>33</v>
      </c>
      <c r="AB13" s="7">
        <v>3.7911646591643219E-6</v>
      </c>
      <c r="AC13" s="7">
        <v>1.0584978357722939E-8</v>
      </c>
      <c r="AD13" s="8" t="s">
        <v>34</v>
      </c>
    </row>
    <row r="14" spans="1:30">
      <c r="A14" s="1">
        <v>55</v>
      </c>
      <c r="B14" s="33">
        <f>'Absorbance Data Matlab'!R14</f>
        <v>8.1509165549243661E-5</v>
      </c>
      <c r="C14" s="29">
        <f>'Absorbance Data Matlab'!S14</f>
        <v>1.0517890681281893E-3</v>
      </c>
      <c r="D14" s="29">
        <f>'Absorbance Data Matlab'!T14</f>
        <v>1.0519760642818509E-6</v>
      </c>
      <c r="E14" s="29">
        <f>'Absorbance Data Matlab'!U14</f>
        <v>5.22486361456532E-6</v>
      </c>
      <c r="F14" s="29">
        <f>'Absorbance Data Matlab'!V14</f>
        <v>1.1116601691688185E-3</v>
      </c>
      <c r="G14" s="29">
        <f>'Absorbance Data Matlab'!W14</f>
        <v>-3.7276418527231437E-6</v>
      </c>
      <c r="H14" s="29">
        <f>'Absorbance Data Matlab'!X14</f>
        <v>-1.9070992885034206E-7</v>
      </c>
      <c r="I14" s="29">
        <f>'Absorbance Data Matlab'!Y14</f>
        <v>3.0719239906635544E-6</v>
      </c>
      <c r="J14" s="29">
        <f>'Absorbance Data Matlab'!Z14</f>
        <v>9.4787961403363535E-4</v>
      </c>
      <c r="K14" s="29">
        <f>'Absorbance Data Matlab'!AA14</f>
        <v>2.0774675138845364E-3</v>
      </c>
      <c r="L14" s="29">
        <f>'Absorbance Data Matlab'!AB14</f>
        <v>8.7992101765889657E-4</v>
      </c>
      <c r="M14" s="29">
        <f>'Absorbance Data Matlab'!AC14</f>
        <v>3.9013062597395039E-4</v>
      </c>
      <c r="N14" s="29">
        <f>'Absorbance Data Matlab'!AD14</f>
        <v>2.6018542353508145E-6</v>
      </c>
      <c r="O14" s="30">
        <f>'Absorbance Data Matlab'!AE14</f>
        <v>2.8641567696111417E-6</v>
      </c>
    </row>
    <row r="15" spans="1:30">
      <c r="A15" s="1">
        <v>60</v>
      </c>
      <c r="B15" s="29">
        <f>'Absorbance Data Matlab'!R15</f>
        <v>9.5449098815309783E-6</v>
      </c>
      <c r="C15" s="29">
        <f>'Absorbance Data Matlab'!S15</f>
        <v>9.7196746996995468E-4</v>
      </c>
      <c r="D15" s="29">
        <f>'Absorbance Data Matlab'!T15</f>
        <v>8.6756135710978931E-6</v>
      </c>
      <c r="E15" s="29">
        <f>'Absorbance Data Matlab'!U15</f>
        <v>-6.3591487088098015E-6</v>
      </c>
      <c r="F15" s="29">
        <f>'Absorbance Data Matlab'!V15</f>
        <v>9.9403173012654411E-4</v>
      </c>
      <c r="G15" s="29">
        <f>'Absorbance Data Matlab'!W15</f>
        <v>2.9043654202681579E-6</v>
      </c>
      <c r="H15" s="29">
        <f>'Absorbance Data Matlab'!X15</f>
        <v>3.35250250489681E-6</v>
      </c>
      <c r="I15" s="29">
        <f>'Absorbance Data Matlab'!Y15</f>
        <v>-1.1412236302734531E-5</v>
      </c>
      <c r="J15" s="29">
        <f>'Absorbance Data Matlab'!Z15</f>
        <v>7.769141993756079E-4</v>
      </c>
      <c r="K15" s="29">
        <f>'Absorbance Data Matlab'!AA15</f>
        <v>1.9007818733477871E-3</v>
      </c>
      <c r="L15" s="29">
        <f>'Absorbance Data Matlab'!AB15</f>
        <v>7.435331245140191E-4</v>
      </c>
      <c r="M15" s="29">
        <f>'Absorbance Data Matlab'!AC15</f>
        <v>2.7053506546728646E-4</v>
      </c>
      <c r="N15" s="29">
        <f>'Absorbance Data Matlab'!AD15</f>
        <v>9.5697992066318765E-6</v>
      </c>
      <c r="O15" s="29">
        <f>'Absorbance Data Matlab'!AE15</f>
        <v>1.1124565005483182E-6</v>
      </c>
      <c r="Q15" s="222" t="s">
        <v>15</v>
      </c>
      <c r="R15" s="222"/>
      <c r="S15" s="222"/>
      <c r="T15" s="222"/>
      <c r="V15" s="223" t="s">
        <v>20</v>
      </c>
      <c r="W15" s="223"/>
      <c r="X15" s="223"/>
      <c r="Y15" s="223"/>
      <c r="AA15" s="223" t="s">
        <v>25</v>
      </c>
      <c r="AB15" s="223"/>
      <c r="AC15" s="223"/>
      <c r="AD15" s="223"/>
    </row>
    <row r="16" spans="1:30">
      <c r="A16" s="1">
        <v>65</v>
      </c>
      <c r="B16" s="30">
        <f>'Absorbance Data Matlab'!R16</f>
        <v>1.4096728416496978E-5</v>
      </c>
      <c r="C16" s="29">
        <f>'Absorbance Data Matlab'!S16</f>
        <v>8.8549436386216795E-4</v>
      </c>
      <c r="D16" s="29">
        <f>'Absorbance Data Matlab'!T16</f>
        <v>3.5840422038839524E-6</v>
      </c>
      <c r="E16" s="29">
        <f>'Absorbance Data Matlab'!U16</f>
        <v>1.4102635871048258E-5</v>
      </c>
      <c r="F16" s="29">
        <f>'Absorbance Data Matlab'!V16</f>
        <v>8.8525025271454891E-4</v>
      </c>
      <c r="G16" s="29">
        <f>'Absorbance Data Matlab'!W16</f>
        <v>-7.3193062920789637E-6</v>
      </c>
      <c r="H16" s="29">
        <f>'Absorbance Data Matlab'!X16</f>
        <v>-9.4874076091367196E-6</v>
      </c>
      <c r="I16" s="29">
        <f>'Absorbance Data Matlab'!Y16</f>
        <v>-5.1548113186728363E-6</v>
      </c>
      <c r="J16" s="29">
        <f>'Absorbance Data Matlab'!Z16</f>
        <v>5.2557192514761928E-4</v>
      </c>
      <c r="K16" s="29">
        <f>'Absorbance Data Matlab'!AA16</f>
        <v>1.7095046992991495E-3</v>
      </c>
      <c r="L16" s="29">
        <f>'Absorbance Data Matlab'!AB16</f>
        <v>6.9140338924834975E-4</v>
      </c>
      <c r="M16" s="33">
        <f>'Absorbance Data Matlab'!AC16</f>
        <v>1.0224778952450079E-4</v>
      </c>
      <c r="N16" s="29">
        <f>'Absorbance Data Matlab'!AD16</f>
        <v>1.349946206167355E-6</v>
      </c>
      <c r="O16" s="29">
        <f>'Absorbance Data Matlab'!AE16</f>
        <v>4.333338338885083E-6</v>
      </c>
      <c r="Q16" s="6" t="s">
        <v>29</v>
      </c>
      <c r="R16" s="7" cm="1">
        <f t="array" ref="R16:S20">LINEST(D3:D5,A3:A5,TRUE,TRUE)</f>
        <v>-4.9796106288533329E-5</v>
      </c>
      <c r="S16" s="7">
        <v>1.98316213764709E-3</v>
      </c>
      <c r="T16" s="6" t="s">
        <v>30</v>
      </c>
      <c r="V16" s="8" t="s">
        <v>29</v>
      </c>
      <c r="W16" s="7" cm="1">
        <f t="array" ref="W16:X20">LINEST(I3:I9,A3:A9,TRUE,TRUE)</f>
        <v>-3.2025386222083753E-5</v>
      </c>
      <c r="X16" s="7">
        <v>9.6251772087289694E-4</v>
      </c>
      <c r="Y16" s="8" t="s">
        <v>30</v>
      </c>
      <c r="AA16" s="8" t="s">
        <v>29</v>
      </c>
      <c r="AB16" s="7" cm="1">
        <f t="array" ref="AB16:AC20">LINEST(N3:N10,A3:A10,TRUE,TRUE)</f>
        <v>-5.7767406474787095E-5</v>
      </c>
      <c r="AC16" s="7">
        <v>1.980206249888543E-3</v>
      </c>
      <c r="AD16" s="8" t="s">
        <v>30</v>
      </c>
    </row>
    <row r="17" spans="1:30" ht="18">
      <c r="A17" s="1">
        <v>70</v>
      </c>
      <c r="B17" s="29">
        <f>'Absorbance Data Matlab'!R17</f>
        <v>9.3136343636000105E-6</v>
      </c>
      <c r="C17" s="29">
        <f>'Absorbance Data Matlab'!S17</f>
        <v>8.04971342963033E-4</v>
      </c>
      <c r="D17" s="29">
        <f>'Absorbance Data Matlab'!T17</f>
        <v>-1.4005913766950175E-5</v>
      </c>
      <c r="E17" s="29">
        <f>'Absorbance Data Matlab'!U17</f>
        <v>-6.3954201404794838E-6</v>
      </c>
      <c r="F17" s="29">
        <f>'Absorbance Data Matlab'!V17</f>
        <v>8.0794388870619944E-4</v>
      </c>
      <c r="G17" s="29">
        <f>'Absorbance Data Matlab'!W17</f>
        <v>-1.1849774600517356E-5</v>
      </c>
      <c r="H17" s="29">
        <f>'Absorbance Data Matlab'!X17</f>
        <v>1.0971654580808823E-5</v>
      </c>
      <c r="I17" s="29">
        <f>'Absorbance Data Matlab'!Y17</f>
        <v>2.1701193436348188E-5</v>
      </c>
      <c r="J17" s="29">
        <f>'Absorbance Data Matlab'!Z17</f>
        <v>3.596669784209375E-4</v>
      </c>
      <c r="K17" s="29">
        <f>'Absorbance Data Matlab'!AA17</f>
        <v>1.431798227042616E-3</v>
      </c>
      <c r="L17" s="29">
        <f>'Absorbance Data Matlab'!AB17</f>
        <v>5.5423516119242858E-4</v>
      </c>
      <c r="M17" s="29">
        <f>'Absorbance Data Matlab'!AC17</f>
        <v>-1.9315735933641661E-5</v>
      </c>
      <c r="N17" s="29">
        <f>'Absorbance Data Matlab'!AD17</f>
        <v>1.1027734313146884E-5</v>
      </c>
      <c r="O17" s="29">
        <f>'Absorbance Data Matlab'!AE17</f>
        <v>1.0013309992623053E-6</v>
      </c>
      <c r="Q17" s="6" t="s">
        <v>35</v>
      </c>
      <c r="R17" s="7">
        <v>2.4804869525942376E-6</v>
      </c>
      <c r="S17" s="7">
        <v>1.6011474429803782E-5</v>
      </c>
      <c r="T17" s="6" t="s">
        <v>36</v>
      </c>
      <c r="V17" s="8" t="s">
        <v>39</v>
      </c>
      <c r="W17" s="7">
        <v>5.4559581177564116E-7</v>
      </c>
      <c r="X17" s="7">
        <v>9.8358683751773681E-6</v>
      </c>
      <c r="Y17" s="8" t="s">
        <v>40</v>
      </c>
      <c r="AA17" s="8" t="s">
        <v>39</v>
      </c>
      <c r="AB17" s="7">
        <v>1.6236771935806633E-6</v>
      </c>
      <c r="AC17" s="7">
        <v>3.3961645096599276E-5</v>
      </c>
      <c r="AD17" s="8" t="s">
        <v>40</v>
      </c>
    </row>
    <row r="18" spans="1:30" ht="20">
      <c r="A18" s="1">
        <v>75</v>
      </c>
      <c r="B18" s="29">
        <f>'Absorbance Data Matlab'!R18</f>
        <v>-2.8375923218087807E-6</v>
      </c>
      <c r="C18" s="29">
        <f>'Absorbance Data Matlab'!S18</f>
        <v>6.6154487345955677E-4</v>
      </c>
      <c r="D18" s="29">
        <f>'Absorbance Data Matlab'!T18</f>
        <v>-5.7516837483663784E-6</v>
      </c>
      <c r="E18" s="29">
        <f>'Absorbance Data Matlab'!U18</f>
        <v>6.6579254168621433E-6</v>
      </c>
      <c r="F18" s="29">
        <f>'Absorbance Data Matlab'!V18</f>
        <v>6.8803914728381643E-4</v>
      </c>
      <c r="G18" s="29">
        <f>'Absorbance Data Matlab'!W18</f>
        <v>-3.3593434365820626E-6</v>
      </c>
      <c r="H18" s="29">
        <f>'Absorbance Data Matlab'!X18</f>
        <v>-1.5622450861577399E-5</v>
      </c>
      <c r="I18" s="29">
        <f>'Absorbance Data Matlab'!Y18</f>
        <v>5.3133658359136314E-6</v>
      </c>
      <c r="J18" s="33">
        <f>'Absorbance Data Matlab'!Z18</f>
        <v>1.6510234417025358E-4</v>
      </c>
      <c r="K18" s="29">
        <f>'Absorbance Data Matlab'!AA18</f>
        <v>1.3241375748595712E-3</v>
      </c>
      <c r="L18" s="30">
        <f>'Absorbance Data Matlab'!AB18</f>
        <v>4.3089897490066625E-4</v>
      </c>
      <c r="M18" s="29">
        <f>'Absorbance Data Matlab'!AC18</f>
        <v>-4.5395652872680517E-6</v>
      </c>
      <c r="N18" s="29">
        <f>'Absorbance Data Matlab'!AD18</f>
        <v>-4.5400594380890389E-7</v>
      </c>
      <c r="O18" s="29">
        <f>'Absorbance Data Matlab'!AE18</f>
        <v>2.7454043669981573E-5</v>
      </c>
      <c r="Q18" s="6" t="s">
        <v>37</v>
      </c>
      <c r="R18" s="7">
        <v>0.99752481973450835</v>
      </c>
      <c r="S18" s="7">
        <v>1.7539691448241392E-5</v>
      </c>
      <c r="T18" s="6" t="s">
        <v>38</v>
      </c>
      <c r="V18" s="8" t="s">
        <v>41</v>
      </c>
      <c r="W18" s="7">
        <v>0.99855091612927938</v>
      </c>
      <c r="X18" s="7">
        <v>1.4435108343167525E-5</v>
      </c>
      <c r="Y18" s="8" t="s">
        <v>42</v>
      </c>
      <c r="AA18" s="8" t="s">
        <v>41</v>
      </c>
      <c r="AB18" s="7">
        <v>0.995282290789685</v>
      </c>
      <c r="AC18" s="7">
        <v>5.2613154347574305E-5</v>
      </c>
      <c r="AD18" s="8" t="s">
        <v>42</v>
      </c>
    </row>
    <row r="19" spans="1:30">
      <c r="A19" s="1">
        <v>80</v>
      </c>
      <c r="B19" s="29">
        <f>'Absorbance Data Matlab'!R19</f>
        <v>1.4923050464874579E-6</v>
      </c>
      <c r="C19" s="29">
        <f>'Absorbance Data Matlab'!S19</f>
        <v>6.4689737925577838E-4</v>
      </c>
      <c r="D19" s="29">
        <f>'Absorbance Data Matlab'!T19</f>
        <v>-1.6792067439960064E-5</v>
      </c>
      <c r="E19" s="29">
        <f>'Absorbance Data Matlab'!U19</f>
        <v>-5.7910739153289637E-6</v>
      </c>
      <c r="F19" s="29">
        <f>'Absorbance Data Matlab'!V19</f>
        <v>5.6534704654299874E-4</v>
      </c>
      <c r="G19" s="29">
        <f>'Absorbance Data Matlab'!W19</f>
        <v>-6.4745894068150834E-6</v>
      </c>
      <c r="H19" s="29">
        <f>'Absorbance Data Matlab'!X19</f>
        <v>-3.8590075464254535E-6</v>
      </c>
      <c r="I19" s="29">
        <f>'Absorbance Data Matlab'!Y19</f>
        <v>8.9766955007986972E-6</v>
      </c>
      <c r="J19" s="29">
        <f>'Absorbance Data Matlab'!Z19</f>
        <v>6.2764182632161895E-6</v>
      </c>
      <c r="K19" s="29">
        <f>'Absorbance Data Matlab'!AA19</f>
        <v>1.1085419825459474E-3</v>
      </c>
      <c r="L19" s="29">
        <f>'Absorbance Data Matlab'!AB19</f>
        <v>3.7410241528476417E-4</v>
      </c>
      <c r="M19" s="29">
        <f>'Absorbance Data Matlab'!AC19</f>
        <v>1.3838049837129739E-6</v>
      </c>
      <c r="N19" s="29">
        <f>'Absorbance Data Matlab'!AD19</f>
        <v>6.4153268479079387E-6</v>
      </c>
      <c r="O19" s="29">
        <f>'Absorbance Data Matlab'!AE19</f>
        <v>-1.1491144792200025E-5</v>
      </c>
      <c r="Q19" s="6" t="s">
        <v>31</v>
      </c>
      <c r="R19" s="7">
        <v>403.01097808582085</v>
      </c>
      <c r="S19" s="7">
        <v>1</v>
      </c>
      <c r="T19" s="6" t="s">
        <v>32</v>
      </c>
      <c r="V19" s="8" t="s">
        <v>31</v>
      </c>
      <c r="W19" s="7">
        <v>3445.4559059881358</v>
      </c>
      <c r="X19" s="7">
        <v>5</v>
      </c>
      <c r="Y19" s="8" t="s">
        <v>32</v>
      </c>
      <c r="AA19" s="8" t="s">
        <v>31</v>
      </c>
      <c r="AB19" s="7">
        <v>1265.8036938099879</v>
      </c>
      <c r="AC19" s="7">
        <v>6</v>
      </c>
      <c r="AD19" s="8" t="s">
        <v>32</v>
      </c>
    </row>
    <row r="20" spans="1:30">
      <c r="A20" s="1">
        <v>85</v>
      </c>
      <c r="B20" s="29">
        <f>'Absorbance Data Matlab'!R20</f>
        <v>-6.0526690203716378E-6</v>
      </c>
      <c r="C20" s="29">
        <f>'Absorbance Data Matlab'!S20</f>
        <v>5.1481941201647521E-4</v>
      </c>
      <c r="D20" s="29">
        <f>'Absorbance Data Matlab'!T20</f>
        <v>-2.8697066296482823E-7</v>
      </c>
      <c r="E20" s="29">
        <f>'Absorbance Data Matlab'!U20</f>
        <v>4.2205437770759005E-6</v>
      </c>
      <c r="F20" s="29">
        <f>'Absorbance Data Matlab'!V20</f>
        <v>4.8058143883962485E-4</v>
      </c>
      <c r="G20" s="29">
        <f>'Absorbance Data Matlab'!W20</f>
        <v>-1.2805959533781375E-5</v>
      </c>
      <c r="H20" s="29">
        <f>'Absorbance Data Matlab'!X20</f>
        <v>-1.4623515677333611E-5</v>
      </c>
      <c r="I20" s="29">
        <f>'Absorbance Data Matlab'!Y20</f>
        <v>-1.3212504548836118E-5</v>
      </c>
      <c r="J20" s="30">
        <f>'Absorbance Data Matlab'!Z20</f>
        <v>1.5148366200260704E-5</v>
      </c>
      <c r="K20" s="29">
        <f>'Absorbance Data Matlab'!AA20</f>
        <v>8.9404545931462734E-4</v>
      </c>
      <c r="L20" s="29">
        <f>'Absorbance Data Matlab'!AB20</f>
        <v>2.4673459535996855E-4</v>
      </c>
      <c r="M20" s="29">
        <f>'Absorbance Data Matlab'!AC20</f>
        <v>-3.3314511756233974E-6</v>
      </c>
      <c r="N20" s="29">
        <f>'Absorbance Data Matlab'!AD20</f>
        <v>6.6979168258540737E-6</v>
      </c>
      <c r="O20" s="29">
        <f>'Absorbance Data Matlab'!AE20</f>
        <v>-1.8264042116421485E-5</v>
      </c>
      <c r="Q20" s="6" t="s">
        <v>33</v>
      </c>
      <c r="R20" s="7">
        <v>1.2398261007494544E-7</v>
      </c>
      <c r="S20" s="7">
        <v>3.0764077609951222E-10</v>
      </c>
      <c r="T20" s="6" t="s">
        <v>34</v>
      </c>
      <c r="V20" s="8" t="s">
        <v>33</v>
      </c>
      <c r="W20" s="7">
        <v>7.1793775387154172E-7</v>
      </c>
      <c r="X20" s="7">
        <v>1.0418617643949234E-9</v>
      </c>
      <c r="Y20" s="8" t="s">
        <v>34</v>
      </c>
      <c r="AA20" s="8" t="s">
        <v>33</v>
      </c>
      <c r="AB20" s="7">
        <v>3.5039269133644365E-6</v>
      </c>
      <c r="AC20" s="7">
        <v>1.6608864062410062E-8</v>
      </c>
      <c r="AD20" s="8" t="s">
        <v>34</v>
      </c>
    </row>
    <row r="21" spans="1:30">
      <c r="A21" s="1">
        <v>90</v>
      </c>
      <c r="B21" s="29">
        <f>'Absorbance Data Matlab'!R21</f>
        <v>-7.1843077983902049E-6</v>
      </c>
      <c r="C21" s="29">
        <f>'Absorbance Data Matlab'!S21</f>
        <v>4.6318299822560057E-4</v>
      </c>
      <c r="D21" s="29">
        <f>'Absorbance Data Matlab'!T21</f>
        <v>-1.0216403150873272E-5</v>
      </c>
      <c r="E21" s="29">
        <f>'Absorbance Data Matlab'!U21</f>
        <v>4.4388289326897517E-6</v>
      </c>
      <c r="F21" s="29">
        <f>'Absorbance Data Matlab'!V21</f>
        <v>3.5588588593715308E-4</v>
      </c>
      <c r="G21" s="29">
        <f>'Absorbance Data Matlab'!W21</f>
        <v>7.0335500849649209E-6</v>
      </c>
      <c r="H21" s="29">
        <f>'Absorbance Data Matlab'!X21</f>
        <v>-3.3944282088646757E-6</v>
      </c>
      <c r="I21" s="29">
        <f>'Absorbance Data Matlab'!Y21</f>
        <v>-7.2864854618226891E-7</v>
      </c>
      <c r="J21" s="29">
        <f>'Absorbance Data Matlab'!Z21</f>
        <v>-3.6323551457839323E-6</v>
      </c>
      <c r="K21" s="29">
        <f>'Absorbance Data Matlab'!AA21</f>
        <v>6.9903198703927412E-4</v>
      </c>
      <c r="L21" s="33">
        <f>'Absorbance Data Matlab'!AB21</f>
        <v>1.3852582351682496E-4</v>
      </c>
      <c r="M21" s="29">
        <f>'Absorbance Data Matlab'!AC21</f>
        <v>5.4167059650188661E-7</v>
      </c>
      <c r="N21" s="29">
        <f>'Absorbance Data Matlab'!AD21</f>
        <v>-8.6109004375505701E-7</v>
      </c>
      <c r="O21" s="29">
        <f>'Absorbance Data Matlab'!AE21</f>
        <v>-1.1235214783925205E-5</v>
      </c>
    </row>
    <row r="22" spans="1:30">
      <c r="A22" s="1">
        <v>95</v>
      </c>
      <c r="B22" s="29">
        <f>'Absorbance Data Matlab'!R22</f>
        <v>-1.2520883350039343E-5</v>
      </c>
      <c r="C22" s="29">
        <f>'Absorbance Data Matlab'!S22</f>
        <v>3.7034345359661879E-4</v>
      </c>
      <c r="D22" s="29">
        <f>'Absorbance Data Matlab'!T22</f>
        <v>1.197465460744506E-6</v>
      </c>
      <c r="E22" s="29">
        <f>'Absorbance Data Matlab'!U22</f>
        <v>-4.365076063370394E-6</v>
      </c>
      <c r="F22" s="29">
        <f>'Absorbance Data Matlab'!V22</f>
        <v>2.9437608923421063E-4</v>
      </c>
      <c r="G22" s="29">
        <f>'Absorbance Data Matlab'!W22</f>
        <v>-3.2354388427473753E-6</v>
      </c>
      <c r="H22" s="29">
        <f>'Absorbance Data Matlab'!X22</f>
        <v>-1.303999774716933E-5</v>
      </c>
      <c r="I22" s="29">
        <f>'Absorbance Data Matlab'!Y22</f>
        <v>-1.5364443685252574E-5</v>
      </c>
      <c r="J22" s="29">
        <f>'Absorbance Data Matlab'!Z22</f>
        <v>9.3562984588459587E-6</v>
      </c>
      <c r="K22" s="29">
        <f>'Absorbance Data Matlab'!AA22</f>
        <v>5.4030634724922617E-4</v>
      </c>
      <c r="L22" s="29">
        <f>'Absorbance Data Matlab'!AB22</f>
        <v>1.6583759128707493E-5</v>
      </c>
      <c r="M22" s="29">
        <f>'Absorbance Data Matlab'!AC22</f>
        <v>1.2843805632249E-5</v>
      </c>
      <c r="N22" s="29">
        <f>'Absorbance Data Matlab'!AD22</f>
        <v>1.5341242049458853E-5</v>
      </c>
      <c r="O22" s="29">
        <f>'Absorbance Data Matlab'!AE22</f>
        <v>-1.0768959074017667E-5</v>
      </c>
      <c r="Q22" s="222" t="s">
        <v>16</v>
      </c>
      <c r="R22" s="222"/>
      <c r="S22" s="222"/>
      <c r="T22" s="222"/>
      <c r="V22" s="223" t="s">
        <v>21</v>
      </c>
      <c r="W22" s="223"/>
      <c r="X22" s="223"/>
      <c r="Y22" s="223"/>
      <c r="AA22" s="223" t="s">
        <v>96</v>
      </c>
      <c r="AB22" s="223"/>
      <c r="AC22" s="223"/>
      <c r="AD22" s="223"/>
    </row>
    <row r="23" spans="1:30">
      <c r="A23" s="1">
        <v>100</v>
      </c>
      <c r="B23" s="29">
        <f>'Absorbance Data Matlab'!R23</f>
        <v>-2.9690236854212423E-6</v>
      </c>
      <c r="C23" s="29">
        <f>'Absorbance Data Matlab'!S23</f>
        <v>2.2974261120973165E-4</v>
      </c>
      <c r="D23" s="29">
        <f>'Absorbance Data Matlab'!T23</f>
        <v>-6.4778893496348373E-6</v>
      </c>
      <c r="E23" s="29">
        <f>'Absorbance Data Matlab'!U23</f>
        <v>-1.1626497839063055E-5</v>
      </c>
      <c r="F23" s="29">
        <f>'Absorbance Data Matlab'!V23</f>
        <v>2.1773996749693125E-4</v>
      </c>
      <c r="G23" s="29">
        <f>'Absorbance Data Matlab'!W23</f>
        <v>4.8489617037287246E-6</v>
      </c>
      <c r="H23" s="29">
        <f>'Absorbance Data Matlab'!X23</f>
        <v>-5.6618750718532254E-6</v>
      </c>
      <c r="I23" s="29">
        <f>'Absorbance Data Matlab'!Y23</f>
        <v>-7.9423785842286421E-7</v>
      </c>
      <c r="J23" s="29">
        <f>'Absorbance Data Matlab'!Z23</f>
        <v>-2.2986843183697182E-6</v>
      </c>
      <c r="K23" s="33">
        <f>'Absorbance Data Matlab'!AA23</f>
        <v>3.0069076506507032E-4</v>
      </c>
      <c r="L23" s="29">
        <f>'Absorbance Data Matlab'!AB23</f>
        <v>2.2722643426883293E-6</v>
      </c>
      <c r="M23" s="29">
        <f>'Absorbance Data Matlab'!AC23</f>
        <v>-1.7225246996461641E-6</v>
      </c>
      <c r="N23" s="29">
        <f>'Absorbance Data Matlab'!AD23</f>
        <v>1.0247760040448386E-5</v>
      </c>
      <c r="O23" s="29">
        <f>'Absorbance Data Matlab'!AE23</f>
        <v>-4.2708635984439693E-6</v>
      </c>
      <c r="Q23" s="6" t="s">
        <v>29</v>
      </c>
      <c r="R23" s="7" cm="1">
        <f t="array" ref="R23:S27">LINEST(E3:E5,A3:A5,TRUE,TRUE)</f>
        <v>-6.0233703341133311E-5</v>
      </c>
      <c r="S23" s="7">
        <v>1.902198770414494E-3</v>
      </c>
      <c r="T23" s="6" t="s">
        <v>30</v>
      </c>
      <c r="V23" s="8" t="s">
        <v>29</v>
      </c>
      <c r="W23" s="7" cm="1">
        <f t="array" ref="W23:X27">LINEST(J3:J11,A3:A11,TRUE,TRUE)</f>
        <v>-3.6250784774920497E-5</v>
      </c>
      <c r="X23" s="7">
        <v>2.9871598545546329E-3</v>
      </c>
      <c r="Y23" s="8" t="s">
        <v>30</v>
      </c>
      <c r="AA23" s="8" t="s">
        <v>29</v>
      </c>
      <c r="AB23" s="7" cm="1">
        <f t="array" ref="AB23:AC27">LINEST(O3:O13,A3:A13,TRUE,TRUE)</f>
        <v>-4.5263350685578487E-5</v>
      </c>
      <c r="AC23" s="7">
        <v>2.0473592893714651E-3</v>
      </c>
      <c r="AD23" s="8" t="s">
        <v>30</v>
      </c>
    </row>
    <row r="24" spans="1:30" ht="18">
      <c r="A24" s="10">
        <v>105</v>
      </c>
      <c r="B24" s="29">
        <f>'Absorbance Data Matlab'!R24</f>
        <v>1.1331313184192768E-6</v>
      </c>
      <c r="C24" s="33">
        <f>'Absorbance Data Matlab'!S24</f>
        <v>1.8134453945671362E-4</v>
      </c>
      <c r="D24" s="29">
        <f>'Absorbance Data Matlab'!T24</f>
        <v>-2.867469107523803E-6</v>
      </c>
      <c r="E24" s="29">
        <f>'Absorbance Data Matlab'!U24</f>
        <v>-8.2616751309641135E-6</v>
      </c>
      <c r="F24" s="33">
        <f>'Absorbance Data Matlab'!V24</f>
        <v>9.9560489828128107E-5</v>
      </c>
      <c r="G24" s="29">
        <f>'Absorbance Data Matlab'!W24</f>
        <v>-3.443805178078563E-6</v>
      </c>
      <c r="H24" s="29">
        <f>'Absorbance Data Matlab'!X24</f>
        <v>-7.2956401668218654E-6</v>
      </c>
      <c r="I24" s="29">
        <f>'Absorbance Data Matlab'!Y24</f>
        <v>1.8580525777660137E-6</v>
      </c>
      <c r="J24" s="29">
        <f>'Absorbance Data Matlab'!Z24</f>
        <v>-3.5900703037298516E-6</v>
      </c>
      <c r="K24" s="29">
        <f>'Absorbance Data Matlab'!AA24</f>
        <v>1.0150632202982074E-4</v>
      </c>
      <c r="L24" s="29">
        <f>'Absorbance Data Matlab'!AB24</f>
        <v>-3.8797890982784466E-6</v>
      </c>
      <c r="M24" s="29">
        <f>'Absorbance Data Matlab'!AC24</f>
        <v>-1.0006180546910292E-6</v>
      </c>
      <c r="N24" s="29">
        <f>'Absorbance Data Matlab'!AD24</f>
        <v>-5.8715822418410632E-6</v>
      </c>
      <c r="O24" s="29">
        <f>'Absorbance Data Matlab'!AE24</f>
        <v>-1.6593552684648804E-6</v>
      </c>
      <c r="Q24" s="6" t="s">
        <v>35</v>
      </c>
      <c r="R24" s="7">
        <v>6.8144661928544596E-6</v>
      </c>
      <c r="S24" s="7">
        <v>4.3987190130364636E-5</v>
      </c>
      <c r="T24" s="6" t="s">
        <v>36</v>
      </c>
      <c r="V24" s="8" t="s">
        <v>39</v>
      </c>
      <c r="W24" s="7">
        <v>1.1630653092209559E-6</v>
      </c>
      <c r="X24" s="7">
        <v>2.7686492211741718E-5</v>
      </c>
      <c r="Y24" s="8" t="s">
        <v>40</v>
      </c>
      <c r="AA24" s="8" t="s">
        <v>39</v>
      </c>
      <c r="AB24" s="7">
        <v>1.8942371872098009E-6</v>
      </c>
      <c r="AC24" s="7">
        <v>5.6032291638236924E-5</v>
      </c>
      <c r="AD24" s="8" t="s">
        <v>40</v>
      </c>
    </row>
    <row r="25" spans="1:30" ht="20">
      <c r="A25" s="10">
        <v>110</v>
      </c>
      <c r="B25" s="29">
        <f>'Absorbance Data Matlab'!R25</f>
        <v>-1.6313155212046091E-5</v>
      </c>
      <c r="C25" s="29">
        <f>'Absorbance Data Matlab'!S25</f>
        <v>5.5111676949182631E-5</v>
      </c>
      <c r="D25" s="29">
        <f>'Absorbance Data Matlab'!T25</f>
        <v>-1.2729722072009494E-5</v>
      </c>
      <c r="E25" s="29">
        <f>'Absorbance Data Matlab'!U25</f>
        <v>1.162454539832282E-5</v>
      </c>
      <c r="F25" s="29">
        <f>'Absorbance Data Matlab'!V25</f>
        <v>6.8467571877314435E-6</v>
      </c>
      <c r="G25" s="29">
        <f>'Absorbance Data Matlab'!W25</f>
        <v>4.139425832365921E-6</v>
      </c>
      <c r="H25" s="29">
        <f>'Absorbance Data Matlab'!X25</f>
        <v>-1.1671754759379882E-5</v>
      </c>
      <c r="I25" s="29">
        <f>'Absorbance Data Matlab'!Y25</f>
        <v>1.4127000509529866E-5</v>
      </c>
      <c r="J25" s="29">
        <f>'Absorbance Data Matlab'!Z25</f>
        <v>-3.0865270813376039E-6</v>
      </c>
      <c r="K25" s="29">
        <f>'Absorbance Data Matlab'!AA25</f>
        <v>2.1145684464325824E-6</v>
      </c>
      <c r="L25" s="29">
        <f>'Absorbance Data Matlab'!AB25</f>
        <v>-5.2265573785616771E-6</v>
      </c>
      <c r="M25" s="29">
        <f>'Absorbance Data Matlab'!AC25</f>
        <v>-2.062593420849695E-6</v>
      </c>
      <c r="N25" s="29">
        <f>'Absorbance Data Matlab'!AD25</f>
        <v>1.0414928351589108E-5</v>
      </c>
      <c r="O25" s="29">
        <f>'Absorbance Data Matlab'!AE25</f>
        <v>-2.1524608308533744E-6</v>
      </c>
      <c r="Q25" s="6" t="s">
        <v>37</v>
      </c>
      <c r="R25" s="7">
        <v>0.98736249967288803</v>
      </c>
      <c r="S25" s="7">
        <v>4.8185552551338628E-5</v>
      </c>
      <c r="T25" s="6" t="s">
        <v>38</v>
      </c>
      <c r="V25" s="8" t="s">
        <v>41</v>
      </c>
      <c r="W25" s="7">
        <v>0.99284592847323783</v>
      </c>
      <c r="X25" s="7">
        <v>4.504532573164342E-5</v>
      </c>
      <c r="Y25" s="8" t="s">
        <v>42</v>
      </c>
      <c r="AA25" s="8" t="s">
        <v>41</v>
      </c>
      <c r="AB25" s="7">
        <v>0.98448235674741891</v>
      </c>
      <c r="AC25" s="7">
        <v>9.9334636123928944E-5</v>
      </c>
      <c r="AD25" s="8" t="s">
        <v>42</v>
      </c>
    </row>
    <row r="26" spans="1:30">
      <c r="A26" s="10">
        <v>115</v>
      </c>
      <c r="B26" s="29">
        <f>'Absorbance Data Matlab'!R26</f>
        <v>1.6537898269217983E-6</v>
      </c>
      <c r="C26" s="29">
        <f>'Absorbance Data Matlab'!S26</f>
        <v>-1.3081744786343083E-5</v>
      </c>
      <c r="D26" s="29">
        <f>'Absorbance Data Matlab'!T26</f>
        <v>-3.8546629141846833E-6</v>
      </c>
      <c r="E26" s="29">
        <f>'Absorbance Data Matlab'!U26</f>
        <v>3.3249638223425513E-6</v>
      </c>
      <c r="F26" s="29">
        <f>'Absorbance Data Matlab'!V26</f>
        <v>3.1847704887536989E-6</v>
      </c>
      <c r="G26" s="29">
        <f>'Absorbance Data Matlab'!W26</f>
        <v>6.1907407479317765E-6</v>
      </c>
      <c r="H26" s="29">
        <f>'Absorbance Data Matlab'!X26</f>
        <v>-2.0337976232019395E-5</v>
      </c>
      <c r="I26" s="29">
        <f>'Absorbance Data Matlab'!Y26</f>
        <v>-2.9749506563856783E-6</v>
      </c>
      <c r="J26" s="29">
        <f>'Absorbance Data Matlab'!Z26</f>
        <v>2.5825193345345162E-6</v>
      </c>
      <c r="K26" s="30">
        <f>'Absorbance Data Matlab'!AA26</f>
        <v>1.980523023043013E-5</v>
      </c>
      <c r="L26" s="29">
        <f>'Absorbance Data Matlab'!AB26</f>
        <v>-7.0247027951497731E-6</v>
      </c>
      <c r="M26" s="29">
        <f>'Absorbance Data Matlab'!AC26</f>
        <v>-1.0783164105044862E-5</v>
      </c>
      <c r="N26" s="29">
        <f>'Absorbance Data Matlab'!AD26</f>
        <v>8.2241353430628691E-6</v>
      </c>
      <c r="O26" s="29">
        <f>'Absorbance Data Matlab'!AE26</f>
        <v>5.3319095206085283E-6</v>
      </c>
      <c r="Q26" s="6" t="s">
        <v>31</v>
      </c>
      <c r="R26" s="7">
        <v>78.129572630327374</v>
      </c>
      <c r="S26" s="7">
        <v>1</v>
      </c>
      <c r="T26" s="6" t="s">
        <v>32</v>
      </c>
      <c r="V26" s="8" t="s">
        <v>31</v>
      </c>
      <c r="W26" s="7">
        <v>971.46379838589428</v>
      </c>
      <c r="X26" s="7">
        <v>7</v>
      </c>
      <c r="Y26" s="8" t="s">
        <v>32</v>
      </c>
      <c r="AA26" s="8" t="s">
        <v>31</v>
      </c>
      <c r="AB26" s="7">
        <v>570.98497925920208</v>
      </c>
      <c r="AC26" s="7">
        <v>9</v>
      </c>
      <c r="AD26" s="8" t="s">
        <v>32</v>
      </c>
    </row>
    <row r="27" spans="1:30">
      <c r="Q27" s="6" t="s">
        <v>33</v>
      </c>
      <c r="R27" s="7">
        <v>1.8140495090938268E-7</v>
      </c>
      <c r="S27" s="7">
        <v>2.3218474746778167E-9</v>
      </c>
      <c r="T27" s="6" t="s">
        <v>34</v>
      </c>
      <c r="V27" s="8" t="s">
        <v>33</v>
      </c>
      <c r="W27" s="7">
        <v>1.9711790951964104E-6</v>
      </c>
      <c r="X27" s="7">
        <v>1.4203569591888997E-8</v>
      </c>
      <c r="Y27" s="8" t="s">
        <v>34</v>
      </c>
      <c r="AA27" s="8" t="s">
        <v>33</v>
      </c>
      <c r="AB27" s="7">
        <v>5.6341200170355602E-6</v>
      </c>
      <c r="AC27" s="7">
        <v>8.8806329404860318E-8</v>
      </c>
      <c r="AD27" s="8" t="s">
        <v>34</v>
      </c>
    </row>
    <row r="28" spans="1:30" ht="18">
      <c r="B28" s="2" t="s">
        <v>8</v>
      </c>
      <c r="C28" s="2" t="s">
        <v>43</v>
      </c>
      <c r="D28" s="2" t="s">
        <v>45</v>
      </c>
      <c r="E28" s="2" t="s">
        <v>44</v>
      </c>
      <c r="F28" s="15" t="s">
        <v>106</v>
      </c>
      <c r="G28" s="15" t="s">
        <v>107</v>
      </c>
    </row>
    <row r="29" spans="1:30" ht="24">
      <c r="B29" s="10">
        <v>1</v>
      </c>
      <c r="C29" s="9">
        <f>R2</f>
        <v>-3.5603761671836853E-5</v>
      </c>
      <c r="D29" s="9">
        <f>R3</f>
        <v>9.1039586771500099E-7</v>
      </c>
      <c r="E29" s="9">
        <f>-C29</f>
        <v>3.5603761671836853E-5</v>
      </c>
      <c r="F29" s="75">
        <f>S2</f>
        <v>2.0740011816189124E-3</v>
      </c>
      <c r="G29" s="75">
        <f>S3</f>
        <v>3.2187354581274412E-5</v>
      </c>
      <c r="H29" s="48" t="s">
        <v>97</v>
      </c>
      <c r="I29" s="48"/>
      <c r="J29" s="48"/>
      <c r="K29" s="49"/>
      <c r="L29" s="50"/>
      <c r="Q29" s="223" t="s">
        <v>17</v>
      </c>
      <c r="R29" s="223"/>
      <c r="S29" s="223"/>
      <c r="T29" s="223"/>
      <c r="V29" s="223" t="s">
        <v>22</v>
      </c>
      <c r="W29" s="223"/>
      <c r="X29" s="223"/>
      <c r="Y29" s="223"/>
    </row>
    <row r="30" spans="1:30" ht="24">
      <c r="B30" s="10">
        <f>B29+1</f>
        <v>2</v>
      </c>
      <c r="C30" s="9">
        <f>R9</f>
        <v>-1.5291130185579056E-5</v>
      </c>
      <c r="D30" s="9">
        <f>R10</f>
        <v>2.0311613792484796E-6</v>
      </c>
      <c r="E30" s="9">
        <f t="shared" ref="E30:E41" si="0">-C30</f>
        <v>1.5291130185579056E-5</v>
      </c>
      <c r="F30" s="75">
        <f>S9</f>
        <v>2.0004727516797927E-3</v>
      </c>
      <c r="G30" s="75">
        <f>S10</f>
        <v>1.8999774945987554E-5</v>
      </c>
      <c r="H30" s="52" t="s">
        <v>28</v>
      </c>
      <c r="I30" s="52"/>
      <c r="J30" s="52"/>
      <c r="K30" s="53"/>
      <c r="L30" s="54"/>
      <c r="Q30" s="8" t="s">
        <v>29</v>
      </c>
      <c r="R30" s="7" cm="1">
        <f t="array" ref="R30:S34">LINEST(F3:F15,A3:A15,TRUE,TRUE)</f>
        <v>-1.7092112773550642E-5</v>
      </c>
      <c r="S30" s="7">
        <v>2.0098545904439769E-3</v>
      </c>
      <c r="T30" s="8" t="s">
        <v>30</v>
      </c>
      <c r="V30" s="8" t="s">
        <v>29</v>
      </c>
      <c r="W30" s="7" cm="1">
        <f t="array" ref="W30:X34">LINEST(K3:K11,A3:A11,TRUE,TRUE)</f>
        <v>-3.0548922167122984E-5</v>
      </c>
      <c r="X30" s="7">
        <v>3.9123043917007076E-3</v>
      </c>
      <c r="Y30" s="8" t="s">
        <v>30</v>
      </c>
    </row>
    <row r="31" spans="1:30" ht="18">
      <c r="B31" s="10">
        <f t="shared" ref="B31:B42" si="1">B30+1</f>
        <v>3</v>
      </c>
      <c r="C31" s="9">
        <f>R16</f>
        <v>-4.9796106288533329E-5</v>
      </c>
      <c r="D31" s="9">
        <f>R17</f>
        <v>2.4804869525942376E-6</v>
      </c>
      <c r="E31" s="9">
        <f t="shared" si="0"/>
        <v>4.9796106288533329E-5</v>
      </c>
      <c r="F31" s="75">
        <f>S16</f>
        <v>1.98316213764709E-3</v>
      </c>
      <c r="G31" s="75">
        <f>S17</f>
        <v>1.6011474429803782E-5</v>
      </c>
      <c r="Q31" s="8" t="s">
        <v>39</v>
      </c>
      <c r="R31" s="7">
        <v>5.0035026927571243E-7</v>
      </c>
      <c r="S31" s="7">
        <v>1.7690053418668565E-5</v>
      </c>
      <c r="T31" s="8" t="s">
        <v>40</v>
      </c>
      <c r="V31" s="8" t="s">
        <v>39</v>
      </c>
      <c r="W31" s="7">
        <v>1.993444778239534E-6</v>
      </c>
      <c r="X31" s="7">
        <v>4.7453477366833685E-5</v>
      </c>
      <c r="Y31" s="8" t="s">
        <v>40</v>
      </c>
    </row>
    <row r="32" spans="1:30" ht="24">
      <c r="B32" s="10">
        <f t="shared" si="1"/>
        <v>4</v>
      </c>
      <c r="C32" s="9">
        <f>R23</f>
        <v>-6.0233703341133311E-5</v>
      </c>
      <c r="D32" s="9">
        <f>R24</f>
        <v>6.8144661928544596E-6</v>
      </c>
      <c r="E32" s="9">
        <f t="shared" si="0"/>
        <v>6.0233703341133311E-5</v>
      </c>
      <c r="F32" s="75">
        <f>S23</f>
        <v>1.902198770414494E-3</v>
      </c>
      <c r="G32" s="75">
        <f>S24</f>
        <v>4.3987190130364636E-5</v>
      </c>
      <c r="H32" s="55" t="s">
        <v>99</v>
      </c>
      <c r="I32" s="55"/>
      <c r="J32" s="55"/>
      <c r="K32" s="56"/>
      <c r="L32" s="57"/>
      <c r="M32" s="58"/>
      <c r="Q32" s="8" t="s">
        <v>41</v>
      </c>
      <c r="R32" s="7">
        <v>0.99066155061632377</v>
      </c>
      <c r="S32" s="7">
        <v>3.3750470862455601E-5</v>
      </c>
      <c r="T32" s="8" t="s">
        <v>42</v>
      </c>
      <c r="V32" s="8" t="s">
        <v>41</v>
      </c>
      <c r="W32" s="7">
        <v>0.97105597401497434</v>
      </c>
      <c r="X32" s="7">
        <v>7.7205784277058529E-5</v>
      </c>
      <c r="Y32" s="8" t="s">
        <v>42</v>
      </c>
    </row>
    <row r="33" spans="1:25" ht="24">
      <c r="B33" s="10">
        <f t="shared" si="1"/>
        <v>5</v>
      </c>
      <c r="C33" s="9">
        <f>R30</f>
        <v>-1.7092112773550642E-5</v>
      </c>
      <c r="D33" s="9">
        <f>R31</f>
        <v>5.0035026927571243E-7</v>
      </c>
      <c r="E33" s="9">
        <f t="shared" si="0"/>
        <v>1.7092112773550642E-5</v>
      </c>
      <c r="F33" s="75">
        <f>S30</f>
        <v>2.0098545904439769E-3</v>
      </c>
      <c r="G33" s="75">
        <f>S31</f>
        <v>1.7690053418668565E-5</v>
      </c>
      <c r="H33" s="73" t="s">
        <v>98</v>
      </c>
      <c r="I33" s="59"/>
      <c r="J33" s="59"/>
      <c r="K33" s="59"/>
      <c r="L33" s="59"/>
      <c r="M33" s="60"/>
      <c r="Q33" s="8" t="s">
        <v>31</v>
      </c>
      <c r="R33" s="7">
        <v>1166.9257506313713</v>
      </c>
      <c r="S33" s="7">
        <v>11</v>
      </c>
      <c r="T33" s="8" t="s">
        <v>32</v>
      </c>
      <c r="V33" s="8" t="s">
        <v>31</v>
      </c>
      <c r="W33" s="7">
        <v>234.84610681394093</v>
      </c>
      <c r="X33" s="7">
        <v>7</v>
      </c>
      <c r="Y33" s="8" t="s">
        <v>32</v>
      </c>
    </row>
    <row r="34" spans="1:25">
      <c r="B34" s="10">
        <f t="shared" si="1"/>
        <v>6</v>
      </c>
      <c r="C34" s="9">
        <f>W2</f>
        <v>-4.922021948379913E-5</v>
      </c>
      <c r="D34" s="9">
        <f>W3</f>
        <v>3.5714549749560698E-6</v>
      </c>
      <c r="E34" s="9">
        <f t="shared" si="0"/>
        <v>4.922021948379913E-5</v>
      </c>
      <c r="F34" s="75">
        <f>X2</f>
        <v>2.0116970115919017E-3</v>
      </c>
      <c r="G34" s="75">
        <f>X3</f>
        <v>5.4065584597844964E-5</v>
      </c>
      <c r="Q34" s="8" t="s">
        <v>33</v>
      </c>
      <c r="R34" s="7">
        <v>1.3292384517401676E-6</v>
      </c>
      <c r="S34" s="7">
        <v>1.2530037117812111E-8</v>
      </c>
      <c r="T34" s="8" t="s">
        <v>34</v>
      </c>
      <c r="V34" s="8" t="s">
        <v>33</v>
      </c>
      <c r="W34" s="7">
        <v>1.3998549683594063E-6</v>
      </c>
      <c r="X34" s="7">
        <v>4.1725131880849881E-8</v>
      </c>
      <c r="Y34" s="8" t="s">
        <v>34</v>
      </c>
    </row>
    <row r="35" spans="1:25" ht="24">
      <c r="B35" s="10">
        <f t="shared" si="1"/>
        <v>7</v>
      </c>
      <c r="C35" s="9">
        <f>W9</f>
        <v>-6.9322921957927508E-5</v>
      </c>
      <c r="D35" s="9">
        <f>W10</f>
        <v>3.4030084652586785E-7</v>
      </c>
      <c r="E35" s="9">
        <f t="shared" si="0"/>
        <v>6.9322921957927508E-5</v>
      </c>
      <c r="F35" s="75">
        <f>X9</f>
        <v>1.9840761260955229E-3</v>
      </c>
      <c r="G35" s="75">
        <f>X10</f>
        <v>5.1515598924186009E-6</v>
      </c>
      <c r="H35" s="65" t="s">
        <v>100</v>
      </c>
      <c r="I35" s="65"/>
      <c r="J35" s="65"/>
      <c r="K35" s="66"/>
      <c r="L35" s="67"/>
      <c r="M35" s="62"/>
    </row>
    <row r="36" spans="1:25" ht="24">
      <c r="B36" s="10">
        <f t="shared" si="1"/>
        <v>8</v>
      </c>
      <c r="C36" s="9">
        <f>W16</f>
        <v>-3.2025386222083753E-5</v>
      </c>
      <c r="D36" s="9">
        <f>W17</f>
        <v>5.4559581177564116E-7</v>
      </c>
      <c r="E36" s="9">
        <f t="shared" si="0"/>
        <v>3.2025386222083753E-5</v>
      </c>
      <c r="F36" s="75">
        <f>X16</f>
        <v>9.6251772087289694E-4</v>
      </c>
      <c r="G36" s="75">
        <f>X17</f>
        <v>9.8358683751773681E-6</v>
      </c>
      <c r="H36" s="74" t="s">
        <v>101</v>
      </c>
      <c r="I36" s="63"/>
      <c r="J36" s="63"/>
      <c r="K36" s="63"/>
      <c r="L36" s="63"/>
      <c r="M36" s="64"/>
    </row>
    <row r="37" spans="1:25">
      <c r="B37" s="10">
        <f t="shared" si="1"/>
        <v>9</v>
      </c>
      <c r="C37" s="9">
        <f>W23</f>
        <v>-3.6250784774920497E-5</v>
      </c>
      <c r="D37" s="9">
        <f>W24</f>
        <v>1.1630653092209559E-6</v>
      </c>
      <c r="E37" s="9">
        <f t="shared" si="0"/>
        <v>3.6250784774920497E-5</v>
      </c>
      <c r="F37" s="75">
        <f>X23</f>
        <v>2.9871598545546329E-3</v>
      </c>
      <c r="G37" s="75">
        <f>X24</f>
        <v>2.7686492211741718E-5</v>
      </c>
    </row>
    <row r="38" spans="1:25">
      <c r="B38" s="10">
        <f t="shared" si="1"/>
        <v>10</v>
      </c>
      <c r="C38" s="9">
        <f>W30</f>
        <v>-3.0548922167122984E-5</v>
      </c>
      <c r="D38" s="9">
        <f>W31</f>
        <v>1.993444778239534E-6</v>
      </c>
      <c r="E38" s="9">
        <f t="shared" si="0"/>
        <v>3.0548922167122984E-5</v>
      </c>
      <c r="F38" s="75">
        <f>X30</f>
        <v>3.9123043917007076E-3</v>
      </c>
      <c r="G38" s="75">
        <f>X31</f>
        <v>4.7453477366833685E-5</v>
      </c>
    </row>
    <row r="39" spans="1:25">
      <c r="B39" s="10">
        <f t="shared" si="1"/>
        <v>11</v>
      </c>
      <c r="C39" s="9">
        <f>AB2</f>
        <v>-1.9455872324302388E-5</v>
      </c>
      <c r="D39" s="9">
        <f>AB3</f>
        <v>6.4024603804387203E-7</v>
      </c>
      <c r="E39" s="9">
        <f t="shared" si="0"/>
        <v>1.9455872324302388E-5</v>
      </c>
      <c r="F39" s="75">
        <f>AC2</f>
        <v>1.9610862113317567E-3</v>
      </c>
      <c r="G39" s="75">
        <f>AC3</f>
        <v>2.263611575643211E-5</v>
      </c>
    </row>
    <row r="40" spans="1:25">
      <c r="B40" s="10">
        <f t="shared" si="1"/>
        <v>12</v>
      </c>
      <c r="C40" s="9">
        <f>AB9</f>
        <v>-2.8865602401719184E-5</v>
      </c>
      <c r="D40" s="9">
        <f>AB10</f>
        <v>4.598783307304046E-7</v>
      </c>
      <c r="E40" s="9">
        <f t="shared" si="0"/>
        <v>2.8865602401719184E-5</v>
      </c>
      <c r="F40" s="75">
        <f>AC9</f>
        <v>1.9952392289890905E-3</v>
      </c>
      <c r="G40" s="75">
        <f>AC10</f>
        <v>1.6259154309010947E-5</v>
      </c>
    </row>
    <row r="41" spans="1:25">
      <c r="B41" s="10">
        <f t="shared" si="1"/>
        <v>13</v>
      </c>
      <c r="C41" s="9">
        <f>AB16</f>
        <v>-5.7767406474787095E-5</v>
      </c>
      <c r="D41" s="9">
        <f>AB17</f>
        <v>1.6236771935806633E-6</v>
      </c>
      <c r="E41" s="9">
        <f t="shared" si="0"/>
        <v>5.7767406474787095E-5</v>
      </c>
      <c r="F41" s="75">
        <f>AC16</f>
        <v>1.980206249888543E-3</v>
      </c>
      <c r="G41" s="75">
        <f>AC17</f>
        <v>3.3961645096599276E-5</v>
      </c>
    </row>
    <row r="42" spans="1:25">
      <c r="B42" s="10">
        <f t="shared" si="1"/>
        <v>14</v>
      </c>
      <c r="C42" s="9">
        <f>AB23</f>
        <v>-4.5263350685578487E-5</v>
      </c>
      <c r="D42" s="9">
        <f>AB24</f>
        <v>1.8942371872098009E-6</v>
      </c>
      <c r="E42" s="9">
        <f t="shared" ref="E42" si="2">-C42</f>
        <v>4.5263350685578487E-5</v>
      </c>
      <c r="F42" s="75">
        <f>AC23</f>
        <v>2.0473592893714651E-3</v>
      </c>
      <c r="G42" s="75">
        <f>AC24</f>
        <v>5.6032291638236924E-5</v>
      </c>
    </row>
    <row r="44" spans="1:25">
      <c r="A44" s="14" t="s">
        <v>7</v>
      </c>
      <c r="B44" s="221" t="s">
        <v>94</v>
      </c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</row>
    <row r="45" spans="1:25">
      <c r="A45" s="1">
        <v>0</v>
      </c>
      <c r="B45" s="31">
        <f t="shared" ref="B45:O45" si="3">B3-B3</f>
        <v>0</v>
      </c>
      <c r="C45" s="31">
        <f t="shared" si="3"/>
        <v>0</v>
      </c>
      <c r="D45" s="31">
        <f t="shared" si="3"/>
        <v>0</v>
      </c>
      <c r="E45" s="31">
        <f t="shared" si="3"/>
        <v>0</v>
      </c>
      <c r="F45" s="31">
        <f t="shared" si="3"/>
        <v>0</v>
      </c>
      <c r="G45" s="31">
        <f t="shared" si="3"/>
        <v>0</v>
      </c>
      <c r="H45" s="31">
        <f t="shared" si="3"/>
        <v>0</v>
      </c>
      <c r="I45" s="31">
        <f t="shared" si="3"/>
        <v>0</v>
      </c>
      <c r="J45" s="31">
        <f t="shared" si="3"/>
        <v>0</v>
      </c>
      <c r="K45" s="31">
        <f t="shared" si="3"/>
        <v>0</v>
      </c>
      <c r="L45" s="31">
        <f t="shared" si="3"/>
        <v>0</v>
      </c>
      <c r="M45" s="31">
        <f t="shared" si="3"/>
        <v>0</v>
      </c>
      <c r="N45" s="31">
        <f t="shared" si="3"/>
        <v>0</v>
      </c>
      <c r="O45" s="31">
        <f t="shared" si="3"/>
        <v>0</v>
      </c>
    </row>
    <row r="46" spans="1:25">
      <c r="A46" s="1">
        <v>5</v>
      </c>
      <c r="B46" s="31">
        <f t="shared" ref="B46:O46" si="4">B3-B4</f>
        <v>3.1783033441911378E-4</v>
      </c>
      <c r="C46" s="31">
        <f t="shared" si="4"/>
        <v>3.4437828740455393E-5</v>
      </c>
      <c r="D46" s="31">
        <f t="shared" si="4"/>
        <v>2.2749888429564216E-4</v>
      </c>
      <c r="E46" s="31">
        <f t="shared" si="4"/>
        <v>2.4215350834324461E-4</v>
      </c>
      <c r="F46" s="31">
        <f t="shared" si="4"/>
        <v>1.3055703602512072E-4</v>
      </c>
      <c r="G46" s="31">
        <f t="shared" si="4"/>
        <v>3.2847404776426242E-4</v>
      </c>
      <c r="H46" s="31">
        <f t="shared" si="4"/>
        <v>3.4873336575445423E-4</v>
      </c>
      <c r="I46" s="31">
        <f t="shared" si="4"/>
        <v>1.4560309807708964E-4</v>
      </c>
      <c r="J46" s="31">
        <f t="shared" si="4"/>
        <v>6.4026014691714438E-5</v>
      </c>
      <c r="K46" s="31">
        <f t="shared" si="4"/>
        <v>3.4613070108431088E-4</v>
      </c>
      <c r="L46" s="31">
        <f t="shared" si="4"/>
        <v>1.6441829393666076E-4</v>
      </c>
      <c r="M46" s="31">
        <f t="shared" si="4"/>
        <v>1.393777845792104E-4</v>
      </c>
      <c r="N46" s="31">
        <f t="shared" si="4"/>
        <v>2.3258294502205806E-4</v>
      </c>
      <c r="O46" s="31">
        <f t="shared" si="4"/>
        <v>2.5645761849453692E-4</v>
      </c>
    </row>
    <row r="47" spans="1:25">
      <c r="A47" s="1">
        <v>10</v>
      </c>
      <c r="B47" s="31">
        <f t="shared" ref="B47:O47" si="5">B4-B5</f>
        <v>2.1865925292562137E-4</v>
      </c>
      <c r="C47" s="31">
        <f t="shared" si="5"/>
        <v>1.1157894986766194E-4</v>
      </c>
      <c r="D47" s="31">
        <f t="shared" si="5"/>
        <v>2.7046217858969117E-4</v>
      </c>
      <c r="E47" s="31">
        <f t="shared" si="5"/>
        <v>3.6018352506808843E-4</v>
      </c>
      <c r="F47" s="31">
        <f t="shared" si="5"/>
        <v>3.9259239005917743E-5</v>
      </c>
      <c r="G47" s="31">
        <f t="shared" si="5"/>
        <v>4.3845740721304861E-5</v>
      </c>
      <c r="H47" s="31">
        <f t="shared" si="5"/>
        <v>3.4482903704598894E-4</v>
      </c>
      <c r="I47" s="31">
        <f t="shared" si="5"/>
        <v>1.5715870732353548E-4</v>
      </c>
      <c r="J47" s="31">
        <f t="shared" si="5"/>
        <v>2.8179210869358788E-4</v>
      </c>
      <c r="K47" s="31">
        <f t="shared" si="5"/>
        <v>4.6016953603865429E-5</v>
      </c>
      <c r="L47" s="31">
        <f t="shared" si="5"/>
        <v>8.8131993917923849E-5</v>
      </c>
      <c r="M47" s="31">
        <f t="shared" si="5"/>
        <v>1.7543737430966147E-4</v>
      </c>
      <c r="N47" s="31">
        <f t="shared" si="5"/>
        <v>2.7783028229404921E-4</v>
      </c>
      <c r="O47" s="31">
        <f t="shared" si="5"/>
        <v>1.6776877633404761E-4</v>
      </c>
    </row>
    <row r="48" spans="1:25">
      <c r="A48" s="1">
        <v>15</v>
      </c>
      <c r="B48" s="31">
        <f t="shared" ref="B48:O48" si="6">B5-B6</f>
        <v>1.5370028232632909E-4</v>
      </c>
      <c r="C48" s="31">
        <f t="shared" si="6"/>
        <v>7.164240786231295E-5</v>
      </c>
      <c r="D48" s="31">
        <f t="shared" si="6"/>
        <v>2.4584380740461857E-4</v>
      </c>
      <c r="E48" s="31">
        <f t="shared" si="6"/>
        <v>3.1967406507599292E-4</v>
      </c>
      <c r="F48" s="31">
        <f t="shared" si="6"/>
        <v>3.4250365639694295E-5</v>
      </c>
      <c r="G48" s="31">
        <f t="shared" si="6"/>
        <v>3.9323935938441251E-4</v>
      </c>
      <c r="H48" s="31">
        <f t="shared" si="6"/>
        <v>3.5901418952791393E-4</v>
      </c>
      <c r="I48" s="31">
        <f t="shared" si="6"/>
        <v>1.6689938816284364E-4</v>
      </c>
      <c r="J48" s="31">
        <f t="shared" si="6"/>
        <v>1.841744486822069E-4</v>
      </c>
      <c r="K48" s="31">
        <f t="shared" si="6"/>
        <v>2.161690268115443E-4</v>
      </c>
      <c r="L48" s="31">
        <f t="shared" si="6"/>
        <v>6.908187158213841E-5</v>
      </c>
      <c r="M48" s="31">
        <f t="shared" si="6"/>
        <v>2.1712690204994103E-4</v>
      </c>
      <c r="N48" s="31">
        <f t="shared" si="6"/>
        <v>2.5906155844348882E-4</v>
      </c>
      <c r="O48" s="31">
        <f t="shared" si="6"/>
        <v>3.3327959731336513E-4</v>
      </c>
    </row>
    <row r="49" spans="1:15">
      <c r="A49" s="1">
        <v>20</v>
      </c>
      <c r="B49" s="31">
        <f t="shared" ref="B49:O49" si="7">B6-B7</f>
        <v>2.6631228724208005E-4</v>
      </c>
      <c r="C49" s="31">
        <f t="shared" si="7"/>
        <v>7.6973460346400685E-5</v>
      </c>
      <c r="D49" s="31">
        <f t="shared" si="7"/>
        <v>2.6745952343944376E-4</v>
      </c>
      <c r="E49" s="31">
        <f t="shared" si="7"/>
        <v>3.3690450757757563E-4</v>
      </c>
      <c r="F49" s="31">
        <f t="shared" si="7"/>
        <v>9.4230218828067263E-5</v>
      </c>
      <c r="G49" s="31">
        <f t="shared" si="7"/>
        <v>2.1745448005402773E-4</v>
      </c>
      <c r="H49" s="31">
        <f t="shared" si="7"/>
        <v>3.269448089088606E-4</v>
      </c>
      <c r="I49" s="31">
        <f t="shared" si="7"/>
        <v>1.4757522350589218E-4</v>
      </c>
      <c r="J49" s="31">
        <f t="shared" si="7"/>
        <v>1.4883656856106309E-4</v>
      </c>
      <c r="K49" s="31">
        <f t="shared" si="7"/>
        <v>9.2560607153744593E-5</v>
      </c>
      <c r="L49" s="31">
        <f t="shared" si="7"/>
        <v>1.7309712884749722E-4</v>
      </c>
      <c r="M49" s="31">
        <f t="shared" si="7"/>
        <v>7.1551879187121102E-5</v>
      </c>
      <c r="N49" s="31">
        <f t="shared" si="7"/>
        <v>3.8151994175762011E-4</v>
      </c>
      <c r="O49" s="31">
        <f t="shared" si="7"/>
        <v>2.5209055360854177E-4</v>
      </c>
    </row>
    <row r="50" spans="1:15">
      <c r="A50" s="1">
        <v>25</v>
      </c>
      <c r="B50" s="31">
        <f t="shared" ref="B50:O50" si="8">B7-B8</f>
        <v>3.6234363815962171E-5</v>
      </c>
      <c r="C50" s="31">
        <f t="shared" si="8"/>
        <v>2.885605998793634E-5</v>
      </c>
      <c r="D50" s="31">
        <f t="shared" si="8"/>
        <v>2.5334849911295965E-4</v>
      </c>
      <c r="E50" s="31">
        <f t="shared" si="8"/>
        <v>3.4072931923772313E-4</v>
      </c>
      <c r="F50" s="31">
        <f t="shared" si="8"/>
        <v>1.0797092936433049E-4</v>
      </c>
      <c r="G50" s="31">
        <f t="shared" si="8"/>
        <v>2.6832243403623229E-4</v>
      </c>
      <c r="H50" s="31">
        <f t="shared" si="8"/>
        <v>3.5650520809500473E-4</v>
      </c>
      <c r="I50" s="31">
        <f t="shared" si="8"/>
        <v>1.9845927710638778E-4</v>
      </c>
      <c r="J50" s="31">
        <f t="shared" si="8"/>
        <v>1.768971354387818E-4</v>
      </c>
      <c r="K50" s="31">
        <f t="shared" si="8"/>
        <v>1.1541671290142162E-4</v>
      </c>
      <c r="L50" s="31">
        <f t="shared" si="8"/>
        <v>3.3558078109752545E-6</v>
      </c>
      <c r="M50" s="31">
        <f t="shared" si="8"/>
        <v>1.8437491423779675E-4</v>
      </c>
      <c r="N50" s="31">
        <f t="shared" si="8"/>
        <v>2.9804505116754084E-4</v>
      </c>
      <c r="O50" s="31">
        <f t="shared" si="8"/>
        <v>2.6654032881443088E-4</v>
      </c>
    </row>
    <row r="51" spans="1:15">
      <c r="A51" s="1">
        <v>30</v>
      </c>
      <c r="B51" s="31">
        <f t="shared" ref="B51:O51" si="9">B8-B9</f>
        <v>1.9333292314052176E-4</v>
      </c>
      <c r="C51" s="31">
        <f t="shared" si="9"/>
        <v>1.1741603456314267E-4</v>
      </c>
      <c r="D51" s="31">
        <f t="shared" si="9"/>
        <v>2.476158106205921E-4</v>
      </c>
      <c r="E51" s="31">
        <f t="shared" si="9"/>
        <v>2.6032313510083186E-4</v>
      </c>
      <c r="F51" s="31">
        <f t="shared" si="9"/>
        <v>1.3003642263514177E-4</v>
      </c>
      <c r="G51" s="31">
        <f t="shared" si="9"/>
        <v>2.4701214929522333E-4</v>
      </c>
      <c r="H51" s="31">
        <f t="shared" si="9"/>
        <v>2.5499862496737748E-4</v>
      </c>
      <c r="I51" s="31">
        <f t="shared" si="9"/>
        <v>1.2726906156614105E-4</v>
      </c>
      <c r="J51" s="31">
        <f t="shared" si="9"/>
        <v>2.5774878985519484E-4</v>
      </c>
      <c r="K51" s="31">
        <f t="shared" si="9"/>
        <v>1.1457791970567212E-4</v>
      </c>
      <c r="L51" s="31">
        <f t="shared" si="9"/>
        <v>1.4025508131725538E-4</v>
      </c>
      <c r="M51" s="31">
        <f t="shared" si="9"/>
        <v>9.8305399194342433E-5</v>
      </c>
      <c r="N51" s="31">
        <f t="shared" si="9"/>
        <v>3.0634938434642137E-4</v>
      </c>
      <c r="O51" s="31">
        <f t="shared" si="9"/>
        <v>1.829437059845116E-4</v>
      </c>
    </row>
    <row r="52" spans="1:15">
      <c r="A52" s="1">
        <v>35</v>
      </c>
      <c r="B52" s="31">
        <f t="shared" ref="B52:O52" si="10">B9-B10</f>
        <v>1.8919087013542107E-4</v>
      </c>
      <c r="C52" s="31">
        <f t="shared" si="10"/>
        <v>1.6512747609712E-4</v>
      </c>
      <c r="D52" s="31">
        <f t="shared" si="10"/>
        <v>2.741369142722764E-4</v>
      </c>
      <c r="E52" s="31">
        <f t="shared" si="10"/>
        <v>8.7924145989281377E-6</v>
      </c>
      <c r="F52" s="31">
        <f t="shared" si="10"/>
        <v>4.8358113499348239E-5</v>
      </c>
      <c r="G52" s="31">
        <f t="shared" si="10"/>
        <v>2.6423831588793525E-4</v>
      </c>
      <c r="H52" s="31">
        <f t="shared" si="10"/>
        <v>5.6055084211165847E-6</v>
      </c>
      <c r="I52" s="31">
        <f t="shared" si="10"/>
        <v>1.7934867012838627E-5</v>
      </c>
      <c r="J52" s="31">
        <f t="shared" si="10"/>
        <v>8.4987281705020115E-5</v>
      </c>
      <c r="K52" s="31">
        <f t="shared" si="10"/>
        <v>1.6852054651134889E-4</v>
      </c>
      <c r="L52" s="31">
        <f t="shared" si="10"/>
        <v>1.9888710283609513E-5</v>
      </c>
      <c r="M52" s="31">
        <f t="shared" si="10"/>
        <v>1.2903266677002532E-4</v>
      </c>
      <c r="N52" s="31">
        <f t="shared" si="10"/>
        <v>1.661651274690225E-4</v>
      </c>
      <c r="O52" s="31">
        <f t="shared" si="10"/>
        <v>2.512367700764283E-4</v>
      </c>
    </row>
    <row r="53" spans="1:15">
      <c r="A53" s="1">
        <v>40</v>
      </c>
      <c r="B53" s="31">
        <f t="shared" ref="B53:O53" si="11">B10-B11</f>
        <v>1.5361122855622126E-4</v>
      </c>
      <c r="C53" s="31">
        <f t="shared" si="11"/>
        <v>7.6558139626316159E-5</v>
      </c>
      <c r="D53" s="31">
        <f t="shared" si="11"/>
        <v>2.0797913467357059E-4</v>
      </c>
      <c r="E53" s="31">
        <f t="shared" si="11"/>
        <v>2.1096371284119649E-5</v>
      </c>
      <c r="F53" s="31">
        <f t="shared" si="11"/>
        <v>1.0970377593212894E-4</v>
      </c>
      <c r="G53" s="31">
        <f t="shared" si="11"/>
        <v>2.6448416924767523E-4</v>
      </c>
      <c r="H53" s="31">
        <f t="shared" si="11"/>
        <v>-3.7225402950182956E-6</v>
      </c>
      <c r="I53" s="31">
        <f t="shared" si="11"/>
        <v>1.7694255349494198E-6</v>
      </c>
      <c r="J53" s="31">
        <f t="shared" si="11"/>
        <v>2.0425736352099218E-4</v>
      </c>
      <c r="K53" s="31">
        <f t="shared" si="11"/>
        <v>3.0547390644663488E-4</v>
      </c>
      <c r="L53" s="31">
        <f t="shared" si="11"/>
        <v>8.0729214235458454E-5</v>
      </c>
      <c r="M53" s="31">
        <f t="shared" si="11"/>
        <v>1.8390705247952471E-4</v>
      </c>
      <c r="N53" s="31">
        <f t="shared" si="11"/>
        <v>2.6385008831293084E-5</v>
      </c>
      <c r="O53" s="31">
        <f t="shared" si="11"/>
        <v>2.7130716731195616E-4</v>
      </c>
    </row>
    <row r="54" spans="1:15">
      <c r="A54" s="1">
        <v>45</v>
      </c>
      <c r="B54" s="31">
        <f t="shared" ref="B54:O54" si="12">B11-B12</f>
        <v>2.1655246366503097E-4</v>
      </c>
      <c r="C54" s="31">
        <f t="shared" si="12"/>
        <v>6.1294256604010541E-5</v>
      </c>
      <c r="D54" s="31">
        <f t="shared" si="12"/>
        <v>-1.785692834703369E-5</v>
      </c>
      <c r="E54" s="31">
        <f t="shared" si="12"/>
        <v>4.9965845833602569E-6</v>
      </c>
      <c r="F54" s="31">
        <f t="shared" si="12"/>
        <v>1.0930480391576139E-4</v>
      </c>
      <c r="G54" s="31">
        <f t="shared" si="12"/>
        <v>-1.376537514957793E-5</v>
      </c>
      <c r="H54" s="31">
        <f t="shared" si="12"/>
        <v>-3.9940390552465629E-6</v>
      </c>
      <c r="I54" s="31">
        <f t="shared" si="12"/>
        <v>-4.5624398809506356E-6</v>
      </c>
      <c r="J54" s="31">
        <f t="shared" si="12"/>
        <v>2.0949744875579913E-4</v>
      </c>
      <c r="K54" s="31">
        <f t="shared" si="12"/>
        <v>1.9846207065637176E-4</v>
      </c>
      <c r="L54" s="31">
        <f t="shared" si="12"/>
        <v>1.8063964990867442E-4</v>
      </c>
      <c r="M54" s="31">
        <f t="shared" si="12"/>
        <v>1.0037609559537114E-4</v>
      </c>
      <c r="N54" s="31">
        <f t="shared" si="12"/>
        <v>1.8203965355442663E-6</v>
      </c>
      <c r="O54" s="31">
        <f t="shared" si="12"/>
        <v>1.1372784098995491E-4</v>
      </c>
    </row>
    <row r="55" spans="1:15">
      <c r="A55" s="1">
        <v>50</v>
      </c>
      <c r="B55" s="31">
        <f t="shared" ref="B55:O55" si="13">B12-B13</f>
        <v>1.7287908303478377E-4</v>
      </c>
      <c r="C55" s="31">
        <f t="shared" si="13"/>
        <v>8.0445401487675306E-6</v>
      </c>
      <c r="D55" s="31">
        <f t="shared" si="13"/>
        <v>6.0436628908394352E-6</v>
      </c>
      <c r="E55" s="31">
        <f t="shared" si="13"/>
        <v>-2.9497691065377699E-6</v>
      </c>
      <c r="F55" s="31">
        <f t="shared" si="13"/>
        <v>8.7232371576872157E-5</v>
      </c>
      <c r="G55" s="31">
        <f t="shared" si="13"/>
        <v>-8.4186195907052262E-8</v>
      </c>
      <c r="H55" s="31">
        <f t="shared" si="13"/>
        <v>8.8526520584704416E-6</v>
      </c>
      <c r="I55" s="31">
        <f t="shared" si="13"/>
        <v>-6.4323844532248871E-6</v>
      </c>
      <c r="J55" s="31">
        <f t="shared" si="13"/>
        <v>1.6416872507118161E-4</v>
      </c>
      <c r="K55" s="31">
        <f t="shared" si="13"/>
        <v>1.2165642723032701E-4</v>
      </c>
      <c r="L55" s="31">
        <f t="shared" si="13"/>
        <v>7.7607374627795952E-5</v>
      </c>
      <c r="M55" s="31">
        <f t="shared" si="13"/>
        <v>1.5633928164288081E-4</v>
      </c>
      <c r="N55" s="31">
        <f t="shared" si="13"/>
        <v>-8.2393686694890497E-6</v>
      </c>
      <c r="O55" s="31">
        <f t="shared" si="13"/>
        <v>7.0401999203767828E-6</v>
      </c>
    </row>
    <row r="56" spans="1:15">
      <c r="A56" s="1">
        <v>55</v>
      </c>
      <c r="B56" s="31">
        <f t="shared" ref="B56:O56" si="14">B13-B14</f>
        <v>2.0320329960778145E-4</v>
      </c>
      <c r="C56" s="31">
        <f t="shared" si="14"/>
        <v>1.8159950177038713E-4</v>
      </c>
      <c r="D56" s="31">
        <f t="shared" si="14"/>
        <v>-7.5818744188000416E-6</v>
      </c>
      <c r="E56" s="31">
        <f t="shared" si="14"/>
        <v>-1.4601424417538862E-5</v>
      </c>
      <c r="F56" s="31">
        <f t="shared" si="14"/>
        <v>4.291573824611759E-6</v>
      </c>
      <c r="G56" s="31">
        <f t="shared" si="14"/>
        <v>3.734553852223419E-6</v>
      </c>
      <c r="H56" s="31">
        <f t="shared" si="14"/>
        <v>-1.1633108636527244E-5</v>
      </c>
      <c r="I56" s="31">
        <f t="shared" si="14"/>
        <v>-2.0487969719277089E-6</v>
      </c>
      <c r="J56" s="31">
        <f t="shared" si="14"/>
        <v>2.2555079910694872E-4</v>
      </c>
      <c r="K56" s="31">
        <f t="shared" si="14"/>
        <v>1.9875101689420006E-4</v>
      </c>
      <c r="L56" s="31">
        <f t="shared" si="14"/>
        <v>1.1983945311107671E-4</v>
      </c>
      <c r="M56" s="31">
        <f t="shared" si="14"/>
        <v>1.7705563423341819E-4</v>
      </c>
      <c r="N56" s="31">
        <f t="shared" si="14"/>
        <v>-1.1644301242421771E-6</v>
      </c>
      <c r="O56" s="31">
        <f t="shared" si="14"/>
        <v>-1.0547576885291801E-6</v>
      </c>
    </row>
    <row r="57" spans="1:15">
      <c r="A57" s="1">
        <v>60</v>
      </c>
      <c r="B57" s="31">
        <f t="shared" ref="B57:O57" si="15">B14-B15</f>
        <v>7.1964255667712686E-5</v>
      </c>
      <c r="C57" s="31">
        <f t="shared" si="15"/>
        <v>7.9821598158234634E-5</v>
      </c>
      <c r="D57" s="31">
        <f t="shared" si="15"/>
        <v>-7.6236375068160422E-6</v>
      </c>
      <c r="E57" s="31">
        <f t="shared" si="15"/>
        <v>1.1584012323375122E-5</v>
      </c>
      <c r="F57" s="31">
        <f t="shared" si="15"/>
        <v>1.1762843904227437E-4</v>
      </c>
      <c r="G57" s="31">
        <f t="shared" si="15"/>
        <v>-6.6320072729913016E-6</v>
      </c>
      <c r="H57" s="31">
        <f t="shared" si="15"/>
        <v>-3.543212433747152E-6</v>
      </c>
      <c r="I57" s="31">
        <f t="shared" si="15"/>
        <v>1.4484160293398086E-5</v>
      </c>
      <c r="J57" s="31">
        <f t="shared" si="15"/>
        <v>1.7096541465802745E-4</v>
      </c>
      <c r="K57" s="31">
        <f t="shared" si="15"/>
        <v>1.7668564053674929E-4</v>
      </c>
      <c r="L57" s="31">
        <f t="shared" si="15"/>
        <v>1.3638789314487747E-4</v>
      </c>
      <c r="M57" s="31">
        <f t="shared" si="15"/>
        <v>1.1959556050666393E-4</v>
      </c>
      <c r="N57" s="31">
        <f t="shared" si="15"/>
        <v>-6.967944971281062E-6</v>
      </c>
      <c r="O57" s="31">
        <f t="shared" si="15"/>
        <v>1.7517002690628235E-6</v>
      </c>
    </row>
    <row r="58" spans="1:15">
      <c r="A58" s="1">
        <v>65</v>
      </c>
      <c r="B58" s="31">
        <f t="shared" ref="B58:O58" si="16">B15-B16</f>
        <v>-4.5518185349659994E-6</v>
      </c>
      <c r="C58" s="31">
        <f t="shared" si="16"/>
        <v>8.6473106107786725E-5</v>
      </c>
      <c r="D58" s="31">
        <f t="shared" si="16"/>
        <v>5.0915713672139407E-6</v>
      </c>
      <c r="E58" s="31">
        <f t="shared" si="16"/>
        <v>-2.0461784579858058E-5</v>
      </c>
      <c r="F58" s="31">
        <f t="shared" si="16"/>
        <v>1.087814774119952E-4</v>
      </c>
      <c r="G58" s="31">
        <f t="shared" si="16"/>
        <v>1.0223671712347122E-5</v>
      </c>
      <c r="H58" s="31">
        <f t="shared" si="16"/>
        <v>1.283991011403353E-5</v>
      </c>
      <c r="I58" s="31">
        <f t="shared" si="16"/>
        <v>-6.2574249840616949E-6</v>
      </c>
      <c r="J58" s="31">
        <f t="shared" si="16"/>
        <v>2.5134227422798862E-4</v>
      </c>
      <c r="K58" s="31">
        <f t="shared" si="16"/>
        <v>1.912771740486376E-4</v>
      </c>
      <c r="L58" s="31">
        <f t="shared" si="16"/>
        <v>5.2129735265669355E-5</v>
      </c>
      <c r="M58" s="31">
        <f t="shared" si="16"/>
        <v>1.6828727594278567E-4</v>
      </c>
      <c r="N58" s="31">
        <f t="shared" si="16"/>
        <v>8.2198530004645218E-6</v>
      </c>
      <c r="O58" s="31">
        <f t="shared" si="16"/>
        <v>-3.2208818383367645E-6</v>
      </c>
    </row>
    <row r="59" spans="1:15">
      <c r="A59" s="1">
        <v>70</v>
      </c>
      <c r="B59" s="31">
        <f t="shared" ref="B59:O59" si="17">B16-B17</f>
        <v>4.7830940528969673E-6</v>
      </c>
      <c r="C59" s="31">
        <f t="shared" si="17"/>
        <v>8.0523020899134949E-5</v>
      </c>
      <c r="D59" s="31">
        <f t="shared" si="17"/>
        <v>1.7589955970834127E-5</v>
      </c>
      <c r="E59" s="31">
        <f t="shared" si="17"/>
        <v>2.0498056011527741E-5</v>
      </c>
      <c r="F59" s="31">
        <f t="shared" si="17"/>
        <v>7.7306364008349472E-5</v>
      </c>
      <c r="G59" s="31">
        <f t="shared" si="17"/>
        <v>4.530468308438392E-6</v>
      </c>
      <c r="H59" s="31">
        <f t="shared" si="17"/>
        <v>-2.0459062189945544E-5</v>
      </c>
      <c r="I59" s="31">
        <f t="shared" si="17"/>
        <v>-2.6856004755021025E-5</v>
      </c>
      <c r="J59" s="31">
        <f t="shared" si="17"/>
        <v>1.6590494672668178E-4</v>
      </c>
      <c r="K59" s="31">
        <f t="shared" si="17"/>
        <v>2.7770647225653354E-4</v>
      </c>
      <c r="L59" s="31">
        <f t="shared" si="17"/>
        <v>1.3716822805592116E-4</v>
      </c>
      <c r="M59" s="31">
        <f t="shared" si="17"/>
        <v>1.2156352545814245E-4</v>
      </c>
      <c r="N59" s="31">
        <f t="shared" si="17"/>
        <v>-9.677788106979529E-6</v>
      </c>
      <c r="O59" s="31">
        <f t="shared" si="17"/>
        <v>3.3320073396227777E-6</v>
      </c>
    </row>
    <row r="60" spans="1:15">
      <c r="A60" s="1">
        <v>75</v>
      </c>
      <c r="B60" s="31">
        <f t="shared" ref="B60:O60" si="18">B17-B18</f>
        <v>1.2151226685408791E-5</v>
      </c>
      <c r="C60" s="31">
        <f t="shared" si="18"/>
        <v>1.4342646950347624E-4</v>
      </c>
      <c r="D60" s="31">
        <f t="shared" si="18"/>
        <v>-8.2542300185837962E-6</v>
      </c>
      <c r="E60" s="31">
        <f t="shared" si="18"/>
        <v>-1.3053345557341627E-5</v>
      </c>
      <c r="F60" s="31">
        <f t="shared" si="18"/>
        <v>1.1990474142238301E-4</v>
      </c>
      <c r="G60" s="31">
        <f t="shared" si="18"/>
        <v>-8.4904311639352926E-6</v>
      </c>
      <c r="H60" s="31">
        <f t="shared" si="18"/>
        <v>2.6594105442386223E-5</v>
      </c>
      <c r="I60" s="31">
        <f t="shared" si="18"/>
        <v>1.6387827600434558E-5</v>
      </c>
      <c r="J60" s="31">
        <f t="shared" si="18"/>
        <v>1.9456463425068392E-4</v>
      </c>
      <c r="K60" s="31">
        <f t="shared" si="18"/>
        <v>1.0766065218304486E-4</v>
      </c>
      <c r="L60" s="31">
        <f t="shared" si="18"/>
        <v>1.2333618629176233E-4</v>
      </c>
      <c r="M60" s="31">
        <f t="shared" si="18"/>
        <v>-1.4776170646373609E-5</v>
      </c>
      <c r="N60" s="31">
        <f t="shared" si="18"/>
        <v>1.1481740256955788E-5</v>
      </c>
      <c r="O60" s="31">
        <f t="shared" si="18"/>
        <v>-2.6452712670719269E-5</v>
      </c>
    </row>
    <row r="61" spans="1:15">
      <c r="A61" s="1">
        <v>80</v>
      </c>
      <c r="B61" s="31">
        <f t="shared" ref="B61:O61" si="19">B18-B19</f>
        <v>-4.3298973682962384E-6</v>
      </c>
      <c r="C61" s="31">
        <f t="shared" si="19"/>
        <v>1.4647494203778389E-5</v>
      </c>
      <c r="D61" s="31">
        <f t="shared" si="19"/>
        <v>1.1040383691593686E-5</v>
      </c>
      <c r="E61" s="31">
        <f t="shared" si="19"/>
        <v>1.2448999332191107E-5</v>
      </c>
      <c r="F61" s="31">
        <f t="shared" si="19"/>
        <v>1.2269210074081769E-4</v>
      </c>
      <c r="G61" s="31">
        <f t="shared" si="19"/>
        <v>3.1152459702330208E-6</v>
      </c>
      <c r="H61" s="31">
        <f t="shared" si="19"/>
        <v>-1.1763443315151945E-5</v>
      </c>
      <c r="I61" s="31">
        <f t="shared" si="19"/>
        <v>-3.6633296648850658E-6</v>
      </c>
      <c r="J61" s="31">
        <f t="shared" si="19"/>
        <v>1.588259259070374E-4</v>
      </c>
      <c r="K61" s="31">
        <f t="shared" si="19"/>
        <v>2.1559559231362378E-4</v>
      </c>
      <c r="L61" s="31">
        <f t="shared" si="19"/>
        <v>5.6796559615902083E-5</v>
      </c>
      <c r="M61" s="31">
        <f t="shared" si="19"/>
        <v>-5.9233702709810258E-6</v>
      </c>
      <c r="N61" s="31">
        <f t="shared" si="19"/>
        <v>-6.8693327917168428E-6</v>
      </c>
      <c r="O61" s="31">
        <f t="shared" si="19"/>
        <v>3.8945188462181598E-5</v>
      </c>
    </row>
    <row r="62" spans="1:15">
      <c r="A62" s="1">
        <v>85</v>
      </c>
      <c r="B62" s="31">
        <f t="shared" ref="B62:O62" si="20">B19-B20</f>
        <v>7.5449740668590959E-6</v>
      </c>
      <c r="C62" s="31">
        <f t="shared" si="20"/>
        <v>1.3207796723930317E-4</v>
      </c>
      <c r="D62" s="31">
        <f t="shared" si="20"/>
        <v>-1.6505096776995237E-5</v>
      </c>
      <c r="E62" s="31">
        <f t="shared" si="20"/>
        <v>-1.0011617692404864E-5</v>
      </c>
      <c r="F62" s="31">
        <f t="shared" si="20"/>
        <v>8.4765607703373889E-5</v>
      </c>
      <c r="G62" s="31">
        <f t="shared" si="20"/>
        <v>6.3313701269662913E-6</v>
      </c>
      <c r="H62" s="31">
        <f t="shared" si="20"/>
        <v>1.0764508130908156E-5</v>
      </c>
      <c r="I62" s="31">
        <f t="shared" si="20"/>
        <v>2.2189200049634817E-5</v>
      </c>
      <c r="J62" s="31">
        <f t="shared" si="20"/>
        <v>-8.8719479370445136E-6</v>
      </c>
      <c r="K62" s="31">
        <f t="shared" si="20"/>
        <v>2.1449652323132003E-4</v>
      </c>
      <c r="L62" s="31">
        <f t="shared" si="20"/>
        <v>1.2736781992479562E-4</v>
      </c>
      <c r="M62" s="31">
        <f t="shared" si="20"/>
        <v>4.7152561593363715E-6</v>
      </c>
      <c r="N62" s="31">
        <f t="shared" si="20"/>
        <v>-2.8258997794613497E-7</v>
      </c>
      <c r="O62" s="31">
        <f t="shared" si="20"/>
        <v>6.7728973242214602E-6</v>
      </c>
    </row>
    <row r="63" spans="1:15">
      <c r="A63" s="1">
        <v>90</v>
      </c>
      <c r="B63" s="31">
        <f t="shared" ref="B63:O63" si="21">B20-B21</f>
        <v>1.1316387780185671E-6</v>
      </c>
      <c r="C63" s="31">
        <f t="shared" si="21"/>
        <v>5.1636413790874644E-5</v>
      </c>
      <c r="D63" s="31">
        <f t="shared" si="21"/>
        <v>9.9294324879084445E-6</v>
      </c>
      <c r="E63" s="31">
        <f t="shared" si="21"/>
        <v>-2.1828515561385127E-7</v>
      </c>
      <c r="F63" s="31">
        <f t="shared" si="21"/>
        <v>1.2469555290247177E-4</v>
      </c>
      <c r="G63" s="31">
        <f t="shared" si="21"/>
        <v>-1.9839509618746296E-5</v>
      </c>
      <c r="H63" s="31">
        <f t="shared" si="21"/>
        <v>-1.1229087468468934E-5</v>
      </c>
      <c r="I63" s="31">
        <f t="shared" si="21"/>
        <v>-1.248385600265385E-5</v>
      </c>
      <c r="J63" s="31">
        <f t="shared" si="21"/>
        <v>1.8780721346044637E-5</v>
      </c>
      <c r="K63" s="31">
        <f t="shared" si="21"/>
        <v>1.9501347227535322E-4</v>
      </c>
      <c r="L63" s="31">
        <f t="shared" si="21"/>
        <v>1.0820877184314359E-4</v>
      </c>
      <c r="M63" s="31">
        <f t="shared" si="21"/>
        <v>-3.8731217721252838E-6</v>
      </c>
      <c r="N63" s="31">
        <f t="shared" si="21"/>
        <v>7.5590068696091304E-6</v>
      </c>
      <c r="O63" s="31">
        <f t="shared" si="21"/>
        <v>-7.02882733249628E-6</v>
      </c>
    </row>
    <row r="64" spans="1:15">
      <c r="A64" s="1">
        <v>95</v>
      </c>
      <c r="B64" s="31">
        <f t="shared" ref="B64:O64" si="22">B21-B22</f>
        <v>5.3365755516491379E-6</v>
      </c>
      <c r="C64" s="31">
        <f t="shared" si="22"/>
        <v>9.2839544628981775E-5</v>
      </c>
      <c r="D64" s="31">
        <f t="shared" si="22"/>
        <v>-1.1413868611617778E-5</v>
      </c>
      <c r="E64" s="31">
        <f t="shared" si="22"/>
        <v>8.8039049960601457E-6</v>
      </c>
      <c r="F64" s="31">
        <f t="shared" si="22"/>
        <v>6.1509796702942452E-5</v>
      </c>
      <c r="G64" s="31">
        <f t="shared" si="22"/>
        <v>1.0268988927712297E-5</v>
      </c>
      <c r="H64" s="31">
        <f t="shared" si="22"/>
        <v>9.6455695383046539E-6</v>
      </c>
      <c r="I64" s="31">
        <f t="shared" si="22"/>
        <v>1.4635795139070305E-5</v>
      </c>
      <c r="J64" s="31">
        <f t="shared" si="22"/>
        <v>-1.2988653604629891E-5</v>
      </c>
      <c r="K64" s="31">
        <f t="shared" si="22"/>
        <v>1.5872563979004795E-4</v>
      </c>
      <c r="L64" s="31">
        <f t="shared" si="22"/>
        <v>1.2194206438811747E-4</v>
      </c>
      <c r="M64" s="31">
        <f t="shared" si="22"/>
        <v>-1.2302135035747112E-5</v>
      </c>
      <c r="N64" s="31">
        <f t="shared" si="22"/>
        <v>-1.6202332093213909E-5</v>
      </c>
      <c r="O64" s="31">
        <f t="shared" si="22"/>
        <v>-4.6625570990753846E-7</v>
      </c>
    </row>
    <row r="65" spans="1:15">
      <c r="A65" s="1">
        <v>100</v>
      </c>
      <c r="B65" s="31">
        <f t="shared" ref="B65:O65" si="23">B22-B23</f>
        <v>-9.5518596646181005E-6</v>
      </c>
      <c r="C65" s="31">
        <f t="shared" si="23"/>
        <v>1.4060084238688714E-4</v>
      </c>
      <c r="D65" s="31">
        <f t="shared" si="23"/>
        <v>7.6753548103793433E-6</v>
      </c>
      <c r="E65" s="31">
        <f t="shared" si="23"/>
        <v>7.2614217756926607E-6</v>
      </c>
      <c r="F65" s="31">
        <f t="shared" si="23"/>
        <v>7.6636121737279372E-5</v>
      </c>
      <c r="G65" s="31">
        <f t="shared" si="23"/>
        <v>-8.0844005464760996E-6</v>
      </c>
      <c r="H65" s="31">
        <f t="shared" si="23"/>
        <v>-7.378122675316105E-6</v>
      </c>
      <c r="I65" s="31">
        <f t="shared" si="23"/>
        <v>-1.4570205826829709E-5</v>
      </c>
      <c r="J65" s="31">
        <f t="shared" si="23"/>
        <v>1.1654982777215677E-5</v>
      </c>
      <c r="K65" s="31">
        <f t="shared" si="23"/>
        <v>2.3961558218415585E-4</v>
      </c>
      <c r="L65" s="31">
        <f t="shared" si="23"/>
        <v>1.4311494786019164E-5</v>
      </c>
      <c r="M65" s="31">
        <f t="shared" si="23"/>
        <v>1.4566330331895165E-5</v>
      </c>
      <c r="N65" s="31">
        <f t="shared" si="23"/>
        <v>5.0934820090104675E-6</v>
      </c>
      <c r="O65" s="31">
        <f t="shared" si="23"/>
        <v>-6.4980954755736974E-6</v>
      </c>
    </row>
    <row r="66" spans="1:15">
      <c r="A66" s="10">
        <v>105</v>
      </c>
      <c r="B66" s="31">
        <f t="shared" ref="B66:O66" si="24">B23-B24</f>
        <v>-4.1021550038405191E-6</v>
      </c>
      <c r="C66" s="31">
        <f t="shared" si="24"/>
        <v>4.839807175301803E-5</v>
      </c>
      <c r="D66" s="31">
        <f t="shared" si="24"/>
        <v>-3.6104202421110343E-6</v>
      </c>
      <c r="E66" s="31">
        <f t="shared" si="24"/>
        <v>-3.3648227080989412E-6</v>
      </c>
      <c r="F66" s="31">
        <f t="shared" si="24"/>
        <v>1.1817947766880315E-4</v>
      </c>
      <c r="G66" s="31">
        <f t="shared" si="24"/>
        <v>8.2927668818072885E-6</v>
      </c>
      <c r="H66" s="31">
        <f t="shared" si="24"/>
        <v>1.6337650949686399E-6</v>
      </c>
      <c r="I66" s="31">
        <f t="shared" si="24"/>
        <v>-2.6522904361888778E-6</v>
      </c>
      <c r="J66" s="31">
        <f t="shared" si="24"/>
        <v>1.2913859853601333E-6</v>
      </c>
      <c r="K66" s="31">
        <f t="shared" si="24"/>
        <v>1.9918444303524958E-4</v>
      </c>
      <c r="L66" s="31">
        <f t="shared" si="24"/>
        <v>6.1520534409667759E-6</v>
      </c>
      <c r="M66" s="31">
        <f t="shared" si="24"/>
        <v>-7.2190664495513488E-7</v>
      </c>
      <c r="N66" s="31">
        <f t="shared" si="24"/>
        <v>1.6119342282289449E-5</v>
      </c>
      <c r="O66" s="31">
        <f t="shared" si="24"/>
        <v>-2.6115083299790891E-6</v>
      </c>
    </row>
    <row r="67" spans="1:15">
      <c r="A67" s="10">
        <v>110</v>
      </c>
      <c r="B67" s="31">
        <f t="shared" ref="B67:O67" si="25">B24-B25</f>
        <v>1.7446286530465369E-5</v>
      </c>
      <c r="C67" s="31">
        <f t="shared" si="25"/>
        <v>1.2623286250753099E-4</v>
      </c>
      <c r="D67" s="31">
        <f t="shared" si="25"/>
        <v>9.8622529644856909E-6</v>
      </c>
      <c r="E67" s="31">
        <f t="shared" si="25"/>
        <v>-1.9886220529286935E-5</v>
      </c>
      <c r="F67" s="31">
        <f t="shared" si="25"/>
        <v>9.2713732640396665E-5</v>
      </c>
      <c r="G67" s="31">
        <f t="shared" si="25"/>
        <v>-7.5832310104444841E-6</v>
      </c>
      <c r="H67" s="31">
        <f t="shared" si="25"/>
        <v>4.3761145925580167E-6</v>
      </c>
      <c r="I67" s="31">
        <f t="shared" si="25"/>
        <v>-1.2268947931763852E-5</v>
      </c>
      <c r="J67" s="31">
        <f t="shared" si="25"/>
        <v>-5.0354322239224763E-7</v>
      </c>
      <c r="K67" s="31">
        <f t="shared" si="25"/>
        <v>9.9391753583388153E-5</v>
      </c>
      <c r="L67" s="31">
        <f t="shared" si="25"/>
        <v>1.3467682802832305E-6</v>
      </c>
      <c r="M67" s="31">
        <f t="shared" si="25"/>
        <v>1.0619753661586657E-6</v>
      </c>
      <c r="N67" s="31">
        <f t="shared" si="25"/>
        <v>-1.6286510593430173E-5</v>
      </c>
      <c r="O67" s="31">
        <f t="shared" si="25"/>
        <v>4.9310556238849404E-7</v>
      </c>
    </row>
    <row r="68" spans="1:15">
      <c r="A68" s="10">
        <v>115</v>
      </c>
      <c r="B68" s="31">
        <f t="shared" ref="B68:O68" si="26">B25-B26</f>
        <v>-1.7966945038967888E-5</v>
      </c>
      <c r="C68" s="31">
        <f t="shared" si="26"/>
        <v>6.8193421735525709E-5</v>
      </c>
      <c r="D68" s="31">
        <f t="shared" si="26"/>
        <v>-8.8750591578248101E-6</v>
      </c>
      <c r="E68" s="31">
        <f t="shared" si="26"/>
        <v>8.2995815759802686E-6</v>
      </c>
      <c r="F68" s="31">
        <f t="shared" si="26"/>
        <v>3.6619866989777446E-6</v>
      </c>
      <c r="G68" s="31">
        <f t="shared" si="26"/>
        <v>-2.0513149155658554E-6</v>
      </c>
      <c r="H68" s="31">
        <f t="shared" si="26"/>
        <v>8.6662214726395134E-6</v>
      </c>
      <c r="I68" s="31">
        <f t="shared" si="26"/>
        <v>1.7101951165915546E-5</v>
      </c>
      <c r="J68" s="31">
        <f t="shared" si="26"/>
        <v>-5.6690464158721201E-6</v>
      </c>
      <c r="K68" s="31">
        <f t="shared" si="26"/>
        <v>-1.7690661783997548E-5</v>
      </c>
      <c r="L68" s="31">
        <f t="shared" si="26"/>
        <v>1.798145416588096E-6</v>
      </c>
      <c r="M68" s="31">
        <f t="shared" si="26"/>
        <v>8.7205706841951665E-6</v>
      </c>
      <c r="N68" s="31">
        <f t="shared" si="26"/>
        <v>2.190793008526239E-6</v>
      </c>
      <c r="O68" s="31">
        <f t="shared" si="26"/>
        <v>-7.4843703514619027E-6</v>
      </c>
    </row>
    <row r="70" spans="1:15">
      <c r="A70" s="14" t="s">
        <v>7</v>
      </c>
      <c r="B70" s="221" t="s">
        <v>95</v>
      </c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O70" s="221"/>
    </row>
    <row r="71" spans="1:15">
      <c r="A71" s="1">
        <v>0</v>
      </c>
      <c r="B71" s="32">
        <f t="shared" ref="B71:O71" si="27">B3/B3*100</f>
        <v>100</v>
      </c>
      <c r="C71" s="32">
        <f t="shared" si="27"/>
        <v>100</v>
      </c>
      <c r="D71" s="32">
        <f t="shared" si="27"/>
        <v>100</v>
      </c>
      <c r="E71" s="32">
        <f t="shared" si="27"/>
        <v>100</v>
      </c>
      <c r="F71" s="32">
        <f t="shared" si="27"/>
        <v>100</v>
      </c>
      <c r="G71" s="32">
        <f t="shared" si="27"/>
        <v>100</v>
      </c>
      <c r="H71" s="32">
        <f t="shared" si="27"/>
        <v>100</v>
      </c>
      <c r="I71" s="32">
        <f t="shared" si="27"/>
        <v>100</v>
      </c>
      <c r="J71" s="32">
        <f t="shared" si="27"/>
        <v>100</v>
      </c>
      <c r="K71" s="32">
        <f t="shared" si="27"/>
        <v>100</v>
      </c>
      <c r="L71" s="32">
        <f t="shared" si="27"/>
        <v>100</v>
      </c>
      <c r="M71" s="32">
        <f t="shared" si="27"/>
        <v>100</v>
      </c>
      <c r="N71" s="32">
        <f t="shared" si="27"/>
        <v>100</v>
      </c>
      <c r="O71" s="32">
        <f t="shared" si="27"/>
        <v>100</v>
      </c>
    </row>
    <row r="72" spans="1:15">
      <c r="A72" s="1">
        <v>5</v>
      </c>
      <c r="B72" s="32">
        <f t="shared" ref="B72:B94" si="28">B4/$B$3*100</f>
        <v>85.572941880427919</v>
      </c>
      <c r="C72" s="32">
        <f t="shared" ref="C72:C94" si="29">C4/$C$3*100</f>
        <v>98.265374437118638</v>
      </c>
      <c r="D72" s="32">
        <f t="shared" ref="D72:D94" si="30">D4/$D$3*100</f>
        <v>88.486907823943284</v>
      </c>
      <c r="E72" s="32">
        <f t="shared" ref="E72:E94" si="31">E4/$E$3*100</f>
        <v>87.136785004597684</v>
      </c>
      <c r="F72" s="32">
        <f t="shared" ref="F72:F94" si="32">F4/$F$3*100</f>
        <v>93.494446048069506</v>
      </c>
      <c r="G72" s="32">
        <f t="shared" ref="G72:G94" si="33">G4/$G$3*100</f>
        <v>83.684210626492145</v>
      </c>
      <c r="H72" s="32">
        <f t="shared" ref="H72:H94" si="34">H4/$H$3*100</f>
        <v>82.439910596365635</v>
      </c>
      <c r="I72" s="32">
        <f t="shared" ref="I72:I94" si="35">I4/$I$3*100</f>
        <v>84.716752079955455</v>
      </c>
      <c r="J72" s="32">
        <f t="shared" ref="J72:J94" si="36">J4/$J$3*100</f>
        <v>97.829491459091727</v>
      </c>
      <c r="K72" s="32">
        <f t="shared" ref="K72:K94" si="37">K4/$K$3*100</f>
        <v>91.34933503168503</v>
      </c>
      <c r="L72" s="32">
        <f t="shared" ref="L72:L94" si="38">L4/$L$3*100</f>
        <v>91.76659356755718</v>
      </c>
      <c r="M72" s="32">
        <f t="shared" ref="M72:M94" si="39">M4/$M$3*100</f>
        <v>93.110395002747254</v>
      </c>
      <c r="N72" s="32">
        <f t="shared" ref="N72:N94" si="40">N4/$N$3*100</f>
        <v>88.029438886902994</v>
      </c>
      <c r="O72" s="32">
        <f t="shared" ref="O72:O94" si="41">O4/$O$3*100</f>
        <v>87.812119576824287</v>
      </c>
    </row>
    <row r="73" spans="1:15">
      <c r="A73" s="1">
        <v>10</v>
      </c>
      <c r="B73" s="32">
        <f t="shared" si="28"/>
        <v>75.647489811462549</v>
      </c>
      <c r="C73" s="32">
        <f t="shared" si="29"/>
        <v>92.645168233684629</v>
      </c>
      <c r="D73" s="32">
        <f t="shared" si="30"/>
        <v>74.799561611758477</v>
      </c>
      <c r="E73" s="32">
        <f t="shared" si="31"/>
        <v>68.003805464258306</v>
      </c>
      <c r="F73" s="32">
        <f t="shared" si="32"/>
        <v>91.538189187155567</v>
      </c>
      <c r="G73" s="32">
        <f t="shared" si="33"/>
        <v>81.506328156313984</v>
      </c>
      <c r="H73" s="32">
        <f t="shared" si="34"/>
        <v>65.076419419096837</v>
      </c>
      <c r="I73" s="32">
        <f t="shared" si="35"/>
        <v>68.220568148844137</v>
      </c>
      <c r="J73" s="32">
        <f t="shared" si="36"/>
        <v>88.276621713489206</v>
      </c>
      <c r="K73" s="32">
        <f t="shared" si="37"/>
        <v>90.199257193335256</v>
      </c>
      <c r="L73" s="32">
        <f t="shared" si="38"/>
        <v>87.353298013551594</v>
      </c>
      <c r="M73" s="32">
        <f t="shared" si="39"/>
        <v>84.438322804169417</v>
      </c>
      <c r="N73" s="32">
        <f t="shared" si="40"/>
        <v>73.730091301659854</v>
      </c>
      <c r="O73" s="32">
        <f t="shared" si="41"/>
        <v>79.839083732909828</v>
      </c>
    </row>
    <row r="74" spans="1:15">
      <c r="A74" s="1">
        <v>15</v>
      </c>
      <c r="B74" s="32">
        <f t="shared" si="28"/>
        <v>68.670676505805858</v>
      </c>
      <c r="C74" s="32">
        <f t="shared" si="29"/>
        <v>89.036556523552235</v>
      </c>
      <c r="D74" s="32">
        <f t="shared" si="30"/>
        <v>62.358083385061413</v>
      </c>
      <c r="E74" s="32">
        <f t="shared" si="31"/>
        <v>51.0226918902272</v>
      </c>
      <c r="F74" s="32">
        <f t="shared" si="32"/>
        <v>89.831520528566358</v>
      </c>
      <c r="G74" s="32">
        <f t="shared" si="33"/>
        <v>61.973550438380407</v>
      </c>
      <c r="H74" s="32">
        <f t="shared" si="34"/>
        <v>46.998650314197292</v>
      </c>
      <c r="I74" s="32">
        <f t="shared" si="35"/>
        <v>50.701952400393644</v>
      </c>
      <c r="J74" s="32">
        <f t="shared" si="36"/>
        <v>82.033031263472765</v>
      </c>
      <c r="K74" s="32">
        <f t="shared" si="37"/>
        <v>84.796656899240375</v>
      </c>
      <c r="L74" s="32">
        <f t="shared" si="38"/>
        <v>83.8939559158366</v>
      </c>
      <c r="M74" s="32">
        <f t="shared" si="39"/>
        <v>73.705489060846958</v>
      </c>
      <c r="N74" s="32">
        <f t="shared" si="40"/>
        <v>60.396730950977975</v>
      </c>
      <c r="O74" s="32">
        <f t="shared" si="41"/>
        <v>64.000319014652973</v>
      </c>
    </row>
    <row r="75" spans="1:15">
      <c r="A75" s="1">
        <v>20</v>
      </c>
      <c r="B75" s="32">
        <f t="shared" si="28"/>
        <v>56.582142373216769</v>
      </c>
      <c r="C75" s="32">
        <f t="shared" si="29"/>
        <v>85.159420918209889</v>
      </c>
      <c r="D75" s="32">
        <f t="shared" si="30"/>
        <v>48.822693283012008</v>
      </c>
      <c r="E75" s="32">
        <f t="shared" si="31"/>
        <v>33.12629574242635</v>
      </c>
      <c r="F75" s="32">
        <f t="shared" si="32"/>
        <v>85.136103175722539</v>
      </c>
      <c r="G75" s="32">
        <f t="shared" si="33"/>
        <v>51.172266382498307</v>
      </c>
      <c r="H75" s="32">
        <f t="shared" si="34"/>
        <v>30.535699996629585</v>
      </c>
      <c r="I75" s="32">
        <f t="shared" si="35"/>
        <v>35.211700081020631</v>
      </c>
      <c r="J75" s="32">
        <f t="shared" si="36"/>
        <v>76.987409654557112</v>
      </c>
      <c r="K75" s="32">
        <f t="shared" si="37"/>
        <v>82.483337684150513</v>
      </c>
      <c r="L75" s="32">
        <f t="shared" si="38"/>
        <v>75.225948360427992</v>
      </c>
      <c r="M75" s="32">
        <f t="shared" si="39"/>
        <v>70.168596966466907</v>
      </c>
      <c r="N75" s="32">
        <f t="shared" si="40"/>
        <v>40.760691953184448</v>
      </c>
      <c r="O75" s="32">
        <f t="shared" si="41"/>
        <v>52.019978788345668</v>
      </c>
    </row>
    <row r="76" spans="1:15">
      <c r="A76" s="1">
        <v>25</v>
      </c>
      <c r="B76" s="32">
        <f t="shared" si="28"/>
        <v>54.937380322250092</v>
      </c>
      <c r="C76" s="32">
        <f t="shared" si="29"/>
        <v>83.705947771678098</v>
      </c>
      <c r="D76" s="32">
        <f t="shared" si="30"/>
        <v>36.001423271144084</v>
      </c>
      <c r="E76" s="32">
        <f t="shared" si="31"/>
        <v>15.02672527335298</v>
      </c>
      <c r="F76" s="32">
        <f t="shared" si="32"/>
        <v>79.755997073401289</v>
      </c>
      <c r="G76" s="32">
        <f t="shared" si="33"/>
        <v>37.844296189053914</v>
      </c>
      <c r="H76" s="32">
        <f t="shared" si="34"/>
        <v>12.584267923400724</v>
      </c>
      <c r="I76" s="32">
        <f t="shared" si="35"/>
        <v>14.380396529746839</v>
      </c>
      <c r="J76" s="32">
        <f t="shared" si="36"/>
        <v>70.990523151768599</v>
      </c>
      <c r="K76" s="32">
        <f t="shared" si="37"/>
        <v>79.598787680563305</v>
      </c>
      <c r="L76" s="32">
        <f t="shared" si="38"/>
        <v>75.057903011243383</v>
      </c>
      <c r="M76" s="32">
        <f t="shared" si="39"/>
        <v>61.054731838420949</v>
      </c>
      <c r="N76" s="32">
        <f t="shared" si="40"/>
        <v>25.420932199438084</v>
      </c>
      <c r="O76" s="32">
        <f t="shared" si="41"/>
        <v>39.35292808962204</v>
      </c>
    </row>
    <row r="77" spans="1:15">
      <c r="A77" s="1">
        <v>30</v>
      </c>
      <c r="B77" s="32">
        <f t="shared" si="28"/>
        <v>46.161549268638339</v>
      </c>
      <c r="C77" s="32">
        <f t="shared" si="29"/>
        <v>77.791728946200067</v>
      </c>
      <c r="D77" s="32">
        <f t="shared" si="30"/>
        <v>23.470268840429853</v>
      </c>
      <c r="E77" s="32">
        <f t="shared" si="31"/>
        <v>1.1983381564806397</v>
      </c>
      <c r="F77" s="32">
        <f t="shared" si="32"/>
        <v>73.276384875356456</v>
      </c>
      <c r="G77" s="32">
        <f t="shared" si="33"/>
        <v>25.57483920141782</v>
      </c>
      <c r="H77" s="32">
        <f t="shared" si="34"/>
        <v>-0.25591053943048414</v>
      </c>
      <c r="I77" s="32">
        <f t="shared" si="35"/>
        <v>1.0215831105645163</v>
      </c>
      <c r="J77" s="32">
        <f t="shared" si="36"/>
        <v>62.252731919826331</v>
      </c>
      <c r="K77" s="32">
        <f t="shared" si="37"/>
        <v>76.735201199978803</v>
      </c>
      <c r="L77" s="32">
        <f t="shared" si="38"/>
        <v>68.03449301803947</v>
      </c>
      <c r="M77" s="32">
        <f t="shared" si="39"/>
        <v>56.195382325935647</v>
      </c>
      <c r="N77" s="32">
        <f t="shared" si="40"/>
        <v>9.6537656648038102</v>
      </c>
      <c r="O77" s="32">
        <f t="shared" si="41"/>
        <v>30.658719565809601</v>
      </c>
    </row>
    <row r="78" spans="1:15">
      <c r="A78" s="1">
        <v>35</v>
      </c>
      <c r="B78" s="32">
        <f t="shared" si="28"/>
        <v>37.573735634912424</v>
      </c>
      <c r="C78" s="32">
        <f t="shared" si="29"/>
        <v>69.47429571511887</v>
      </c>
      <c r="D78" s="32">
        <f t="shared" si="30"/>
        <v>9.5969543727644258</v>
      </c>
      <c r="E78" s="32">
        <f t="shared" si="31"/>
        <v>0.73128434384533847</v>
      </c>
      <c r="F78" s="32">
        <f t="shared" si="32"/>
        <v>70.866738287461686</v>
      </c>
      <c r="G78" s="32">
        <f t="shared" si="33"/>
        <v>12.449733167068135</v>
      </c>
      <c r="H78" s="32">
        <f t="shared" si="34"/>
        <v>-0.53816982028444227</v>
      </c>
      <c r="I78" s="32">
        <f t="shared" si="35"/>
        <v>-0.86095251257941774</v>
      </c>
      <c r="J78" s="32">
        <f t="shared" si="36"/>
        <v>59.371627704648709</v>
      </c>
      <c r="K78" s="32">
        <f t="shared" si="37"/>
        <v>72.523454644183033</v>
      </c>
      <c r="L78" s="32">
        <f t="shared" si="38"/>
        <v>67.038546452354112</v>
      </c>
      <c r="M78" s="32">
        <f t="shared" si="39"/>
        <v>49.817148459817687</v>
      </c>
      <c r="N78" s="32">
        <f t="shared" si="40"/>
        <v>1.1015916735215097</v>
      </c>
      <c r="O78" s="32">
        <f t="shared" si="41"/>
        <v>18.718954510003211</v>
      </c>
    </row>
    <row r="79" spans="1:15">
      <c r="A79" s="1">
        <v>40</v>
      </c>
      <c r="B79" s="32">
        <f t="shared" si="28"/>
        <v>30.600964687010741</v>
      </c>
      <c r="C79" s="32">
        <f t="shared" si="29"/>
        <v>65.618079719525511</v>
      </c>
      <c r="D79" s="32">
        <f t="shared" si="30"/>
        <v>-0.9282970173989793</v>
      </c>
      <c r="E79" s="32">
        <f t="shared" si="31"/>
        <v>-0.38935669624154973</v>
      </c>
      <c r="F79" s="32">
        <f t="shared" si="32"/>
        <v>65.400285809790276</v>
      </c>
      <c r="G79" s="32">
        <f t="shared" si="33"/>
        <v>-0.687584765486564</v>
      </c>
      <c r="H79" s="32">
        <f t="shared" si="34"/>
        <v>-0.35072535179277814</v>
      </c>
      <c r="I79" s="32">
        <f t="shared" si="35"/>
        <v>-1.0466804914742878</v>
      </c>
      <c r="J79" s="32">
        <f t="shared" si="36"/>
        <v>52.447218084583923</v>
      </c>
      <c r="K79" s="32">
        <f t="shared" si="37"/>
        <v>64.888903843130123</v>
      </c>
      <c r="L79" s="32">
        <f t="shared" si="38"/>
        <v>62.995952311167279</v>
      </c>
      <c r="M79" s="32">
        <f t="shared" si="39"/>
        <v>40.726410279280216</v>
      </c>
      <c r="N79" s="32">
        <f t="shared" si="40"/>
        <v>-0.25638993022266593</v>
      </c>
      <c r="O79" s="32">
        <f t="shared" si="41"/>
        <v>5.8253647911269617</v>
      </c>
    </row>
    <row r="80" spans="1:15">
      <c r="A80" s="1">
        <v>45</v>
      </c>
      <c r="B80" s="32">
        <f t="shared" si="28"/>
        <v>20.77114468275618</v>
      </c>
      <c r="C80" s="32">
        <f t="shared" si="29"/>
        <v>62.530702023200945</v>
      </c>
      <c r="D80" s="32">
        <f t="shared" si="30"/>
        <v>-2.4607038095739886E-2</v>
      </c>
      <c r="E80" s="32">
        <f t="shared" si="31"/>
        <v>-0.65477569503372102</v>
      </c>
      <c r="F80" s="32">
        <f t="shared" si="32"/>
        <v>59.953713792466388</v>
      </c>
      <c r="G80" s="32">
        <f t="shared" si="33"/>
        <v>-3.8383230613241166E-3</v>
      </c>
      <c r="H80" s="32">
        <f t="shared" si="34"/>
        <v>-0.14960985847023767</v>
      </c>
      <c r="I80" s="32">
        <f t="shared" si="35"/>
        <v>-0.56778340245802927</v>
      </c>
      <c r="J80" s="32">
        <f t="shared" si="36"/>
        <v>45.345167394525944</v>
      </c>
      <c r="K80" s="32">
        <f t="shared" si="37"/>
        <v>59.928844314206287</v>
      </c>
      <c r="L80" s="32">
        <f t="shared" si="38"/>
        <v>53.950245657105725</v>
      </c>
      <c r="M80" s="32">
        <f t="shared" si="39"/>
        <v>35.764703850193101</v>
      </c>
      <c r="N80" s="32">
        <f t="shared" si="40"/>
        <v>-0.350081959002919</v>
      </c>
      <c r="O80" s="32">
        <f t="shared" si="41"/>
        <v>0.4205679482480727</v>
      </c>
    </row>
    <row r="81" spans="1:15">
      <c r="A81" s="1">
        <v>50</v>
      </c>
      <c r="B81" s="32">
        <f t="shared" si="28"/>
        <v>12.92376100504779</v>
      </c>
      <c r="C81" s="32">
        <f t="shared" si="29"/>
        <v>62.125500374489427</v>
      </c>
      <c r="D81" s="32">
        <f t="shared" si="30"/>
        <v>-0.33046017737014932</v>
      </c>
      <c r="E81" s="32">
        <f t="shared" si="31"/>
        <v>-0.4980837087652113</v>
      </c>
      <c r="F81" s="32">
        <f t="shared" si="32"/>
        <v>55.606993639145841</v>
      </c>
      <c r="G81" s="32">
        <f t="shared" si="33"/>
        <v>3.4332918769041358E-4</v>
      </c>
      <c r="H81" s="32">
        <f t="shared" si="34"/>
        <v>-0.59537552608767097</v>
      </c>
      <c r="I81" s="32">
        <f t="shared" si="35"/>
        <v>0.10739265913666972</v>
      </c>
      <c r="J81" s="32">
        <f t="shared" si="36"/>
        <v>39.779779299815551</v>
      </c>
      <c r="K81" s="32">
        <f t="shared" si="37"/>
        <v>56.888348368845456</v>
      </c>
      <c r="L81" s="32">
        <f t="shared" si="38"/>
        <v>50.063980679124334</v>
      </c>
      <c r="M81" s="32">
        <f t="shared" si="39"/>
        <v>28.03667244744431</v>
      </c>
      <c r="N81" s="32">
        <f t="shared" si="40"/>
        <v>7.3981233515781605E-2</v>
      </c>
      <c r="O81" s="32">
        <f t="shared" si="41"/>
        <v>8.5989801229089752E-2</v>
      </c>
    </row>
    <row r="82" spans="1:15">
      <c r="A82" s="1">
        <v>55</v>
      </c>
      <c r="B82" s="32">
        <f t="shared" si="28"/>
        <v>3.6998906061184367</v>
      </c>
      <c r="C82" s="32">
        <f t="shared" si="29"/>
        <v>52.978374974931839</v>
      </c>
      <c r="D82" s="32">
        <f t="shared" si="30"/>
        <v>5.3237612274805848E-2</v>
      </c>
      <c r="E82" s="32">
        <f t="shared" si="31"/>
        <v>0.27754520037984609</v>
      </c>
      <c r="F82" s="32">
        <f t="shared" si="32"/>
        <v>55.393147906240777</v>
      </c>
      <c r="G82" s="32">
        <f t="shared" si="33"/>
        <v>-0.18515745686110335</v>
      </c>
      <c r="H82" s="32">
        <f t="shared" si="34"/>
        <v>-9.6029910803852678E-3</v>
      </c>
      <c r="I82" s="32">
        <f t="shared" si="35"/>
        <v>0.32244489685230815</v>
      </c>
      <c r="J82" s="32">
        <f t="shared" si="36"/>
        <v>32.133513352644712</v>
      </c>
      <c r="K82" s="32">
        <f t="shared" si="37"/>
        <v>51.921067356564386</v>
      </c>
      <c r="L82" s="32">
        <f t="shared" si="38"/>
        <v>44.062903180501984</v>
      </c>
      <c r="M82" s="32">
        <f t="shared" si="39"/>
        <v>19.284607790303372</v>
      </c>
      <c r="N82" s="32">
        <f t="shared" si="40"/>
        <v>0.13391203352715025</v>
      </c>
      <c r="O82" s="32">
        <f t="shared" si="41"/>
        <v>0.13611605857594533</v>
      </c>
    </row>
    <row r="83" spans="1:15">
      <c r="A83" s="1">
        <v>60</v>
      </c>
      <c r="B83" s="32">
        <f t="shared" si="28"/>
        <v>0.43326565998995437</v>
      </c>
      <c r="C83" s="32">
        <f t="shared" si="29"/>
        <v>48.957779318950095</v>
      </c>
      <c r="D83" s="32">
        <f t="shared" si="30"/>
        <v>0.43904891682060837</v>
      </c>
      <c r="E83" s="32">
        <f t="shared" si="31"/>
        <v>-0.33779852123062354</v>
      </c>
      <c r="F83" s="32">
        <f t="shared" si="32"/>
        <v>49.531815727072427</v>
      </c>
      <c r="G83" s="32">
        <f t="shared" si="33"/>
        <v>0.14426410483059951</v>
      </c>
      <c r="H83" s="32">
        <f t="shared" si="34"/>
        <v>0.16881161796645278</v>
      </c>
      <c r="I83" s="32">
        <f t="shared" si="35"/>
        <v>-1.1978868515866306</v>
      </c>
      <c r="J83" s="32">
        <f t="shared" si="36"/>
        <v>26.337714652664211</v>
      </c>
      <c r="K83" s="32">
        <f t="shared" si="37"/>
        <v>47.505254843523979</v>
      </c>
      <c r="L83" s="32">
        <f t="shared" si="38"/>
        <v>37.233146406849102</v>
      </c>
      <c r="M83" s="32">
        <f t="shared" si="39"/>
        <v>13.372860995047908</v>
      </c>
      <c r="N83" s="32">
        <f t="shared" si="40"/>
        <v>0.49253768900462419</v>
      </c>
      <c r="O83" s="32">
        <f t="shared" si="41"/>
        <v>5.2868333115852567E-2</v>
      </c>
    </row>
    <row r="84" spans="1:15">
      <c r="A84" s="1">
        <v>65</v>
      </c>
      <c r="B84" s="32">
        <f t="shared" si="28"/>
        <v>0.63988329034836944</v>
      </c>
      <c r="C84" s="32">
        <f t="shared" si="29"/>
        <v>44.602148727753409</v>
      </c>
      <c r="D84" s="32">
        <f t="shared" si="30"/>
        <v>0.18137850822411183</v>
      </c>
      <c r="E84" s="32">
        <f t="shared" si="31"/>
        <v>0.74913321905718822</v>
      </c>
      <c r="F84" s="32">
        <f t="shared" si="32"/>
        <v>44.111320655950593</v>
      </c>
      <c r="G84" s="32">
        <f t="shared" si="33"/>
        <v>-0.36356071547989111</v>
      </c>
      <c r="H84" s="32">
        <f t="shared" si="34"/>
        <v>-0.477728093108435</v>
      </c>
      <c r="I84" s="32">
        <f t="shared" si="35"/>
        <v>-0.54107543317943241</v>
      </c>
      <c r="J84" s="32">
        <f t="shared" si="36"/>
        <v>17.817106966398928</v>
      </c>
      <c r="K84" s="32">
        <f t="shared" si="37"/>
        <v>42.724763706513315</v>
      </c>
      <c r="L84" s="32">
        <f t="shared" si="38"/>
        <v>34.622699069259966</v>
      </c>
      <c r="M84" s="32">
        <f t="shared" si="39"/>
        <v>5.0542264234778331</v>
      </c>
      <c r="N84" s="32">
        <f t="shared" si="40"/>
        <v>6.9478927437208224E-2</v>
      </c>
      <c r="O84" s="32">
        <f t="shared" si="41"/>
        <v>0.20593737794776926</v>
      </c>
    </row>
    <row r="85" spans="1:15">
      <c r="A85" s="1">
        <v>70</v>
      </c>
      <c r="B85" s="32">
        <f t="shared" si="28"/>
        <v>0.42276752630827658</v>
      </c>
      <c r="C85" s="32">
        <f t="shared" si="29"/>
        <v>40.546222568622888</v>
      </c>
      <c r="D85" s="32">
        <f t="shared" si="30"/>
        <v>-0.70880073415765721</v>
      </c>
      <c r="E85" s="32">
        <f t="shared" si="31"/>
        <v>-0.33972526277135245</v>
      </c>
      <c r="F85" s="32">
        <f t="shared" si="32"/>
        <v>40.259205617224325</v>
      </c>
      <c r="G85" s="32">
        <f t="shared" si="33"/>
        <v>-0.58859574393024361</v>
      </c>
      <c r="H85" s="32">
        <f t="shared" si="34"/>
        <v>0.55246573532758314</v>
      </c>
      <c r="I85" s="32">
        <f t="shared" si="35"/>
        <v>2.2778685606878537</v>
      </c>
      <c r="J85" s="32">
        <f t="shared" si="36"/>
        <v>12.19286023508093</v>
      </c>
      <c r="K85" s="32">
        <f t="shared" si="37"/>
        <v>35.784189976710699</v>
      </c>
      <c r="L85" s="32">
        <f t="shared" si="38"/>
        <v>27.753866263845545</v>
      </c>
      <c r="M85" s="32">
        <f t="shared" si="39"/>
        <v>-0.95479915408184579</v>
      </c>
      <c r="N85" s="32">
        <f t="shared" si="40"/>
        <v>0.56757458085330337</v>
      </c>
      <c r="O85" s="32">
        <f t="shared" si="41"/>
        <v>4.7587209748997952E-2</v>
      </c>
    </row>
    <row r="86" spans="1:15">
      <c r="A86" s="1">
        <v>75</v>
      </c>
      <c r="B86" s="32">
        <f t="shared" si="28"/>
        <v>-0.12880491543139752</v>
      </c>
      <c r="C86" s="32">
        <f t="shared" si="29"/>
        <v>33.321864079892414</v>
      </c>
      <c r="D86" s="32">
        <f t="shared" si="30"/>
        <v>-0.29107687876136973</v>
      </c>
      <c r="E86" s="32">
        <f t="shared" si="31"/>
        <v>0.35366956541904049</v>
      </c>
      <c r="F86" s="32">
        <f t="shared" si="32"/>
        <v>34.284447088963191</v>
      </c>
      <c r="G86" s="32">
        <f t="shared" si="33"/>
        <v>-0.16686353250009264</v>
      </c>
      <c r="H86" s="32">
        <f t="shared" si="34"/>
        <v>-0.78665152455283838</v>
      </c>
      <c r="I86" s="32">
        <f t="shared" si="35"/>
        <v>0.5577181284780659</v>
      </c>
      <c r="J86" s="32">
        <f t="shared" si="36"/>
        <v>5.5970381706716692</v>
      </c>
      <c r="K86" s="32">
        <f t="shared" si="37"/>
        <v>33.093483173216399</v>
      </c>
      <c r="L86" s="32">
        <f t="shared" si="38"/>
        <v>21.577686440700333</v>
      </c>
      <c r="M86" s="32">
        <f t="shared" si="39"/>
        <v>-0.22439595939152357</v>
      </c>
      <c r="N86" s="32">
        <f t="shared" si="40"/>
        <v>-2.3366742972311838E-2</v>
      </c>
      <c r="O86" s="32">
        <f t="shared" si="41"/>
        <v>1.3047247469059193</v>
      </c>
    </row>
    <row r="87" spans="1:15">
      <c r="A87" s="1">
        <v>80</v>
      </c>
      <c r="B87" s="32">
        <f t="shared" si="28"/>
        <v>6.7739197006333685E-2</v>
      </c>
      <c r="C87" s="32">
        <f t="shared" si="29"/>
        <v>32.584073144536987</v>
      </c>
      <c r="D87" s="32">
        <f t="shared" si="30"/>
        <v>-0.84980030060975653</v>
      </c>
      <c r="E87" s="32">
        <f t="shared" si="31"/>
        <v>-0.30762233979923592</v>
      </c>
      <c r="F87" s="32">
        <f t="shared" si="32"/>
        <v>28.170796648158909</v>
      </c>
      <c r="G87" s="32">
        <f t="shared" si="33"/>
        <v>-0.32160238460407642</v>
      </c>
      <c r="H87" s="32">
        <f t="shared" si="34"/>
        <v>-0.1943161285354158</v>
      </c>
      <c r="I87" s="32">
        <f t="shared" si="35"/>
        <v>0.94223999800346214</v>
      </c>
      <c r="J87" s="32">
        <f t="shared" si="36"/>
        <v>0.21277319090088992</v>
      </c>
      <c r="K87" s="32">
        <f t="shared" si="37"/>
        <v>27.705214429912139</v>
      </c>
      <c r="L87" s="32">
        <f t="shared" si="38"/>
        <v>18.733543322037779</v>
      </c>
      <c r="M87" s="32">
        <f t="shared" si="39"/>
        <v>6.8403079872416173E-2</v>
      </c>
      <c r="N87" s="32">
        <f t="shared" si="40"/>
        <v>0.33018354843727127</v>
      </c>
      <c r="O87" s="32">
        <f t="shared" si="41"/>
        <v>-0.54610465259278562</v>
      </c>
    </row>
    <row r="88" spans="1:15">
      <c r="A88" s="1">
        <v>85</v>
      </c>
      <c r="B88" s="32">
        <f t="shared" si="28"/>
        <v>-0.27474472471304673</v>
      </c>
      <c r="C88" s="32">
        <f t="shared" si="29"/>
        <v>25.931336121149563</v>
      </c>
      <c r="D88" s="32">
        <f t="shared" si="30"/>
        <v>-1.4522795154655007E-2</v>
      </c>
      <c r="E88" s="32">
        <f t="shared" si="31"/>
        <v>0.22419564504132927</v>
      </c>
      <c r="F88" s="32">
        <f t="shared" si="32"/>
        <v>23.946993389662996</v>
      </c>
      <c r="G88" s="32">
        <f t="shared" si="33"/>
        <v>-0.63609085679971988</v>
      </c>
      <c r="H88" s="32">
        <f t="shared" si="34"/>
        <v>-0.73635122963896449</v>
      </c>
      <c r="I88" s="32">
        <f t="shared" si="35"/>
        <v>-1.3868522396251941</v>
      </c>
      <c r="J88" s="32">
        <f t="shared" si="36"/>
        <v>0.51353591781071495</v>
      </c>
      <c r="K88" s="32">
        <f t="shared" si="37"/>
        <v>22.344414149758528</v>
      </c>
      <c r="L88" s="32">
        <f t="shared" si="38"/>
        <v>12.35547551250915</v>
      </c>
      <c r="M88" s="32">
        <f t="shared" si="39"/>
        <v>-0.16467748240491145</v>
      </c>
      <c r="N88" s="32">
        <f t="shared" si="40"/>
        <v>0.3447278676719947</v>
      </c>
      <c r="O88" s="32">
        <f t="shared" si="41"/>
        <v>-0.86797952295393399</v>
      </c>
    </row>
    <row r="89" spans="1:15">
      <c r="A89" s="1">
        <v>90</v>
      </c>
      <c r="B89" s="32">
        <f t="shared" si="28"/>
        <v>-0.32611244092136332</v>
      </c>
      <c r="C89" s="32">
        <f t="shared" si="29"/>
        <v>23.330421760019991</v>
      </c>
      <c r="D89" s="32">
        <f t="shared" si="30"/>
        <v>-0.51702403529551444</v>
      </c>
      <c r="E89" s="32">
        <f t="shared" si="31"/>
        <v>0.2357909711060906</v>
      </c>
      <c r="F89" s="32">
        <f t="shared" si="32"/>
        <v>17.733512510572382</v>
      </c>
      <c r="G89" s="32">
        <f t="shared" si="33"/>
        <v>0.34936678412008015</v>
      </c>
      <c r="H89" s="32">
        <f t="shared" si="34"/>
        <v>-0.17092274119778822</v>
      </c>
      <c r="I89" s="32">
        <f t="shared" si="35"/>
        <v>-7.6482688383372258E-2</v>
      </c>
      <c r="J89" s="32">
        <f t="shared" si="36"/>
        <v>-0.12313835095777671</v>
      </c>
      <c r="K89" s="32">
        <f t="shared" si="37"/>
        <v>17.470543650328484</v>
      </c>
      <c r="L89" s="32">
        <f t="shared" si="38"/>
        <v>6.9368157222348961</v>
      </c>
      <c r="M89" s="32">
        <f t="shared" si="39"/>
        <v>2.6775403697160773E-2</v>
      </c>
      <c r="N89" s="32">
        <f t="shared" si="40"/>
        <v>-4.4318516096146676E-2</v>
      </c>
      <c r="O89" s="32">
        <f t="shared" si="41"/>
        <v>-0.53394184629416008</v>
      </c>
    </row>
    <row r="90" spans="1:15">
      <c r="A90" s="1">
        <v>95</v>
      </c>
      <c r="B90" s="32">
        <f t="shared" si="28"/>
        <v>-0.56835201753019504</v>
      </c>
      <c r="C90" s="32">
        <f t="shared" si="29"/>
        <v>18.654115115562011</v>
      </c>
      <c r="D90" s="32">
        <f t="shared" si="30"/>
        <v>6.060043006311925E-2</v>
      </c>
      <c r="E90" s="32">
        <f t="shared" si="31"/>
        <v>-0.23187321240387945</v>
      </c>
      <c r="F90" s="32">
        <f t="shared" si="32"/>
        <v>14.66852793979618</v>
      </c>
      <c r="G90" s="32">
        <f t="shared" si="33"/>
        <v>-0.16070900897174484</v>
      </c>
      <c r="H90" s="32">
        <f t="shared" si="34"/>
        <v>-0.65661490625681429</v>
      </c>
      <c r="I90" s="32">
        <f t="shared" si="35"/>
        <v>-1.6127308079046023</v>
      </c>
      <c r="J90" s="32">
        <f t="shared" si="36"/>
        <v>0.3171824111495104</v>
      </c>
      <c r="K90" s="32">
        <f t="shared" si="37"/>
        <v>13.503596114603559</v>
      </c>
      <c r="L90" s="32">
        <f t="shared" si="38"/>
        <v>0.83044791315607913</v>
      </c>
      <c r="M90" s="32">
        <f t="shared" si="39"/>
        <v>0.63488415843915291</v>
      </c>
      <c r="N90" s="32">
        <f t="shared" si="40"/>
        <v>0.78958186502644889</v>
      </c>
      <c r="O90" s="32">
        <f t="shared" si="41"/>
        <v>-0.5117835307317895</v>
      </c>
    </row>
    <row r="91" spans="1:15">
      <c r="A91" s="1">
        <v>100</v>
      </c>
      <c r="B91" s="32">
        <f t="shared" si="28"/>
        <v>-0.13477089072144388</v>
      </c>
      <c r="C91" s="32">
        <f t="shared" si="29"/>
        <v>11.572082818896275</v>
      </c>
      <c r="D91" s="32">
        <f t="shared" si="30"/>
        <v>-0.3278281448260737</v>
      </c>
      <c r="E91" s="32">
        <f t="shared" si="31"/>
        <v>-0.61760055582370665</v>
      </c>
      <c r="F91" s="32">
        <f t="shared" si="32"/>
        <v>10.849810543878471</v>
      </c>
      <c r="G91" s="32">
        <f t="shared" si="33"/>
        <v>0.24085506412677779</v>
      </c>
      <c r="H91" s="32">
        <f t="shared" si="34"/>
        <v>-0.28509756225607602</v>
      </c>
      <c r="I91" s="32">
        <f t="shared" si="35"/>
        <v>-8.3367278980115603E-2</v>
      </c>
      <c r="J91" s="32">
        <f t="shared" si="36"/>
        <v>-7.7926354933958178E-2</v>
      </c>
      <c r="K91" s="32">
        <f t="shared" si="37"/>
        <v>7.5150082309821871</v>
      </c>
      <c r="L91" s="32">
        <f t="shared" si="38"/>
        <v>0.11378585318801372</v>
      </c>
      <c r="M91" s="32">
        <f t="shared" si="39"/>
        <v>-8.5146386954005573E-2</v>
      </c>
      <c r="N91" s="32">
        <f t="shared" si="40"/>
        <v>0.52743092501862798</v>
      </c>
      <c r="O91" s="32">
        <f t="shared" si="41"/>
        <v>-0.20296833116945542</v>
      </c>
    </row>
    <row r="92" spans="1:15">
      <c r="A92" s="10">
        <v>105</v>
      </c>
      <c r="B92" s="32">
        <f t="shared" si="28"/>
        <v>5.1435466088598468E-2</v>
      </c>
      <c r="C92" s="32">
        <f t="shared" si="29"/>
        <v>9.1342830060895626</v>
      </c>
      <c r="D92" s="32">
        <f t="shared" si="30"/>
        <v>-0.1451147167122569</v>
      </c>
      <c r="E92" s="32">
        <f t="shared" si="31"/>
        <v>-0.43886088687644914</v>
      </c>
      <c r="F92" s="32">
        <f t="shared" si="32"/>
        <v>4.9610205453261758</v>
      </c>
      <c r="G92" s="32">
        <f t="shared" si="33"/>
        <v>-0.17105887150406038</v>
      </c>
      <c r="H92" s="32">
        <f t="shared" si="34"/>
        <v>-0.36736402698083853</v>
      </c>
      <c r="I92" s="32">
        <f t="shared" si="35"/>
        <v>0.19503072784509687</v>
      </c>
      <c r="J92" s="32">
        <f t="shared" si="36"/>
        <v>-0.12170487721634117</v>
      </c>
      <c r="K92" s="32">
        <f t="shared" si="37"/>
        <v>2.5368948241085985</v>
      </c>
      <c r="L92" s="32">
        <f t="shared" si="38"/>
        <v>-0.19428422320568015</v>
      </c>
      <c r="M92" s="32">
        <f t="shared" si="39"/>
        <v>-4.9461707048606036E-2</v>
      </c>
      <c r="N92" s="32">
        <f t="shared" si="40"/>
        <v>-0.30219814290281521</v>
      </c>
      <c r="O92" s="32">
        <f t="shared" si="41"/>
        <v>-7.8859125770316729E-2</v>
      </c>
    </row>
    <row r="93" spans="1:15">
      <c r="A93" s="10">
        <v>110</v>
      </c>
      <c r="B93" s="32">
        <f t="shared" si="28"/>
        <v>-0.7404920577764571</v>
      </c>
      <c r="C93" s="32">
        <f t="shared" si="29"/>
        <v>2.7759625721411814</v>
      </c>
      <c r="D93" s="32">
        <f t="shared" si="30"/>
        <v>-0.64421618613378129</v>
      </c>
      <c r="E93" s="32">
        <f t="shared" si="31"/>
        <v>0.61749684200523158</v>
      </c>
      <c r="F93" s="32">
        <f t="shared" si="32"/>
        <v>0.34116850103723512</v>
      </c>
      <c r="G93" s="32">
        <f t="shared" si="33"/>
        <v>0.20561137315971506</v>
      </c>
      <c r="H93" s="32">
        <f t="shared" si="34"/>
        <v>-0.58771851849793333</v>
      </c>
      <c r="I93" s="32">
        <f t="shared" si="35"/>
        <v>1.4828424257801756</v>
      </c>
      <c r="J93" s="32">
        <f t="shared" si="36"/>
        <v>-0.1046345524400549</v>
      </c>
      <c r="K93" s="32">
        <f t="shared" si="37"/>
        <v>5.2848311708133824E-2</v>
      </c>
      <c r="L93" s="32">
        <f t="shared" si="38"/>
        <v>-0.26172495839640997</v>
      </c>
      <c r="M93" s="32">
        <f t="shared" si="39"/>
        <v>-0.10195637692541071</v>
      </c>
      <c r="N93" s="32">
        <f t="shared" si="40"/>
        <v>0.53603473078991282</v>
      </c>
      <c r="O93" s="32">
        <f t="shared" si="41"/>
        <v>-0.10229345252447319</v>
      </c>
    </row>
    <row r="94" spans="1:15">
      <c r="A94" s="10">
        <v>115</v>
      </c>
      <c r="B94" s="32">
        <f t="shared" si="28"/>
        <v>7.5069366787045635E-2</v>
      </c>
      <c r="C94" s="32">
        <f t="shared" si="29"/>
        <v>-0.65892449505167927</v>
      </c>
      <c r="D94" s="32">
        <f t="shared" si="30"/>
        <v>-0.19507387728971712</v>
      </c>
      <c r="E94" s="32">
        <f t="shared" si="31"/>
        <v>0.17662236153978089</v>
      </c>
      <c r="F94" s="32">
        <f t="shared" si="32"/>
        <v>0.15869459716530851</v>
      </c>
      <c r="G94" s="32">
        <f t="shared" si="33"/>
        <v>0.3075032039722585</v>
      </c>
      <c r="H94" s="32">
        <f t="shared" si="34"/>
        <v>-1.0240966766991666</v>
      </c>
      <c r="I94" s="32">
        <f t="shared" si="35"/>
        <v>-0.31226607834518094</v>
      </c>
      <c r="J94" s="32">
        <f t="shared" si="36"/>
        <v>8.7548480092940667E-2</v>
      </c>
      <c r="K94" s="32">
        <f t="shared" si="37"/>
        <v>0.49498184011727475</v>
      </c>
      <c r="L94" s="32">
        <f t="shared" si="38"/>
        <v>-0.3517688439333036</v>
      </c>
      <c r="M94" s="32">
        <f t="shared" si="39"/>
        <v>-0.53302426587281804</v>
      </c>
      <c r="N94" s="32">
        <f t="shared" si="40"/>
        <v>0.42327916484666706</v>
      </c>
      <c r="O94" s="32">
        <f t="shared" si="41"/>
        <v>0.25339343025113992</v>
      </c>
    </row>
  </sheetData>
  <mergeCells count="18">
    <mergeCell ref="B44:O44"/>
    <mergeCell ref="B70:O70"/>
    <mergeCell ref="AA1:AD1"/>
    <mergeCell ref="AA8:AD8"/>
    <mergeCell ref="AA15:AD15"/>
    <mergeCell ref="Q29:T29"/>
    <mergeCell ref="V1:Y1"/>
    <mergeCell ref="V8:Y8"/>
    <mergeCell ref="V15:Y15"/>
    <mergeCell ref="V22:Y22"/>
    <mergeCell ref="V29:Y29"/>
    <mergeCell ref="Q22:T22"/>
    <mergeCell ref="AA22:AD22"/>
    <mergeCell ref="A1:A2"/>
    <mergeCell ref="Q1:T1"/>
    <mergeCell ref="Q8:T8"/>
    <mergeCell ref="Q15:T15"/>
    <mergeCell ref="B1:O1"/>
  </mergeCells>
  <phoneticPr fontId="3" type="noConversion"/>
  <conditionalFormatting sqref="E22">
    <cfRule type="cellIs" dxfId="5" priority="6" operator="lessThan">
      <formula>0</formula>
    </cfRule>
  </conditionalFormatting>
  <conditionalFormatting sqref="B3:O26">
    <cfRule type="cellIs" dxfId="4" priority="4" operator="greaterThan">
      <formula>"0.9*$B$3:$N$3"</formula>
    </cfRule>
    <cfRule type="cellIs" dxfId="3" priority="5" operator="lessThan">
      <formula>0</formula>
    </cfRule>
  </conditionalFormatting>
  <conditionalFormatting sqref="B3:O26">
    <cfRule type="expression" dxfId="2" priority="3">
      <formula>"&gt;=0.9*$B$3"</formula>
    </cfRule>
  </conditionalFormatting>
  <conditionalFormatting sqref="B45:O68">
    <cfRule type="cellIs" dxfId="1" priority="2" operator="lessThan">
      <formula>0</formula>
    </cfRule>
  </conditionalFormatting>
  <conditionalFormatting sqref="B71:O94">
    <cfRule type="cellIs" dxfId="0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D1BE-63E2-9442-81ED-EED35DB38F56}">
  <dimension ref="A1:V56"/>
  <sheetViews>
    <sheetView zoomScale="60" zoomScaleNormal="60" workbookViewId="0">
      <selection activeCell="N21" sqref="N21:V37"/>
    </sheetView>
  </sheetViews>
  <sheetFormatPr baseColWidth="10" defaultColWidth="11.1640625" defaultRowHeight="16"/>
  <cols>
    <col min="1" max="1" width="15.1640625" style="188" customWidth="1"/>
    <col min="2" max="2" width="17.83203125" style="188" customWidth="1"/>
    <col min="3" max="3" width="14" style="188" customWidth="1"/>
    <col min="4" max="4" width="18" style="188" customWidth="1"/>
    <col min="5" max="5" width="11.1640625" style="188"/>
    <col min="6" max="6" width="13" style="188" customWidth="1"/>
    <col min="7" max="7" width="13.6640625" style="188" customWidth="1"/>
    <col min="8" max="8" width="12.1640625" style="188" customWidth="1"/>
    <col min="9" max="9" width="13.1640625" style="188" customWidth="1"/>
    <col min="10" max="12" width="11.1640625" style="188"/>
    <col min="13" max="13" width="11.5" style="188" customWidth="1"/>
    <col min="14" max="14" width="18.5" style="188" customWidth="1"/>
    <col min="15" max="15" width="13.5" style="188" customWidth="1"/>
    <col min="16" max="16" width="16.1640625" style="188" customWidth="1"/>
    <col min="17" max="17" width="12.83203125" style="188" customWidth="1"/>
    <col min="18" max="18" width="12" style="188" customWidth="1"/>
    <col min="19" max="19" width="14.83203125" style="188" customWidth="1"/>
    <col min="20" max="20" width="12.33203125" style="188" customWidth="1"/>
    <col min="21" max="21" width="13.1640625" style="188" customWidth="1"/>
    <col min="22" max="22" width="14.1640625" style="188" customWidth="1"/>
    <col min="23" max="16384" width="11.1640625" style="188"/>
  </cols>
  <sheetData>
    <row r="1" spans="1:10" ht="18">
      <c r="A1" s="187" t="s">
        <v>8</v>
      </c>
      <c r="B1" s="187" t="s">
        <v>257</v>
      </c>
      <c r="C1" s="187" t="s">
        <v>258</v>
      </c>
      <c r="D1" s="187" t="s">
        <v>259</v>
      </c>
      <c r="E1" s="187" t="s">
        <v>260</v>
      </c>
      <c r="F1" s="187" t="s">
        <v>261</v>
      </c>
      <c r="G1" s="187" t="s">
        <v>262</v>
      </c>
      <c r="H1" s="187" t="s">
        <v>263</v>
      </c>
      <c r="I1" s="187" t="s">
        <v>264</v>
      </c>
      <c r="J1" s="187" t="s">
        <v>265</v>
      </c>
    </row>
    <row r="2" spans="1:10">
      <c r="A2" s="189">
        <v>1</v>
      </c>
      <c r="B2" s="190">
        <f>'LINEST on I2 conc. '!E29</f>
        <v>3.5603761671836853E-5</v>
      </c>
      <c r="C2" s="190">
        <f>'LINEST on I2 conc. '!D29</f>
        <v>9.1039586771500099E-7</v>
      </c>
      <c r="D2" s="191">
        <v>2</v>
      </c>
      <c r="E2" s="191">
        <v>0.02</v>
      </c>
      <c r="F2" s="192">
        <v>2E-3</v>
      </c>
      <c r="G2" s="192">
        <f t="shared" ref="G2:G15" si="0">LN(B2)</f>
        <v>-10.243059260749199</v>
      </c>
      <c r="H2" s="192">
        <f>LN(D2)</f>
        <v>0.69314718055994529</v>
      </c>
      <c r="I2" s="192">
        <f>LN(E2)</f>
        <v>-3.912023005428146</v>
      </c>
      <c r="J2" s="192">
        <f>LN(F2)</f>
        <v>-6.2146080984221914</v>
      </c>
    </row>
    <row r="3" spans="1:10">
      <c r="A3" s="189">
        <v>2</v>
      </c>
      <c r="B3" s="190">
        <f>'LINEST on I2 conc. '!E30</f>
        <v>1.5291130185579056E-5</v>
      </c>
      <c r="C3" s="190">
        <f>'LINEST on I2 conc. '!D30</f>
        <v>2.0311613792484796E-6</v>
      </c>
      <c r="D3" s="191">
        <v>1</v>
      </c>
      <c r="E3" s="191">
        <v>0.02</v>
      </c>
      <c r="F3" s="192">
        <v>2E-3</v>
      </c>
      <c r="G3" s="192">
        <f t="shared" si="0"/>
        <v>-11.088237624104968</v>
      </c>
      <c r="H3" s="192">
        <f t="shared" ref="H3:H14" si="1">LN(D3)</f>
        <v>0</v>
      </c>
      <c r="I3" s="192">
        <f t="shared" ref="I3:I14" si="2">LN(E3)</f>
        <v>-3.912023005428146</v>
      </c>
      <c r="J3" s="192">
        <f t="shared" ref="J3:J13" si="3">LN(F3)</f>
        <v>-6.2146080984221914</v>
      </c>
    </row>
    <row r="4" spans="1:10">
      <c r="A4" s="189">
        <v>3</v>
      </c>
      <c r="B4" s="190">
        <f>'LINEST on I2 conc. '!E31</f>
        <v>4.9796106288533329E-5</v>
      </c>
      <c r="C4" s="190">
        <f>'LINEST on I2 conc. '!D31</f>
        <v>2.4804869525942376E-6</v>
      </c>
      <c r="D4" s="191">
        <v>3</v>
      </c>
      <c r="E4" s="191">
        <v>0.02</v>
      </c>
      <c r="F4" s="192">
        <v>2E-3</v>
      </c>
      <c r="G4" s="192">
        <f t="shared" si="0"/>
        <v>-9.9075737639676706</v>
      </c>
      <c r="H4" s="192">
        <f t="shared" si="1"/>
        <v>1.0986122886681098</v>
      </c>
      <c r="I4" s="192">
        <f t="shared" si="2"/>
        <v>-3.912023005428146</v>
      </c>
      <c r="J4" s="192">
        <f t="shared" si="3"/>
        <v>-6.2146080984221914</v>
      </c>
    </row>
    <row r="5" spans="1:10">
      <c r="A5" s="189">
        <v>4</v>
      </c>
      <c r="B5" s="190">
        <f>'LINEST on I2 conc. '!E32</f>
        <v>6.0233703341133311E-5</v>
      </c>
      <c r="C5" s="190">
        <f>'LINEST on I2 conc. '!D32</f>
        <v>6.8144661928544596E-6</v>
      </c>
      <c r="D5" s="191">
        <v>4</v>
      </c>
      <c r="E5" s="191">
        <v>0.02</v>
      </c>
      <c r="F5" s="192">
        <v>2E-3</v>
      </c>
      <c r="G5" s="192">
        <f t="shared" si="0"/>
        <v>-9.7172785061454867</v>
      </c>
      <c r="H5" s="192">
        <f t="shared" si="1"/>
        <v>1.3862943611198906</v>
      </c>
      <c r="I5" s="192">
        <f t="shared" si="2"/>
        <v>-3.912023005428146</v>
      </c>
      <c r="J5" s="192">
        <f t="shared" si="3"/>
        <v>-6.2146080984221914</v>
      </c>
    </row>
    <row r="6" spans="1:10">
      <c r="A6" s="189">
        <v>5</v>
      </c>
      <c r="B6" s="190">
        <f>'LINEST on I2 conc. '!E33</f>
        <v>1.7092112773550642E-5</v>
      </c>
      <c r="C6" s="190">
        <f>'LINEST on I2 conc. '!D33</f>
        <v>5.0035026927571243E-7</v>
      </c>
      <c r="D6" s="191">
        <v>2</v>
      </c>
      <c r="E6" s="191">
        <v>0.01</v>
      </c>
      <c r="F6" s="192">
        <v>2E-3</v>
      </c>
      <c r="G6" s="192">
        <f t="shared" si="0"/>
        <v>-10.976893442172983</v>
      </c>
      <c r="H6" s="192">
        <f t="shared" si="1"/>
        <v>0.69314718055994529</v>
      </c>
      <c r="I6" s="192">
        <f t="shared" si="2"/>
        <v>-4.6051701859880909</v>
      </c>
      <c r="J6" s="192">
        <f t="shared" si="3"/>
        <v>-6.2146080984221914</v>
      </c>
    </row>
    <row r="7" spans="1:10">
      <c r="A7" s="189">
        <v>6</v>
      </c>
      <c r="B7" s="190">
        <f>'LINEST on I2 conc. '!E34</f>
        <v>4.922021948379913E-5</v>
      </c>
      <c r="C7" s="190">
        <f>'LINEST on I2 conc. '!D34</f>
        <v>3.5714549749560698E-6</v>
      </c>
      <c r="D7" s="191">
        <v>2</v>
      </c>
      <c r="E7" s="191">
        <v>0.03</v>
      </c>
      <c r="F7" s="192">
        <v>2E-3</v>
      </c>
      <c r="G7" s="192">
        <f t="shared" si="0"/>
        <v>-9.9192060537711786</v>
      </c>
      <c r="H7" s="192">
        <f t="shared" si="1"/>
        <v>0.69314718055994529</v>
      </c>
      <c r="I7" s="192">
        <f t="shared" si="2"/>
        <v>-3.5065578973199818</v>
      </c>
      <c r="J7" s="192">
        <f t="shared" si="3"/>
        <v>-6.2146080984221914</v>
      </c>
    </row>
    <row r="8" spans="1:10">
      <c r="A8" s="189">
        <v>7</v>
      </c>
      <c r="B8" s="190">
        <f>'LINEST on I2 conc. '!E35</f>
        <v>6.9322921957927508E-5</v>
      </c>
      <c r="C8" s="190">
        <f>'LINEST on I2 conc. '!D35</f>
        <v>3.4030084652586785E-7</v>
      </c>
      <c r="D8" s="191">
        <v>2</v>
      </c>
      <c r="E8" s="191">
        <v>0.04</v>
      </c>
      <c r="F8" s="192">
        <v>2E-3</v>
      </c>
      <c r="G8" s="192">
        <f t="shared" si="0"/>
        <v>-9.5767349422751717</v>
      </c>
      <c r="H8" s="192">
        <f t="shared" si="1"/>
        <v>0.69314718055994529</v>
      </c>
      <c r="I8" s="192">
        <f t="shared" si="2"/>
        <v>-3.2188758248682006</v>
      </c>
      <c r="J8" s="192">
        <f t="shared" si="3"/>
        <v>-6.2146080984221914</v>
      </c>
    </row>
    <row r="9" spans="1:10">
      <c r="A9" s="189">
        <v>8</v>
      </c>
      <c r="B9" s="190">
        <f>'LINEST on I2 conc. '!E36</f>
        <v>3.2025386222083753E-5</v>
      </c>
      <c r="C9" s="190">
        <f>'LINEST on I2 conc. '!D36</f>
        <v>5.4559581177564116E-7</v>
      </c>
      <c r="D9" s="191">
        <v>2</v>
      </c>
      <c r="E9" s="191">
        <v>0.02</v>
      </c>
      <c r="F9" s="192">
        <v>1E-3</v>
      </c>
      <c r="G9" s="192">
        <f t="shared" si="0"/>
        <v>-10.34898165023597</v>
      </c>
      <c r="H9" s="192">
        <f t="shared" si="1"/>
        <v>0.69314718055994529</v>
      </c>
      <c r="I9" s="192">
        <f>LN(E9)</f>
        <v>-3.912023005428146</v>
      </c>
      <c r="J9" s="192">
        <f t="shared" si="3"/>
        <v>-6.9077552789821368</v>
      </c>
    </row>
    <row r="10" spans="1:10">
      <c r="A10" s="189">
        <v>9</v>
      </c>
      <c r="B10" s="190">
        <f>'LINEST on I2 conc. '!E37</f>
        <v>3.6250784774920497E-5</v>
      </c>
      <c r="C10" s="190">
        <f>'LINEST on I2 conc. '!D37</f>
        <v>1.1630653092209559E-6</v>
      </c>
      <c r="D10" s="191">
        <v>2</v>
      </c>
      <c r="E10" s="191">
        <v>0.02</v>
      </c>
      <c r="F10" s="192">
        <v>3.0000000000000001E-3</v>
      </c>
      <c r="G10" s="192">
        <f t="shared" si="0"/>
        <v>-10.225049527934601</v>
      </c>
      <c r="H10" s="192">
        <f t="shared" si="1"/>
        <v>0.69314718055994529</v>
      </c>
      <c r="I10" s="192">
        <f t="shared" si="2"/>
        <v>-3.912023005428146</v>
      </c>
      <c r="J10" s="192">
        <f t="shared" si="3"/>
        <v>-5.8091429903140277</v>
      </c>
    </row>
    <row r="11" spans="1:10">
      <c r="A11" s="189">
        <v>10</v>
      </c>
      <c r="B11" s="190">
        <f>'LINEST on I2 conc. '!E38</f>
        <v>3.0548922167122984E-5</v>
      </c>
      <c r="C11" s="190">
        <f>'LINEST on I2 conc. '!D38</f>
        <v>1.993444778239534E-6</v>
      </c>
      <c r="D11" s="191">
        <v>2</v>
      </c>
      <c r="E11" s="191">
        <v>0.02</v>
      </c>
      <c r="F11" s="192">
        <v>4.0000000000000001E-3</v>
      </c>
      <c r="G11" s="192">
        <f t="shared" si="0"/>
        <v>-10.396181153914295</v>
      </c>
      <c r="H11" s="192">
        <f t="shared" si="1"/>
        <v>0.69314718055994529</v>
      </c>
      <c r="I11" s="192">
        <f t="shared" si="2"/>
        <v>-3.912023005428146</v>
      </c>
      <c r="J11" s="192">
        <f t="shared" si="3"/>
        <v>-5.521460917862246</v>
      </c>
    </row>
    <row r="12" spans="1:10">
      <c r="A12" s="189">
        <v>11</v>
      </c>
      <c r="B12" s="190">
        <f>'LINEST on I2 conc. '!E39</f>
        <v>1.9455872324302388E-5</v>
      </c>
      <c r="C12" s="190">
        <f>'LINEST on I2 conc. '!D39</f>
        <v>6.4024603804387203E-7</v>
      </c>
      <c r="D12" s="191">
        <v>2</v>
      </c>
      <c r="E12" s="191">
        <v>0.02</v>
      </c>
      <c r="F12" s="192">
        <v>2E-3</v>
      </c>
      <c r="G12" s="192">
        <f t="shared" si="0"/>
        <v>-10.847361614480915</v>
      </c>
      <c r="H12" s="192">
        <f t="shared" si="1"/>
        <v>0.69314718055994529</v>
      </c>
      <c r="I12" s="192">
        <f t="shared" si="2"/>
        <v>-3.912023005428146</v>
      </c>
      <c r="J12" s="192">
        <f t="shared" si="3"/>
        <v>-6.2146080984221914</v>
      </c>
    </row>
    <row r="13" spans="1:10">
      <c r="A13" s="189">
        <v>12</v>
      </c>
      <c r="B13" s="190">
        <f>'LINEST on I2 conc. '!E40</f>
        <v>2.8865602401719184E-5</v>
      </c>
      <c r="C13" s="190">
        <f>'LINEST on I2 conc. '!D40</f>
        <v>4.598783307304046E-7</v>
      </c>
      <c r="D13" s="191">
        <v>2</v>
      </c>
      <c r="E13" s="191">
        <v>0.02</v>
      </c>
      <c r="F13" s="192">
        <v>2E-3</v>
      </c>
      <c r="G13" s="192">
        <f t="shared" si="0"/>
        <v>-10.452859900044368</v>
      </c>
      <c r="H13" s="192">
        <f t="shared" si="1"/>
        <v>0.69314718055994529</v>
      </c>
      <c r="I13" s="192">
        <f t="shared" si="2"/>
        <v>-3.912023005428146</v>
      </c>
      <c r="J13" s="192">
        <f t="shared" si="3"/>
        <v>-6.2146080984221914</v>
      </c>
    </row>
    <row r="14" spans="1:10">
      <c r="A14" s="189">
        <v>13</v>
      </c>
      <c r="B14" s="190">
        <f>'LINEST on I2 conc. '!E41</f>
        <v>5.7767406474787095E-5</v>
      </c>
      <c r="C14" s="190">
        <f>'LINEST on I2 conc. '!D41</f>
        <v>1.6236771935806633E-6</v>
      </c>
      <c r="D14" s="191">
        <v>2</v>
      </c>
      <c r="E14" s="191">
        <v>0.02</v>
      </c>
      <c r="F14" s="192">
        <v>2E-3</v>
      </c>
      <c r="G14" s="192">
        <f t="shared" si="0"/>
        <v>-9.7590858431586618</v>
      </c>
      <c r="H14" s="192">
        <f t="shared" si="1"/>
        <v>0.69314718055994529</v>
      </c>
      <c r="I14" s="192">
        <f t="shared" si="2"/>
        <v>-3.912023005428146</v>
      </c>
      <c r="J14" s="192">
        <f>LN(F14)</f>
        <v>-6.2146080984221914</v>
      </c>
    </row>
    <row r="15" spans="1:10">
      <c r="A15" s="189">
        <v>14</v>
      </c>
      <c r="B15" s="190">
        <f>'LINEST on I2 conc. '!E42</f>
        <v>4.5263350685578487E-5</v>
      </c>
      <c r="C15" s="190">
        <f>'LINEST on I2 conc. '!D42</f>
        <v>1.8942371872098009E-6</v>
      </c>
      <c r="D15" s="191">
        <v>2</v>
      </c>
      <c r="E15" s="191">
        <v>0.02</v>
      </c>
      <c r="F15" s="192">
        <v>2E-3</v>
      </c>
      <c r="G15" s="192">
        <f t="shared" si="0"/>
        <v>-10.003012888559685</v>
      </c>
      <c r="H15" s="192">
        <f t="shared" ref="H15" si="4">LN(D15)</f>
        <v>0.69314718055994529</v>
      </c>
      <c r="I15" s="192">
        <f t="shared" ref="I15" si="5">LN(E15)</f>
        <v>-3.912023005428146</v>
      </c>
      <c r="J15" s="192">
        <f>LN(F15)</f>
        <v>-6.2146080984221914</v>
      </c>
    </row>
    <row r="16" spans="1:10">
      <c r="A16" s="193"/>
      <c r="B16" s="194"/>
      <c r="C16" s="195"/>
      <c r="D16" s="195"/>
      <c r="E16" s="196"/>
      <c r="F16" s="196"/>
      <c r="G16" s="196"/>
      <c r="H16" s="196"/>
      <c r="I16" s="196"/>
    </row>
    <row r="17" spans="1:22">
      <c r="A17" s="224" t="s">
        <v>53</v>
      </c>
      <c r="B17" s="225"/>
    </row>
    <row r="19" spans="1:22">
      <c r="A19" s="226" t="s">
        <v>54</v>
      </c>
      <c r="B19" s="227"/>
    </row>
    <row r="20" spans="1:22">
      <c r="A20" s="197" t="s">
        <v>55</v>
      </c>
      <c r="B20" s="198">
        <v>0.86300506780047037</v>
      </c>
    </row>
    <row r="21" spans="1:22">
      <c r="A21" s="197" t="s">
        <v>56</v>
      </c>
      <c r="B21" s="198">
        <v>0.74477774704929445</v>
      </c>
      <c r="N21" s="224" t="s">
        <v>54</v>
      </c>
      <c r="O21" s="225"/>
      <c r="P21" s="215"/>
      <c r="Q21" s="209"/>
      <c r="R21" s="209"/>
      <c r="S21" s="209"/>
      <c r="T21" s="209"/>
      <c r="U21" s="209"/>
      <c r="V21" s="210"/>
    </row>
    <row r="22" spans="1:22">
      <c r="A22" s="197" t="s">
        <v>57</v>
      </c>
      <c r="B22" s="198">
        <v>0.66821107116408274</v>
      </c>
      <c r="N22" s="197" t="s">
        <v>55</v>
      </c>
      <c r="O22" s="201">
        <v>0.86300506780047037</v>
      </c>
      <c r="P22" s="216"/>
      <c r="Q22" s="211"/>
      <c r="R22" s="211"/>
      <c r="S22" s="211"/>
      <c r="T22" s="211"/>
      <c r="U22" s="211"/>
      <c r="V22" s="212"/>
    </row>
    <row r="23" spans="1:22">
      <c r="A23" s="197" t="s">
        <v>58</v>
      </c>
      <c r="B23" s="198">
        <v>0.2732960862556561</v>
      </c>
      <c r="N23" s="197" t="s">
        <v>56</v>
      </c>
      <c r="O23" s="201">
        <v>0.74477774704929445</v>
      </c>
      <c r="P23" s="216"/>
      <c r="Q23" s="211"/>
      <c r="R23" s="211"/>
      <c r="S23" s="211"/>
      <c r="T23" s="211"/>
      <c r="U23" s="211"/>
      <c r="V23" s="212"/>
    </row>
    <row r="24" spans="1:22">
      <c r="A24" s="197" t="s">
        <v>59</v>
      </c>
      <c r="B24" s="198">
        <v>14</v>
      </c>
      <c r="N24" s="197" t="s">
        <v>57</v>
      </c>
      <c r="O24" s="201">
        <v>0.66821107116408274</v>
      </c>
      <c r="P24" s="216"/>
      <c r="Q24" s="211"/>
      <c r="R24" s="211"/>
      <c r="S24" s="211"/>
      <c r="T24" s="211"/>
      <c r="U24" s="211"/>
      <c r="V24" s="212"/>
    </row>
    <row r="25" spans="1:22">
      <c r="N25" s="197" t="s">
        <v>58</v>
      </c>
      <c r="O25" s="201">
        <v>0.2732960862556561</v>
      </c>
      <c r="P25" s="216"/>
      <c r="Q25" s="211"/>
      <c r="R25" s="211"/>
      <c r="S25" s="211"/>
      <c r="T25" s="211"/>
      <c r="U25" s="211"/>
      <c r="V25" s="212"/>
    </row>
    <row r="26" spans="1:22">
      <c r="A26" s="224" t="s">
        <v>60</v>
      </c>
      <c r="B26" s="229"/>
      <c r="C26" s="229"/>
      <c r="D26" s="229"/>
      <c r="E26" s="229"/>
      <c r="F26" s="225"/>
      <c r="N26" s="197" t="s">
        <v>59</v>
      </c>
      <c r="O26" s="198">
        <v>14</v>
      </c>
      <c r="P26" s="217"/>
      <c r="Q26" s="213"/>
      <c r="R26" s="213"/>
      <c r="S26" s="213"/>
      <c r="T26" s="213"/>
      <c r="U26" s="213"/>
      <c r="V26" s="214"/>
    </row>
    <row r="27" spans="1:22">
      <c r="A27" s="199"/>
      <c r="B27" s="200" t="s">
        <v>65</v>
      </c>
      <c r="C27" s="200" t="s">
        <v>66</v>
      </c>
      <c r="D27" s="200" t="s">
        <v>67</v>
      </c>
      <c r="E27" s="200" t="s">
        <v>68</v>
      </c>
      <c r="F27" s="200" t="s">
        <v>69</v>
      </c>
      <c r="N27" s="224" t="s">
        <v>60</v>
      </c>
      <c r="O27" s="229"/>
      <c r="P27" s="232"/>
      <c r="Q27" s="232"/>
      <c r="R27" s="232"/>
      <c r="S27" s="233"/>
      <c r="T27" s="215"/>
      <c r="U27" s="209"/>
      <c r="V27" s="210"/>
    </row>
    <row r="28" spans="1:22">
      <c r="A28" s="197" t="s">
        <v>61</v>
      </c>
      <c r="B28" s="198">
        <v>3</v>
      </c>
      <c r="C28" s="198">
        <v>2.1795908638569124</v>
      </c>
      <c r="D28" s="198">
        <v>0.72653028795230412</v>
      </c>
      <c r="E28" s="198">
        <v>9.7271788077343366</v>
      </c>
      <c r="F28" s="198">
        <v>2.6004573363462924E-3</v>
      </c>
      <c r="N28" s="205"/>
      <c r="O28" s="187" t="s">
        <v>65</v>
      </c>
      <c r="P28" s="187" t="s">
        <v>66</v>
      </c>
      <c r="Q28" s="187" t="s">
        <v>67</v>
      </c>
      <c r="R28" s="187" t="s">
        <v>68</v>
      </c>
      <c r="S28" s="187" t="s">
        <v>69</v>
      </c>
      <c r="T28" s="216"/>
      <c r="U28" s="211"/>
      <c r="V28" s="212"/>
    </row>
    <row r="29" spans="1:22">
      <c r="A29" s="197" t="s">
        <v>62</v>
      </c>
      <c r="B29" s="198">
        <v>10</v>
      </c>
      <c r="C29" s="198">
        <v>0.74690750762659019</v>
      </c>
      <c r="D29" s="198">
        <v>7.4690750762659019E-2</v>
      </c>
      <c r="E29" s="198"/>
      <c r="F29" s="198"/>
      <c r="N29" s="187" t="s">
        <v>61</v>
      </c>
      <c r="O29" s="198">
        <v>3</v>
      </c>
      <c r="P29" s="201">
        <v>2.1795908638569124</v>
      </c>
      <c r="Q29" s="201">
        <v>0.72653028795230412</v>
      </c>
      <c r="R29" s="201">
        <v>9.7271788077343366</v>
      </c>
      <c r="S29" s="201">
        <v>2.6004573363462924E-3</v>
      </c>
      <c r="T29" s="216"/>
      <c r="U29" s="211"/>
      <c r="V29" s="212"/>
    </row>
    <row r="30" spans="1:22">
      <c r="A30" s="197" t="s">
        <v>63</v>
      </c>
      <c r="B30" s="198">
        <v>13</v>
      </c>
      <c r="C30" s="198">
        <v>2.9264983714835027</v>
      </c>
      <c r="D30" s="198"/>
      <c r="E30" s="198"/>
      <c r="F30" s="198"/>
      <c r="N30" s="187" t="s">
        <v>62</v>
      </c>
      <c r="O30" s="198">
        <v>10</v>
      </c>
      <c r="P30" s="201">
        <v>0.74690750762659019</v>
      </c>
      <c r="Q30" s="201">
        <v>7.4690750762659019E-2</v>
      </c>
      <c r="R30" s="203"/>
      <c r="S30" s="203"/>
      <c r="T30" s="216"/>
      <c r="U30" s="211"/>
      <c r="V30" s="212"/>
    </row>
    <row r="31" spans="1:22">
      <c r="N31" s="206" t="s">
        <v>63</v>
      </c>
      <c r="O31" s="207">
        <v>13</v>
      </c>
      <c r="P31" s="204">
        <v>2.9264983714835027</v>
      </c>
      <c r="Q31" s="208"/>
      <c r="R31" s="208"/>
      <c r="S31" s="208"/>
      <c r="T31" s="217"/>
      <c r="U31" s="213"/>
      <c r="V31" s="214"/>
    </row>
    <row r="32" spans="1:22">
      <c r="A32" s="199"/>
      <c r="B32" s="200" t="s">
        <v>70</v>
      </c>
      <c r="C32" s="200" t="s">
        <v>58</v>
      </c>
      <c r="D32" s="200" t="s">
        <v>71</v>
      </c>
      <c r="E32" s="200" t="s">
        <v>72</v>
      </c>
      <c r="F32" s="200" t="s">
        <v>73</v>
      </c>
      <c r="G32" s="200" t="s">
        <v>74</v>
      </c>
      <c r="H32" s="200" t="s">
        <v>75</v>
      </c>
      <c r="I32" s="200" t="s">
        <v>76</v>
      </c>
      <c r="N32" s="230"/>
      <c r="O32" s="230"/>
      <c r="P32" s="230"/>
      <c r="Q32" s="230"/>
      <c r="R32" s="230"/>
      <c r="S32" s="230"/>
      <c r="T32" s="231"/>
      <c r="U32" s="231"/>
      <c r="V32" s="231"/>
    </row>
    <row r="33" spans="1:22">
      <c r="A33" s="197" t="s">
        <v>64</v>
      </c>
      <c r="B33" s="198">
        <v>-7.073907980677256</v>
      </c>
      <c r="C33" s="198">
        <v>1.9086125528400366</v>
      </c>
      <c r="D33" s="198">
        <v>-3.7063090516465493</v>
      </c>
      <c r="E33" s="201">
        <v>4.065975622695223E-3</v>
      </c>
      <c r="F33" s="198">
        <v>-11.326561763048847</v>
      </c>
      <c r="G33" s="198">
        <v>-2.821254198305664</v>
      </c>
      <c r="H33" s="198">
        <v>-11.326561763048847</v>
      </c>
      <c r="I33" s="198">
        <v>-2.821254198305664</v>
      </c>
      <c r="N33" s="205"/>
      <c r="O33" s="187" t="s">
        <v>70</v>
      </c>
      <c r="P33" s="187" t="s">
        <v>58</v>
      </c>
      <c r="Q33" s="187" t="s">
        <v>71</v>
      </c>
      <c r="R33" s="187" t="s">
        <v>72</v>
      </c>
      <c r="S33" s="187" t="s">
        <v>73</v>
      </c>
      <c r="T33" s="187" t="s">
        <v>74</v>
      </c>
      <c r="U33" s="187" t="s">
        <v>75</v>
      </c>
      <c r="V33" s="187" t="s">
        <v>76</v>
      </c>
    </row>
    <row r="34" spans="1:22">
      <c r="A34" s="197" t="s">
        <v>46</v>
      </c>
      <c r="B34" s="198">
        <v>0.98760236033683424</v>
      </c>
      <c r="C34" s="198">
        <v>0.25901471958081157</v>
      </c>
      <c r="D34" s="198">
        <v>3.8129198291709678</v>
      </c>
      <c r="E34" s="201">
        <v>3.4128587091044266E-3</v>
      </c>
      <c r="F34" s="201">
        <v>0.41048160040249793</v>
      </c>
      <c r="G34" s="201">
        <v>1.5647231202711707</v>
      </c>
      <c r="H34" s="198">
        <v>0.41048160040249793</v>
      </c>
      <c r="I34" s="198">
        <v>1.5647231202711707</v>
      </c>
      <c r="J34" s="188" t="s">
        <v>224</v>
      </c>
      <c r="N34" s="187" t="s">
        <v>64</v>
      </c>
      <c r="O34" s="201">
        <v>-7.073907980677256</v>
      </c>
      <c r="P34" s="201">
        <v>1.9086125528400366</v>
      </c>
      <c r="Q34" s="201">
        <v>-3.7063090516465493</v>
      </c>
      <c r="R34" s="201">
        <v>4.065975622695223E-3</v>
      </c>
      <c r="S34" s="201">
        <v>-11.326561763048847</v>
      </c>
      <c r="T34" s="201">
        <v>-2.821254198305664</v>
      </c>
      <c r="U34" s="201">
        <v>-11.326561763048847</v>
      </c>
      <c r="V34" s="201">
        <v>-2.821254198305664</v>
      </c>
    </row>
    <row r="35" spans="1:22">
      <c r="A35" s="197" t="s">
        <v>47</v>
      </c>
      <c r="B35" s="198">
        <v>1.0013967898387588</v>
      </c>
      <c r="C35" s="198">
        <v>0.25901471958081174</v>
      </c>
      <c r="D35" s="198">
        <v>3.8661771479992137</v>
      </c>
      <c r="E35" s="201">
        <v>3.1285896535500003E-3</v>
      </c>
      <c r="F35" s="201">
        <v>0.42427602990442215</v>
      </c>
      <c r="G35" s="201">
        <v>1.5785175497730954</v>
      </c>
      <c r="H35" s="198">
        <v>0.42427602990442215</v>
      </c>
      <c r="I35" s="198">
        <v>1.5785175497730954</v>
      </c>
      <c r="J35" s="188" t="s">
        <v>225</v>
      </c>
      <c r="N35" s="187" t="s">
        <v>46</v>
      </c>
      <c r="O35" s="201">
        <v>0.98760236033683424</v>
      </c>
      <c r="P35" s="201">
        <v>0.25901471958081157</v>
      </c>
      <c r="Q35" s="201">
        <v>3.8129198291709678</v>
      </c>
      <c r="R35" s="201">
        <v>3.4128587091044266E-3</v>
      </c>
      <c r="S35" s="201">
        <v>0.41048160040249793</v>
      </c>
      <c r="T35" s="201">
        <v>1.5647231202711707</v>
      </c>
      <c r="U35" s="201">
        <v>0.41048160040249793</v>
      </c>
      <c r="V35" s="201">
        <v>1.5647231202711707</v>
      </c>
    </row>
    <row r="36" spans="1:22">
      <c r="A36" s="197" t="s">
        <v>48</v>
      </c>
      <c r="B36" s="198">
        <v>-3.2095770887658728E-4</v>
      </c>
      <c r="C36" s="198">
        <v>0.25901471958081179</v>
      </c>
      <c r="D36" s="198">
        <v>-1.2391485294581857E-3</v>
      </c>
      <c r="E36" s="201">
        <v>0.99903567410788119</v>
      </c>
      <c r="F36" s="201">
        <v>-0.57744171764321339</v>
      </c>
      <c r="G36" s="201">
        <v>0.57679980222546012</v>
      </c>
      <c r="H36" s="198">
        <v>-0.57744171764321339</v>
      </c>
      <c r="I36" s="198">
        <v>0.57679980222546012</v>
      </c>
      <c r="J36" s="202" t="s">
        <v>226</v>
      </c>
      <c r="N36" s="187" t="s">
        <v>47</v>
      </c>
      <c r="O36" s="201">
        <v>1.0013967898387588</v>
      </c>
      <c r="P36" s="201">
        <v>0.25901471958081174</v>
      </c>
      <c r="Q36" s="201">
        <v>3.8661771479992137</v>
      </c>
      <c r="R36" s="201">
        <v>3.1285896535500003E-3</v>
      </c>
      <c r="S36" s="201">
        <v>0.42427602990442215</v>
      </c>
      <c r="T36" s="201">
        <v>1.5785175497730954</v>
      </c>
      <c r="U36" s="201">
        <v>0.42427602990442215</v>
      </c>
      <c r="V36" s="201">
        <v>1.5785175497730954</v>
      </c>
    </row>
    <row r="37" spans="1:22">
      <c r="E37" s="188">
        <f>F37/C33</f>
        <v>-2.2281388519862739</v>
      </c>
      <c r="F37" s="188">
        <f>F33-B33</f>
        <v>-4.2526537823715911</v>
      </c>
      <c r="G37" s="188">
        <f>B33-G33</f>
        <v>-4.252653782371592</v>
      </c>
      <c r="N37" s="187" t="s">
        <v>48</v>
      </c>
      <c r="O37" s="201">
        <v>-3.2095770887658728E-4</v>
      </c>
      <c r="P37" s="201">
        <v>0.25901471958081179</v>
      </c>
      <c r="Q37" s="201">
        <v>-1.2391485294581857E-3</v>
      </c>
      <c r="R37" s="201">
        <v>0.99903567410788119</v>
      </c>
      <c r="S37" s="201">
        <v>-0.57744171764321339</v>
      </c>
      <c r="T37" s="201">
        <v>0.57679980222546012</v>
      </c>
      <c r="U37" s="201">
        <v>-0.57744171764321339</v>
      </c>
      <c r="V37" s="201">
        <v>0.57679980222546012</v>
      </c>
    </row>
    <row r="38" spans="1:22">
      <c r="F38" s="188">
        <f>B34-F34</f>
        <v>0.57712075993433631</v>
      </c>
      <c r="G38" s="188">
        <f>G34-B34</f>
        <v>0.57712075993433642</v>
      </c>
    </row>
    <row r="39" spans="1:22">
      <c r="F39" s="188">
        <f>B35-F35</f>
        <v>0.57712075993433665</v>
      </c>
      <c r="G39" s="188">
        <f>G35-B35</f>
        <v>0.57712075993433665</v>
      </c>
    </row>
    <row r="40" spans="1:22">
      <c r="A40" s="228" t="s">
        <v>77</v>
      </c>
      <c r="B40" s="228"/>
      <c r="C40" s="228"/>
      <c r="D40" s="228"/>
      <c r="F40" s="188">
        <f t="shared" ref="F40" si="6">B36-F36</f>
        <v>0.57712075993433676</v>
      </c>
      <c r="G40" s="188">
        <f>G36-B36</f>
        <v>0.57712075993433676</v>
      </c>
    </row>
    <row r="42" spans="1:22">
      <c r="A42" s="200" t="s">
        <v>78</v>
      </c>
      <c r="B42" s="200" t="s">
        <v>79</v>
      </c>
      <c r="C42" s="200" t="s">
        <v>80</v>
      </c>
      <c r="D42" s="200" t="s">
        <v>81</v>
      </c>
    </row>
    <row r="43" spans="1:22">
      <c r="A43" s="198">
        <v>1</v>
      </c>
      <c r="B43" s="198">
        <v>-10.304846842129717</v>
      </c>
      <c r="C43" s="198">
        <v>6.1787581380517764E-2</v>
      </c>
      <c r="D43" s="198">
        <v>0.25777420683762692</v>
      </c>
    </row>
    <row r="44" spans="1:22">
      <c r="A44" s="198">
        <v>2</v>
      </c>
      <c r="B44" s="198">
        <v>-10.98940063371154</v>
      </c>
      <c r="C44" s="198">
        <v>-9.8836990393428081E-2</v>
      </c>
      <c r="D44" s="198">
        <v>-0.41234219297208841</v>
      </c>
    </row>
    <row r="45" spans="1:22">
      <c r="A45" s="198">
        <v>3</v>
      </c>
      <c r="B45" s="198">
        <v>-9.9044085443278647</v>
      </c>
      <c r="C45" s="198">
        <v>-3.1652196398059829E-3</v>
      </c>
      <c r="D45" s="198">
        <v>-1.3205112805647568E-2</v>
      </c>
    </row>
    <row r="46" spans="1:22">
      <c r="A46" s="198">
        <v>4</v>
      </c>
      <c r="B46" s="198">
        <v>-9.6202930505478932</v>
      </c>
      <c r="C46" s="198">
        <v>-9.6985455597593528E-2</v>
      </c>
      <c r="D46" s="198">
        <v>-0.40461769716298385</v>
      </c>
    </row>
    <row r="47" spans="1:22">
      <c r="A47" s="198">
        <v>5</v>
      </c>
      <c r="B47" s="198">
        <v>-10.998962203628231</v>
      </c>
      <c r="C47" s="198">
        <v>2.2068761455248165E-2</v>
      </c>
      <c r="D47" s="198">
        <v>9.2069593159526231E-2</v>
      </c>
    </row>
    <row r="48" spans="1:22">
      <c r="A48" s="198">
        <v>6</v>
      </c>
      <c r="B48" s="198">
        <v>-9.8988153844785742</v>
      </c>
      <c r="C48" s="198">
        <v>-2.0390669292604358E-2</v>
      </c>
      <c r="D48" s="198">
        <v>-8.5068689959221663E-2</v>
      </c>
    </row>
    <row r="49" spans="1:4">
      <c r="A49" s="198">
        <v>7</v>
      </c>
      <c r="B49" s="198">
        <v>-9.6107314806312001</v>
      </c>
      <c r="C49" s="198">
        <v>3.3996538356028339E-2</v>
      </c>
      <c r="D49" s="198">
        <v>0.14183158677114624</v>
      </c>
    </row>
    <row r="50" spans="1:4">
      <c r="A50" s="198">
        <v>8</v>
      </c>
      <c r="B50" s="198">
        <v>-10.304624371198729</v>
      </c>
      <c r="C50" s="198">
        <v>-4.4357279037241071E-2</v>
      </c>
      <c r="D50" s="198">
        <v>-0.18505599613752508</v>
      </c>
    </row>
    <row r="51" spans="1:4">
      <c r="A51" s="198">
        <v>9</v>
      </c>
      <c r="B51" s="198">
        <v>-10.304976979281843</v>
      </c>
      <c r="C51" s="198">
        <v>7.9927451347241885E-2</v>
      </c>
      <c r="D51" s="198">
        <v>0.33345269251928827</v>
      </c>
    </row>
    <row r="52" spans="1:4">
      <c r="A52" s="198">
        <v>10</v>
      </c>
      <c r="B52" s="198">
        <v>-10.305069313060702</v>
      </c>
      <c r="C52" s="198">
        <v>-9.1111840853592696E-2</v>
      </c>
      <c r="D52" s="198">
        <v>-0.38011331702581269</v>
      </c>
    </row>
    <row r="53" spans="1:4">
      <c r="A53" s="198">
        <v>11</v>
      </c>
      <c r="B53" s="198">
        <v>-10.304846842129717</v>
      </c>
      <c r="C53" s="198">
        <v>-0.54251477235119872</v>
      </c>
      <c r="D53" s="198">
        <v>-2.2633401731536447</v>
      </c>
    </row>
    <row r="54" spans="1:4">
      <c r="A54" s="198">
        <v>12</v>
      </c>
      <c r="B54" s="198">
        <v>-10.304846842129717</v>
      </c>
      <c r="C54" s="198">
        <v>-0.14801305791465147</v>
      </c>
      <c r="D54" s="198">
        <v>-0.6175018952528758</v>
      </c>
    </row>
    <row r="55" spans="1:4">
      <c r="A55" s="198">
        <v>13</v>
      </c>
      <c r="B55" s="198">
        <v>-10.304846842129717</v>
      </c>
      <c r="C55" s="198">
        <v>0.54576099897105479</v>
      </c>
      <c r="D55" s="198">
        <v>2.2768832423829641</v>
      </c>
    </row>
    <row r="56" spans="1:4">
      <c r="A56" s="198">
        <v>14</v>
      </c>
      <c r="B56" s="198">
        <v>-10.304846842129717</v>
      </c>
      <c r="C56" s="198">
        <v>0.30183395357003207</v>
      </c>
      <c r="D56" s="198">
        <v>1.2592337527992772</v>
      </c>
    </row>
  </sheetData>
  <sortState xmlns:xlrd2="http://schemas.microsoft.com/office/spreadsheetml/2017/richdata2" ref="G43:G56">
    <sortCondition ref="G43"/>
  </sortState>
  <mergeCells count="7">
    <mergeCell ref="A17:B17"/>
    <mergeCell ref="A19:B19"/>
    <mergeCell ref="A40:D40"/>
    <mergeCell ref="A26:F26"/>
    <mergeCell ref="N21:O21"/>
    <mergeCell ref="N32:V32"/>
    <mergeCell ref="N27:S27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F207-6BD9-084C-8664-1D826F9BFC05}">
  <dimension ref="A1:AI51"/>
  <sheetViews>
    <sheetView tabSelected="1" topLeftCell="A2" zoomScaleNormal="100" workbookViewId="0">
      <selection activeCell="C19" sqref="C19"/>
    </sheetView>
  </sheetViews>
  <sheetFormatPr baseColWidth="10" defaultColWidth="11.1640625" defaultRowHeight="16"/>
  <cols>
    <col min="1" max="1" width="16.1640625" customWidth="1"/>
    <col min="2" max="2" width="14.33203125" customWidth="1"/>
    <col min="3" max="3" width="15.83203125" customWidth="1"/>
    <col min="4" max="4" width="19.83203125" customWidth="1"/>
    <col min="5" max="5" width="12.33203125" bestFit="1" customWidth="1"/>
    <col min="6" max="7" width="20.33203125" customWidth="1"/>
    <col min="8" max="8" width="14.6640625" customWidth="1"/>
    <col min="9" max="9" width="12.6640625" customWidth="1"/>
    <col min="10" max="10" width="21.6640625" customWidth="1"/>
    <col min="11" max="12" width="11.33203125" bestFit="1" customWidth="1"/>
    <col min="13" max="13" width="11.6640625" bestFit="1" customWidth="1"/>
    <col min="18" max="18" width="15.33203125" customWidth="1"/>
    <col min="19" max="19" width="19" customWidth="1"/>
    <col min="31" max="35" width="18.33203125" bestFit="1" customWidth="1"/>
  </cols>
  <sheetData>
    <row r="1" spans="1:35" ht="20">
      <c r="A1" s="14" t="s">
        <v>82</v>
      </c>
      <c r="B1" s="14" t="s">
        <v>83</v>
      </c>
      <c r="C1" s="14" t="s">
        <v>84</v>
      </c>
      <c r="E1" s="14" t="s">
        <v>8</v>
      </c>
      <c r="F1" s="14" t="s">
        <v>49</v>
      </c>
      <c r="G1" s="14" t="s">
        <v>6</v>
      </c>
      <c r="H1" s="14" t="s">
        <v>50</v>
      </c>
      <c r="I1" s="14" t="s">
        <v>51</v>
      </c>
      <c r="J1" s="14" t="s">
        <v>52</v>
      </c>
      <c r="K1" s="14" t="s">
        <v>88</v>
      </c>
      <c r="L1" s="14" t="s">
        <v>90</v>
      </c>
      <c r="M1" s="14" t="s">
        <v>89</v>
      </c>
      <c r="R1" s="235" t="s">
        <v>210</v>
      </c>
      <c r="S1" s="236"/>
    </row>
    <row r="2" spans="1:35">
      <c r="A2" s="1" t="s">
        <v>85</v>
      </c>
      <c r="B2" s="13">
        <f>'Rate Order'!B34</f>
        <v>0.98760236033683424</v>
      </c>
      <c r="C2" s="25">
        <f>'Rate Order'!E34</f>
        <v>3.4128587091044266E-3</v>
      </c>
      <c r="E2" s="1">
        <v>1</v>
      </c>
      <c r="F2" s="11">
        <f>'Rate Order'!B2</f>
        <v>3.5603761671836853E-5</v>
      </c>
      <c r="G2" s="17">
        <v>308.14999999999998</v>
      </c>
      <c r="H2" s="12">
        <v>2</v>
      </c>
      <c r="I2" s="12">
        <v>0.02</v>
      </c>
      <c r="J2" s="4">
        <v>2E-3</v>
      </c>
      <c r="K2" s="11">
        <f>F2/H2^$B$2/I2^$B$3/J2^$B$4</f>
        <v>9.0089630182222638E-4</v>
      </c>
      <c r="L2" s="218">
        <f>1/G2</f>
        <v>3.2451728054518907E-3</v>
      </c>
      <c r="M2" s="4">
        <f>LN(K2)</f>
        <v>-7.0121203992967391</v>
      </c>
      <c r="R2" s="1" t="s">
        <v>211</v>
      </c>
      <c r="S2" s="124">
        <v>0.05</v>
      </c>
    </row>
    <row r="3" spans="1:35">
      <c r="A3" s="1" t="s">
        <v>86</v>
      </c>
      <c r="B3" s="13">
        <f>'Rate Order'!B35</f>
        <v>1.0013967898387588</v>
      </c>
      <c r="C3" s="25">
        <f>'Rate Order'!E35</f>
        <v>3.1285896535500003E-3</v>
      </c>
      <c r="E3" s="1">
        <v>11</v>
      </c>
      <c r="F3" s="11">
        <f>'Rate Order'!B12</f>
        <v>1.9455872324302388E-5</v>
      </c>
      <c r="G3" s="17">
        <v>303.14999999999998</v>
      </c>
      <c r="H3" s="12">
        <v>2</v>
      </c>
      <c r="I3" s="12">
        <v>0.02</v>
      </c>
      <c r="J3" s="4">
        <v>2E-3</v>
      </c>
      <c r="K3" s="11">
        <f t="shared" ref="K3:K6" si="0">F3/H3^$B$2/I3^$B$3/J3^$B$4</f>
        <v>4.9229976279596699E-4</v>
      </c>
      <c r="L3" s="218">
        <f>1/G3</f>
        <v>3.298697014679202E-3</v>
      </c>
      <c r="M3" s="4">
        <f>LN(K3)</f>
        <v>-7.6164227530284556</v>
      </c>
      <c r="R3" s="1" t="s">
        <v>212</v>
      </c>
      <c r="S3" s="124">
        <v>5</v>
      </c>
      <c r="AE3" s="123"/>
      <c r="AF3" s="123"/>
      <c r="AG3" s="123"/>
      <c r="AH3" s="123"/>
      <c r="AI3" s="123"/>
    </row>
    <row r="4" spans="1:35" ht="18">
      <c r="A4" s="1" t="s">
        <v>87</v>
      </c>
      <c r="B4" s="13">
        <f>'Rate Order'!B36</f>
        <v>-3.2095770887658728E-4</v>
      </c>
      <c r="C4" s="25">
        <f>'Rate Order'!E36</f>
        <v>0.99903567410788119</v>
      </c>
      <c r="E4" s="1">
        <v>12</v>
      </c>
      <c r="F4" s="11">
        <f>'Rate Order'!B13</f>
        <v>2.8865602401719184E-5</v>
      </c>
      <c r="G4" s="17">
        <v>306.14999999999998</v>
      </c>
      <c r="H4" s="12">
        <v>2</v>
      </c>
      <c r="I4" s="12">
        <v>0.02</v>
      </c>
      <c r="J4" s="4">
        <v>2E-3</v>
      </c>
      <c r="K4" s="11">
        <f t="shared" si="0"/>
        <v>7.3039794764579303E-4</v>
      </c>
      <c r="L4" s="218">
        <f>1/G4</f>
        <v>3.2663726931242859E-3</v>
      </c>
      <c r="M4" s="4">
        <f>LN(K4)</f>
        <v>-7.2219210385919084</v>
      </c>
      <c r="R4" s="1" t="s">
        <v>213</v>
      </c>
      <c r="S4" s="125">
        <f>AVERAGE(L2:L6)</f>
        <v>3.2434968615573994E-3</v>
      </c>
      <c r="AE4" s="123"/>
      <c r="AF4" s="123"/>
      <c r="AG4" s="123"/>
      <c r="AH4" s="123"/>
      <c r="AI4" s="123"/>
    </row>
    <row r="5" spans="1:35">
      <c r="A5" s="16" t="s">
        <v>102</v>
      </c>
      <c r="B5" s="3">
        <f>SUM(B2:B4)</f>
        <v>1.9886781924667165</v>
      </c>
      <c r="C5" s="69"/>
      <c r="E5" s="1">
        <v>13</v>
      </c>
      <c r="F5" s="11">
        <f>'Rate Order'!B14</f>
        <v>5.7767406474787095E-5</v>
      </c>
      <c r="G5" s="17">
        <v>313.14999999999998</v>
      </c>
      <c r="H5" s="12">
        <v>2</v>
      </c>
      <c r="I5" s="12">
        <v>0.02</v>
      </c>
      <c r="J5" s="4">
        <v>2E-3</v>
      </c>
      <c r="K5" s="11">
        <f t="shared" si="0"/>
        <v>1.4617119207424485E-3</v>
      </c>
      <c r="L5" s="218">
        <f>1/G5</f>
        <v>3.1933578157432542E-3</v>
      </c>
      <c r="M5" s="4">
        <f>LN(K5)</f>
        <v>-6.528146981706203</v>
      </c>
      <c r="R5" s="1" t="s">
        <v>214</v>
      </c>
      <c r="S5" s="124">
        <f>DEVSQ(L2:L6)</f>
        <v>6.964016103529959E-9</v>
      </c>
    </row>
    <row r="6" spans="1:35">
      <c r="B6" s="68"/>
      <c r="E6" s="1">
        <v>14</v>
      </c>
      <c r="F6" s="11">
        <f>'Rate Order'!B15</f>
        <v>4.5263350685578487E-5</v>
      </c>
      <c r="G6" s="17">
        <v>311.14999999999998</v>
      </c>
      <c r="H6" s="12">
        <v>2</v>
      </c>
      <c r="I6" s="12">
        <v>0.02</v>
      </c>
      <c r="J6" s="4">
        <v>2E-3</v>
      </c>
      <c r="K6" s="11">
        <f t="shared" si="0"/>
        <v>1.1453167678339988E-3</v>
      </c>
      <c r="L6" s="218">
        <f>1/G6</f>
        <v>3.2138839787883662E-3</v>
      </c>
      <c r="M6" s="4">
        <f>LN(K6)</f>
        <v>-6.7720740271072248</v>
      </c>
      <c r="R6" s="1" t="s">
        <v>215</v>
      </c>
      <c r="S6" s="124">
        <f>STEYX(M2:M6,L2:L6)</f>
        <v>4.1631508241527358E-2</v>
      </c>
    </row>
    <row r="7" spans="1:35">
      <c r="R7" s="1" t="s">
        <v>216</v>
      </c>
      <c r="S7" s="124">
        <f>_xlfn.T.INV.2T(S2,S3-2)</f>
        <v>3.1824463052837091</v>
      </c>
    </row>
    <row r="8" spans="1:35" ht="24" customHeight="1">
      <c r="W8" s="238" t="s">
        <v>221</v>
      </c>
      <c r="X8" s="238"/>
      <c r="Y8" s="238"/>
      <c r="Z8" s="238"/>
      <c r="AA8" s="238"/>
      <c r="AB8" s="238"/>
      <c r="AC8" s="238"/>
      <c r="AD8" s="238"/>
      <c r="AE8" s="238"/>
    </row>
    <row r="9" spans="1:35">
      <c r="A9" s="222" t="s">
        <v>105</v>
      </c>
      <c r="B9" s="222"/>
      <c r="C9" s="222"/>
      <c r="D9" s="222"/>
      <c r="O9" s="76" t="s">
        <v>217</v>
      </c>
      <c r="P9" s="76" t="s">
        <v>103</v>
      </c>
      <c r="Q9" s="76" t="s">
        <v>89</v>
      </c>
      <c r="R9" s="76" t="s">
        <v>222</v>
      </c>
      <c r="S9" s="76" t="s">
        <v>218</v>
      </c>
      <c r="T9" s="76" t="s">
        <v>219</v>
      </c>
      <c r="W9" s="238"/>
      <c r="X9" s="238"/>
      <c r="Y9" s="238"/>
      <c r="Z9" s="238"/>
      <c r="AA9" s="238"/>
      <c r="AB9" s="238"/>
      <c r="AC9" s="238"/>
      <c r="AD9" s="238"/>
      <c r="AE9" s="238"/>
    </row>
    <row r="10" spans="1:35">
      <c r="A10" s="6" t="s">
        <v>29</v>
      </c>
      <c r="B10" s="7" cm="1">
        <f t="array" ref="B10:C14">LINEST(M2:M6,L2:L6,TRUE,TRUE)</f>
        <v>-9984.3791208256298</v>
      </c>
      <c r="C10" s="7">
        <v>25.354165303051055</v>
      </c>
      <c r="D10" s="6" t="s">
        <v>30</v>
      </c>
      <c r="O10" s="1">
        <f>30+273.15</f>
        <v>303.14999999999998</v>
      </c>
      <c r="P10" s="1">
        <f>1/O10</f>
        <v>3.298697014679202E-3</v>
      </c>
      <c r="Q10" s="1">
        <f>FORECAST(P10,$M$2:$M$6,$L$2:$L$6)</f>
        <v>-7.5812762962418034</v>
      </c>
      <c r="R10" s="1">
        <f>$S$6*SQRT(1/$S$3+(P10-$S$4)^2/$S$5)</f>
        <v>3.3241216254549913E-2</v>
      </c>
      <c r="S10" s="1">
        <f>Q10-R10*$S$7</f>
        <v>-7.687064682094233</v>
      </c>
      <c r="T10" s="1">
        <f>Q10+R10*$S$7</f>
        <v>-7.4754879103893739</v>
      </c>
    </row>
    <row r="11" spans="1:35" ht="18">
      <c r="A11" s="6" t="s">
        <v>35</v>
      </c>
      <c r="B11" s="7">
        <v>498.87559825206137</v>
      </c>
      <c r="C11" s="7">
        <v>1.6182085457961835</v>
      </c>
      <c r="D11" s="6" t="s">
        <v>36</v>
      </c>
      <c r="O11" s="1">
        <f>O10+0.5</f>
        <v>303.64999999999998</v>
      </c>
      <c r="P11" s="1">
        <f t="shared" ref="P11:P30" si="1">1/O11</f>
        <v>3.2932652725177016E-3</v>
      </c>
      <c r="Q11" s="1">
        <f>FORECAST(P11,$M$2:$M$6,$L$2:$L$6)</f>
        <v>-7.5270437232148169</v>
      </c>
      <c r="R11" s="1">
        <f t="shared" ref="R11:R30" si="2">$S$6*SQRT(1/$S$3+(P11-$S$4)^2/$S$5)</f>
        <v>3.1033502618857661E-2</v>
      </c>
      <c r="S11" s="1">
        <f t="shared" ref="S11:S30" si="3">Q11-R11*$S$7</f>
        <v>-7.6258061789642131</v>
      </c>
      <c r="T11" s="1">
        <f t="shared" ref="T11:T30" si="4">Q11+R11*$S$7</f>
        <v>-7.4282812674654206</v>
      </c>
    </row>
    <row r="12" spans="1:35" ht="20">
      <c r="A12" s="6" t="s">
        <v>37</v>
      </c>
      <c r="B12" s="7">
        <v>0.99256599169470971</v>
      </c>
      <c r="C12" s="7">
        <v>4.1631508241527206E-2</v>
      </c>
      <c r="D12" s="6" t="s">
        <v>38</v>
      </c>
      <c r="O12" s="1">
        <f t="shared" ref="O12:O30" si="5">O11+0.5</f>
        <v>304.14999999999998</v>
      </c>
      <c r="P12" s="1">
        <f t="shared" si="1"/>
        <v>3.287851389117212E-3</v>
      </c>
      <c r="Q12" s="1">
        <f t="shared" ref="Q12:Q30" si="6">FORECAST(P12,$M$2:$M$6,$L$2:$L$6)</f>
        <v>-7.4729894588283798</v>
      </c>
      <c r="R12" s="1">
        <f t="shared" si="2"/>
        <v>2.8918124922439691E-2</v>
      </c>
      <c r="S12" s="1">
        <f t="shared" si="3"/>
        <v>-7.565019838643531</v>
      </c>
      <c r="T12" s="1">
        <f t="shared" si="4"/>
        <v>-7.3809590790132287</v>
      </c>
    </row>
    <row r="13" spans="1:35">
      <c r="A13" s="6" t="s">
        <v>31</v>
      </c>
      <c r="B13" s="7">
        <v>400.55080016054404</v>
      </c>
      <c r="C13" s="7">
        <v>3</v>
      </c>
      <c r="D13" s="6" t="s">
        <v>32</v>
      </c>
      <c r="O13" s="1">
        <f t="shared" si="5"/>
        <v>304.64999999999998</v>
      </c>
      <c r="P13" s="1">
        <f t="shared" si="1"/>
        <v>3.2824552765468571E-3</v>
      </c>
      <c r="Q13" s="1">
        <f t="shared" si="6"/>
        <v>-7.4191126251473065</v>
      </c>
      <c r="R13" s="1">
        <f t="shared" si="2"/>
        <v>2.6914148125601459E-2</v>
      </c>
      <c r="S13" s="1">
        <f t="shared" si="3"/>
        <v>-7.5047654564094852</v>
      </c>
      <c r="T13" s="1">
        <f t="shared" si="4"/>
        <v>-7.3334597938851278</v>
      </c>
    </row>
    <row r="14" spans="1:35">
      <c r="A14" s="6" t="s">
        <v>33</v>
      </c>
      <c r="B14" s="7">
        <v>0.69422762857312936</v>
      </c>
      <c r="C14" s="7">
        <v>5.1995474353930433E-3</v>
      </c>
      <c r="D14" s="6" t="s">
        <v>34</v>
      </c>
      <c r="O14" s="1">
        <f t="shared" si="5"/>
        <v>305.14999999999998</v>
      </c>
      <c r="P14" s="1">
        <f t="shared" si="1"/>
        <v>3.2770768474520728E-3</v>
      </c>
      <c r="Q14" s="1">
        <f t="shared" si="6"/>
        <v>-7.3654123499904998</v>
      </c>
      <c r="R14" s="1">
        <f t="shared" si="2"/>
        <v>2.5045436544395686E-2</v>
      </c>
      <c r="S14" s="1">
        <f t="shared" si="3"/>
        <v>-7.4451181069854293</v>
      </c>
      <c r="T14" s="1">
        <f t="shared" si="4"/>
        <v>-7.2857065929955702</v>
      </c>
    </row>
    <row r="15" spans="1:35">
      <c r="O15" s="1">
        <f t="shared" si="5"/>
        <v>305.64999999999998</v>
      </c>
      <c r="P15" s="1">
        <f t="shared" si="1"/>
        <v>3.2717160150498941E-3</v>
      </c>
      <c r="Q15" s="1">
        <f t="shared" si="6"/>
        <v>-7.3118877668839417</v>
      </c>
      <c r="R15" s="1">
        <f t="shared" si="2"/>
        <v>2.334142827937984E-2</v>
      </c>
      <c r="S15" s="1">
        <f t="shared" si="3"/>
        <v>-7.3861706090716988</v>
      </c>
      <c r="T15" s="1">
        <f t="shared" si="4"/>
        <v>-7.2376049246961847</v>
      </c>
    </row>
    <row r="16" spans="1:35" ht="18">
      <c r="C16" s="14" t="s">
        <v>91</v>
      </c>
      <c r="D16" s="18">
        <f>-B10*8.314</f>
        <v>83010.128010544286</v>
      </c>
      <c r="O16" s="1">
        <f t="shared" si="5"/>
        <v>306.14999999999998</v>
      </c>
      <c r="P16" s="1">
        <f t="shared" si="1"/>
        <v>3.2663726931242859E-3</v>
      </c>
      <c r="Q16" s="1">
        <f t="shared" si="6"/>
        <v>-7.2585380150140466</v>
      </c>
      <c r="R16" s="1">
        <f t="shared" si="2"/>
        <v>2.1837460273642011E-2</v>
      </c>
      <c r="S16" s="1">
        <f t="shared" si="3"/>
        <v>-7.3280345597786782</v>
      </c>
      <c r="T16" s="1">
        <f t="shared" si="4"/>
        <v>-7.189041470249415</v>
      </c>
    </row>
    <row r="17" spans="1:20" ht="19">
      <c r="C17" s="14" t="s">
        <v>92</v>
      </c>
      <c r="D17" s="121">
        <f>EXP(C10)</f>
        <v>102606313517.79817</v>
      </c>
      <c r="O17" s="1">
        <f t="shared" si="5"/>
        <v>306.64999999999998</v>
      </c>
      <c r="P17" s="1">
        <f t="shared" si="1"/>
        <v>3.2610467960215231E-3</v>
      </c>
      <c r="Q17" s="1">
        <f t="shared" si="6"/>
        <v>-7.2053622391815537</v>
      </c>
      <c r="R17" s="1">
        <f t="shared" si="2"/>
        <v>2.0574027779022827E-2</v>
      </c>
      <c r="S17" s="1">
        <f t="shared" si="3"/>
        <v>-7.2708379778717092</v>
      </c>
      <c r="T17" s="1">
        <f t="shared" si="4"/>
        <v>-7.1398865004913983</v>
      </c>
    </row>
    <row r="18" spans="1:20">
      <c r="D18" s="20"/>
      <c r="O18" s="1">
        <f t="shared" si="5"/>
        <v>307.14999999999998</v>
      </c>
      <c r="P18" s="1">
        <f t="shared" si="1"/>
        <v>3.255738238645613E-3</v>
      </c>
      <c r="Q18" s="1">
        <f t="shared" si="6"/>
        <v>-7.1523595897558181</v>
      </c>
      <c r="R18" s="1">
        <f t="shared" si="2"/>
        <v>1.9594157811002197E-2</v>
      </c>
      <c r="S18" s="1">
        <f t="shared" si="3"/>
        <v>-7.2147169448865878</v>
      </c>
      <c r="T18" s="1">
        <f t="shared" si="4"/>
        <v>-7.0900022346250484</v>
      </c>
    </row>
    <row r="19" spans="1:20">
      <c r="C19" t="s">
        <v>93</v>
      </c>
      <c r="O19" s="1">
        <f t="shared" si="5"/>
        <v>307.64999999999998</v>
      </c>
      <c r="P19" s="1">
        <f t="shared" si="1"/>
        <v>3.2504469364537628E-3</v>
      </c>
      <c r="Q19" s="1">
        <f t="shared" si="6"/>
        <v>-7.0995292226295277</v>
      </c>
      <c r="R19" s="1">
        <f t="shared" si="2"/>
        <v>1.8938271553716263E-2</v>
      </c>
      <c r="S19" s="1">
        <f t="shared" si="3"/>
        <v>-7.1597992549641116</v>
      </c>
      <c r="T19" s="1">
        <f t="shared" si="4"/>
        <v>-7.0392591902949437</v>
      </c>
    </row>
    <row r="20" spans="1:20" ht="18">
      <c r="C20" s="14" t="s">
        <v>91</v>
      </c>
      <c r="D20" s="18">
        <v>67863.7</v>
      </c>
      <c r="O20" s="1">
        <f t="shared" si="5"/>
        <v>308.14999999999998</v>
      </c>
      <c r="P20" s="1">
        <f t="shared" si="1"/>
        <v>3.2451728054518907E-3</v>
      </c>
      <c r="Q20" s="1">
        <f t="shared" si="6"/>
        <v>-7.0468702991739391</v>
      </c>
      <c r="R20" s="1">
        <f t="shared" si="2"/>
        <v>1.8636940146447557E-2</v>
      </c>
      <c r="S20" s="1">
        <f t="shared" si="3"/>
        <v>-7.1061813604847952</v>
      </c>
      <c r="T20" s="1">
        <f t="shared" si="4"/>
        <v>-6.9875592378630831</v>
      </c>
    </row>
    <row r="21" spans="1:20" ht="26" customHeight="1">
      <c r="C21" s="14" t="s">
        <v>92</v>
      </c>
      <c r="D21" s="19">
        <v>55270000</v>
      </c>
      <c r="E21" s="21"/>
      <c r="O21" s="1">
        <f t="shared" si="5"/>
        <v>308.64999999999998</v>
      </c>
      <c r="P21" s="1">
        <f t="shared" si="1"/>
        <v>3.2399157621901833E-3</v>
      </c>
      <c r="Q21" s="1">
        <f t="shared" si="6"/>
        <v>-6.9943819861944689</v>
      </c>
      <c r="R21" s="1">
        <f t="shared" si="2"/>
        <v>1.8703693764633458E-2</v>
      </c>
      <c r="S21" s="1">
        <f t="shared" si="3"/>
        <v>-7.0539054873108844</v>
      </c>
      <c r="T21" s="1">
        <f t="shared" si="4"/>
        <v>-6.9348584850780535</v>
      </c>
    </row>
    <row r="22" spans="1:20">
      <c r="O22" s="1">
        <f t="shared" si="5"/>
        <v>309.14999999999998</v>
      </c>
      <c r="P22" s="1">
        <f t="shared" si="1"/>
        <v>3.2346757237586934E-3</v>
      </c>
      <c r="Q22" s="1">
        <f t="shared" si="6"/>
        <v>-6.9420634558867746</v>
      </c>
      <c r="R22" s="1">
        <f t="shared" si="2"/>
        <v>1.9131184479950776E-2</v>
      </c>
      <c r="S22" s="1">
        <f t="shared" si="3"/>
        <v>-7.0029474232506947</v>
      </c>
      <c r="T22" s="1">
        <f t="shared" si="4"/>
        <v>-6.8811794885228545</v>
      </c>
    </row>
    <row r="23" spans="1:20">
      <c r="A23" s="234" t="s">
        <v>53</v>
      </c>
      <c r="B23" s="234"/>
      <c r="O23" s="1">
        <f t="shared" si="5"/>
        <v>309.64999999999998</v>
      </c>
      <c r="P23" s="1">
        <f t="shared" si="1"/>
        <v>3.2294526077829809E-3</v>
      </c>
      <c r="Q23" s="1">
        <f t="shared" si="6"/>
        <v>-6.8899138857932201</v>
      </c>
      <c r="R23" s="1">
        <f t="shared" si="2"/>
        <v>1.9892843760596805E-2</v>
      </c>
      <c r="S23" s="1">
        <f t="shared" si="3"/>
        <v>-6.9532217929207176</v>
      </c>
      <c r="T23" s="1">
        <f t="shared" si="4"/>
        <v>-6.8266059786657225</v>
      </c>
    </row>
    <row r="24" spans="1:20">
      <c r="O24" s="1">
        <f t="shared" si="5"/>
        <v>310.14999999999998</v>
      </c>
      <c r="P24" s="1">
        <f t="shared" si="1"/>
        <v>3.224246332419797E-3</v>
      </c>
      <c r="Q24" s="1">
        <f t="shared" si="6"/>
        <v>-6.8379324587597807</v>
      </c>
      <c r="R24" s="1">
        <f t="shared" si="2"/>
        <v>2.0949128817290302E-2</v>
      </c>
      <c r="S24" s="1">
        <f t="shared" si="3"/>
        <v>-6.9046019363632789</v>
      </c>
      <c r="T24" s="1">
        <f t="shared" si="4"/>
        <v>-6.7712629811562826</v>
      </c>
    </row>
    <row r="25" spans="1:20">
      <c r="A25" s="242" t="s">
        <v>54</v>
      </c>
      <c r="B25" s="243"/>
      <c r="O25" s="1">
        <f t="shared" si="5"/>
        <v>310.64999999999998</v>
      </c>
      <c r="P25" s="1">
        <f t="shared" si="1"/>
        <v>3.2190568163528088E-3</v>
      </c>
      <c r="Q25" s="1">
        <f t="shared" si="6"/>
        <v>-6.7861183628933546</v>
      </c>
      <c r="R25" s="1">
        <f t="shared" si="2"/>
        <v>2.2255214677174007E-2</v>
      </c>
      <c r="S25" s="1">
        <f t="shared" si="3"/>
        <v>-6.8569443886160224</v>
      </c>
      <c r="T25" s="1">
        <f t="shared" si="4"/>
        <v>-6.7152923371706867</v>
      </c>
    </row>
    <row r="26" spans="1:20">
      <c r="A26" s="71" t="s">
        <v>55</v>
      </c>
      <c r="B26" s="16">
        <v>0.99627606199020446</v>
      </c>
      <c r="O26" s="1">
        <f t="shared" si="5"/>
        <v>311.14999999999998</v>
      </c>
      <c r="P26" s="1">
        <f t="shared" si="1"/>
        <v>3.2138839787883662E-3</v>
      </c>
      <c r="Q26" s="1">
        <f t="shared" si="6"/>
        <v>-6.734470791519513</v>
      </c>
      <c r="R26" s="1">
        <f t="shared" si="2"/>
        <v>2.3767252623791583E-2</v>
      </c>
      <c r="S26" s="1">
        <f t="shared" si="3"/>
        <v>-6.8101087968188434</v>
      </c>
      <c r="T26" s="1">
        <f t="shared" si="4"/>
        <v>-6.6588327862201826</v>
      </c>
    </row>
    <row r="27" spans="1:20">
      <c r="A27" s="71" t="s">
        <v>56</v>
      </c>
      <c r="B27" s="16">
        <v>0.99256599169470971</v>
      </c>
      <c r="O27" s="1">
        <f t="shared" si="5"/>
        <v>311.64999999999998</v>
      </c>
      <c r="P27" s="1">
        <f t="shared" si="1"/>
        <v>3.2087277394513077E-3</v>
      </c>
      <c r="Q27" s="1">
        <f t="shared" si="6"/>
        <v>-6.6829889431406002</v>
      </c>
      <c r="R27" s="1">
        <f t="shared" si="2"/>
        <v>2.5446054840886394E-2</v>
      </c>
      <c r="S27" s="1">
        <f t="shared" si="3"/>
        <v>-6.7639696463530257</v>
      </c>
      <c r="T27" s="1">
        <f t="shared" si="4"/>
        <v>-6.6020082399281748</v>
      </c>
    </row>
    <row r="28" spans="1:20">
      <c r="A28" s="71" t="s">
        <v>57</v>
      </c>
      <c r="B28" s="16">
        <v>0.99008798892627958</v>
      </c>
      <c r="O28" s="1">
        <f t="shared" si="5"/>
        <v>312.14999999999998</v>
      </c>
      <c r="P28" s="1">
        <f t="shared" si="1"/>
        <v>3.2035880185808108E-3</v>
      </c>
      <c r="Q28" s="1">
        <f t="shared" si="6"/>
        <v>-6.6316720213943405</v>
      </c>
      <c r="R28" s="1">
        <f t="shared" si="2"/>
        <v>2.7258514154153677E-2</v>
      </c>
      <c r="S28" s="1">
        <f t="shared" si="3"/>
        <v>-6.7184207790517503</v>
      </c>
      <c r="T28" s="1">
        <f t="shared" si="4"/>
        <v>-6.5449232637369308</v>
      </c>
    </row>
    <row r="29" spans="1:20">
      <c r="A29" s="71" t="s">
        <v>58</v>
      </c>
      <c r="B29" s="16">
        <v>4.1631508241527206E-2</v>
      </c>
      <c r="O29" s="1">
        <f t="shared" si="5"/>
        <v>312.64999999999998</v>
      </c>
      <c r="P29" s="1">
        <f t="shared" si="1"/>
        <v>3.1984647369262755E-3</v>
      </c>
      <c r="Q29" s="1">
        <f t="shared" si="6"/>
        <v>-6.5805192350126909</v>
      </c>
      <c r="R29" s="1">
        <f t="shared" si="2"/>
        <v>2.9177593391576113E-2</v>
      </c>
      <c r="S29" s="1">
        <f t="shared" si="3"/>
        <v>-6.6733753592987828</v>
      </c>
      <c r="T29" s="1">
        <f t="shared" si="4"/>
        <v>-6.487663110726599</v>
      </c>
    </row>
    <row r="30" spans="1:20">
      <c r="A30" s="71" t="s">
        <v>59</v>
      </c>
      <c r="B30" s="16">
        <v>5</v>
      </c>
      <c r="O30" s="1">
        <f t="shared" si="5"/>
        <v>313.14999999999998</v>
      </c>
      <c r="P30" s="1">
        <f t="shared" si="1"/>
        <v>3.1933578157432542E-3</v>
      </c>
      <c r="Q30" s="1">
        <f t="shared" si="6"/>
        <v>-6.5295297977812297</v>
      </c>
      <c r="R30" s="1">
        <f t="shared" si="2"/>
        <v>3.1181629084104601E-2</v>
      </c>
      <c r="S30" s="1">
        <f t="shared" si="3"/>
        <v>-6.628763658052665</v>
      </c>
      <c r="T30" s="1">
        <f t="shared" si="4"/>
        <v>-6.4302959375097943</v>
      </c>
    </row>
    <row r="32" spans="1:20">
      <c r="A32" s="239" t="s">
        <v>60</v>
      </c>
      <c r="B32" s="240"/>
      <c r="C32" s="240"/>
      <c r="D32" s="240"/>
      <c r="E32" s="240"/>
      <c r="F32" s="241"/>
      <c r="O32" s="237" t="s">
        <v>220</v>
      </c>
      <c r="P32" s="237"/>
      <c r="Q32" s="237"/>
      <c r="R32" s="237"/>
      <c r="S32" s="237"/>
      <c r="T32" s="237"/>
    </row>
    <row r="33" spans="1:20">
      <c r="A33" s="72"/>
      <c r="B33" s="70" t="s">
        <v>65</v>
      </c>
      <c r="C33" s="70" t="s">
        <v>66</v>
      </c>
      <c r="D33" s="70" t="s">
        <v>67</v>
      </c>
      <c r="E33" s="70" t="s">
        <v>68</v>
      </c>
      <c r="F33" s="70" t="s">
        <v>69</v>
      </c>
      <c r="O33" s="237"/>
      <c r="P33" s="237"/>
      <c r="Q33" s="237"/>
      <c r="R33" s="237"/>
      <c r="S33" s="237"/>
      <c r="T33" s="237"/>
    </row>
    <row r="34" spans="1:20">
      <c r="A34" s="71" t="s">
        <v>61</v>
      </c>
      <c r="B34" s="16">
        <v>1</v>
      </c>
      <c r="C34" s="16">
        <v>0.69422762857312936</v>
      </c>
      <c r="D34" s="16">
        <v>0.69422762857312936</v>
      </c>
      <c r="E34" s="16">
        <v>400.55080016054404</v>
      </c>
      <c r="F34" s="16">
        <v>2.7264326904600074E-4</v>
      </c>
    </row>
    <row r="35" spans="1:20">
      <c r="A35" s="71" t="s">
        <v>62</v>
      </c>
      <c r="B35" s="16">
        <v>3</v>
      </c>
      <c r="C35" s="16">
        <v>5.1995474353930433E-3</v>
      </c>
      <c r="D35" s="16">
        <v>1.7331824784643478E-3</v>
      </c>
      <c r="E35" s="16"/>
      <c r="F35" s="16"/>
    </row>
    <row r="36" spans="1:20">
      <c r="A36" s="71" t="s">
        <v>63</v>
      </c>
      <c r="B36" s="16">
        <v>4</v>
      </c>
      <c r="C36" s="16">
        <v>0.69942717600852244</v>
      </c>
      <c r="D36" s="16"/>
      <c r="E36" s="16"/>
      <c r="F36" s="16"/>
    </row>
    <row r="38" spans="1:20">
      <c r="A38" s="70"/>
      <c r="B38" s="70" t="s">
        <v>70</v>
      </c>
      <c r="C38" s="70" t="s">
        <v>58</v>
      </c>
      <c r="D38" s="70" t="s">
        <v>71</v>
      </c>
      <c r="E38" s="70" t="s">
        <v>72</v>
      </c>
      <c r="F38" s="70" t="s">
        <v>73</v>
      </c>
      <c r="G38" s="70" t="s">
        <v>74</v>
      </c>
      <c r="H38" s="70" t="s">
        <v>75</v>
      </c>
      <c r="I38" s="70" t="s">
        <v>76</v>
      </c>
    </row>
    <row r="39" spans="1:20">
      <c r="A39" s="71" t="s">
        <v>64</v>
      </c>
      <c r="B39" s="16">
        <v>25.354165303051055</v>
      </c>
      <c r="C39" s="16">
        <v>1.6182085457961835</v>
      </c>
      <c r="D39" s="16">
        <v>15.668045610633218</v>
      </c>
      <c r="E39" s="25">
        <v>5.6505910178013784E-4</v>
      </c>
      <c r="F39" s="16">
        <v>20.204303495303467</v>
      </c>
      <c r="G39" s="16">
        <v>30.504027110798642</v>
      </c>
      <c r="H39" s="16">
        <v>20.204303495303467</v>
      </c>
      <c r="I39" s="16">
        <v>30.504027110798642</v>
      </c>
    </row>
    <row r="40" spans="1:20">
      <c r="A40" s="71" t="s">
        <v>103</v>
      </c>
      <c r="B40" s="16">
        <v>-9984.3791208256298</v>
      </c>
      <c r="C40" s="16">
        <v>498.87559825206137</v>
      </c>
      <c r="D40" s="16">
        <v>-20.013765266949243</v>
      </c>
      <c r="E40" s="25">
        <v>2.7264326904600101E-4</v>
      </c>
      <c r="F40" s="16">
        <v>-11572.023925279103</v>
      </c>
      <c r="G40" s="16">
        <v>-8396.7343163721562</v>
      </c>
      <c r="H40" s="16">
        <v>-11572.023925279103</v>
      </c>
      <c r="I40" s="16">
        <v>-8396.7343163721562</v>
      </c>
    </row>
    <row r="42" spans="1:20">
      <c r="E42" s="120"/>
      <c r="F42" s="120"/>
      <c r="G42" s="120"/>
    </row>
    <row r="44" spans="1:20">
      <c r="A44" s="234" t="s">
        <v>77</v>
      </c>
      <c r="B44" s="234"/>
      <c r="C44" s="234"/>
      <c r="D44" s="234"/>
    </row>
    <row r="45" spans="1:20">
      <c r="H45" s="122" t="s">
        <v>198</v>
      </c>
      <c r="I45" s="122" t="s">
        <v>206</v>
      </c>
      <c r="J45" s="122" t="s">
        <v>207</v>
      </c>
    </row>
    <row r="46" spans="1:20">
      <c r="A46" s="70" t="s">
        <v>78</v>
      </c>
      <c r="B46" s="70" t="s">
        <v>104</v>
      </c>
      <c r="C46" s="70" t="s">
        <v>80</v>
      </c>
      <c r="D46" s="70" t="s">
        <v>81</v>
      </c>
      <c r="F46" s="119"/>
      <c r="H46" s="1" t="s">
        <v>205</v>
      </c>
      <c r="I46" s="121">
        <f>D17</f>
        <v>102606313517.79817</v>
      </c>
      <c r="J46" s="1" t="s">
        <v>208</v>
      </c>
    </row>
    <row r="47" spans="1:20">
      <c r="A47" s="16">
        <v>1</v>
      </c>
      <c r="B47" s="16">
        <v>-7.0468702991739391</v>
      </c>
      <c r="C47" s="16">
        <v>3.4749899877200008E-2</v>
      </c>
      <c r="D47" s="16">
        <v>0.96383075684013375</v>
      </c>
      <c r="H47" s="1" t="s">
        <v>204</v>
      </c>
      <c r="I47" s="4">
        <f>D16/1000</f>
        <v>83.010128010544292</v>
      </c>
      <c r="J47" s="1" t="s">
        <v>209</v>
      </c>
    </row>
    <row r="48" spans="1:20">
      <c r="A48" s="16">
        <v>2</v>
      </c>
      <c r="B48" s="16">
        <v>-7.5812762962418034</v>
      </c>
      <c r="C48" s="16">
        <v>-3.514645678665218E-2</v>
      </c>
      <c r="D48" s="16">
        <v>-0.9748297452550112</v>
      </c>
    </row>
    <row r="49" spans="1:4">
      <c r="A49" s="16">
        <v>3</v>
      </c>
      <c r="B49" s="16">
        <v>-7.2585380150140466</v>
      </c>
      <c r="C49" s="16">
        <v>3.6616976422138237E-2</v>
      </c>
      <c r="D49" s="16">
        <v>1.0156163966763794</v>
      </c>
    </row>
    <row r="50" spans="1:4">
      <c r="A50" s="16">
        <v>4</v>
      </c>
      <c r="B50" s="16">
        <v>-6.5295297977812297</v>
      </c>
      <c r="C50" s="16">
        <v>1.3828160750266605E-3</v>
      </c>
      <c r="D50" s="16">
        <v>3.8354086454163348E-2</v>
      </c>
    </row>
    <row r="51" spans="1:4">
      <c r="A51" s="16">
        <v>5</v>
      </c>
      <c r="B51" s="16">
        <v>-6.734470791519513</v>
      </c>
      <c r="C51" s="16">
        <v>-3.7603235587711836E-2</v>
      </c>
      <c r="D51" s="16">
        <v>-1.0429714947156408</v>
      </c>
    </row>
  </sheetData>
  <mergeCells count="8">
    <mergeCell ref="A44:D44"/>
    <mergeCell ref="R1:S1"/>
    <mergeCell ref="O32:T33"/>
    <mergeCell ref="W8:AE9"/>
    <mergeCell ref="A9:D9"/>
    <mergeCell ref="A23:B23"/>
    <mergeCell ref="A32:F32"/>
    <mergeCell ref="A25:B25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0D91-EB6F-41FD-A97E-8A7507F5D54E}">
  <dimension ref="A1:BF138"/>
  <sheetViews>
    <sheetView zoomScale="66" zoomScaleNormal="100" workbookViewId="0">
      <selection activeCell="D1" sqref="D1"/>
    </sheetView>
  </sheetViews>
  <sheetFormatPr baseColWidth="10" defaultColWidth="8.83203125" defaultRowHeight="16"/>
  <cols>
    <col min="1" max="1" width="24.1640625" style="126" customWidth="1"/>
    <col min="2" max="2" width="22.1640625" style="126" customWidth="1"/>
    <col min="3" max="3" width="14.6640625" style="126" customWidth="1"/>
    <col min="4" max="4" width="23.33203125" style="126" customWidth="1"/>
    <col min="5" max="5" width="14.6640625" style="126" bestFit="1" customWidth="1"/>
    <col min="6" max="6" width="12.33203125" style="126" bestFit="1" customWidth="1"/>
    <col min="7" max="7" width="12.1640625" style="126" customWidth="1"/>
    <col min="8" max="8" width="14.83203125" style="126" customWidth="1"/>
    <col min="9" max="9" width="14.5" style="126" bestFit="1" customWidth="1"/>
    <col min="10" max="10" width="12" style="126" bestFit="1" customWidth="1"/>
    <col min="11" max="11" width="13.6640625" style="126" customWidth="1"/>
    <col min="12" max="12" width="12.33203125" style="126" customWidth="1"/>
    <col min="13" max="14" width="12" style="126" bestFit="1" customWidth="1"/>
    <col min="15" max="15" width="11.6640625" style="126" customWidth="1"/>
    <col min="16" max="16" width="12.6640625" style="126" customWidth="1"/>
    <col min="17" max="17" width="11" style="126" bestFit="1" customWidth="1"/>
    <col min="18" max="18" width="9" style="126" bestFit="1" customWidth="1"/>
    <col min="19" max="19" width="11.83203125" style="126" customWidth="1"/>
    <col min="20" max="20" width="13.1640625" style="126" customWidth="1"/>
    <col min="21" max="21" width="11" style="126" bestFit="1" customWidth="1"/>
    <col min="22" max="22" width="9" style="126" bestFit="1" customWidth="1"/>
    <col min="23" max="23" width="11.5" style="126" customWidth="1"/>
    <col min="24" max="24" width="14.6640625" style="126" customWidth="1"/>
    <col min="25" max="25" width="11" style="126" bestFit="1" customWidth="1"/>
    <col min="26" max="26" width="9" style="126" bestFit="1" customWidth="1"/>
    <col min="27" max="27" width="11.6640625" style="126" customWidth="1"/>
    <col min="28" max="28" width="12.33203125" style="126" customWidth="1"/>
    <col min="29" max="29" width="11.6640625" style="126" customWidth="1"/>
    <col min="30" max="30" width="9" style="126" bestFit="1" customWidth="1"/>
    <col min="31" max="31" width="13" style="126" customWidth="1"/>
    <col min="32" max="32" width="11.5" style="126" customWidth="1"/>
    <col min="33" max="33" width="11" style="126" bestFit="1" customWidth="1"/>
    <col min="34" max="34" width="9" style="126" bestFit="1" customWidth="1"/>
    <col min="35" max="35" width="16.1640625" style="126" customWidth="1"/>
    <col min="36" max="36" width="12.83203125" style="126" customWidth="1"/>
    <col min="37" max="37" width="11" style="126" bestFit="1" customWidth="1"/>
    <col min="38" max="38" width="8.83203125" style="126" bestFit="1" customWidth="1"/>
    <col min="39" max="39" width="12.83203125" style="126" customWidth="1"/>
    <col min="40" max="40" width="12.33203125" style="126" customWidth="1"/>
    <col min="41" max="41" width="10.33203125" style="126" bestFit="1" customWidth="1"/>
    <col min="42" max="42" width="8.83203125" style="126" bestFit="1" customWidth="1"/>
    <col min="43" max="43" width="15.33203125" style="126" customWidth="1"/>
    <col min="44" max="44" width="11.33203125" style="126" customWidth="1"/>
    <col min="45" max="45" width="10.33203125" style="126" bestFit="1" customWidth="1"/>
    <col min="46" max="46" width="8.83203125" style="126" customWidth="1"/>
    <col min="47" max="47" width="11.6640625" style="126" customWidth="1"/>
    <col min="48" max="48" width="11.33203125" style="126" customWidth="1"/>
    <col min="49" max="49" width="13.5" style="126" customWidth="1"/>
    <col min="50" max="50" width="8.83203125" style="126" bestFit="1" customWidth="1"/>
    <col min="51" max="51" width="12.5" style="126" customWidth="1"/>
    <col min="52" max="52" width="12.6640625" style="126" customWidth="1"/>
    <col min="53" max="53" width="14" style="126" customWidth="1"/>
    <col min="54" max="54" width="8.83203125" style="126" bestFit="1" customWidth="1"/>
    <col min="55" max="55" width="14.83203125" style="126" customWidth="1"/>
    <col min="56" max="56" width="12.6640625" style="126" customWidth="1"/>
    <col min="57" max="57" width="13.33203125" style="126" customWidth="1"/>
    <col min="58" max="58" width="8.83203125" style="126" bestFit="1" customWidth="1"/>
    <col min="59" max="16384" width="8.83203125" style="126"/>
  </cols>
  <sheetData>
    <row r="1" spans="2:58">
      <c r="B1" s="303" t="s">
        <v>108</v>
      </c>
      <c r="C1" s="77">
        <f>'Absorbance Data Matlab'!B3-0.0476</f>
        <v>0.21293026539672802</v>
      </c>
      <c r="D1" s="77">
        <v>1E-3</v>
      </c>
    </row>
    <row r="2" spans="2:58">
      <c r="B2" s="303"/>
      <c r="C2" s="77">
        <f>C1/96.654</f>
        <v>2.2030155544181104E-3</v>
      </c>
      <c r="D2" s="78">
        <f>C2*SQRT((D1/C1)^2)</f>
        <v>1.0346183292983221E-5</v>
      </c>
    </row>
    <row r="3" spans="2:58">
      <c r="C3" s="127"/>
    </row>
    <row r="4" spans="2:58">
      <c r="B4" s="287" t="s">
        <v>109</v>
      </c>
      <c r="C4" s="247" t="s">
        <v>13</v>
      </c>
      <c r="D4" s="248"/>
      <c r="E4" s="248"/>
      <c r="F4" s="248"/>
      <c r="G4" s="247" t="s">
        <v>14</v>
      </c>
      <c r="H4" s="248"/>
      <c r="I4" s="248"/>
      <c r="J4" s="248"/>
      <c r="K4" s="247" t="s">
        <v>15</v>
      </c>
      <c r="L4" s="248"/>
      <c r="M4" s="248"/>
      <c r="N4" s="248"/>
      <c r="O4" s="247" t="s">
        <v>16</v>
      </c>
      <c r="P4" s="248"/>
      <c r="Q4" s="248"/>
      <c r="R4" s="248"/>
      <c r="S4" s="247" t="s">
        <v>17</v>
      </c>
      <c r="T4" s="248"/>
      <c r="U4" s="248"/>
      <c r="V4" s="248"/>
      <c r="W4" s="247" t="s">
        <v>18</v>
      </c>
      <c r="X4" s="248"/>
      <c r="Y4" s="248"/>
      <c r="Z4" s="248"/>
      <c r="AA4" s="247" t="s">
        <v>19</v>
      </c>
      <c r="AB4" s="248"/>
      <c r="AC4" s="248"/>
      <c r="AD4" s="248"/>
      <c r="AE4" s="247" t="s">
        <v>20</v>
      </c>
      <c r="AF4" s="248"/>
      <c r="AG4" s="248"/>
      <c r="AH4" s="248"/>
      <c r="AI4" s="247" t="s">
        <v>21</v>
      </c>
      <c r="AJ4" s="248"/>
      <c r="AK4" s="248"/>
      <c r="AL4" s="248"/>
      <c r="AM4" s="247" t="s">
        <v>22</v>
      </c>
      <c r="AN4" s="248"/>
      <c r="AO4" s="248"/>
      <c r="AP4" s="248"/>
      <c r="AQ4" s="247" t="s">
        <v>23</v>
      </c>
      <c r="AR4" s="248"/>
      <c r="AS4" s="248"/>
      <c r="AT4" s="248"/>
      <c r="AU4" s="247" t="s">
        <v>24</v>
      </c>
      <c r="AV4" s="248"/>
      <c r="AW4" s="248"/>
      <c r="AX4" s="248"/>
      <c r="AY4" s="247" t="s">
        <v>25</v>
      </c>
      <c r="AZ4" s="248"/>
      <c r="BA4" s="248"/>
      <c r="BB4" s="248"/>
      <c r="BC4" s="247" t="s">
        <v>96</v>
      </c>
      <c r="BD4" s="248"/>
      <c r="BE4" s="248"/>
      <c r="BF4" s="248"/>
    </row>
    <row r="5" spans="2:58" ht="17">
      <c r="B5" s="287"/>
      <c r="C5" s="84" t="s">
        <v>111</v>
      </c>
      <c r="D5" s="84" t="s">
        <v>112</v>
      </c>
      <c r="E5" s="84" t="s">
        <v>113</v>
      </c>
      <c r="F5" s="84" t="s">
        <v>114</v>
      </c>
      <c r="G5" s="84" t="s">
        <v>111</v>
      </c>
      <c r="H5" s="84" t="s">
        <v>112</v>
      </c>
      <c r="I5" s="84" t="s">
        <v>113</v>
      </c>
      <c r="J5" s="84" t="s">
        <v>114</v>
      </c>
      <c r="K5" s="84" t="s">
        <v>111</v>
      </c>
      <c r="L5" s="84" t="s">
        <v>112</v>
      </c>
      <c r="M5" s="84" t="s">
        <v>113</v>
      </c>
      <c r="N5" s="84" t="s">
        <v>114</v>
      </c>
      <c r="O5" s="84" t="s">
        <v>111</v>
      </c>
      <c r="P5" s="84" t="s">
        <v>112</v>
      </c>
      <c r="Q5" s="84" t="s">
        <v>113</v>
      </c>
      <c r="R5" s="84" t="s">
        <v>114</v>
      </c>
      <c r="S5" s="84" t="s">
        <v>111</v>
      </c>
      <c r="T5" s="84" t="s">
        <v>112</v>
      </c>
      <c r="U5" s="84" t="s">
        <v>113</v>
      </c>
      <c r="V5" s="84" t="s">
        <v>114</v>
      </c>
      <c r="W5" s="84" t="s">
        <v>111</v>
      </c>
      <c r="X5" s="84" t="s">
        <v>112</v>
      </c>
      <c r="Y5" s="84" t="s">
        <v>113</v>
      </c>
      <c r="Z5" s="84" t="s">
        <v>114</v>
      </c>
      <c r="AA5" s="84" t="s">
        <v>111</v>
      </c>
      <c r="AB5" s="84" t="s">
        <v>112</v>
      </c>
      <c r="AC5" s="84" t="s">
        <v>113</v>
      </c>
      <c r="AD5" s="84" t="s">
        <v>114</v>
      </c>
      <c r="AE5" s="84" t="s">
        <v>111</v>
      </c>
      <c r="AF5" s="84" t="s">
        <v>112</v>
      </c>
      <c r="AG5" s="84" t="s">
        <v>113</v>
      </c>
      <c r="AH5" s="84" t="s">
        <v>114</v>
      </c>
      <c r="AI5" s="84" t="s">
        <v>111</v>
      </c>
      <c r="AJ5" s="84" t="s">
        <v>112</v>
      </c>
      <c r="AK5" s="84" t="s">
        <v>113</v>
      </c>
      <c r="AL5" s="84" t="s">
        <v>114</v>
      </c>
      <c r="AM5" s="84" t="s">
        <v>111</v>
      </c>
      <c r="AN5" s="84" t="s">
        <v>112</v>
      </c>
      <c r="AO5" s="84" t="s">
        <v>113</v>
      </c>
      <c r="AP5" s="84" t="s">
        <v>114</v>
      </c>
      <c r="AQ5" s="84" t="s">
        <v>111</v>
      </c>
      <c r="AR5" s="84" t="s">
        <v>112</v>
      </c>
      <c r="AS5" s="84" t="s">
        <v>113</v>
      </c>
      <c r="AT5" s="84" t="s">
        <v>114</v>
      </c>
      <c r="AU5" s="84" t="s">
        <v>111</v>
      </c>
      <c r="AV5" s="84" t="s">
        <v>112</v>
      </c>
      <c r="AW5" s="84" t="s">
        <v>113</v>
      </c>
      <c r="AX5" s="84" t="s">
        <v>114</v>
      </c>
      <c r="AY5" s="84" t="s">
        <v>111</v>
      </c>
      <c r="AZ5" s="84" t="s">
        <v>112</v>
      </c>
      <c r="BA5" s="84" t="s">
        <v>113</v>
      </c>
      <c r="BB5" s="84" t="s">
        <v>114</v>
      </c>
      <c r="BC5" s="84" t="s">
        <v>111</v>
      </c>
      <c r="BD5" s="84" t="s">
        <v>112</v>
      </c>
      <c r="BE5" s="84" t="s">
        <v>113</v>
      </c>
      <c r="BF5" s="84" t="s">
        <v>114</v>
      </c>
    </row>
    <row r="6" spans="2:58" ht="17">
      <c r="B6" s="84" t="s">
        <v>110</v>
      </c>
      <c r="C6" s="288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89"/>
      <c r="AS6" s="289"/>
      <c r="AT6" s="289"/>
      <c r="AU6" s="289"/>
      <c r="AV6" s="289"/>
      <c r="AW6" s="289"/>
      <c r="AX6" s="289"/>
      <c r="AY6" s="289"/>
      <c r="AZ6" s="289"/>
      <c r="BA6" s="289"/>
      <c r="BB6" s="289"/>
      <c r="BC6" s="289"/>
      <c r="BD6" s="289"/>
      <c r="BE6" s="289"/>
      <c r="BF6" s="290"/>
    </row>
    <row r="7" spans="2:58">
      <c r="B7" s="85">
        <v>0</v>
      </c>
      <c r="C7" s="86">
        <f>'Absorbance Data Matlab'!R3</f>
        <v>2.2030155544181104E-3</v>
      </c>
      <c r="D7" s="86">
        <f>C7*B7</f>
        <v>0</v>
      </c>
      <c r="E7" s="86">
        <f t="shared" ref="E7:E21" si="0">D7*SQRT(($D$2/C7)^2)</f>
        <v>0</v>
      </c>
      <c r="F7" s="85">
        <f>B7^2</f>
        <v>0</v>
      </c>
      <c r="G7" s="86">
        <f>'Absorbance Data Matlab'!S3</f>
        <v>1.9853177237427007E-3</v>
      </c>
      <c r="H7" s="86">
        <f>G7*B7</f>
        <v>0</v>
      </c>
      <c r="I7" s="86">
        <f t="shared" ref="I7:I29" si="1">H7*SQRT(($D$2/G7)^2)</f>
        <v>0</v>
      </c>
      <c r="J7" s="85">
        <f>B7^2</f>
        <v>0</v>
      </c>
      <c r="K7" s="86">
        <f>'Absorbance Data Matlab'!T3</f>
        <v>1.976001588598082E-3</v>
      </c>
      <c r="L7" s="86">
        <f>K7*B7</f>
        <v>0</v>
      </c>
      <c r="M7" s="86">
        <f t="shared" ref="M7:M14" si="2">L7*SQRT(($D$2/K7)^2)</f>
        <v>0</v>
      </c>
      <c r="N7" s="85">
        <f>B7^2</f>
        <v>0</v>
      </c>
      <c r="O7" s="86">
        <f>'Absorbance Data Matlab'!U3</f>
        <v>1.8825271009603533E-3</v>
      </c>
      <c r="P7" s="86">
        <f>O7*B7</f>
        <v>0</v>
      </c>
      <c r="Q7" s="86">
        <f t="shared" ref="Q7:Q14" si="3">P7*SQRT(($D$2/O7)^2)</f>
        <v>0</v>
      </c>
      <c r="R7" s="85">
        <f>B7^2</f>
        <v>0</v>
      </c>
      <c r="S7" s="86">
        <f>'Absorbance Data Matlab'!V3</f>
        <v>2.0068550194158132E-3</v>
      </c>
      <c r="T7" s="86">
        <f>S7*B7</f>
        <v>0</v>
      </c>
      <c r="U7" s="86">
        <f t="shared" ref="U7:U30" si="4">T7*SQRT(($D$2/S7)^2)</f>
        <v>0</v>
      </c>
      <c r="V7" s="85">
        <f>B7^2</f>
        <v>0</v>
      </c>
      <c r="W7" s="86">
        <f>'Absorbance Data Matlab'!W3</f>
        <v>2.0132280470450889E-3</v>
      </c>
      <c r="X7" s="86">
        <f>W7*B7</f>
        <v>0</v>
      </c>
      <c r="Y7" s="86">
        <f t="shared" ref="Y7:Y14" si="5">X7*SQRT(($D$2/W7)^2)</f>
        <v>0</v>
      </c>
      <c r="Z7" s="85">
        <f>B7^2</f>
        <v>0</v>
      </c>
      <c r="AA7" s="86">
        <f>'Absorbance Data Matlab'!X3</f>
        <v>1.9859429968635445E-3</v>
      </c>
      <c r="AB7" s="86">
        <f>AA7*B7</f>
        <v>0</v>
      </c>
      <c r="AC7" s="86">
        <f t="shared" ref="AC7:AC12" si="6">AB7*SQRT(($D$2/AA7)^2)</f>
        <v>0</v>
      </c>
      <c r="AD7" s="85">
        <f>B7^2</f>
        <v>0</v>
      </c>
      <c r="AE7" s="86">
        <f>'Absorbance Data Matlab'!Y3</f>
        <v>9.5269735097423813E-4</v>
      </c>
      <c r="AF7" s="79">
        <f>AE7*B7</f>
        <v>0</v>
      </c>
      <c r="AG7" s="86">
        <f t="shared" ref="AG7:AG13" si="7">AF7*SQRT(($D$2/AE7)^2)</f>
        <v>0</v>
      </c>
      <c r="AH7" s="85">
        <f>B7^2</f>
        <v>0</v>
      </c>
      <c r="AI7" s="86">
        <f>'Absorbance Data Matlab'!Z3</f>
        <v>2.949816298116126E-3</v>
      </c>
      <c r="AJ7" s="86">
        <f>AI7*B7</f>
        <v>0</v>
      </c>
      <c r="AK7" s="86">
        <f t="shared" ref="AK7:AK24" si="8">AJ7*SQRT(($D$2/AI7)^2)</f>
        <v>0</v>
      </c>
      <c r="AL7" s="85">
        <f>B7^2</f>
        <v>0</v>
      </c>
      <c r="AM7" s="86">
        <f>'Absorbance Data Matlab'!AA3</f>
        <v>4.001203402883978E-3</v>
      </c>
      <c r="AN7" s="86">
        <f>AM7*B7</f>
        <v>0</v>
      </c>
      <c r="AO7" s="86">
        <f t="shared" ref="AO7:AO32" si="9">AN7*SQRT(($D$2/AM7)^2)</f>
        <v>0</v>
      </c>
      <c r="AP7" s="85">
        <f>B7^2</f>
        <v>0</v>
      </c>
      <c r="AQ7" s="86">
        <f>'Absorbance Data Matlab'!AB3</f>
        <v>1.9969655972379625E-3</v>
      </c>
      <c r="AR7" s="86">
        <f>AQ7*B7</f>
        <v>0</v>
      </c>
      <c r="AS7" s="86">
        <f t="shared" ref="AS7:AS27" si="10">AR7*SQRT(($D$2/AQ7)^2)</f>
        <v>0</v>
      </c>
      <c r="AT7" s="85">
        <f>B7^2</f>
        <v>0</v>
      </c>
      <c r="AU7" s="79">
        <f>'Absorbance Data Matlab'!AC3</f>
        <v>2.0230156102532437E-3</v>
      </c>
      <c r="AV7" s="79">
        <f>AU7*B7</f>
        <v>0</v>
      </c>
      <c r="AW7" s="79">
        <f t="shared" ref="AW7:AW20" si="11">AV7*SQRT(($D$2/AU7)^2)</f>
        <v>0</v>
      </c>
      <c r="AX7" s="77">
        <f>B7^2</f>
        <v>0</v>
      </c>
      <c r="AY7" s="79">
        <f>'Absorbance Data Matlab'!AD3</f>
        <v>1.9429577513086578E-3</v>
      </c>
      <c r="AZ7" s="79">
        <f>AY7*B7</f>
        <v>0</v>
      </c>
      <c r="BA7" s="79">
        <f t="shared" ref="BA7:BA21" si="12">AZ7*SQRT(($D$2/AY7)^2)</f>
        <v>0</v>
      </c>
      <c r="BB7" s="77">
        <f>B7^2</f>
        <v>0</v>
      </c>
      <c r="BC7" s="79">
        <f>'Absorbance Data Matlab'!AE3</f>
        <v>2.104201957929232E-3</v>
      </c>
      <c r="BD7" s="79">
        <f>BC7*B7</f>
        <v>0</v>
      </c>
      <c r="BE7" s="79">
        <f t="shared" ref="BE7:BE22" si="13">BD7*SQRT(($D$2/BC7)^2)</f>
        <v>0</v>
      </c>
      <c r="BF7" s="77">
        <f>B7^2</f>
        <v>0</v>
      </c>
    </row>
    <row r="8" spans="2:58">
      <c r="B8" s="85">
        <v>5</v>
      </c>
      <c r="C8" s="86">
        <f>'Absorbance Data Matlab'!R4</f>
        <v>1.8851852199989966E-3</v>
      </c>
      <c r="D8" s="86">
        <f t="shared" ref="D8:D21" si="14">C8*B8</f>
        <v>9.4259260999949822E-3</v>
      </c>
      <c r="E8" s="86">
        <f t="shared" si="0"/>
        <v>5.1730916464916097E-5</v>
      </c>
      <c r="F8" s="85">
        <f t="shared" ref="F8:F21" si="15">B8^2</f>
        <v>25</v>
      </c>
      <c r="G8" s="86">
        <f>'Absorbance Data Matlab'!S4</f>
        <v>1.9508798950022453E-3</v>
      </c>
      <c r="H8" s="86">
        <f t="shared" ref="H8:H29" si="16">G8*B8</f>
        <v>9.7543994750112269E-3</v>
      </c>
      <c r="I8" s="86">
        <f t="shared" si="1"/>
        <v>5.173091646491611E-5</v>
      </c>
      <c r="J8" s="85">
        <f t="shared" ref="J8:J29" si="17">B8^2</f>
        <v>25</v>
      </c>
      <c r="K8" s="86">
        <f>'Absorbance Data Matlab'!T4</f>
        <v>1.7485027043024398E-3</v>
      </c>
      <c r="L8" s="86">
        <f t="shared" ref="L8:L14" si="18">K8*B8</f>
        <v>8.7425135215121984E-3</v>
      </c>
      <c r="M8" s="86">
        <f t="shared" si="2"/>
        <v>5.1730916464916097E-5</v>
      </c>
      <c r="N8" s="85">
        <f t="shared" ref="N8:N14" si="19">B8^2</f>
        <v>25</v>
      </c>
      <c r="O8" s="86">
        <f>'Absorbance Data Matlab'!U4</f>
        <v>1.6403735926171087E-3</v>
      </c>
      <c r="P8" s="86">
        <f t="shared" ref="P8:P14" si="20">O8*B8</f>
        <v>8.2018679630855434E-3</v>
      </c>
      <c r="Q8" s="86">
        <f t="shared" si="3"/>
        <v>5.1730916464916103E-5</v>
      </c>
      <c r="R8" s="85">
        <f t="shared" ref="R8:R14" si="21">B8^2</f>
        <v>25</v>
      </c>
      <c r="S8" s="86">
        <f>'Absorbance Data Matlab'!V4</f>
        <v>1.8762979833906925E-3</v>
      </c>
      <c r="T8" s="86">
        <f t="shared" ref="T8:T30" si="22">S8*B8</f>
        <v>9.3814899169534626E-3</v>
      </c>
      <c r="U8" s="86">
        <f t="shared" si="4"/>
        <v>5.173091646491611E-5</v>
      </c>
      <c r="V8" s="85">
        <f t="shared" ref="V8:V30" si="23">B8^2</f>
        <v>25</v>
      </c>
      <c r="W8" s="86">
        <f>'Absorbance Data Matlab'!W4</f>
        <v>1.6847539992808265E-3</v>
      </c>
      <c r="X8" s="86">
        <f t="shared" ref="X8:X14" si="24">W8*B8</f>
        <v>8.4237699964041322E-3</v>
      </c>
      <c r="Y8" s="86">
        <f t="shared" si="5"/>
        <v>5.1730916464916103E-5</v>
      </c>
      <c r="Z8" s="85">
        <f t="shared" ref="Z8:Z14" si="25">B8^2</f>
        <v>25</v>
      </c>
      <c r="AA8" s="86">
        <f>'Absorbance Data Matlab'!X4</f>
        <v>1.6372096311090903E-3</v>
      </c>
      <c r="AB8" s="86">
        <f t="shared" ref="AB8:AB12" si="26">AA8*B8</f>
        <v>8.1860481555454511E-3</v>
      </c>
      <c r="AC8" s="86">
        <f t="shared" si="6"/>
        <v>5.1730916464916103E-5</v>
      </c>
      <c r="AD8" s="85">
        <f t="shared" ref="AD8:AD12" si="27">B8^2</f>
        <v>25</v>
      </c>
      <c r="AE8" s="86">
        <f>'Absorbance Data Matlab'!Y4</f>
        <v>8.0709425289714849E-4</v>
      </c>
      <c r="AF8" s="79">
        <f t="shared" ref="AF8:AF13" si="28">AE8*B8</f>
        <v>4.0354712644857429E-3</v>
      </c>
      <c r="AG8" s="86">
        <f t="shared" si="7"/>
        <v>5.173091646491611E-5</v>
      </c>
      <c r="AH8" s="85">
        <f t="shared" ref="AH8:AH13" si="29">B8^2</f>
        <v>25</v>
      </c>
      <c r="AI8" s="86">
        <f>'Absorbance Data Matlab'!Z4</f>
        <v>2.8857902834244116E-3</v>
      </c>
      <c r="AJ8" s="86">
        <f t="shared" ref="AJ8:AJ24" si="30">AI8*B8</f>
        <v>1.4428951417122058E-2</v>
      </c>
      <c r="AK8" s="86">
        <f t="shared" si="8"/>
        <v>5.1730916464916103E-5</v>
      </c>
      <c r="AL8" s="85">
        <f t="shared" ref="AL8:AL24" si="31">B8^2</f>
        <v>25</v>
      </c>
      <c r="AM8" s="86">
        <f>'Absorbance Data Matlab'!AA4</f>
        <v>3.6550727017996671E-3</v>
      </c>
      <c r="AN8" s="86">
        <f t="shared" ref="AN8:AN32" si="32">AM8*B8</f>
        <v>1.8275363508998336E-2</v>
      </c>
      <c r="AO8" s="86">
        <f t="shared" si="9"/>
        <v>5.1730916464916103E-5</v>
      </c>
      <c r="AP8" s="85">
        <f t="shared" ref="AP8:AP32" si="33">B8^2</f>
        <v>25</v>
      </c>
      <c r="AQ8" s="86">
        <f>'Absorbance Data Matlab'!AB4</f>
        <v>1.8325473033013017E-3</v>
      </c>
      <c r="AR8" s="86">
        <f t="shared" ref="AR8:AR27" si="34">AQ8*B8</f>
        <v>9.1627365165065089E-3</v>
      </c>
      <c r="AS8" s="86">
        <f t="shared" si="10"/>
        <v>5.1730916464916103E-5</v>
      </c>
      <c r="AT8" s="85">
        <f t="shared" ref="AT8:AT27" si="35">B8^2</f>
        <v>25</v>
      </c>
      <c r="AU8" s="79">
        <f>'Absorbance Data Matlab'!AC4</f>
        <v>1.8836378256740333E-3</v>
      </c>
      <c r="AV8" s="79">
        <f t="shared" ref="AV8:AV20" si="36">AU8*B8</f>
        <v>9.4181891283701673E-3</v>
      </c>
      <c r="AW8" s="79">
        <f t="shared" si="11"/>
        <v>5.1730916464916103E-5</v>
      </c>
      <c r="AX8" s="77">
        <f t="shared" ref="AX8:AX20" si="37">B8^2</f>
        <v>25</v>
      </c>
      <c r="AY8" s="79">
        <f>'Absorbance Data Matlab'!AD4</f>
        <v>1.7103748062865997E-3</v>
      </c>
      <c r="AZ8" s="79">
        <f t="shared" ref="AZ8:AZ20" si="38">AY8*B8</f>
        <v>8.5518740314329995E-3</v>
      </c>
      <c r="BA8" s="79">
        <f t="shared" si="12"/>
        <v>5.173091646491611E-5</v>
      </c>
      <c r="BB8" s="77">
        <f t="shared" ref="BB8:BB21" si="39">B8^2</f>
        <v>25</v>
      </c>
      <c r="BC8" s="79">
        <f>'Absorbance Data Matlab'!AE4</f>
        <v>1.8477443394346951E-3</v>
      </c>
      <c r="BD8" s="79">
        <f t="shared" ref="BD8:BD22" si="40">BC8*B8</f>
        <v>9.2387216971734753E-3</v>
      </c>
      <c r="BE8" s="79">
        <f t="shared" si="13"/>
        <v>5.1730916464916103E-5</v>
      </c>
      <c r="BF8" s="77">
        <f t="shared" ref="BF8:BF22" si="41">B8^2</f>
        <v>25</v>
      </c>
    </row>
    <row r="9" spans="2:58">
      <c r="B9" s="85">
        <v>10</v>
      </c>
      <c r="C9" s="86">
        <f>'Absorbance Data Matlab'!R5</f>
        <v>1.6665259670733752E-3</v>
      </c>
      <c r="D9" s="86">
        <f t="shared" si="14"/>
        <v>1.6665259670733752E-2</v>
      </c>
      <c r="E9" s="86">
        <f t="shared" si="0"/>
        <v>1.0346183292983221E-4</v>
      </c>
      <c r="F9" s="85">
        <f t="shared" si="15"/>
        <v>100</v>
      </c>
      <c r="G9" s="86">
        <f>'Absorbance Data Matlab'!S5</f>
        <v>1.8393009451345833E-3</v>
      </c>
      <c r="H9" s="86">
        <f t="shared" si="16"/>
        <v>1.8393009451345834E-2</v>
      </c>
      <c r="I9" s="86">
        <f t="shared" si="1"/>
        <v>1.0346183292983221E-4</v>
      </c>
      <c r="J9" s="85">
        <f t="shared" si="17"/>
        <v>100</v>
      </c>
      <c r="K9" s="86">
        <f>'Absorbance Data Matlab'!T5</f>
        <v>1.4780405257127486E-3</v>
      </c>
      <c r="L9" s="86">
        <f t="shared" si="18"/>
        <v>1.4780405257127486E-2</v>
      </c>
      <c r="M9" s="86">
        <f t="shared" si="2"/>
        <v>1.0346183292983219E-4</v>
      </c>
      <c r="N9" s="85">
        <f t="shared" si="19"/>
        <v>100</v>
      </c>
      <c r="O9" s="86">
        <f>'Absorbance Data Matlab'!U5</f>
        <v>1.2801900675490203E-3</v>
      </c>
      <c r="P9" s="86">
        <f t="shared" si="20"/>
        <v>1.2801900675490203E-2</v>
      </c>
      <c r="Q9" s="86">
        <f t="shared" si="3"/>
        <v>1.0346183292983222E-4</v>
      </c>
      <c r="R9" s="85">
        <f t="shared" si="21"/>
        <v>100</v>
      </c>
      <c r="S9" s="86">
        <f>'Absorbance Data Matlab'!V5</f>
        <v>1.8370387443847748E-3</v>
      </c>
      <c r="T9" s="86">
        <f t="shared" si="22"/>
        <v>1.8370387443847749E-2</v>
      </c>
      <c r="U9" s="86">
        <f t="shared" si="4"/>
        <v>1.0346183292983221E-4</v>
      </c>
      <c r="V9" s="85">
        <f t="shared" si="23"/>
        <v>100</v>
      </c>
      <c r="W9" s="86">
        <f>'Absorbance Data Matlab'!W5</f>
        <v>1.6409082585595216E-3</v>
      </c>
      <c r="X9" s="86">
        <f t="shared" si="24"/>
        <v>1.6409082585595217E-2</v>
      </c>
      <c r="Y9" s="86">
        <f t="shared" si="5"/>
        <v>1.0346183292983221E-4</v>
      </c>
      <c r="Z9" s="85">
        <f t="shared" si="25"/>
        <v>100</v>
      </c>
      <c r="AA9" s="86">
        <f>'Absorbance Data Matlab'!X5</f>
        <v>1.2923805940631013E-3</v>
      </c>
      <c r="AB9" s="86">
        <f t="shared" si="26"/>
        <v>1.2923805940631014E-2</v>
      </c>
      <c r="AC9" s="86">
        <f t="shared" si="6"/>
        <v>1.0346183292983222E-4</v>
      </c>
      <c r="AD9" s="85">
        <f t="shared" si="27"/>
        <v>100</v>
      </c>
      <c r="AE9" s="86">
        <f>'Absorbance Data Matlab'!Y5</f>
        <v>6.4993554557361301E-4</v>
      </c>
      <c r="AF9" s="79">
        <f t="shared" si="28"/>
        <v>6.4993554557361303E-3</v>
      </c>
      <c r="AG9" s="86">
        <f t="shared" si="7"/>
        <v>1.0346183292983221E-4</v>
      </c>
      <c r="AH9" s="85">
        <f t="shared" si="29"/>
        <v>100</v>
      </c>
      <c r="AI9" s="86">
        <f>'Absorbance Data Matlab'!Z5</f>
        <v>2.6039981747308237E-3</v>
      </c>
      <c r="AJ9" s="86">
        <f t="shared" si="30"/>
        <v>2.6039981747308236E-2</v>
      </c>
      <c r="AK9" s="86">
        <f t="shared" si="8"/>
        <v>1.0346183292983221E-4</v>
      </c>
      <c r="AL9" s="85">
        <f t="shared" si="31"/>
        <v>100</v>
      </c>
      <c r="AM9" s="86">
        <f>'Absorbance Data Matlab'!AA5</f>
        <v>3.6090557481958017E-3</v>
      </c>
      <c r="AN9" s="86">
        <f t="shared" si="32"/>
        <v>3.6090557481958017E-2</v>
      </c>
      <c r="AO9" s="86">
        <f t="shared" si="9"/>
        <v>1.0346183292983221E-4</v>
      </c>
      <c r="AP9" s="85">
        <f t="shared" si="33"/>
        <v>100</v>
      </c>
      <c r="AQ9" s="86">
        <f>'Absorbance Data Matlab'!AB5</f>
        <v>1.7444153093833779E-3</v>
      </c>
      <c r="AR9" s="86">
        <f t="shared" si="34"/>
        <v>1.7444153093833778E-2</v>
      </c>
      <c r="AS9" s="86">
        <f t="shared" si="10"/>
        <v>1.0346183292983221E-4</v>
      </c>
      <c r="AT9" s="85">
        <f t="shared" si="35"/>
        <v>100</v>
      </c>
      <c r="AU9" s="79">
        <f>'Absorbance Data Matlab'!AC5</f>
        <v>1.7082004513643719E-3</v>
      </c>
      <c r="AV9" s="79">
        <f t="shared" si="36"/>
        <v>1.7082004513643719E-2</v>
      </c>
      <c r="AW9" s="79">
        <f t="shared" si="11"/>
        <v>1.0346183292983221E-4</v>
      </c>
      <c r="AX9" s="77">
        <f t="shared" si="37"/>
        <v>100</v>
      </c>
      <c r="AY9" s="79">
        <f>'Absorbance Data Matlab'!AD5</f>
        <v>1.4325445239925505E-3</v>
      </c>
      <c r="AZ9" s="79">
        <f t="shared" si="38"/>
        <v>1.4325445239925506E-2</v>
      </c>
      <c r="BA9" s="79">
        <f t="shared" si="12"/>
        <v>1.0346183292983221E-4</v>
      </c>
      <c r="BB9" s="77">
        <f t="shared" si="39"/>
        <v>100</v>
      </c>
      <c r="BC9" s="79">
        <f>'Absorbance Data Matlab'!AE5</f>
        <v>1.6799755631006475E-3</v>
      </c>
      <c r="BD9" s="79">
        <f t="shared" si="40"/>
        <v>1.6799755631006476E-2</v>
      </c>
      <c r="BE9" s="79">
        <f t="shared" si="13"/>
        <v>1.0346183292983222E-4</v>
      </c>
      <c r="BF9" s="77">
        <f t="shared" si="41"/>
        <v>100</v>
      </c>
    </row>
    <row r="10" spans="2:58">
      <c r="B10" s="85">
        <v>15</v>
      </c>
      <c r="C10" s="86">
        <f>'Absorbance Data Matlab'!R6</f>
        <v>1.5128256847470462E-3</v>
      </c>
      <c r="D10" s="86">
        <f t="shared" si="14"/>
        <v>2.2692385271205692E-2</v>
      </c>
      <c r="E10" s="86">
        <f t="shared" si="0"/>
        <v>1.5519274939474831E-4</v>
      </c>
      <c r="F10" s="85">
        <f t="shared" si="15"/>
        <v>225</v>
      </c>
      <c r="G10" s="86">
        <f>'Absorbance Data Matlab'!S6</f>
        <v>1.7676585372722704E-3</v>
      </c>
      <c r="H10" s="86">
        <f t="shared" si="16"/>
        <v>2.6514878059084056E-2</v>
      </c>
      <c r="I10" s="86">
        <f t="shared" si="1"/>
        <v>1.5519274939474831E-4</v>
      </c>
      <c r="J10" s="85">
        <f t="shared" si="17"/>
        <v>225</v>
      </c>
      <c r="K10" s="86">
        <f>'Absorbance Data Matlab'!T6</f>
        <v>1.2321967183081301E-3</v>
      </c>
      <c r="L10" s="86">
        <f t="shared" si="18"/>
        <v>1.8482950774621951E-2</v>
      </c>
      <c r="M10" s="86">
        <f t="shared" si="2"/>
        <v>1.5519274939474831E-4</v>
      </c>
      <c r="N10" s="85">
        <f t="shared" si="19"/>
        <v>225</v>
      </c>
      <c r="O10" s="86">
        <f>'Absorbance Data Matlab'!U6</f>
        <v>9.6051600247302733E-4</v>
      </c>
      <c r="P10" s="86">
        <f t="shared" si="20"/>
        <v>1.4407740037095411E-2</v>
      </c>
      <c r="Q10" s="86">
        <f t="shared" si="3"/>
        <v>1.5519274939474831E-4</v>
      </c>
      <c r="R10" s="85">
        <f t="shared" si="21"/>
        <v>225</v>
      </c>
      <c r="S10" s="86">
        <f>'Absorbance Data Matlab'!V6</f>
        <v>1.8027883787450805E-3</v>
      </c>
      <c r="T10" s="86">
        <f t="shared" si="22"/>
        <v>2.7041825681176208E-2</v>
      </c>
      <c r="U10" s="86">
        <f t="shared" si="4"/>
        <v>1.5519274939474831E-4</v>
      </c>
      <c r="V10" s="85">
        <f t="shared" si="23"/>
        <v>225</v>
      </c>
      <c r="W10" s="86">
        <f>'Absorbance Data Matlab'!W6</f>
        <v>1.2476688991751091E-3</v>
      </c>
      <c r="X10" s="86">
        <f t="shared" si="24"/>
        <v>1.8715033487626636E-2</v>
      </c>
      <c r="Y10" s="86">
        <f t="shared" si="5"/>
        <v>1.5519274939474831E-4</v>
      </c>
      <c r="Z10" s="85">
        <f t="shared" si="25"/>
        <v>225</v>
      </c>
      <c r="AA10" s="86">
        <f>'Absorbance Data Matlab'!X6</f>
        <v>9.3336640453518739E-4</v>
      </c>
      <c r="AB10" s="86">
        <f t="shared" si="26"/>
        <v>1.400049606802781E-2</v>
      </c>
      <c r="AC10" s="86">
        <f t="shared" si="6"/>
        <v>1.5519274939474831E-4</v>
      </c>
      <c r="AD10" s="85">
        <f t="shared" si="27"/>
        <v>225</v>
      </c>
      <c r="AE10" s="86">
        <f>'Absorbance Data Matlab'!Y6</f>
        <v>4.8303615741076937E-4</v>
      </c>
      <c r="AF10" s="79">
        <f t="shared" si="28"/>
        <v>7.2455423611615406E-3</v>
      </c>
      <c r="AG10" s="86">
        <f t="shared" si="7"/>
        <v>1.5519274939474831E-4</v>
      </c>
      <c r="AH10" s="85">
        <f t="shared" si="29"/>
        <v>225</v>
      </c>
      <c r="AI10" s="86">
        <f>'Absorbance Data Matlab'!Z6</f>
        <v>2.4198237260486168E-3</v>
      </c>
      <c r="AJ10" s="86">
        <f t="shared" si="30"/>
        <v>3.6297355890729251E-2</v>
      </c>
      <c r="AK10" s="86">
        <f t="shared" si="8"/>
        <v>1.5519274939474831E-4</v>
      </c>
      <c r="AL10" s="85">
        <f t="shared" si="31"/>
        <v>225</v>
      </c>
      <c r="AM10" s="86">
        <f>'Absorbance Data Matlab'!AA6</f>
        <v>3.3928867213842574E-3</v>
      </c>
      <c r="AN10" s="86">
        <f t="shared" si="32"/>
        <v>5.0893300820763862E-2</v>
      </c>
      <c r="AO10" s="86">
        <f t="shared" si="9"/>
        <v>1.5519274939474831E-4</v>
      </c>
      <c r="AP10" s="85">
        <f t="shared" si="33"/>
        <v>225</v>
      </c>
      <c r="AQ10" s="86">
        <f>'Absorbance Data Matlab'!AB6</f>
        <v>1.6753334378012395E-3</v>
      </c>
      <c r="AR10" s="86">
        <f t="shared" si="34"/>
        <v>2.5130001567018591E-2</v>
      </c>
      <c r="AS10" s="86">
        <f t="shared" si="10"/>
        <v>1.5519274939474831E-4</v>
      </c>
      <c r="AT10" s="85">
        <f t="shared" si="35"/>
        <v>225</v>
      </c>
      <c r="AU10" s="79">
        <f>'Absorbance Data Matlab'!AC6</f>
        <v>1.4910735493144308E-3</v>
      </c>
      <c r="AV10" s="79">
        <f t="shared" si="36"/>
        <v>2.2366103239716464E-2</v>
      </c>
      <c r="AW10" s="79">
        <f t="shared" si="11"/>
        <v>1.5519274939474831E-4</v>
      </c>
      <c r="AX10" s="77">
        <f t="shared" si="37"/>
        <v>225</v>
      </c>
      <c r="AY10" s="79">
        <f>'Absorbance Data Matlab'!AD6</f>
        <v>1.1734829655490617E-3</v>
      </c>
      <c r="AZ10" s="79">
        <f t="shared" si="38"/>
        <v>1.7602244483235926E-2</v>
      </c>
      <c r="BA10" s="79">
        <f t="shared" si="12"/>
        <v>1.5519274939474831E-4</v>
      </c>
      <c r="BB10" s="77">
        <f t="shared" si="39"/>
        <v>225</v>
      </c>
      <c r="BC10" s="79">
        <f>'Absorbance Data Matlab'!AE6</f>
        <v>1.3466959657872824E-3</v>
      </c>
      <c r="BD10" s="79">
        <f t="shared" si="40"/>
        <v>2.0200439486809236E-2</v>
      </c>
      <c r="BE10" s="79">
        <f t="shared" si="13"/>
        <v>1.5519274939474831E-4</v>
      </c>
      <c r="BF10" s="77">
        <f t="shared" si="41"/>
        <v>225</v>
      </c>
    </row>
    <row r="11" spans="2:58">
      <c r="B11" s="85">
        <v>20</v>
      </c>
      <c r="C11" s="86">
        <f>'Absorbance Data Matlab'!R7</f>
        <v>1.2465133975049661E-3</v>
      </c>
      <c r="D11" s="86">
        <f t="shared" si="14"/>
        <v>2.4930267950099321E-2</v>
      </c>
      <c r="E11" s="86">
        <f t="shared" si="0"/>
        <v>2.0692366585966441E-4</v>
      </c>
      <c r="F11" s="85">
        <f t="shared" si="15"/>
        <v>400</v>
      </c>
      <c r="G11" s="86">
        <f>'Absorbance Data Matlab'!S7</f>
        <v>1.6906850769258697E-3</v>
      </c>
      <c r="H11" s="86">
        <f t="shared" si="16"/>
        <v>3.3813701538517392E-2</v>
      </c>
      <c r="I11" s="86">
        <f t="shared" si="1"/>
        <v>2.0692366585966439E-4</v>
      </c>
      <c r="J11" s="85">
        <f t="shared" si="17"/>
        <v>400</v>
      </c>
      <c r="K11" s="86">
        <f>'Absorbance Data Matlab'!T7</f>
        <v>9.6473719486868631E-4</v>
      </c>
      <c r="L11" s="86">
        <f t="shared" si="18"/>
        <v>1.9294743897373727E-2</v>
      </c>
      <c r="M11" s="86">
        <f t="shared" si="2"/>
        <v>2.0692366585966441E-4</v>
      </c>
      <c r="N11" s="85">
        <f t="shared" si="19"/>
        <v>400</v>
      </c>
      <c r="O11" s="86">
        <f>'Absorbance Data Matlab'!U7</f>
        <v>6.236114948954517E-4</v>
      </c>
      <c r="P11" s="86">
        <f t="shared" si="20"/>
        <v>1.2472229897909033E-2</v>
      </c>
      <c r="Q11" s="86">
        <f t="shared" si="3"/>
        <v>2.0692366585966441E-4</v>
      </c>
      <c r="R11" s="85">
        <f t="shared" si="21"/>
        <v>400</v>
      </c>
      <c r="S11" s="86">
        <f>'Absorbance Data Matlab'!V7</f>
        <v>1.7085581599170132E-3</v>
      </c>
      <c r="T11" s="86">
        <f t="shared" si="22"/>
        <v>3.4171163198340265E-2</v>
      </c>
      <c r="U11" s="86">
        <f t="shared" si="4"/>
        <v>2.0692366585966441E-4</v>
      </c>
      <c r="V11" s="85">
        <f t="shared" si="23"/>
        <v>400</v>
      </c>
      <c r="W11" s="86">
        <f>'Absorbance Data Matlab'!W7</f>
        <v>1.0302144191210814E-3</v>
      </c>
      <c r="X11" s="86">
        <f t="shared" si="24"/>
        <v>2.0604288382421627E-2</v>
      </c>
      <c r="Y11" s="86">
        <f t="shared" si="5"/>
        <v>2.0692366585966441E-4</v>
      </c>
      <c r="Z11" s="85">
        <f t="shared" si="25"/>
        <v>400</v>
      </c>
      <c r="AA11" s="86">
        <f>'Absorbance Data Matlab'!X7</f>
        <v>6.064215956263268E-4</v>
      </c>
      <c r="AB11" s="86">
        <f t="shared" si="26"/>
        <v>1.2128431912526536E-2</v>
      </c>
      <c r="AC11" s="86">
        <f t="shared" si="6"/>
        <v>2.0692366585966441E-4</v>
      </c>
      <c r="AD11" s="85">
        <f t="shared" si="27"/>
        <v>400</v>
      </c>
      <c r="AE11" s="86">
        <f>'Absorbance Data Matlab'!Y7</f>
        <v>3.354609339048772E-4</v>
      </c>
      <c r="AF11" s="79">
        <f t="shared" si="28"/>
        <v>6.7092186780975437E-3</v>
      </c>
      <c r="AG11" s="86">
        <f t="shared" si="7"/>
        <v>2.0692366585966439E-4</v>
      </c>
      <c r="AH11" s="85">
        <f t="shared" si="29"/>
        <v>400</v>
      </c>
      <c r="AI11" s="86">
        <f>'Absorbance Data Matlab'!Z7</f>
        <v>2.2709871574875537E-3</v>
      </c>
      <c r="AJ11" s="86">
        <f t="shared" si="30"/>
        <v>4.5419743149751071E-2</v>
      </c>
      <c r="AK11" s="86">
        <f t="shared" si="8"/>
        <v>2.0692366585966439E-4</v>
      </c>
      <c r="AL11" s="85">
        <f t="shared" si="31"/>
        <v>400</v>
      </c>
      <c r="AM11" s="86">
        <f>'Absorbance Data Matlab'!AA7</f>
        <v>3.3003261142305128E-3</v>
      </c>
      <c r="AN11" s="86">
        <f t="shared" si="32"/>
        <v>6.600652228461025E-2</v>
      </c>
      <c r="AO11" s="86">
        <f t="shared" si="9"/>
        <v>2.0692366585966439E-4</v>
      </c>
      <c r="AP11" s="85">
        <f t="shared" si="33"/>
        <v>400</v>
      </c>
      <c r="AQ11" s="86">
        <f>'Absorbance Data Matlab'!AB7</f>
        <v>1.5022363089537423E-3</v>
      </c>
      <c r="AR11" s="86">
        <f t="shared" si="34"/>
        <v>3.0044726179074846E-2</v>
      </c>
      <c r="AS11" s="86">
        <f t="shared" si="10"/>
        <v>2.0692366585966441E-4</v>
      </c>
      <c r="AT11" s="85">
        <f t="shared" si="35"/>
        <v>400</v>
      </c>
      <c r="AU11" s="79">
        <f>'Absorbance Data Matlab'!AC7</f>
        <v>1.4195216701273097E-3</v>
      </c>
      <c r="AV11" s="79">
        <f t="shared" si="36"/>
        <v>2.8390433402546194E-2</v>
      </c>
      <c r="AW11" s="79">
        <f t="shared" si="11"/>
        <v>2.0692366585966439E-4</v>
      </c>
      <c r="AX11" s="77">
        <f t="shared" si="37"/>
        <v>400</v>
      </c>
      <c r="AY11" s="79">
        <f>'Absorbance Data Matlab'!AD7</f>
        <v>7.919630237914416E-4</v>
      </c>
      <c r="AZ11" s="79">
        <f t="shared" si="38"/>
        <v>1.5839260475828832E-2</v>
      </c>
      <c r="BA11" s="79">
        <f t="shared" si="12"/>
        <v>2.0692366585966441E-4</v>
      </c>
      <c r="BB11" s="77">
        <f t="shared" si="39"/>
        <v>400</v>
      </c>
      <c r="BC11" s="79">
        <f>'Absorbance Data Matlab'!AE7</f>
        <v>1.0946054121787406E-3</v>
      </c>
      <c r="BD11" s="79">
        <f t="shared" si="40"/>
        <v>2.1892108243574813E-2</v>
      </c>
      <c r="BE11" s="79">
        <f t="shared" si="13"/>
        <v>2.0692366585966444E-4</v>
      </c>
      <c r="BF11" s="77">
        <f t="shared" si="41"/>
        <v>400</v>
      </c>
    </row>
    <row r="12" spans="2:58">
      <c r="B12" s="85">
        <v>25</v>
      </c>
      <c r="C12" s="86">
        <f>'Absorbance Data Matlab'!R8</f>
        <v>1.2102790336890039E-3</v>
      </c>
      <c r="D12" s="86">
        <f t="shared" si="14"/>
        <v>3.0256975842225097E-2</v>
      </c>
      <c r="E12" s="86">
        <f t="shared" si="0"/>
        <v>2.5865458232458052E-4</v>
      </c>
      <c r="F12" s="85">
        <f t="shared" si="15"/>
        <v>625</v>
      </c>
      <c r="G12" s="86">
        <f>'Absorbance Data Matlab'!S8</f>
        <v>1.6618290169379333E-3</v>
      </c>
      <c r="H12" s="86">
        <f t="shared" si="16"/>
        <v>4.1545725423448331E-2</v>
      </c>
      <c r="I12" s="86">
        <f t="shared" si="1"/>
        <v>2.5865458232458046E-4</v>
      </c>
      <c r="J12" s="85">
        <f t="shared" si="17"/>
        <v>625</v>
      </c>
      <c r="K12" s="86">
        <f>'Absorbance Data Matlab'!T8</f>
        <v>7.1138869575572666E-4</v>
      </c>
      <c r="L12" s="86">
        <f t="shared" si="18"/>
        <v>1.7784717393893167E-2</v>
      </c>
      <c r="M12" s="86">
        <f t="shared" si="2"/>
        <v>2.5865458232458052E-4</v>
      </c>
      <c r="N12" s="85">
        <f t="shared" si="19"/>
        <v>625</v>
      </c>
      <c r="O12" s="86">
        <f>'Absorbance Data Matlab'!U8</f>
        <v>2.8288217565772858E-4</v>
      </c>
      <c r="P12" s="86">
        <f t="shared" si="20"/>
        <v>7.0720543914432141E-3</v>
      </c>
      <c r="Q12" s="86">
        <f t="shared" si="3"/>
        <v>2.5865458232458052E-4</v>
      </c>
      <c r="R12" s="85">
        <f t="shared" si="21"/>
        <v>625</v>
      </c>
      <c r="S12" s="86">
        <f>'Absorbance Data Matlab'!V8</f>
        <v>1.6005872305526827E-3</v>
      </c>
      <c r="T12" s="86">
        <f t="shared" si="22"/>
        <v>4.0014680763817069E-2</v>
      </c>
      <c r="U12" s="86">
        <f t="shared" si="4"/>
        <v>2.5865458232458052E-4</v>
      </c>
      <c r="V12" s="85">
        <f t="shared" si="23"/>
        <v>625</v>
      </c>
      <c r="W12" s="86">
        <f>'Absorbance Data Matlab'!W8</f>
        <v>7.6189198508484909E-4</v>
      </c>
      <c r="X12" s="86">
        <f t="shared" si="24"/>
        <v>1.9047299627121227E-2</v>
      </c>
      <c r="Y12" s="86">
        <f t="shared" si="5"/>
        <v>2.5865458232458052E-4</v>
      </c>
      <c r="Z12" s="85">
        <f t="shared" si="25"/>
        <v>625</v>
      </c>
      <c r="AA12" s="86">
        <f>'Absorbance Data Matlab'!X8</f>
        <v>2.4991638753132207E-4</v>
      </c>
      <c r="AB12" s="86">
        <f t="shared" si="26"/>
        <v>6.2479096882830515E-3</v>
      </c>
      <c r="AC12" s="86">
        <f t="shared" si="6"/>
        <v>2.5865458232458052E-4</v>
      </c>
      <c r="AD12" s="85">
        <f t="shared" si="27"/>
        <v>625</v>
      </c>
      <c r="AE12" s="86">
        <f>'Absorbance Data Matlab'!Y8</f>
        <v>1.3700165679848941E-4</v>
      </c>
      <c r="AF12" s="79">
        <f t="shared" si="28"/>
        <v>3.4250414199622353E-3</v>
      </c>
      <c r="AG12" s="86">
        <f t="shared" si="7"/>
        <v>2.5865458232458052E-4</v>
      </c>
      <c r="AH12" s="85">
        <f t="shared" si="29"/>
        <v>625</v>
      </c>
      <c r="AI12" s="86">
        <f>'Absorbance Data Matlab'!Z8</f>
        <v>2.0940900220487719E-3</v>
      </c>
      <c r="AJ12" s="86">
        <f t="shared" si="30"/>
        <v>5.2352250551219295E-2</v>
      </c>
      <c r="AK12" s="86">
        <f t="shared" si="8"/>
        <v>2.5865458232458052E-4</v>
      </c>
      <c r="AL12" s="85">
        <f t="shared" si="31"/>
        <v>625</v>
      </c>
      <c r="AM12" s="86">
        <f>'Absorbance Data Matlab'!AA8</f>
        <v>3.1849094013290911E-3</v>
      </c>
      <c r="AN12" s="86">
        <f t="shared" si="32"/>
        <v>7.9622735033227282E-2</v>
      </c>
      <c r="AO12" s="86">
        <f t="shared" si="9"/>
        <v>2.5865458232458052E-4</v>
      </c>
      <c r="AP12" s="85">
        <f t="shared" si="33"/>
        <v>625</v>
      </c>
      <c r="AQ12" s="86">
        <f>'Absorbance Data Matlab'!AB8</f>
        <v>1.498880501142767E-3</v>
      </c>
      <c r="AR12" s="86">
        <f t="shared" si="34"/>
        <v>3.7472012528569174E-2</v>
      </c>
      <c r="AS12" s="86">
        <f t="shared" si="10"/>
        <v>2.5865458232458052E-4</v>
      </c>
      <c r="AT12" s="85">
        <f t="shared" si="35"/>
        <v>625</v>
      </c>
      <c r="AU12" s="79">
        <f>'Absorbance Data Matlab'!AC8</f>
        <v>1.235146755889513E-3</v>
      </c>
      <c r="AV12" s="79">
        <f t="shared" si="36"/>
        <v>3.0878668897237824E-2</v>
      </c>
      <c r="AW12" s="79">
        <f t="shared" si="11"/>
        <v>2.5865458232458052E-4</v>
      </c>
      <c r="AX12" s="77">
        <f t="shared" si="37"/>
        <v>625</v>
      </c>
      <c r="AY12" s="79">
        <f>'Absorbance Data Matlab'!AD8</f>
        <v>4.9391797262390077E-4</v>
      </c>
      <c r="AZ12" s="79">
        <f t="shared" si="38"/>
        <v>1.2347949315597519E-2</v>
      </c>
      <c r="BA12" s="79">
        <f t="shared" si="12"/>
        <v>2.5865458232458052E-4</v>
      </c>
      <c r="BB12" s="77">
        <f t="shared" si="39"/>
        <v>625</v>
      </c>
      <c r="BC12" s="79">
        <f>'Absorbance Data Matlab'!AE8</f>
        <v>8.2806508336430971E-4</v>
      </c>
      <c r="BD12" s="79">
        <f t="shared" si="40"/>
        <v>2.0701627084107742E-2</v>
      </c>
      <c r="BE12" s="79">
        <f t="shared" si="13"/>
        <v>2.5865458232458052E-4</v>
      </c>
      <c r="BF12" s="77">
        <f t="shared" si="41"/>
        <v>625</v>
      </c>
    </row>
    <row r="13" spans="2:58">
      <c r="B13" s="85">
        <v>30</v>
      </c>
      <c r="C13" s="86">
        <f>'Absorbance Data Matlab'!R9</f>
        <v>1.0169461105484822E-3</v>
      </c>
      <c r="D13" s="86">
        <f t="shared" si="14"/>
        <v>3.0508383316454467E-2</v>
      </c>
      <c r="E13" s="86">
        <f t="shared" si="0"/>
        <v>3.1038549878949662E-4</v>
      </c>
      <c r="F13" s="85">
        <f t="shared" si="15"/>
        <v>900</v>
      </c>
      <c r="G13" s="86">
        <f>'Absorbance Data Matlab'!S9</f>
        <v>1.5444129823747907E-3</v>
      </c>
      <c r="H13" s="86">
        <f t="shared" si="16"/>
        <v>4.6332389471243719E-2</v>
      </c>
      <c r="I13" s="86">
        <f t="shared" si="1"/>
        <v>3.1038549878949662E-4</v>
      </c>
      <c r="J13" s="85">
        <f t="shared" si="17"/>
        <v>900</v>
      </c>
      <c r="K13" s="86">
        <f>'Absorbance Data Matlab'!T9</f>
        <v>4.6377288513513456E-4</v>
      </c>
      <c r="L13" s="86">
        <f t="shared" si="18"/>
        <v>1.3913186554054036E-2</v>
      </c>
      <c r="M13" s="86">
        <f t="shared" si="2"/>
        <v>3.1038549878949657E-4</v>
      </c>
      <c r="N13" s="85">
        <f t="shared" si="19"/>
        <v>900</v>
      </c>
      <c r="O13" s="86">
        <f>'Absorbance Data Matlab'!U9</f>
        <v>2.2559040556896731E-5</v>
      </c>
      <c r="P13" s="86">
        <f t="shared" si="20"/>
        <v>6.7677121670690194E-4</v>
      </c>
      <c r="Q13" s="86">
        <f t="shared" si="3"/>
        <v>3.1038549878949662E-4</v>
      </c>
      <c r="R13" s="85">
        <f t="shared" si="21"/>
        <v>900</v>
      </c>
      <c r="S13" s="86">
        <f>'Absorbance Data Matlab'!V9</f>
        <v>1.470550807917541E-3</v>
      </c>
      <c r="T13" s="86">
        <f t="shared" si="22"/>
        <v>4.4116524237526232E-2</v>
      </c>
      <c r="U13" s="86">
        <f t="shared" si="4"/>
        <v>3.1038549878949662E-4</v>
      </c>
      <c r="V13" s="85">
        <f t="shared" si="23"/>
        <v>900</v>
      </c>
      <c r="W13" s="86">
        <f>'Absorbance Data Matlab'!W9</f>
        <v>5.1487983578962576E-4</v>
      </c>
      <c r="X13" s="86">
        <f t="shared" si="24"/>
        <v>1.5446395073688772E-2</v>
      </c>
      <c r="Y13" s="86">
        <f t="shared" si="5"/>
        <v>3.1038549878949662E-4</v>
      </c>
      <c r="Z13" s="85">
        <f t="shared" si="25"/>
        <v>900</v>
      </c>
      <c r="AA13" s="86">
        <f>'Absorbance Data Matlab'!X9</f>
        <v>-5.0822374360554189E-6</v>
      </c>
      <c r="AB13" s="291"/>
      <c r="AC13" s="292"/>
      <c r="AD13" s="293"/>
      <c r="AE13" s="86">
        <f>'Absorbance Data Matlab'!Y9</f>
        <v>9.732595232348368E-6</v>
      </c>
      <c r="AF13" s="79">
        <f t="shared" si="28"/>
        <v>2.9197785697045105E-4</v>
      </c>
      <c r="AG13" s="86">
        <f t="shared" si="7"/>
        <v>3.1038549878949662E-4</v>
      </c>
      <c r="AH13" s="85">
        <f t="shared" si="29"/>
        <v>900</v>
      </c>
      <c r="AI13" s="86">
        <f>'Absorbance Data Matlab'!Z9</f>
        <v>1.8363412321935771E-3</v>
      </c>
      <c r="AJ13" s="86">
        <f t="shared" si="30"/>
        <v>5.509023696580731E-2</v>
      </c>
      <c r="AK13" s="86">
        <f t="shared" si="8"/>
        <v>3.1038549878949662E-4</v>
      </c>
      <c r="AL13" s="85">
        <f t="shared" si="31"/>
        <v>900</v>
      </c>
      <c r="AM13" s="86">
        <f>'Absorbance Data Matlab'!AA9</f>
        <v>3.070331481623419E-3</v>
      </c>
      <c r="AN13" s="86">
        <f t="shared" si="32"/>
        <v>9.2109944448702574E-2</v>
      </c>
      <c r="AO13" s="86">
        <f t="shared" si="9"/>
        <v>3.1038549878949668E-4</v>
      </c>
      <c r="AP13" s="85">
        <f t="shared" si="33"/>
        <v>900</v>
      </c>
      <c r="AQ13" s="86">
        <f>'Absorbance Data Matlab'!AB9</f>
        <v>1.3586254198255116E-3</v>
      </c>
      <c r="AR13" s="86">
        <f t="shared" si="34"/>
        <v>4.0758762594765352E-2</v>
      </c>
      <c r="AS13" s="86">
        <f t="shared" si="10"/>
        <v>3.1038549878949662E-4</v>
      </c>
      <c r="AT13" s="85">
        <f t="shared" si="35"/>
        <v>900</v>
      </c>
      <c r="AU13" s="79">
        <f>'Absorbance Data Matlab'!AC9</f>
        <v>1.1368413566951706E-3</v>
      </c>
      <c r="AV13" s="79">
        <f t="shared" si="36"/>
        <v>3.4105240700855119E-2</v>
      </c>
      <c r="AW13" s="79">
        <f t="shared" si="11"/>
        <v>3.1038549878949668E-4</v>
      </c>
      <c r="AX13" s="77">
        <f t="shared" si="37"/>
        <v>900</v>
      </c>
      <c r="AY13" s="79">
        <f>'Absorbance Data Matlab'!AD9</f>
        <v>1.8756858827747943E-4</v>
      </c>
      <c r="AZ13" s="79">
        <f t="shared" si="38"/>
        <v>5.6270576483243824E-3</v>
      </c>
      <c r="BA13" s="79">
        <f t="shared" si="12"/>
        <v>3.1038549878949662E-4</v>
      </c>
      <c r="BB13" s="77">
        <f t="shared" si="39"/>
        <v>900</v>
      </c>
      <c r="BC13" s="79">
        <f>'Absorbance Data Matlab'!AE9</f>
        <v>6.4512137737979811E-4</v>
      </c>
      <c r="BD13" s="79">
        <f t="shared" si="40"/>
        <v>1.9353641321393944E-2</v>
      </c>
      <c r="BE13" s="79">
        <f t="shared" si="13"/>
        <v>3.1038549878949662E-4</v>
      </c>
      <c r="BF13" s="77">
        <f t="shared" si="41"/>
        <v>900</v>
      </c>
    </row>
    <row r="14" spans="2:58">
      <c r="B14" s="85">
        <v>35</v>
      </c>
      <c r="C14" s="86">
        <f>'Absorbance Data Matlab'!R10</f>
        <v>8.277552404130611E-4</v>
      </c>
      <c r="D14" s="86">
        <f t="shared" si="14"/>
        <v>2.897143341445714E-2</v>
      </c>
      <c r="E14" s="86">
        <f t="shared" si="0"/>
        <v>3.6211641525441278E-4</v>
      </c>
      <c r="F14" s="85">
        <f t="shared" si="15"/>
        <v>1225</v>
      </c>
      <c r="G14" s="86">
        <f>'Absorbance Data Matlab'!S10</f>
        <v>1.3792855062776707E-3</v>
      </c>
      <c r="H14" s="86">
        <f t="shared" si="16"/>
        <v>4.8274992719718475E-2</v>
      </c>
      <c r="I14" s="86">
        <f t="shared" si="1"/>
        <v>3.6211641525441272E-4</v>
      </c>
      <c r="J14" s="85">
        <f t="shared" si="17"/>
        <v>1225</v>
      </c>
      <c r="K14" s="86">
        <f>'Absorbance Data Matlab'!T10</f>
        <v>1.8963597086285813E-4</v>
      </c>
      <c r="L14" s="86">
        <f t="shared" si="18"/>
        <v>6.6372589802000349E-3</v>
      </c>
      <c r="M14" s="86">
        <f t="shared" si="2"/>
        <v>3.6211641525441272E-4</v>
      </c>
      <c r="N14" s="85">
        <f t="shared" si="19"/>
        <v>1225</v>
      </c>
      <c r="O14" s="86">
        <f>'Absorbance Data Matlab'!U10</f>
        <v>1.3766625957968593E-5</v>
      </c>
      <c r="P14" s="86">
        <f t="shared" si="20"/>
        <v>4.8183190852890077E-4</v>
      </c>
      <c r="Q14" s="86">
        <f t="shared" si="3"/>
        <v>3.6211641525441272E-4</v>
      </c>
      <c r="R14" s="85">
        <f t="shared" si="21"/>
        <v>1225</v>
      </c>
      <c r="S14" s="86">
        <f>'Absorbance Data Matlab'!V10</f>
        <v>1.4221926944181927E-3</v>
      </c>
      <c r="T14" s="86">
        <f t="shared" si="22"/>
        <v>4.9776744304636744E-2</v>
      </c>
      <c r="U14" s="86">
        <f t="shared" si="4"/>
        <v>3.6211641525441272E-4</v>
      </c>
      <c r="V14" s="85">
        <f t="shared" si="23"/>
        <v>1225</v>
      </c>
      <c r="W14" s="86">
        <f>'Absorbance Data Matlab'!W10</f>
        <v>2.5064151990169051E-4</v>
      </c>
      <c r="X14" s="86">
        <f t="shared" si="24"/>
        <v>8.7724531965591677E-3</v>
      </c>
      <c r="Y14" s="86">
        <f t="shared" si="5"/>
        <v>3.6211641525441272E-4</v>
      </c>
      <c r="Z14" s="85">
        <f t="shared" si="25"/>
        <v>1225</v>
      </c>
      <c r="AA14" s="86">
        <f>'Absorbance Data Matlab'!X10</f>
        <v>-1.0687745857172004E-5</v>
      </c>
      <c r="AB14" s="294"/>
      <c r="AC14" s="295"/>
      <c r="AD14" s="296"/>
      <c r="AE14" s="86">
        <f>'Absorbance Data Matlab'!Y10</f>
        <v>-8.2022717804902575E-6</v>
      </c>
      <c r="AF14" s="259"/>
      <c r="AG14" s="260"/>
      <c r="AH14" s="261"/>
      <c r="AI14" s="86">
        <f>'Absorbance Data Matlab'!Z10</f>
        <v>1.751353950488557E-3</v>
      </c>
      <c r="AJ14" s="86">
        <f t="shared" si="30"/>
        <v>6.1297388267099497E-2</v>
      </c>
      <c r="AK14" s="86">
        <f t="shared" si="8"/>
        <v>3.6211641525441272E-4</v>
      </c>
      <c r="AL14" s="85">
        <f t="shared" si="31"/>
        <v>1225</v>
      </c>
      <c r="AM14" s="86">
        <f>'Absorbance Data Matlab'!AA10</f>
        <v>2.9018109351120701E-3</v>
      </c>
      <c r="AN14" s="86">
        <f t="shared" si="32"/>
        <v>0.10156338272892246</v>
      </c>
      <c r="AO14" s="86">
        <f t="shared" si="9"/>
        <v>3.6211641525441272E-4</v>
      </c>
      <c r="AP14" s="85">
        <f t="shared" si="33"/>
        <v>1225</v>
      </c>
      <c r="AQ14" s="86">
        <f>'Absorbance Data Matlab'!AB10</f>
        <v>1.3387367095419021E-3</v>
      </c>
      <c r="AR14" s="86">
        <f t="shared" si="34"/>
        <v>4.6855784833966574E-2</v>
      </c>
      <c r="AS14" s="86">
        <f t="shared" si="10"/>
        <v>3.6211641525441272E-4</v>
      </c>
      <c r="AT14" s="85">
        <f t="shared" si="35"/>
        <v>1225</v>
      </c>
      <c r="AU14" s="79">
        <f>'Absorbance Data Matlab'!AC10</f>
        <v>1.0078086899251452E-3</v>
      </c>
      <c r="AV14" s="79">
        <f t="shared" si="36"/>
        <v>3.5273304147380086E-2</v>
      </c>
      <c r="AW14" s="79">
        <f t="shared" si="11"/>
        <v>3.6211641525441272E-4</v>
      </c>
      <c r="AX14" s="77">
        <f t="shared" si="37"/>
        <v>1225</v>
      </c>
      <c r="AY14" s="79">
        <f>'Absorbance Data Matlab'!AD10</f>
        <v>2.1403460808456936E-5</v>
      </c>
      <c r="AZ14" s="79">
        <f t="shared" si="38"/>
        <v>7.491211282959927E-4</v>
      </c>
      <c r="BA14" s="79">
        <f t="shared" si="12"/>
        <v>3.6211641525441272E-4</v>
      </c>
      <c r="BB14" s="77">
        <f t="shared" si="39"/>
        <v>1225</v>
      </c>
      <c r="BC14" s="79">
        <f>'Absorbance Data Matlab'!AE10</f>
        <v>3.9388460730336981E-4</v>
      </c>
      <c r="BD14" s="79">
        <f t="shared" si="40"/>
        <v>1.3785961255617943E-2</v>
      </c>
      <c r="BE14" s="79">
        <f t="shared" si="13"/>
        <v>3.6211641525441272E-4</v>
      </c>
      <c r="BF14" s="77">
        <f t="shared" si="41"/>
        <v>1225</v>
      </c>
    </row>
    <row r="15" spans="2:58">
      <c r="B15" s="85">
        <v>40</v>
      </c>
      <c r="C15" s="86">
        <f>'Absorbance Data Matlab'!R11</f>
        <v>6.7414401185683984E-4</v>
      </c>
      <c r="D15" s="86">
        <f t="shared" si="14"/>
        <v>2.6965760474273594E-2</v>
      </c>
      <c r="E15" s="86">
        <f t="shared" si="0"/>
        <v>4.1384733171932883E-4</v>
      </c>
      <c r="F15" s="85">
        <f t="shared" si="15"/>
        <v>1600</v>
      </c>
      <c r="G15" s="86">
        <f>'Absorbance Data Matlab'!S11</f>
        <v>1.3027273666513545E-3</v>
      </c>
      <c r="H15" s="86">
        <f t="shared" si="16"/>
        <v>5.2109094666054179E-2</v>
      </c>
      <c r="I15" s="86">
        <f t="shared" si="1"/>
        <v>4.1384733171932877E-4</v>
      </c>
      <c r="J15" s="85">
        <f t="shared" si="17"/>
        <v>1600</v>
      </c>
      <c r="K15" s="86">
        <f>'Absorbance Data Matlab'!T11</f>
        <v>-1.8343163810712445E-5</v>
      </c>
      <c r="L15" s="291"/>
      <c r="M15" s="292"/>
      <c r="N15" s="293"/>
      <c r="O15" s="86">
        <f>'Absorbance Data Matlab'!U11</f>
        <v>-7.3297453261510554E-6</v>
      </c>
      <c r="P15" s="291"/>
      <c r="Q15" s="292"/>
      <c r="R15" s="293"/>
      <c r="S15" s="86">
        <f>'Absorbance Data Matlab'!V11</f>
        <v>1.3124889184860638E-3</v>
      </c>
      <c r="T15" s="86">
        <f t="shared" si="22"/>
        <v>5.2499556739442552E-2</v>
      </c>
      <c r="U15" s="86">
        <f t="shared" si="4"/>
        <v>4.1384733171932883E-4</v>
      </c>
      <c r="V15" s="85">
        <f t="shared" si="23"/>
        <v>1600</v>
      </c>
      <c r="W15" s="86">
        <f>'Absorbance Data Matlab'!W11</f>
        <v>-1.3842649345984706E-5</v>
      </c>
      <c r="X15" s="291"/>
      <c r="Y15" s="292"/>
      <c r="Z15" s="293"/>
      <c r="AA15" s="86">
        <f>'Absorbance Data Matlab'!X11</f>
        <v>-6.965205562153708E-6</v>
      </c>
      <c r="AB15" s="294"/>
      <c r="AC15" s="295"/>
      <c r="AD15" s="296"/>
      <c r="AE15" s="86">
        <f>'Absorbance Data Matlab'!Y11</f>
        <v>-9.9716973154396773E-6</v>
      </c>
      <c r="AF15" s="262"/>
      <c r="AG15" s="263"/>
      <c r="AH15" s="264"/>
      <c r="AI15" s="86">
        <f>'Absorbance Data Matlab'!Z11</f>
        <v>1.5470965869675648E-3</v>
      </c>
      <c r="AJ15" s="86">
        <f t="shared" si="30"/>
        <v>6.1883863478702589E-2</v>
      </c>
      <c r="AK15" s="86">
        <f t="shared" si="8"/>
        <v>4.1384733171932877E-4</v>
      </c>
      <c r="AL15" s="85">
        <f t="shared" si="31"/>
        <v>1600</v>
      </c>
      <c r="AM15" s="86">
        <f>'Absorbance Data Matlab'!AA11</f>
        <v>2.5963370286654353E-3</v>
      </c>
      <c r="AN15" s="86">
        <f t="shared" si="32"/>
        <v>0.10385348114661741</v>
      </c>
      <c r="AO15" s="86">
        <f t="shared" si="9"/>
        <v>4.1384733171932883E-4</v>
      </c>
      <c r="AP15" s="85">
        <f t="shared" si="33"/>
        <v>1600</v>
      </c>
      <c r="AQ15" s="86">
        <f>'Absorbance Data Matlab'!AB11</f>
        <v>1.2580074953064437E-3</v>
      </c>
      <c r="AR15" s="86">
        <f t="shared" si="34"/>
        <v>5.0320299812257746E-2</v>
      </c>
      <c r="AS15" s="86">
        <f t="shared" si="10"/>
        <v>4.1384733171932877E-4</v>
      </c>
      <c r="AT15" s="85">
        <f t="shared" si="35"/>
        <v>1600</v>
      </c>
      <c r="AU15" s="79">
        <f>'Absorbance Data Matlab'!AC11</f>
        <v>8.2390163744562052E-4</v>
      </c>
      <c r="AV15" s="79">
        <f t="shared" si="36"/>
        <v>3.2956065497824823E-2</v>
      </c>
      <c r="AW15" s="79">
        <f t="shared" si="11"/>
        <v>4.1384733171932883E-4</v>
      </c>
      <c r="AX15" s="77">
        <f t="shared" si="37"/>
        <v>1600</v>
      </c>
      <c r="AY15" s="79">
        <f>'Absorbance Data Matlab'!AD11</f>
        <v>-4.9815480228361465E-6</v>
      </c>
      <c r="AZ15" s="79">
        <f t="shared" si="38"/>
        <v>-1.9926192091344587E-4</v>
      </c>
      <c r="BA15" s="79">
        <f t="shared" si="12"/>
        <v>-4.1384733171932883E-4</v>
      </c>
      <c r="BB15" s="77">
        <f t="shared" si="39"/>
        <v>1600</v>
      </c>
      <c r="BC15" s="79">
        <f>'Absorbance Data Matlab'!AE11</f>
        <v>1.2257743999141365E-4</v>
      </c>
      <c r="BD15" s="79">
        <f t="shared" si="40"/>
        <v>4.9030975996565461E-3</v>
      </c>
      <c r="BE15" s="79">
        <f t="shared" si="13"/>
        <v>4.1384733171932883E-4</v>
      </c>
      <c r="BF15" s="77">
        <f t="shared" si="41"/>
        <v>1600</v>
      </c>
    </row>
    <row r="16" spans="2:58">
      <c r="B16" s="85">
        <v>45</v>
      </c>
      <c r="C16" s="86">
        <f>'Absorbance Data Matlab'!R12</f>
        <v>4.5759154819180887E-4</v>
      </c>
      <c r="D16" s="86">
        <f t="shared" si="14"/>
        <v>2.0591619668631399E-2</v>
      </c>
      <c r="E16" s="86">
        <f t="shared" si="0"/>
        <v>4.6557824818424493E-4</v>
      </c>
      <c r="F16" s="85">
        <f t="shared" si="15"/>
        <v>2025</v>
      </c>
      <c r="G16" s="86">
        <f>'Absorbance Data Matlab'!S12</f>
        <v>1.241433110047344E-3</v>
      </c>
      <c r="H16" s="86">
        <f t="shared" si="16"/>
        <v>5.5864489952130482E-2</v>
      </c>
      <c r="I16" s="86">
        <f t="shared" si="1"/>
        <v>4.6557824818424499E-4</v>
      </c>
      <c r="J16" s="85">
        <f t="shared" si="17"/>
        <v>2025</v>
      </c>
      <c r="K16" s="86">
        <f>'Absorbance Data Matlab'!T12</f>
        <v>-4.8623546367875534E-7</v>
      </c>
      <c r="L16" s="294"/>
      <c r="M16" s="295"/>
      <c r="N16" s="296"/>
      <c r="O16" s="86">
        <f>'Absorbance Data Matlab'!U12</f>
        <v>-1.2326329909511312E-5</v>
      </c>
      <c r="P16" s="294"/>
      <c r="Q16" s="295"/>
      <c r="R16" s="296"/>
      <c r="S16" s="86">
        <f>'Absorbance Data Matlab'!V12</f>
        <v>1.2031841145703024E-3</v>
      </c>
      <c r="T16" s="86">
        <f t="shared" si="22"/>
        <v>5.4143285155663606E-2</v>
      </c>
      <c r="U16" s="86">
        <f t="shared" si="4"/>
        <v>4.6557824818424493E-4</v>
      </c>
      <c r="V16" s="85">
        <f t="shared" si="23"/>
        <v>2025</v>
      </c>
      <c r="W16" s="86">
        <f>'Absorbance Data Matlab'!W12</f>
        <v>-7.7274196406776777E-8</v>
      </c>
      <c r="X16" s="294"/>
      <c r="Y16" s="295"/>
      <c r="Z16" s="296"/>
      <c r="AA16" s="86">
        <f>'Absorbance Data Matlab'!X12</f>
        <v>-2.971166506907145E-6</v>
      </c>
      <c r="AB16" s="294"/>
      <c r="AC16" s="295"/>
      <c r="AD16" s="296"/>
      <c r="AE16" s="86">
        <f>'Absorbance Data Matlab'!Y12</f>
        <v>-5.4092574344890417E-6</v>
      </c>
      <c r="AF16" s="262"/>
      <c r="AG16" s="263"/>
      <c r="AH16" s="264"/>
      <c r="AI16" s="86">
        <f>'Absorbance Data Matlab'!Z12</f>
        <v>1.3375991382117657E-3</v>
      </c>
      <c r="AJ16" s="86">
        <f t="shared" si="30"/>
        <v>6.0191961219529452E-2</v>
      </c>
      <c r="AK16" s="86">
        <f t="shared" si="8"/>
        <v>4.6557824818424488E-4</v>
      </c>
      <c r="AL16" s="85">
        <f t="shared" si="31"/>
        <v>2025</v>
      </c>
      <c r="AM16" s="86">
        <f>'Absorbance Data Matlab'!AA12</f>
        <v>2.3978749580090635E-3</v>
      </c>
      <c r="AN16" s="86">
        <f t="shared" si="32"/>
        <v>0.10790437311040786</v>
      </c>
      <c r="AO16" s="86">
        <f t="shared" si="9"/>
        <v>4.6557824818424493E-4</v>
      </c>
      <c r="AP16" s="85">
        <f t="shared" si="33"/>
        <v>2025</v>
      </c>
      <c r="AQ16" s="86">
        <f>'Absorbance Data Matlab'!AB12</f>
        <v>1.0773678453977692E-3</v>
      </c>
      <c r="AR16" s="86">
        <f t="shared" si="34"/>
        <v>4.8481553042899618E-2</v>
      </c>
      <c r="AS16" s="86">
        <f t="shared" si="10"/>
        <v>4.6557824818424499E-4</v>
      </c>
      <c r="AT16" s="85">
        <f t="shared" si="35"/>
        <v>2025</v>
      </c>
      <c r="AU16" s="79">
        <f>'Absorbance Data Matlab'!AC12</f>
        <v>7.2352554185024938E-4</v>
      </c>
      <c r="AV16" s="79">
        <f t="shared" si="36"/>
        <v>3.2558649383261223E-2</v>
      </c>
      <c r="AW16" s="79">
        <f t="shared" si="11"/>
        <v>4.6557824818424493E-4</v>
      </c>
      <c r="AX16" s="77">
        <f t="shared" si="37"/>
        <v>2025</v>
      </c>
      <c r="AY16" s="79">
        <f>'Absorbance Data Matlab'!AD12</f>
        <v>-6.8019445583804128E-6</v>
      </c>
      <c r="AZ16" s="79">
        <f t="shared" si="38"/>
        <v>-3.060875051271186E-4</v>
      </c>
      <c r="BA16" s="79">
        <f t="shared" si="12"/>
        <v>-4.6557824818424493E-4</v>
      </c>
      <c r="BB16" s="77">
        <f t="shared" si="39"/>
        <v>2025</v>
      </c>
      <c r="BC16" s="79">
        <f>'Absorbance Data Matlab'!AE12</f>
        <v>8.8495990014587446E-6</v>
      </c>
      <c r="BD16" s="79">
        <f t="shared" si="40"/>
        <v>3.9823195506564352E-4</v>
      </c>
      <c r="BE16" s="79">
        <f t="shared" si="13"/>
        <v>4.6557824818424499E-4</v>
      </c>
      <c r="BF16" s="77">
        <f t="shared" si="41"/>
        <v>2025</v>
      </c>
    </row>
    <row r="17" spans="2:58">
      <c r="B17" s="85">
        <v>50</v>
      </c>
      <c r="C17" s="86">
        <f>'Absorbance Data Matlab'!R13</f>
        <v>2.847124651570251E-4</v>
      </c>
      <c r="D17" s="86">
        <f t="shared" si="14"/>
        <v>1.4235623257851255E-2</v>
      </c>
      <c r="E17" s="86">
        <f t="shared" si="0"/>
        <v>5.1730916464916103E-4</v>
      </c>
      <c r="F17" s="85">
        <f t="shared" si="15"/>
        <v>2500</v>
      </c>
      <c r="G17" s="86">
        <f>'Absorbance Data Matlab'!S13</f>
        <v>1.2333885698985764E-3</v>
      </c>
      <c r="H17" s="86">
        <f t="shared" si="16"/>
        <v>6.1669428494928819E-2</v>
      </c>
      <c r="I17" s="86">
        <f t="shared" si="1"/>
        <v>5.1730916464916103E-4</v>
      </c>
      <c r="J17" s="85">
        <f t="shared" si="17"/>
        <v>2500</v>
      </c>
      <c r="K17" s="86">
        <f>'Absorbance Data Matlab'!T13</f>
        <v>-6.5298983545181907E-6</v>
      </c>
      <c r="L17" s="294"/>
      <c r="M17" s="295"/>
      <c r="N17" s="296"/>
      <c r="O17" s="86">
        <f>'Absorbance Data Matlab'!U13</f>
        <v>-9.3765608029735424E-6</v>
      </c>
      <c r="P17" s="294"/>
      <c r="Q17" s="295"/>
      <c r="R17" s="296"/>
      <c r="S17" s="86">
        <f>'Absorbance Data Matlab'!V13</f>
        <v>1.1159517429934302E-3</v>
      </c>
      <c r="T17" s="86">
        <f t="shared" si="22"/>
        <v>5.5797587149671514E-2</v>
      </c>
      <c r="U17" s="86">
        <f t="shared" si="4"/>
        <v>5.1730916464916103E-4</v>
      </c>
      <c r="V17" s="85">
        <f t="shared" si="23"/>
        <v>2500</v>
      </c>
      <c r="W17" s="86">
        <f>'Absorbance Data Matlab'!W13</f>
        <v>6.9119995002754809E-9</v>
      </c>
      <c r="X17" s="294"/>
      <c r="Y17" s="295"/>
      <c r="Z17" s="296"/>
      <c r="AA17" s="86">
        <f>'Absorbance Data Matlab'!X13</f>
        <v>-1.1823818565377587E-5</v>
      </c>
      <c r="AB17" s="294"/>
      <c r="AC17" s="295"/>
      <c r="AD17" s="296"/>
      <c r="AE17" s="86">
        <f>'Absorbance Data Matlab'!Y13</f>
        <v>1.0231270187358454E-6</v>
      </c>
      <c r="AF17" s="262"/>
      <c r="AG17" s="263"/>
      <c r="AH17" s="264"/>
      <c r="AI17" s="86">
        <f>'Absorbance Data Matlab'!Z13</f>
        <v>1.1734304131405841E-3</v>
      </c>
      <c r="AJ17" s="86">
        <f t="shared" si="30"/>
        <v>5.8671520657029207E-2</v>
      </c>
      <c r="AK17" s="86">
        <f t="shared" si="8"/>
        <v>5.1730916464916103E-4</v>
      </c>
      <c r="AL17" s="85">
        <f t="shared" si="31"/>
        <v>2500</v>
      </c>
      <c r="AM17" s="86">
        <f>'Absorbance Data Matlab'!AA13</f>
        <v>2.2762185307787365E-3</v>
      </c>
      <c r="AN17" s="86">
        <f t="shared" si="32"/>
        <v>0.11381092653893682</v>
      </c>
      <c r="AO17" s="86">
        <f t="shared" si="9"/>
        <v>5.1730916464916093E-4</v>
      </c>
      <c r="AP17" s="85">
        <f t="shared" si="33"/>
        <v>2500</v>
      </c>
      <c r="AQ17" s="86">
        <f>'Absorbance Data Matlab'!AB13</f>
        <v>9.9976047076997328E-4</v>
      </c>
      <c r="AR17" s="86">
        <f t="shared" si="34"/>
        <v>4.9988023538498662E-2</v>
      </c>
      <c r="AS17" s="86">
        <f t="shared" si="10"/>
        <v>5.1730916464916103E-4</v>
      </c>
      <c r="AT17" s="85">
        <f t="shared" si="35"/>
        <v>2500</v>
      </c>
      <c r="AU17" s="79">
        <f>'Absorbance Data Matlab'!AC13</f>
        <v>5.6718626020736858E-4</v>
      </c>
      <c r="AV17" s="79">
        <f t="shared" si="36"/>
        <v>2.8359313010368429E-2</v>
      </c>
      <c r="AW17" s="79">
        <f t="shared" si="11"/>
        <v>5.1730916464916103E-4</v>
      </c>
      <c r="AX17" s="77">
        <f t="shared" si="37"/>
        <v>2500</v>
      </c>
      <c r="AY17" s="79">
        <f>'Absorbance Data Matlab'!AD13</f>
        <v>1.4374241111086374E-6</v>
      </c>
      <c r="AZ17" s="79">
        <f t="shared" si="38"/>
        <v>7.1871205555431865E-5</v>
      </c>
      <c r="BA17" s="79">
        <f t="shared" si="12"/>
        <v>5.1730916464916103E-4</v>
      </c>
      <c r="BB17" s="77">
        <f t="shared" si="39"/>
        <v>2500</v>
      </c>
      <c r="BC17" s="79">
        <f>'Absorbance Data Matlab'!AE13</f>
        <v>1.8093990810819616E-6</v>
      </c>
      <c r="BD17" s="79">
        <f t="shared" si="40"/>
        <v>9.0469954054098084E-5</v>
      </c>
      <c r="BE17" s="79">
        <f t="shared" si="13"/>
        <v>5.1730916464916103E-4</v>
      </c>
      <c r="BF17" s="77">
        <f t="shared" si="41"/>
        <v>2500</v>
      </c>
    </row>
    <row r="18" spans="2:58">
      <c r="B18" s="85">
        <v>55</v>
      </c>
      <c r="C18" s="86">
        <f>'Absorbance Data Matlab'!R14</f>
        <v>8.1509165549243661E-5</v>
      </c>
      <c r="D18" s="86">
        <f t="shared" si="14"/>
        <v>4.4830041052084015E-3</v>
      </c>
      <c r="E18" s="86">
        <f t="shared" si="0"/>
        <v>5.6904008111407719E-4</v>
      </c>
      <c r="F18" s="85">
        <f t="shared" si="15"/>
        <v>3025</v>
      </c>
      <c r="G18" s="86">
        <f>'Absorbance Data Matlab'!S14</f>
        <v>1.0517890681281893E-3</v>
      </c>
      <c r="H18" s="86">
        <f t="shared" si="16"/>
        <v>5.784839874705041E-2</v>
      </c>
      <c r="I18" s="86">
        <f t="shared" si="1"/>
        <v>5.6904008111407719E-4</v>
      </c>
      <c r="J18" s="85">
        <f t="shared" si="17"/>
        <v>3025</v>
      </c>
      <c r="K18" s="86">
        <f>'Absorbance Data Matlab'!T14</f>
        <v>1.0519760642818509E-6</v>
      </c>
      <c r="L18" s="294"/>
      <c r="M18" s="295"/>
      <c r="N18" s="296"/>
      <c r="O18" s="86">
        <f>'Absorbance Data Matlab'!U14</f>
        <v>5.22486361456532E-6</v>
      </c>
      <c r="P18" s="294"/>
      <c r="Q18" s="295"/>
      <c r="R18" s="296"/>
      <c r="S18" s="86">
        <f>'Absorbance Data Matlab'!V14</f>
        <v>1.1116601691688185E-3</v>
      </c>
      <c r="T18" s="86">
        <f t="shared" si="22"/>
        <v>6.1141309304285019E-2</v>
      </c>
      <c r="U18" s="86">
        <f t="shared" si="4"/>
        <v>5.6904008111407708E-4</v>
      </c>
      <c r="V18" s="85">
        <f t="shared" si="23"/>
        <v>3025</v>
      </c>
      <c r="W18" s="86">
        <f>'Absorbance Data Matlab'!W14</f>
        <v>-3.7276418527231437E-6</v>
      </c>
      <c r="X18" s="294"/>
      <c r="Y18" s="295"/>
      <c r="Z18" s="296"/>
      <c r="AA18" s="86">
        <f>'Absorbance Data Matlab'!X14</f>
        <v>-1.9070992885034206E-7</v>
      </c>
      <c r="AB18" s="294"/>
      <c r="AC18" s="295"/>
      <c r="AD18" s="296"/>
      <c r="AE18" s="86">
        <f>'Absorbance Data Matlab'!Y14</f>
        <v>3.0719239906635544E-6</v>
      </c>
      <c r="AF18" s="262"/>
      <c r="AG18" s="263"/>
      <c r="AH18" s="264"/>
      <c r="AI18" s="86">
        <f>'Absorbance Data Matlab'!Z14</f>
        <v>9.4787961403363535E-4</v>
      </c>
      <c r="AJ18" s="86">
        <f t="shared" si="30"/>
        <v>5.2133378771849946E-2</v>
      </c>
      <c r="AK18" s="86">
        <f t="shared" si="8"/>
        <v>5.6904008111407719E-4</v>
      </c>
      <c r="AL18" s="85">
        <f t="shared" si="31"/>
        <v>3025</v>
      </c>
      <c r="AM18" s="86">
        <f>'Absorbance Data Matlab'!AA14</f>
        <v>2.0774675138845364E-3</v>
      </c>
      <c r="AN18" s="86">
        <f t="shared" si="32"/>
        <v>0.1142607132636495</v>
      </c>
      <c r="AO18" s="86">
        <f t="shared" si="9"/>
        <v>5.6904008111407719E-4</v>
      </c>
      <c r="AP18" s="85">
        <f t="shared" si="33"/>
        <v>3025</v>
      </c>
      <c r="AQ18" s="86">
        <f>'Absorbance Data Matlab'!AB14</f>
        <v>8.7992101765889657E-4</v>
      </c>
      <c r="AR18" s="86">
        <f t="shared" si="34"/>
        <v>4.8395655971239314E-2</v>
      </c>
      <c r="AS18" s="86">
        <f t="shared" si="10"/>
        <v>5.6904008111407719E-4</v>
      </c>
      <c r="AT18" s="85">
        <f t="shared" si="35"/>
        <v>3025</v>
      </c>
      <c r="AU18" s="79">
        <f>'Absorbance Data Matlab'!AC14</f>
        <v>3.9013062597395039E-4</v>
      </c>
      <c r="AV18" s="79">
        <f t="shared" si="36"/>
        <v>2.1457184428567273E-2</v>
      </c>
      <c r="AW18" s="79">
        <f t="shared" si="11"/>
        <v>5.6904008111407719E-4</v>
      </c>
      <c r="AX18" s="77">
        <f t="shared" si="37"/>
        <v>3025</v>
      </c>
      <c r="AY18" s="79">
        <f>'Absorbance Data Matlab'!AD14</f>
        <v>2.6018542353508145E-6</v>
      </c>
      <c r="AZ18" s="79">
        <f t="shared" si="38"/>
        <v>1.431019829442948E-4</v>
      </c>
      <c r="BA18" s="79">
        <f t="shared" si="12"/>
        <v>5.6904008111407719E-4</v>
      </c>
      <c r="BB18" s="77">
        <f t="shared" si="39"/>
        <v>3025</v>
      </c>
      <c r="BC18" s="79">
        <f>'Absorbance Data Matlab'!AE14</f>
        <v>2.8641567696111417E-6</v>
      </c>
      <c r="BD18" s="79">
        <f t="shared" si="40"/>
        <v>1.5752862232861278E-4</v>
      </c>
      <c r="BE18" s="79">
        <f t="shared" si="13"/>
        <v>5.6904008111407708E-4</v>
      </c>
      <c r="BF18" s="77">
        <f t="shared" si="41"/>
        <v>3025</v>
      </c>
    </row>
    <row r="19" spans="2:58">
      <c r="B19" s="85">
        <v>60</v>
      </c>
      <c r="C19" s="86">
        <f>'Absorbance Data Matlab'!R15</f>
        <v>9.5449098815309783E-6</v>
      </c>
      <c r="D19" s="86">
        <f t="shared" si="14"/>
        <v>5.7269459289185866E-4</v>
      </c>
      <c r="E19" s="86">
        <f t="shared" si="0"/>
        <v>6.2077099757899324E-4</v>
      </c>
      <c r="F19" s="85">
        <f t="shared" si="15"/>
        <v>3600</v>
      </c>
      <c r="G19" s="86">
        <f>'Absorbance Data Matlab'!S15</f>
        <v>9.7196746996995468E-4</v>
      </c>
      <c r="H19" s="86">
        <f t="shared" si="16"/>
        <v>5.8318048198197282E-2</v>
      </c>
      <c r="I19" s="86">
        <f t="shared" si="1"/>
        <v>6.2077099757899324E-4</v>
      </c>
      <c r="J19" s="85">
        <f t="shared" si="17"/>
        <v>3600</v>
      </c>
      <c r="K19" s="86">
        <f>'Absorbance Data Matlab'!T15</f>
        <v>8.6756135710978931E-6</v>
      </c>
      <c r="L19" s="294"/>
      <c r="M19" s="295"/>
      <c r="N19" s="296"/>
      <c r="O19" s="86">
        <f>'Absorbance Data Matlab'!U15</f>
        <v>-6.3591487088098015E-6</v>
      </c>
      <c r="P19" s="294"/>
      <c r="Q19" s="295"/>
      <c r="R19" s="296"/>
      <c r="S19" s="86">
        <f>'Absorbance Data Matlab'!V15</f>
        <v>9.9403173012654411E-4</v>
      </c>
      <c r="T19" s="86">
        <f t="shared" si="22"/>
        <v>5.9641903807592649E-2</v>
      </c>
      <c r="U19" s="86">
        <f t="shared" si="4"/>
        <v>6.2077099757899324E-4</v>
      </c>
      <c r="V19" s="85">
        <f t="shared" si="23"/>
        <v>3600</v>
      </c>
      <c r="W19" s="86">
        <f>'Absorbance Data Matlab'!W15</f>
        <v>2.9043654202681579E-6</v>
      </c>
      <c r="X19" s="294"/>
      <c r="Y19" s="295"/>
      <c r="Z19" s="296"/>
      <c r="AA19" s="86">
        <f>'Absorbance Data Matlab'!X15</f>
        <v>3.35250250489681E-6</v>
      </c>
      <c r="AB19" s="294"/>
      <c r="AC19" s="295"/>
      <c r="AD19" s="296"/>
      <c r="AE19" s="86">
        <f>'Absorbance Data Matlab'!Y15</f>
        <v>-1.1412236302734531E-5</v>
      </c>
      <c r="AF19" s="262"/>
      <c r="AG19" s="263"/>
      <c r="AH19" s="264"/>
      <c r="AI19" s="86">
        <f>'Absorbance Data Matlab'!Z15</f>
        <v>7.769141993756079E-4</v>
      </c>
      <c r="AJ19" s="86">
        <f t="shared" si="30"/>
        <v>4.6614851962536473E-2</v>
      </c>
      <c r="AK19" s="86">
        <f t="shared" si="8"/>
        <v>6.2077099757899324E-4</v>
      </c>
      <c r="AL19" s="85">
        <f t="shared" si="31"/>
        <v>3600</v>
      </c>
      <c r="AM19" s="86">
        <f>'Absorbance Data Matlab'!AA15</f>
        <v>1.9007818733477871E-3</v>
      </c>
      <c r="AN19" s="86">
        <f t="shared" si="32"/>
        <v>0.11404691240086723</v>
      </c>
      <c r="AO19" s="86">
        <f t="shared" si="9"/>
        <v>6.2077099757899324E-4</v>
      </c>
      <c r="AP19" s="85">
        <f t="shared" si="33"/>
        <v>3600</v>
      </c>
      <c r="AQ19" s="86">
        <f>'Absorbance Data Matlab'!AB15</f>
        <v>7.435331245140191E-4</v>
      </c>
      <c r="AR19" s="86">
        <f t="shared" si="34"/>
        <v>4.461198747084115E-2</v>
      </c>
      <c r="AS19" s="86">
        <f t="shared" si="10"/>
        <v>6.2077099757899335E-4</v>
      </c>
      <c r="AT19" s="85">
        <f t="shared" si="35"/>
        <v>3600</v>
      </c>
      <c r="AU19" s="79">
        <f>'Absorbance Data Matlab'!AC15</f>
        <v>2.7053506546728646E-4</v>
      </c>
      <c r="AV19" s="79">
        <f t="shared" si="36"/>
        <v>1.6232103928037186E-2</v>
      </c>
      <c r="AW19" s="79">
        <f t="shared" si="11"/>
        <v>6.2077099757899324E-4</v>
      </c>
      <c r="AX19" s="77">
        <f t="shared" si="37"/>
        <v>3600</v>
      </c>
      <c r="AY19" s="79">
        <f>'Absorbance Data Matlab'!AD15</f>
        <v>9.5697992066318765E-6</v>
      </c>
      <c r="AZ19" s="79">
        <f t="shared" si="38"/>
        <v>5.7418795239791258E-4</v>
      </c>
      <c r="BA19" s="79">
        <f t="shared" si="12"/>
        <v>6.2077099757899324E-4</v>
      </c>
      <c r="BB19" s="77">
        <f t="shared" si="39"/>
        <v>3600</v>
      </c>
      <c r="BC19" s="79">
        <f>'Absorbance Data Matlab'!AE15</f>
        <v>1.1124565005483182E-6</v>
      </c>
      <c r="BD19" s="79">
        <f t="shared" si="40"/>
        <v>6.6747390032899088E-5</v>
      </c>
      <c r="BE19" s="79">
        <f t="shared" si="13"/>
        <v>6.2077099757899313E-4</v>
      </c>
      <c r="BF19" s="77">
        <f t="shared" si="41"/>
        <v>3600</v>
      </c>
    </row>
    <row r="20" spans="2:58">
      <c r="B20" s="85">
        <v>65</v>
      </c>
      <c r="C20" s="86">
        <f>'Absorbance Data Matlab'!R16</f>
        <v>1.4096728416496978E-5</v>
      </c>
      <c r="D20" s="86">
        <f t="shared" si="14"/>
        <v>9.1628734707230352E-4</v>
      </c>
      <c r="E20" s="86">
        <f t="shared" si="0"/>
        <v>6.7250191404390929E-4</v>
      </c>
      <c r="F20" s="85">
        <f t="shared" si="15"/>
        <v>4225</v>
      </c>
      <c r="G20" s="86">
        <f>'Absorbance Data Matlab'!S16</f>
        <v>8.8549436386216795E-4</v>
      </c>
      <c r="H20" s="86">
        <f t="shared" si="16"/>
        <v>5.7557133651040919E-2</v>
      </c>
      <c r="I20" s="86">
        <f t="shared" si="1"/>
        <v>6.725019140439094E-4</v>
      </c>
      <c r="J20" s="85">
        <f t="shared" si="17"/>
        <v>4225</v>
      </c>
      <c r="K20" s="86">
        <f>'Absorbance Data Matlab'!T16</f>
        <v>3.5840422038839524E-6</v>
      </c>
      <c r="L20" s="294"/>
      <c r="M20" s="295"/>
      <c r="N20" s="296"/>
      <c r="O20" s="86">
        <f>'Absorbance Data Matlab'!U16</f>
        <v>1.4102635871048258E-5</v>
      </c>
      <c r="P20" s="294"/>
      <c r="Q20" s="295"/>
      <c r="R20" s="296"/>
      <c r="S20" s="86">
        <f>'Absorbance Data Matlab'!V16</f>
        <v>8.8525025271454891E-4</v>
      </c>
      <c r="T20" s="86">
        <f t="shared" si="22"/>
        <v>5.7541266426445678E-2</v>
      </c>
      <c r="U20" s="86">
        <f t="shared" si="4"/>
        <v>6.7250191404390929E-4</v>
      </c>
      <c r="V20" s="85">
        <f t="shared" si="23"/>
        <v>4225</v>
      </c>
      <c r="W20" s="86">
        <f>'Absorbance Data Matlab'!W16</f>
        <v>-7.3193062920789637E-6</v>
      </c>
      <c r="X20" s="294"/>
      <c r="Y20" s="295"/>
      <c r="Z20" s="296"/>
      <c r="AA20" s="86">
        <f>'Absorbance Data Matlab'!X16</f>
        <v>-9.4874076091367196E-6</v>
      </c>
      <c r="AB20" s="294"/>
      <c r="AC20" s="295"/>
      <c r="AD20" s="296"/>
      <c r="AE20" s="86">
        <f>'Absorbance Data Matlab'!Y16</f>
        <v>-5.1548113186728363E-6</v>
      </c>
      <c r="AF20" s="262"/>
      <c r="AG20" s="263"/>
      <c r="AH20" s="264"/>
      <c r="AI20" s="86">
        <f>'Absorbance Data Matlab'!Z16</f>
        <v>5.2557192514761928E-4</v>
      </c>
      <c r="AJ20" s="86">
        <f t="shared" si="30"/>
        <v>3.4162175134595255E-2</v>
      </c>
      <c r="AK20" s="86">
        <f t="shared" si="8"/>
        <v>6.725019140439094E-4</v>
      </c>
      <c r="AL20" s="85">
        <f t="shared" si="31"/>
        <v>4225</v>
      </c>
      <c r="AM20" s="86">
        <f>'Absorbance Data Matlab'!AA16</f>
        <v>1.7095046992991495E-3</v>
      </c>
      <c r="AN20" s="86">
        <f t="shared" si="32"/>
        <v>0.11111780545444472</v>
      </c>
      <c r="AO20" s="86">
        <f t="shared" si="9"/>
        <v>6.725019140439094E-4</v>
      </c>
      <c r="AP20" s="85">
        <f t="shared" si="33"/>
        <v>4225</v>
      </c>
      <c r="AQ20" s="86">
        <f>'Absorbance Data Matlab'!AB16</f>
        <v>6.9140338924834975E-4</v>
      </c>
      <c r="AR20" s="86">
        <f t="shared" si="34"/>
        <v>4.4941220301142733E-2</v>
      </c>
      <c r="AS20" s="86">
        <f t="shared" si="10"/>
        <v>6.725019140439094E-4</v>
      </c>
      <c r="AT20" s="85">
        <f t="shared" si="35"/>
        <v>4225</v>
      </c>
      <c r="AU20" s="79">
        <f>'Absorbance Data Matlab'!AC16</f>
        <v>1.0224778952450079E-4</v>
      </c>
      <c r="AV20" s="79">
        <f t="shared" si="36"/>
        <v>6.6461063190925516E-3</v>
      </c>
      <c r="AW20" s="79">
        <f t="shared" si="11"/>
        <v>6.725019140439094E-4</v>
      </c>
      <c r="AX20" s="77">
        <f t="shared" si="37"/>
        <v>4225</v>
      </c>
      <c r="AY20" s="79">
        <f>'Absorbance Data Matlab'!AD16</f>
        <v>1.349946206167355E-6</v>
      </c>
      <c r="AZ20" s="79">
        <f t="shared" si="38"/>
        <v>8.7746503400878067E-5</v>
      </c>
      <c r="BA20" s="79">
        <f t="shared" si="12"/>
        <v>6.7250191404390929E-4</v>
      </c>
      <c r="BB20" s="77">
        <f t="shared" si="39"/>
        <v>4225</v>
      </c>
      <c r="BC20" s="79">
        <f>'Absorbance Data Matlab'!AE16</f>
        <v>4.333338338885083E-6</v>
      </c>
      <c r="BD20" s="79">
        <f t="shared" si="40"/>
        <v>2.816669920275304E-4</v>
      </c>
      <c r="BE20" s="79">
        <f t="shared" si="13"/>
        <v>6.7250191404390929E-4</v>
      </c>
      <c r="BF20" s="77">
        <f t="shared" si="41"/>
        <v>4225</v>
      </c>
    </row>
    <row r="21" spans="2:58">
      <c r="B21" s="85">
        <v>70</v>
      </c>
      <c r="C21" s="86">
        <f>'Absorbance Data Matlab'!R17</f>
        <v>9.3136343636000105E-6</v>
      </c>
      <c r="D21" s="87">
        <f t="shared" si="14"/>
        <v>6.5195440545200069E-4</v>
      </c>
      <c r="E21" s="87">
        <f t="shared" si="0"/>
        <v>7.2423283050882534E-4</v>
      </c>
      <c r="F21" s="88">
        <f t="shared" si="15"/>
        <v>4900</v>
      </c>
      <c r="G21" s="86">
        <f>'Absorbance Data Matlab'!S17</f>
        <v>8.04971342963033E-4</v>
      </c>
      <c r="H21" s="86">
        <f t="shared" si="16"/>
        <v>5.6347994007412312E-2</v>
      </c>
      <c r="I21" s="86">
        <f t="shared" si="1"/>
        <v>7.2423283050882545E-4</v>
      </c>
      <c r="J21" s="85">
        <f t="shared" si="17"/>
        <v>4900</v>
      </c>
      <c r="K21" s="86">
        <f>'Absorbance Data Matlab'!T17</f>
        <v>-1.4005913766950175E-5</v>
      </c>
      <c r="L21" s="294"/>
      <c r="M21" s="295"/>
      <c r="N21" s="296"/>
      <c r="O21" s="86">
        <f>'Absorbance Data Matlab'!U17</f>
        <v>-6.3954201404794838E-6</v>
      </c>
      <c r="P21" s="294"/>
      <c r="Q21" s="295"/>
      <c r="R21" s="296"/>
      <c r="S21" s="86">
        <f>'Absorbance Data Matlab'!V17</f>
        <v>8.0794388870619944E-4</v>
      </c>
      <c r="T21" s="86">
        <f t="shared" si="22"/>
        <v>5.6556072209433962E-2</v>
      </c>
      <c r="U21" s="86">
        <f t="shared" si="4"/>
        <v>7.2423283050882545E-4</v>
      </c>
      <c r="V21" s="85">
        <f t="shared" si="23"/>
        <v>4900</v>
      </c>
      <c r="W21" s="86">
        <f>'Absorbance Data Matlab'!W17</f>
        <v>-1.1849774600517356E-5</v>
      </c>
      <c r="X21" s="294"/>
      <c r="Y21" s="295"/>
      <c r="Z21" s="296"/>
      <c r="AA21" s="86">
        <f>'Absorbance Data Matlab'!X17</f>
        <v>1.0971654580808823E-5</v>
      </c>
      <c r="AB21" s="294"/>
      <c r="AC21" s="295"/>
      <c r="AD21" s="296"/>
      <c r="AE21" s="86">
        <f>'Absorbance Data Matlab'!Y17</f>
        <v>2.1701193436348188E-5</v>
      </c>
      <c r="AF21" s="262"/>
      <c r="AG21" s="263"/>
      <c r="AH21" s="264"/>
      <c r="AI21" s="86">
        <f>'Absorbance Data Matlab'!Z17</f>
        <v>3.596669784209375E-4</v>
      </c>
      <c r="AJ21" s="86">
        <f t="shared" si="30"/>
        <v>2.5176688489465623E-2</v>
      </c>
      <c r="AK21" s="86">
        <f t="shared" si="8"/>
        <v>7.2423283050882545E-4</v>
      </c>
      <c r="AL21" s="85">
        <f t="shared" si="31"/>
        <v>4900</v>
      </c>
      <c r="AM21" s="86">
        <f>'Absorbance Data Matlab'!AA17</f>
        <v>1.431798227042616E-3</v>
      </c>
      <c r="AN21" s="86">
        <f t="shared" si="32"/>
        <v>0.10022587589298312</v>
      </c>
      <c r="AO21" s="86">
        <f t="shared" si="9"/>
        <v>7.2423283050882545E-4</v>
      </c>
      <c r="AP21" s="85">
        <f t="shared" si="33"/>
        <v>4900</v>
      </c>
      <c r="AQ21" s="86">
        <f>'Absorbance Data Matlab'!AB17</f>
        <v>5.5423516119242858E-4</v>
      </c>
      <c r="AR21" s="86">
        <f t="shared" si="34"/>
        <v>3.8796461283470002E-2</v>
      </c>
      <c r="AS21" s="86">
        <f t="shared" si="10"/>
        <v>7.2423283050882545E-4</v>
      </c>
      <c r="AT21" s="85">
        <f t="shared" si="35"/>
        <v>4900</v>
      </c>
      <c r="AU21" s="79">
        <f>'Absorbance Data Matlab'!AC17</f>
        <v>-1.9315735933641661E-5</v>
      </c>
      <c r="AV21" s="259"/>
      <c r="AW21" s="260"/>
      <c r="AX21" s="261"/>
      <c r="AY21" s="79">
        <f>'Absorbance Data Matlab'!AD17</f>
        <v>1.1027734313146884E-5</v>
      </c>
      <c r="AZ21" s="79">
        <f>AY21*B21</f>
        <v>7.7194140192028183E-4</v>
      </c>
      <c r="BA21" s="79">
        <f t="shared" si="12"/>
        <v>7.2423283050882545E-4</v>
      </c>
      <c r="BB21" s="77">
        <f t="shared" si="39"/>
        <v>4900</v>
      </c>
      <c r="BC21" s="79">
        <f>'Absorbance Data Matlab'!AE17</f>
        <v>1.0013309992623053E-6</v>
      </c>
      <c r="BD21" s="79">
        <f t="shared" si="40"/>
        <v>7.0093169948361368E-5</v>
      </c>
      <c r="BE21" s="79">
        <f t="shared" si="13"/>
        <v>7.2423283050882534E-4</v>
      </c>
      <c r="BF21" s="77">
        <f t="shared" si="41"/>
        <v>4900</v>
      </c>
    </row>
    <row r="22" spans="2:58">
      <c r="B22" s="85">
        <v>75</v>
      </c>
      <c r="C22" s="89">
        <f>'Absorbance Data Matlab'!R18</f>
        <v>-2.8375923218087807E-6</v>
      </c>
      <c r="D22" s="90"/>
      <c r="E22" s="91"/>
      <c r="F22" s="92"/>
      <c r="G22" s="93">
        <f>'Absorbance Data Matlab'!S18</f>
        <v>6.6154487345955677E-4</v>
      </c>
      <c r="H22" s="86">
        <f t="shared" si="16"/>
        <v>4.9615865509466756E-2</v>
      </c>
      <c r="I22" s="86">
        <f t="shared" si="1"/>
        <v>7.7596374697374139E-4</v>
      </c>
      <c r="J22" s="85">
        <f t="shared" si="17"/>
        <v>5625</v>
      </c>
      <c r="K22" s="86">
        <f>'Absorbance Data Matlab'!T18</f>
        <v>-5.7516837483663784E-6</v>
      </c>
      <c r="L22" s="294"/>
      <c r="M22" s="295"/>
      <c r="N22" s="296"/>
      <c r="O22" s="86">
        <f>'Absorbance Data Matlab'!U18</f>
        <v>6.6579254168621433E-6</v>
      </c>
      <c r="P22" s="294"/>
      <c r="Q22" s="295"/>
      <c r="R22" s="296"/>
      <c r="S22" s="86">
        <f>'Absorbance Data Matlab'!V18</f>
        <v>6.8803914728381643E-4</v>
      </c>
      <c r="T22" s="86">
        <f t="shared" si="22"/>
        <v>5.1602936046286234E-2</v>
      </c>
      <c r="U22" s="86">
        <f t="shared" si="4"/>
        <v>7.7596374697374161E-4</v>
      </c>
      <c r="V22" s="85">
        <f t="shared" si="23"/>
        <v>5625</v>
      </c>
      <c r="W22" s="86">
        <f>'Absorbance Data Matlab'!W18</f>
        <v>-3.3593434365820626E-6</v>
      </c>
      <c r="X22" s="294"/>
      <c r="Y22" s="295"/>
      <c r="Z22" s="296"/>
      <c r="AA22" s="86">
        <f>'Absorbance Data Matlab'!X18</f>
        <v>-1.5622450861577399E-5</v>
      </c>
      <c r="AB22" s="294"/>
      <c r="AC22" s="295"/>
      <c r="AD22" s="296"/>
      <c r="AE22" s="86">
        <f>'Absorbance Data Matlab'!Y18</f>
        <v>5.3133658359136314E-6</v>
      </c>
      <c r="AF22" s="262"/>
      <c r="AG22" s="263"/>
      <c r="AH22" s="264"/>
      <c r="AI22" s="86">
        <f>'Absorbance Data Matlab'!Z18</f>
        <v>1.6510234417025358E-4</v>
      </c>
      <c r="AJ22" s="86">
        <f t="shared" si="30"/>
        <v>1.2382675812769018E-2</v>
      </c>
      <c r="AK22" s="86">
        <f t="shared" si="8"/>
        <v>7.7596374697374161E-4</v>
      </c>
      <c r="AL22" s="85">
        <f t="shared" si="31"/>
        <v>5625</v>
      </c>
      <c r="AM22" s="86">
        <f>'Absorbance Data Matlab'!AA18</f>
        <v>1.3241375748595712E-3</v>
      </c>
      <c r="AN22" s="86">
        <f t="shared" si="32"/>
        <v>9.9310318114467833E-2</v>
      </c>
      <c r="AO22" s="86">
        <f t="shared" si="9"/>
        <v>7.7596374697374161E-4</v>
      </c>
      <c r="AP22" s="85">
        <f t="shared" si="33"/>
        <v>5625</v>
      </c>
      <c r="AQ22" s="86">
        <f>'Absorbance Data Matlab'!AB18</f>
        <v>4.3089897490066625E-4</v>
      </c>
      <c r="AR22" s="86">
        <f t="shared" si="34"/>
        <v>3.2317423117549968E-2</v>
      </c>
      <c r="AS22" s="86">
        <f t="shared" si="10"/>
        <v>7.759637469737415E-4</v>
      </c>
      <c r="AT22" s="85">
        <f t="shared" si="35"/>
        <v>5625</v>
      </c>
      <c r="AU22" s="79">
        <f>'Absorbance Data Matlab'!AC18</f>
        <v>-4.5395652872680517E-6</v>
      </c>
      <c r="AV22" s="262"/>
      <c r="AW22" s="263"/>
      <c r="AX22" s="264"/>
      <c r="AY22" s="79">
        <f>'Absorbance Data Matlab'!AD18</f>
        <v>-4.5400594380890389E-7</v>
      </c>
      <c r="AZ22" s="259"/>
      <c r="BA22" s="260"/>
      <c r="BB22" s="261"/>
      <c r="BC22" s="79">
        <f>'Absorbance Data Matlab'!AE18</f>
        <v>2.7454043669981573E-5</v>
      </c>
      <c r="BD22" s="79">
        <f t="shared" si="40"/>
        <v>2.0590532752486181E-3</v>
      </c>
      <c r="BE22" s="79">
        <f t="shared" si="13"/>
        <v>7.7596374697374161E-4</v>
      </c>
      <c r="BF22" s="77">
        <f t="shared" si="41"/>
        <v>5625</v>
      </c>
    </row>
    <row r="23" spans="2:58">
      <c r="B23" s="85">
        <v>80</v>
      </c>
      <c r="C23" s="89">
        <f>'Absorbance Data Matlab'!R19</f>
        <v>1.4923050464874579E-6</v>
      </c>
      <c r="D23" s="94"/>
      <c r="E23" s="95"/>
      <c r="F23" s="96"/>
      <c r="G23" s="93">
        <f>'Absorbance Data Matlab'!S19</f>
        <v>6.4689737925577838E-4</v>
      </c>
      <c r="H23" s="86">
        <f t="shared" si="16"/>
        <v>5.1751790340462268E-2</v>
      </c>
      <c r="I23" s="86">
        <f t="shared" si="1"/>
        <v>8.2769466343865766E-4</v>
      </c>
      <c r="J23" s="85">
        <f t="shared" si="17"/>
        <v>6400</v>
      </c>
      <c r="K23" s="86">
        <f>'Absorbance Data Matlab'!T19</f>
        <v>-1.6792067439960064E-5</v>
      </c>
      <c r="L23" s="294"/>
      <c r="M23" s="295"/>
      <c r="N23" s="296"/>
      <c r="O23" s="86">
        <f>'Absorbance Data Matlab'!U19</f>
        <v>-5.7910739153289637E-6</v>
      </c>
      <c r="P23" s="294"/>
      <c r="Q23" s="295"/>
      <c r="R23" s="296"/>
      <c r="S23" s="86">
        <f>'Absorbance Data Matlab'!V19</f>
        <v>5.6534704654299874E-4</v>
      </c>
      <c r="T23" s="86">
        <f t="shared" si="22"/>
        <v>4.5227763723439895E-2</v>
      </c>
      <c r="U23" s="86">
        <f t="shared" si="4"/>
        <v>8.2769466343865766E-4</v>
      </c>
      <c r="V23" s="85">
        <f t="shared" si="23"/>
        <v>6400</v>
      </c>
      <c r="W23" s="86">
        <f>'Absorbance Data Matlab'!W19</f>
        <v>-6.4745894068150834E-6</v>
      </c>
      <c r="X23" s="294"/>
      <c r="Y23" s="295"/>
      <c r="Z23" s="296"/>
      <c r="AA23" s="86">
        <f>'Absorbance Data Matlab'!X19</f>
        <v>-3.8590075464254535E-6</v>
      </c>
      <c r="AB23" s="294"/>
      <c r="AC23" s="295"/>
      <c r="AD23" s="296"/>
      <c r="AE23" s="86">
        <f>'Absorbance Data Matlab'!Y19</f>
        <v>8.9766955007986972E-6</v>
      </c>
      <c r="AF23" s="262"/>
      <c r="AG23" s="263"/>
      <c r="AH23" s="264"/>
      <c r="AI23" s="86">
        <f>'Absorbance Data Matlab'!Z19</f>
        <v>6.2764182632161895E-6</v>
      </c>
      <c r="AJ23" s="86">
        <f t="shared" si="30"/>
        <v>5.021134610572952E-4</v>
      </c>
      <c r="AK23" s="86">
        <f t="shared" si="8"/>
        <v>8.2769466343865776E-4</v>
      </c>
      <c r="AL23" s="85">
        <f t="shared" si="31"/>
        <v>6400</v>
      </c>
      <c r="AM23" s="86">
        <f>'Absorbance Data Matlab'!AA19</f>
        <v>1.1085419825459474E-3</v>
      </c>
      <c r="AN23" s="86">
        <f t="shared" si="32"/>
        <v>8.8683358603675794E-2</v>
      </c>
      <c r="AO23" s="86">
        <f t="shared" si="9"/>
        <v>8.2769466343865766E-4</v>
      </c>
      <c r="AP23" s="85">
        <f t="shared" si="33"/>
        <v>6400</v>
      </c>
      <c r="AQ23" s="86">
        <f>'Absorbance Data Matlab'!AB19</f>
        <v>3.7410241528476417E-4</v>
      </c>
      <c r="AR23" s="86">
        <f t="shared" si="34"/>
        <v>2.9928193222781133E-2</v>
      </c>
      <c r="AS23" s="86">
        <f t="shared" si="10"/>
        <v>8.2769466343865766E-4</v>
      </c>
      <c r="AT23" s="85">
        <f t="shared" si="35"/>
        <v>6400</v>
      </c>
      <c r="AU23" s="79">
        <f>'Absorbance Data Matlab'!AC19</f>
        <v>1.3838049837129739E-6</v>
      </c>
      <c r="AV23" s="262"/>
      <c r="AW23" s="263"/>
      <c r="AX23" s="264"/>
      <c r="AY23" s="79">
        <f>'Absorbance Data Matlab'!AD19</f>
        <v>6.4153268479079387E-6</v>
      </c>
      <c r="AZ23" s="262"/>
      <c r="BA23" s="263"/>
      <c r="BB23" s="264"/>
      <c r="BC23" s="79">
        <f>'Absorbance Data Matlab'!AE19</f>
        <v>-1.1491144792200025E-5</v>
      </c>
      <c r="BD23" s="259"/>
      <c r="BE23" s="260"/>
      <c r="BF23" s="261"/>
    </row>
    <row r="24" spans="2:58">
      <c r="B24" s="85">
        <v>85</v>
      </c>
      <c r="C24" s="89">
        <f>'Absorbance Data Matlab'!R20</f>
        <v>-6.0526690203716378E-6</v>
      </c>
      <c r="D24" s="94"/>
      <c r="E24" s="95"/>
      <c r="F24" s="96"/>
      <c r="G24" s="93">
        <f>'Absorbance Data Matlab'!S20</f>
        <v>5.1481941201647521E-4</v>
      </c>
      <c r="H24" s="86">
        <f t="shared" si="16"/>
        <v>4.3759650021400393E-2</v>
      </c>
      <c r="I24" s="86">
        <f t="shared" si="1"/>
        <v>8.7942557990357381E-4</v>
      </c>
      <c r="J24" s="85">
        <f t="shared" si="17"/>
        <v>7225</v>
      </c>
      <c r="K24" s="86">
        <f>'Absorbance Data Matlab'!T20</f>
        <v>-2.8697066296482823E-7</v>
      </c>
      <c r="L24" s="294"/>
      <c r="M24" s="295"/>
      <c r="N24" s="296"/>
      <c r="O24" s="86">
        <f>'Absorbance Data Matlab'!U20</f>
        <v>4.2205437770759005E-6</v>
      </c>
      <c r="P24" s="294"/>
      <c r="Q24" s="295"/>
      <c r="R24" s="296"/>
      <c r="S24" s="86">
        <f>'Absorbance Data Matlab'!V20</f>
        <v>4.8058143883962485E-4</v>
      </c>
      <c r="T24" s="86">
        <f t="shared" si="22"/>
        <v>4.0849422301368114E-2</v>
      </c>
      <c r="U24" s="86">
        <f t="shared" si="4"/>
        <v>8.7942557990357371E-4</v>
      </c>
      <c r="V24" s="85">
        <f t="shared" si="23"/>
        <v>7225</v>
      </c>
      <c r="W24" s="86">
        <f>'Absorbance Data Matlab'!W20</f>
        <v>-1.2805959533781375E-5</v>
      </c>
      <c r="X24" s="294"/>
      <c r="Y24" s="295"/>
      <c r="Z24" s="296"/>
      <c r="AA24" s="86">
        <f>'Absorbance Data Matlab'!X20</f>
        <v>-1.4623515677333611E-5</v>
      </c>
      <c r="AB24" s="294"/>
      <c r="AC24" s="295"/>
      <c r="AD24" s="296"/>
      <c r="AE24" s="86">
        <f>'Absorbance Data Matlab'!Y20</f>
        <v>-1.3212504548836118E-5</v>
      </c>
      <c r="AF24" s="262"/>
      <c r="AG24" s="263"/>
      <c r="AH24" s="264"/>
      <c r="AI24" s="86">
        <f>'Absorbance Data Matlab'!Z20</f>
        <v>1.5148366200260704E-5</v>
      </c>
      <c r="AJ24" s="86">
        <f t="shared" si="30"/>
        <v>1.2876111270221599E-3</v>
      </c>
      <c r="AK24" s="86">
        <f t="shared" si="8"/>
        <v>8.7942557990357371E-4</v>
      </c>
      <c r="AL24" s="85">
        <f t="shared" si="31"/>
        <v>7225</v>
      </c>
      <c r="AM24" s="86">
        <f>'Absorbance Data Matlab'!AA20</f>
        <v>8.9404545931462734E-4</v>
      </c>
      <c r="AN24" s="86">
        <f t="shared" si="32"/>
        <v>7.5993864041743325E-2</v>
      </c>
      <c r="AO24" s="86">
        <f t="shared" si="9"/>
        <v>8.7942557990357381E-4</v>
      </c>
      <c r="AP24" s="85">
        <f t="shared" si="33"/>
        <v>7225</v>
      </c>
      <c r="AQ24" s="86">
        <f>'Absorbance Data Matlab'!AB20</f>
        <v>2.4673459535996855E-4</v>
      </c>
      <c r="AR24" s="86">
        <f t="shared" si="34"/>
        <v>2.0972440605597328E-2</v>
      </c>
      <c r="AS24" s="86">
        <f t="shared" si="10"/>
        <v>8.7942557990357371E-4</v>
      </c>
      <c r="AT24" s="85">
        <f t="shared" si="35"/>
        <v>7225</v>
      </c>
      <c r="AU24" s="79">
        <f>'Absorbance Data Matlab'!AC20</f>
        <v>-3.3314511756233974E-6</v>
      </c>
      <c r="AV24" s="262"/>
      <c r="AW24" s="263"/>
      <c r="AX24" s="264"/>
      <c r="AY24" s="79">
        <f>'Absorbance Data Matlab'!AD20</f>
        <v>6.6979168258540737E-6</v>
      </c>
      <c r="AZ24" s="262"/>
      <c r="BA24" s="263"/>
      <c r="BB24" s="264"/>
      <c r="BC24" s="79">
        <f>'Absorbance Data Matlab'!AE20</f>
        <v>-1.8264042116421485E-5</v>
      </c>
      <c r="BD24" s="262"/>
      <c r="BE24" s="263"/>
      <c r="BF24" s="264"/>
    </row>
    <row r="25" spans="2:58">
      <c r="B25" s="85">
        <v>90</v>
      </c>
      <c r="C25" s="89">
        <f>'Absorbance Data Matlab'!R21</f>
        <v>-7.1843077983902049E-6</v>
      </c>
      <c r="D25" s="94"/>
      <c r="E25" s="95"/>
      <c r="F25" s="96"/>
      <c r="G25" s="93">
        <f>'Absorbance Data Matlab'!S21</f>
        <v>4.6318299822560057E-4</v>
      </c>
      <c r="H25" s="86">
        <f t="shared" si="16"/>
        <v>4.1686469840304052E-2</v>
      </c>
      <c r="I25" s="86">
        <f t="shared" si="1"/>
        <v>9.3115649636848986E-4</v>
      </c>
      <c r="J25" s="85">
        <f t="shared" si="17"/>
        <v>8100</v>
      </c>
      <c r="K25" s="86">
        <f>'Absorbance Data Matlab'!T21</f>
        <v>-1.0216403150873272E-5</v>
      </c>
      <c r="L25" s="294"/>
      <c r="M25" s="295"/>
      <c r="N25" s="296"/>
      <c r="O25" s="86">
        <f>'Absorbance Data Matlab'!U21</f>
        <v>4.4388289326897517E-6</v>
      </c>
      <c r="P25" s="294"/>
      <c r="Q25" s="295"/>
      <c r="R25" s="296"/>
      <c r="S25" s="86">
        <f>'Absorbance Data Matlab'!V21</f>
        <v>3.5588588593715308E-4</v>
      </c>
      <c r="T25" s="86">
        <f t="shared" si="22"/>
        <v>3.202972973434378E-2</v>
      </c>
      <c r="U25" s="86">
        <f t="shared" si="4"/>
        <v>9.3115649636848997E-4</v>
      </c>
      <c r="V25" s="85">
        <f t="shared" si="23"/>
        <v>8100</v>
      </c>
      <c r="W25" s="86">
        <f>'Absorbance Data Matlab'!W21</f>
        <v>7.0335500849649209E-6</v>
      </c>
      <c r="X25" s="294"/>
      <c r="Y25" s="295"/>
      <c r="Z25" s="296"/>
      <c r="AA25" s="86">
        <f>'Absorbance Data Matlab'!X21</f>
        <v>-3.3944282088646757E-6</v>
      </c>
      <c r="AB25" s="294"/>
      <c r="AC25" s="295"/>
      <c r="AD25" s="296"/>
      <c r="AE25" s="86">
        <f>'Absorbance Data Matlab'!Y21</f>
        <v>-7.2864854618226891E-7</v>
      </c>
      <c r="AF25" s="262"/>
      <c r="AG25" s="263"/>
      <c r="AH25" s="264"/>
      <c r="AI25" s="86">
        <f>'Absorbance Data Matlab'!Z21</f>
        <v>-3.6323551457839323E-6</v>
      </c>
      <c r="AJ25" s="291"/>
      <c r="AK25" s="292"/>
      <c r="AL25" s="293"/>
      <c r="AM25" s="86">
        <f>'Absorbance Data Matlab'!AA21</f>
        <v>6.9903198703927412E-4</v>
      </c>
      <c r="AN25" s="86">
        <f t="shared" si="32"/>
        <v>6.2912878833534677E-2</v>
      </c>
      <c r="AO25" s="86">
        <f t="shared" si="9"/>
        <v>9.3115649636848997E-4</v>
      </c>
      <c r="AP25" s="85">
        <f t="shared" si="33"/>
        <v>8100</v>
      </c>
      <c r="AQ25" s="86">
        <f>'Absorbance Data Matlab'!AB21</f>
        <v>1.3852582351682496E-4</v>
      </c>
      <c r="AR25" s="86">
        <f t="shared" si="34"/>
        <v>1.2467324116514246E-2</v>
      </c>
      <c r="AS25" s="86">
        <f t="shared" si="10"/>
        <v>9.3115649636848986E-4</v>
      </c>
      <c r="AT25" s="85">
        <f t="shared" si="35"/>
        <v>8100</v>
      </c>
      <c r="AU25" s="79">
        <f>'Absorbance Data Matlab'!AC21</f>
        <v>5.4167059650188661E-7</v>
      </c>
      <c r="AV25" s="262"/>
      <c r="AW25" s="263"/>
      <c r="AX25" s="264"/>
      <c r="AY25" s="79">
        <f>'Absorbance Data Matlab'!AD21</f>
        <v>-8.6109004375505701E-7</v>
      </c>
      <c r="AZ25" s="262"/>
      <c r="BA25" s="263"/>
      <c r="BB25" s="264"/>
      <c r="BC25" s="79">
        <f>'Absorbance Data Matlab'!AE21</f>
        <v>-1.1235214783925205E-5</v>
      </c>
      <c r="BD25" s="262"/>
      <c r="BE25" s="263"/>
      <c r="BF25" s="264"/>
    </row>
    <row r="26" spans="2:58">
      <c r="B26" s="85">
        <v>95</v>
      </c>
      <c r="C26" s="89">
        <f>'Absorbance Data Matlab'!R22</f>
        <v>-1.2520883350039343E-5</v>
      </c>
      <c r="D26" s="94"/>
      <c r="E26" s="95"/>
      <c r="F26" s="96"/>
      <c r="G26" s="93">
        <f>'Absorbance Data Matlab'!S22</f>
        <v>3.7034345359661879E-4</v>
      </c>
      <c r="H26" s="86">
        <f t="shared" si="16"/>
        <v>3.5182628091678783E-2</v>
      </c>
      <c r="I26" s="86">
        <f t="shared" si="1"/>
        <v>9.8288741283340591E-4</v>
      </c>
      <c r="J26" s="85">
        <f t="shared" si="17"/>
        <v>9025</v>
      </c>
      <c r="K26" s="86">
        <f>'Absorbance Data Matlab'!T22</f>
        <v>1.197465460744506E-6</v>
      </c>
      <c r="L26" s="294"/>
      <c r="M26" s="295"/>
      <c r="N26" s="296"/>
      <c r="O26" s="86">
        <f>'Absorbance Data Matlab'!U22</f>
        <v>-4.365076063370394E-6</v>
      </c>
      <c r="P26" s="294"/>
      <c r="Q26" s="295"/>
      <c r="R26" s="296"/>
      <c r="S26" s="86">
        <f>'Absorbance Data Matlab'!V22</f>
        <v>2.9437608923421063E-4</v>
      </c>
      <c r="T26" s="86">
        <f t="shared" si="22"/>
        <v>2.7965728477250009E-2</v>
      </c>
      <c r="U26" s="86">
        <f t="shared" si="4"/>
        <v>9.8288741283340591E-4</v>
      </c>
      <c r="V26" s="85">
        <f t="shared" si="23"/>
        <v>9025</v>
      </c>
      <c r="W26" s="86">
        <f>'Absorbance Data Matlab'!W22</f>
        <v>-3.2354388427473753E-6</v>
      </c>
      <c r="X26" s="294"/>
      <c r="Y26" s="295"/>
      <c r="Z26" s="296"/>
      <c r="AA26" s="86">
        <f>'Absorbance Data Matlab'!X22</f>
        <v>-1.303999774716933E-5</v>
      </c>
      <c r="AB26" s="294"/>
      <c r="AC26" s="295"/>
      <c r="AD26" s="296"/>
      <c r="AE26" s="86">
        <f>'Absorbance Data Matlab'!Y22</f>
        <v>-1.5364443685252574E-5</v>
      </c>
      <c r="AF26" s="262"/>
      <c r="AG26" s="263"/>
      <c r="AH26" s="264"/>
      <c r="AI26" s="86">
        <f>'Absorbance Data Matlab'!Z22</f>
        <v>9.3562984588459587E-6</v>
      </c>
      <c r="AJ26" s="294"/>
      <c r="AK26" s="295"/>
      <c r="AL26" s="296"/>
      <c r="AM26" s="86">
        <f>'Absorbance Data Matlab'!AA22</f>
        <v>5.4030634724922617E-4</v>
      </c>
      <c r="AN26" s="86">
        <f t="shared" si="32"/>
        <v>5.1329102988676489E-2</v>
      </c>
      <c r="AO26" s="86">
        <f t="shared" si="9"/>
        <v>9.8288741283340613E-4</v>
      </c>
      <c r="AP26" s="85">
        <f t="shared" si="33"/>
        <v>9025</v>
      </c>
      <c r="AQ26" s="86">
        <f>'Absorbance Data Matlab'!AB22</f>
        <v>1.6583759128707493E-5</v>
      </c>
      <c r="AR26" s="86">
        <f t="shared" si="34"/>
        <v>1.5754571172272118E-3</v>
      </c>
      <c r="AS26" s="86">
        <f t="shared" si="10"/>
        <v>9.8288741283340591E-4</v>
      </c>
      <c r="AT26" s="85">
        <f t="shared" si="35"/>
        <v>9025</v>
      </c>
      <c r="AU26" s="79">
        <f>'Absorbance Data Matlab'!AC22</f>
        <v>1.2843805632249E-5</v>
      </c>
      <c r="AV26" s="262"/>
      <c r="AW26" s="263"/>
      <c r="AX26" s="264"/>
      <c r="AY26" s="79">
        <f>'Absorbance Data Matlab'!AD22</f>
        <v>1.5341242049458853E-5</v>
      </c>
      <c r="AZ26" s="262"/>
      <c r="BA26" s="263"/>
      <c r="BB26" s="264"/>
      <c r="BC26" s="79">
        <f>'Absorbance Data Matlab'!AE22</f>
        <v>-1.0768959074017667E-5</v>
      </c>
      <c r="BD26" s="262"/>
      <c r="BE26" s="263"/>
      <c r="BF26" s="264"/>
    </row>
    <row r="27" spans="2:58">
      <c r="B27" s="85">
        <v>100</v>
      </c>
      <c r="C27" s="89">
        <f>'Absorbance Data Matlab'!R23</f>
        <v>-2.9690236854212423E-6</v>
      </c>
      <c r="D27" s="94"/>
      <c r="E27" s="95"/>
      <c r="F27" s="96"/>
      <c r="G27" s="93">
        <f>'Absorbance Data Matlab'!S23</f>
        <v>2.2974261120973165E-4</v>
      </c>
      <c r="H27" s="86">
        <f t="shared" si="16"/>
        <v>2.2974261120973165E-2</v>
      </c>
      <c r="I27" s="86">
        <f t="shared" si="1"/>
        <v>1.0346183292983221E-3</v>
      </c>
      <c r="J27" s="85">
        <f t="shared" si="17"/>
        <v>10000</v>
      </c>
      <c r="K27" s="86">
        <f>'Absorbance Data Matlab'!T23</f>
        <v>-6.4778893496348373E-6</v>
      </c>
      <c r="L27" s="294"/>
      <c r="M27" s="295"/>
      <c r="N27" s="296"/>
      <c r="O27" s="86">
        <f>'Absorbance Data Matlab'!U23</f>
        <v>-1.1626497839063055E-5</v>
      </c>
      <c r="P27" s="294"/>
      <c r="Q27" s="295"/>
      <c r="R27" s="296"/>
      <c r="S27" s="86">
        <f>'Absorbance Data Matlab'!V23</f>
        <v>2.1773996749693125E-4</v>
      </c>
      <c r="T27" s="86">
        <f t="shared" si="22"/>
        <v>2.1773996749693124E-2</v>
      </c>
      <c r="U27" s="86">
        <f t="shared" si="4"/>
        <v>1.0346183292983219E-3</v>
      </c>
      <c r="V27" s="85">
        <f t="shared" si="23"/>
        <v>10000</v>
      </c>
      <c r="W27" s="86">
        <f>'Absorbance Data Matlab'!W23</f>
        <v>4.8489617037287246E-6</v>
      </c>
      <c r="X27" s="294"/>
      <c r="Y27" s="295"/>
      <c r="Z27" s="296"/>
      <c r="AA27" s="86">
        <f>'Absorbance Data Matlab'!X23</f>
        <v>-5.6618750718532254E-6</v>
      </c>
      <c r="AB27" s="294"/>
      <c r="AC27" s="295"/>
      <c r="AD27" s="296"/>
      <c r="AE27" s="86">
        <f>'Absorbance Data Matlab'!Y23</f>
        <v>-7.9423785842286421E-7</v>
      </c>
      <c r="AF27" s="262"/>
      <c r="AG27" s="263"/>
      <c r="AH27" s="264"/>
      <c r="AI27" s="86">
        <f>'Absorbance Data Matlab'!Z23</f>
        <v>-2.2986843183697182E-6</v>
      </c>
      <c r="AJ27" s="294"/>
      <c r="AK27" s="295"/>
      <c r="AL27" s="296"/>
      <c r="AM27" s="86">
        <f>'Absorbance Data Matlab'!AA23</f>
        <v>3.0069076506507032E-4</v>
      </c>
      <c r="AN27" s="86">
        <f t="shared" si="32"/>
        <v>3.0069076506507031E-2</v>
      </c>
      <c r="AO27" s="86">
        <f t="shared" si="9"/>
        <v>1.0346183292983221E-3</v>
      </c>
      <c r="AP27" s="85">
        <f t="shared" si="33"/>
        <v>10000</v>
      </c>
      <c r="AQ27" s="86">
        <f>'Absorbance Data Matlab'!AB23</f>
        <v>2.2722643426883293E-6</v>
      </c>
      <c r="AR27" s="86">
        <f t="shared" si="34"/>
        <v>2.2722643426883294E-4</v>
      </c>
      <c r="AS27" s="86">
        <f t="shared" si="10"/>
        <v>1.0346183292983221E-3</v>
      </c>
      <c r="AT27" s="85">
        <f t="shared" si="35"/>
        <v>10000</v>
      </c>
      <c r="AU27" s="79">
        <f>'Absorbance Data Matlab'!AC23</f>
        <v>-1.7225246996461641E-6</v>
      </c>
      <c r="AV27" s="262"/>
      <c r="AW27" s="263"/>
      <c r="AX27" s="264"/>
      <c r="AY27" s="79">
        <f>'Absorbance Data Matlab'!AD23</f>
        <v>1.0247760040448386E-5</v>
      </c>
      <c r="AZ27" s="262"/>
      <c r="BA27" s="263"/>
      <c r="BB27" s="264"/>
      <c r="BC27" s="79">
        <f>'Absorbance Data Matlab'!AE23</f>
        <v>-4.2708635984439693E-6</v>
      </c>
      <c r="BD27" s="262"/>
      <c r="BE27" s="263"/>
      <c r="BF27" s="264"/>
    </row>
    <row r="28" spans="2:58">
      <c r="B28" s="85">
        <v>105</v>
      </c>
      <c r="C28" s="89">
        <f>'Absorbance Data Matlab'!R24</f>
        <v>1.1331313184192768E-6</v>
      </c>
      <c r="D28" s="94"/>
      <c r="E28" s="95"/>
      <c r="F28" s="96"/>
      <c r="G28" s="93">
        <f>'Absorbance Data Matlab'!S24</f>
        <v>1.8134453945671362E-4</v>
      </c>
      <c r="H28" s="86">
        <f t="shared" si="16"/>
        <v>1.9041176642954932E-2</v>
      </c>
      <c r="I28" s="86">
        <f t="shared" si="1"/>
        <v>1.0863492457632382E-3</v>
      </c>
      <c r="J28" s="85">
        <f t="shared" si="17"/>
        <v>11025</v>
      </c>
      <c r="K28" s="86">
        <f>'Absorbance Data Matlab'!T24</f>
        <v>-2.867469107523803E-6</v>
      </c>
      <c r="L28" s="294"/>
      <c r="M28" s="295"/>
      <c r="N28" s="296"/>
      <c r="O28" s="86">
        <f>'Absorbance Data Matlab'!U24</f>
        <v>-8.2616751309641135E-6</v>
      </c>
      <c r="P28" s="294"/>
      <c r="Q28" s="295"/>
      <c r="R28" s="296"/>
      <c r="S28" s="86">
        <f>'Absorbance Data Matlab'!V24</f>
        <v>9.9560489828128107E-5</v>
      </c>
      <c r="T28" s="86">
        <f t="shared" si="22"/>
        <v>1.0453851431953451E-2</v>
      </c>
      <c r="U28" s="86">
        <f t="shared" si="4"/>
        <v>1.086349245763238E-3</v>
      </c>
      <c r="V28" s="85">
        <f t="shared" si="23"/>
        <v>11025</v>
      </c>
      <c r="W28" s="86">
        <f>'Absorbance Data Matlab'!W24</f>
        <v>-3.443805178078563E-6</v>
      </c>
      <c r="X28" s="294"/>
      <c r="Y28" s="295"/>
      <c r="Z28" s="296"/>
      <c r="AA28" s="86">
        <f>'Absorbance Data Matlab'!X24</f>
        <v>-7.2956401668218654E-6</v>
      </c>
      <c r="AB28" s="294"/>
      <c r="AC28" s="295"/>
      <c r="AD28" s="296"/>
      <c r="AE28" s="86">
        <f>'Absorbance Data Matlab'!Y24</f>
        <v>1.8580525777660137E-6</v>
      </c>
      <c r="AF28" s="262"/>
      <c r="AG28" s="263"/>
      <c r="AH28" s="264"/>
      <c r="AI28" s="86">
        <f>'Absorbance Data Matlab'!Z24</f>
        <v>-3.5900703037298516E-6</v>
      </c>
      <c r="AJ28" s="294"/>
      <c r="AK28" s="295"/>
      <c r="AL28" s="296"/>
      <c r="AM28" s="86">
        <f>'Absorbance Data Matlab'!AA24</f>
        <v>1.0150632202982074E-4</v>
      </c>
      <c r="AN28" s="86">
        <f t="shared" si="32"/>
        <v>1.0658163813131177E-2</v>
      </c>
      <c r="AO28" s="86">
        <f t="shared" si="9"/>
        <v>1.086349245763238E-3</v>
      </c>
      <c r="AP28" s="85">
        <f t="shared" si="33"/>
        <v>11025</v>
      </c>
      <c r="AQ28" s="86">
        <f>'Absorbance Data Matlab'!AB24</f>
        <v>-3.8797890982784466E-6</v>
      </c>
      <c r="AR28" s="291"/>
      <c r="AS28" s="292"/>
      <c r="AT28" s="293"/>
      <c r="AU28" s="79">
        <f>'Absorbance Data Matlab'!AC24</f>
        <v>-1.0006180546910292E-6</v>
      </c>
      <c r="AV28" s="262"/>
      <c r="AW28" s="263"/>
      <c r="AX28" s="264"/>
      <c r="AY28" s="79">
        <f>'Absorbance Data Matlab'!AD24</f>
        <v>-5.8715822418410632E-6</v>
      </c>
      <c r="AZ28" s="262"/>
      <c r="BA28" s="263"/>
      <c r="BB28" s="264"/>
      <c r="BC28" s="79">
        <f>'Absorbance Data Matlab'!AE24</f>
        <v>-1.6593552684648804E-6</v>
      </c>
      <c r="BD28" s="262"/>
      <c r="BE28" s="263"/>
      <c r="BF28" s="264"/>
    </row>
    <row r="29" spans="2:58">
      <c r="B29" s="85">
        <v>110</v>
      </c>
      <c r="C29" s="89">
        <f>'Absorbance Data Matlab'!R25</f>
        <v>-1.6313155212046091E-5</v>
      </c>
      <c r="D29" s="94"/>
      <c r="E29" s="95"/>
      <c r="F29" s="96"/>
      <c r="G29" s="93">
        <f>'Absorbance Data Matlab'!S25</f>
        <v>5.5111676949182631E-5</v>
      </c>
      <c r="H29" s="86">
        <f t="shared" si="16"/>
        <v>6.0622844644100896E-3</v>
      </c>
      <c r="I29" s="86">
        <f t="shared" si="1"/>
        <v>1.1380801622281544E-3</v>
      </c>
      <c r="J29" s="85">
        <f t="shared" si="17"/>
        <v>12100</v>
      </c>
      <c r="K29" s="86">
        <f>'Absorbance Data Matlab'!T25</f>
        <v>-1.2729722072009494E-5</v>
      </c>
      <c r="L29" s="294"/>
      <c r="M29" s="295"/>
      <c r="N29" s="296"/>
      <c r="O29" s="86">
        <f>'Absorbance Data Matlab'!U25</f>
        <v>1.162454539832282E-5</v>
      </c>
      <c r="P29" s="294"/>
      <c r="Q29" s="295"/>
      <c r="R29" s="296"/>
      <c r="S29" s="86">
        <f>'Absorbance Data Matlab'!V25</f>
        <v>6.8467571877314435E-6</v>
      </c>
      <c r="T29" s="86">
        <f t="shared" si="22"/>
        <v>7.5314329065045873E-4</v>
      </c>
      <c r="U29" s="86">
        <f t="shared" si="4"/>
        <v>1.1380801622281542E-3</v>
      </c>
      <c r="V29" s="85">
        <f t="shared" si="23"/>
        <v>12100</v>
      </c>
      <c r="W29" s="86">
        <f>'Absorbance Data Matlab'!W25</f>
        <v>4.139425832365921E-6</v>
      </c>
      <c r="X29" s="294"/>
      <c r="Y29" s="295"/>
      <c r="Z29" s="296"/>
      <c r="AA29" s="86">
        <f>'Absorbance Data Matlab'!X25</f>
        <v>-1.1671754759379882E-5</v>
      </c>
      <c r="AB29" s="294"/>
      <c r="AC29" s="295"/>
      <c r="AD29" s="296"/>
      <c r="AE29" s="86">
        <f>'Absorbance Data Matlab'!Y25</f>
        <v>1.4127000509529866E-5</v>
      </c>
      <c r="AF29" s="262"/>
      <c r="AG29" s="263"/>
      <c r="AH29" s="264"/>
      <c r="AI29" s="86">
        <f>'Absorbance Data Matlab'!Z25</f>
        <v>-3.0865270813376039E-6</v>
      </c>
      <c r="AJ29" s="294"/>
      <c r="AK29" s="295"/>
      <c r="AL29" s="296"/>
      <c r="AM29" s="86">
        <f>'Absorbance Data Matlab'!AA25</f>
        <v>2.1145684464325824E-6</v>
      </c>
      <c r="AN29" s="86">
        <f t="shared" si="32"/>
        <v>2.3260252910758407E-4</v>
      </c>
      <c r="AO29" s="86">
        <f t="shared" si="9"/>
        <v>1.1380801622281542E-3</v>
      </c>
      <c r="AP29" s="85">
        <f t="shared" si="33"/>
        <v>12100</v>
      </c>
      <c r="AQ29" s="86">
        <f>'Absorbance Data Matlab'!AB25</f>
        <v>-5.2265573785616771E-6</v>
      </c>
      <c r="AR29" s="294"/>
      <c r="AS29" s="295"/>
      <c r="AT29" s="296"/>
      <c r="AU29" s="79">
        <f>'Absorbance Data Matlab'!AC25</f>
        <v>-2.062593420849695E-6</v>
      </c>
      <c r="AV29" s="262"/>
      <c r="AW29" s="263"/>
      <c r="AX29" s="264"/>
      <c r="AY29" s="79">
        <f>'Absorbance Data Matlab'!AD25</f>
        <v>1.0414928351589108E-5</v>
      </c>
      <c r="AZ29" s="262"/>
      <c r="BA29" s="263"/>
      <c r="BB29" s="264"/>
      <c r="BC29" s="79">
        <f>'Absorbance Data Matlab'!AE25</f>
        <v>-2.1524608308533744E-6</v>
      </c>
      <c r="BD29" s="262"/>
      <c r="BE29" s="263"/>
      <c r="BF29" s="264"/>
    </row>
    <row r="30" spans="2:58">
      <c r="B30" s="85">
        <v>115</v>
      </c>
      <c r="C30" s="89">
        <f>'Absorbance Data Matlab'!R26</f>
        <v>1.6537898269217983E-6</v>
      </c>
      <c r="D30" s="94"/>
      <c r="E30" s="95"/>
      <c r="F30" s="96"/>
      <c r="G30" s="93">
        <f>'Absorbance Data Matlab'!S26</f>
        <v>-1.3081744786343083E-5</v>
      </c>
      <c r="H30" s="291"/>
      <c r="I30" s="292"/>
      <c r="J30" s="293"/>
      <c r="K30" s="86">
        <f>'Absorbance Data Matlab'!T26</f>
        <v>-3.8546629141846833E-6</v>
      </c>
      <c r="L30" s="294"/>
      <c r="M30" s="295"/>
      <c r="N30" s="296"/>
      <c r="O30" s="86">
        <f>'Absorbance Data Matlab'!U26</f>
        <v>3.3249638223425513E-6</v>
      </c>
      <c r="P30" s="294"/>
      <c r="Q30" s="295"/>
      <c r="R30" s="296"/>
      <c r="S30" s="86">
        <f>'Absorbance Data Matlab'!V26</f>
        <v>3.1847704887536989E-6</v>
      </c>
      <c r="T30" s="86">
        <f t="shared" si="22"/>
        <v>3.6624860620667536E-4</v>
      </c>
      <c r="U30" s="86">
        <f t="shared" si="4"/>
        <v>1.1898110786930703E-3</v>
      </c>
      <c r="V30" s="85">
        <f t="shared" si="23"/>
        <v>13225</v>
      </c>
      <c r="W30" s="86">
        <f>'Absorbance Data Matlab'!W26</f>
        <v>6.1907407479317765E-6</v>
      </c>
      <c r="X30" s="294"/>
      <c r="Y30" s="295"/>
      <c r="Z30" s="296"/>
      <c r="AA30" s="86">
        <f>'Absorbance Data Matlab'!X26</f>
        <v>-2.0337976232019395E-5</v>
      </c>
      <c r="AB30" s="294"/>
      <c r="AC30" s="295"/>
      <c r="AD30" s="296"/>
      <c r="AE30" s="86">
        <f>'Absorbance Data Matlab'!Y26</f>
        <v>-2.9749506563856783E-6</v>
      </c>
      <c r="AF30" s="262"/>
      <c r="AG30" s="263"/>
      <c r="AH30" s="264"/>
      <c r="AI30" s="86">
        <f>'Absorbance Data Matlab'!Z26</f>
        <v>2.5825193345345162E-6</v>
      </c>
      <c r="AJ30" s="294"/>
      <c r="AK30" s="295"/>
      <c r="AL30" s="296"/>
      <c r="AM30" s="86">
        <f>'Absorbance Data Matlab'!AA26</f>
        <v>1.980523023043013E-5</v>
      </c>
      <c r="AN30" s="86">
        <f t="shared" si="32"/>
        <v>2.2776014764994651E-3</v>
      </c>
      <c r="AO30" s="86">
        <f t="shared" si="9"/>
        <v>1.1898110786930705E-3</v>
      </c>
      <c r="AP30" s="85">
        <f t="shared" si="33"/>
        <v>13225</v>
      </c>
      <c r="AQ30" s="86">
        <f>'Absorbance Data Matlab'!AB26</f>
        <v>-7.0247027951497731E-6</v>
      </c>
      <c r="AR30" s="294"/>
      <c r="AS30" s="295"/>
      <c r="AT30" s="296"/>
      <c r="AU30" s="79">
        <f>'Absorbance Data Matlab'!AC26</f>
        <v>-1.0783164105044862E-5</v>
      </c>
      <c r="AV30" s="262"/>
      <c r="AW30" s="263"/>
      <c r="AX30" s="264"/>
      <c r="AY30" s="79">
        <f>'Absorbance Data Matlab'!AD26</f>
        <v>8.2241353430628691E-6</v>
      </c>
      <c r="AZ30" s="262"/>
      <c r="BA30" s="263"/>
      <c r="BB30" s="264"/>
      <c r="BC30" s="79">
        <f>'Absorbance Data Matlab'!AE26</f>
        <v>5.3319095206085283E-6</v>
      </c>
      <c r="BD30" s="262"/>
      <c r="BE30" s="263"/>
      <c r="BF30" s="264"/>
    </row>
    <row r="31" spans="2:58">
      <c r="B31" s="85">
        <v>120</v>
      </c>
      <c r="C31" s="89">
        <f>'Absorbance Data Matlab'!R27</f>
        <v>1.6525395333033185E-6</v>
      </c>
      <c r="D31" s="94"/>
      <c r="E31" s="95"/>
      <c r="F31" s="96"/>
      <c r="G31" s="93">
        <f>'Absorbance Data Matlab'!S27</f>
        <v>-3.746161097029611E-6</v>
      </c>
      <c r="H31" s="294"/>
      <c r="I31" s="295"/>
      <c r="J31" s="296"/>
      <c r="K31" s="86">
        <f>'Absorbance Data Matlab'!T27</f>
        <v>-5.8871025406471072E-6</v>
      </c>
      <c r="L31" s="294"/>
      <c r="M31" s="295"/>
      <c r="N31" s="296"/>
      <c r="O31" s="86">
        <f>'Absorbance Data Matlab'!U27</f>
        <v>-8.301273326707683E-6</v>
      </c>
      <c r="P31" s="294"/>
      <c r="Q31" s="295"/>
      <c r="R31" s="296"/>
      <c r="S31" s="86">
        <f>'Absorbance Data Matlab'!V27</f>
        <v>-5.6211626382322885E-6</v>
      </c>
      <c r="T31" s="291"/>
      <c r="U31" s="292"/>
      <c r="V31" s="293"/>
      <c r="W31" s="86">
        <f>'Absorbance Data Matlab'!W27</f>
        <v>5.5049964266554231E-7</v>
      </c>
      <c r="X31" s="294"/>
      <c r="Y31" s="295"/>
      <c r="Z31" s="296"/>
      <c r="AA31" s="86">
        <f>'Absorbance Data Matlab'!X27</f>
        <v>5.5655941943912712E-6</v>
      </c>
      <c r="AB31" s="294"/>
      <c r="AC31" s="295"/>
      <c r="AD31" s="296"/>
      <c r="AE31" s="86">
        <f>'Absorbance Data Matlab'!Y27</f>
        <v>8.4372293250925636E-6</v>
      </c>
      <c r="AF31" s="262"/>
      <c r="AG31" s="263"/>
      <c r="AH31" s="264"/>
      <c r="AI31" s="86">
        <f>'Absorbance Data Matlab'!Z27</f>
        <v>-1.5148963634334859E-5</v>
      </c>
      <c r="AJ31" s="294"/>
      <c r="AK31" s="295"/>
      <c r="AL31" s="296"/>
      <c r="AM31" s="86">
        <f>'Absorbance Data Matlab'!AA27</f>
        <v>2.5170009113430816E-7</v>
      </c>
      <c r="AN31" s="86">
        <f t="shared" si="32"/>
        <v>3.0204010936116979E-5</v>
      </c>
      <c r="AO31" s="86">
        <f t="shared" si="9"/>
        <v>1.2415419951579865E-3</v>
      </c>
      <c r="AP31" s="85">
        <f t="shared" si="33"/>
        <v>14400</v>
      </c>
      <c r="AQ31" s="86">
        <f>'Absorbance Data Matlab'!AB27</f>
        <v>5.8871850627154281E-6</v>
      </c>
      <c r="AR31" s="294"/>
      <c r="AS31" s="295"/>
      <c r="AT31" s="296"/>
      <c r="AU31" s="79">
        <f>'Absorbance Data Matlab'!AC27</f>
        <v>-6.6071196671121765E-7</v>
      </c>
      <c r="AV31" s="262"/>
      <c r="AW31" s="263"/>
      <c r="AX31" s="264"/>
      <c r="AY31" s="79">
        <f>'Absorbance Data Matlab'!AD27</f>
        <v>-1.0262116509501992E-5</v>
      </c>
      <c r="AZ31" s="262"/>
      <c r="BA31" s="263"/>
      <c r="BB31" s="264"/>
      <c r="BC31" s="79">
        <f>'Absorbance Data Matlab'!AE27</f>
        <v>3.8341033589793928E-6</v>
      </c>
      <c r="BD31" s="262"/>
      <c r="BE31" s="263"/>
      <c r="BF31" s="264"/>
    </row>
    <row r="32" spans="2:58">
      <c r="B32" s="85">
        <v>125</v>
      </c>
      <c r="C32" s="89">
        <f>'Absorbance Data Matlab'!R28</f>
        <v>1.6844018888043247E-6</v>
      </c>
      <c r="D32" s="94"/>
      <c r="E32" s="95"/>
      <c r="F32" s="96"/>
      <c r="G32" s="93">
        <f>'Absorbance Data Matlab'!S28</f>
        <v>-9.4163407829009092E-6</v>
      </c>
      <c r="H32" s="294"/>
      <c r="I32" s="295"/>
      <c r="J32" s="296"/>
      <c r="K32" s="86">
        <f>'Absorbance Data Matlab'!T28</f>
        <v>1.1400228291457125E-5</v>
      </c>
      <c r="L32" s="294"/>
      <c r="M32" s="295"/>
      <c r="N32" s="296"/>
      <c r="O32" s="86">
        <f>'Absorbance Data Matlab'!U28</f>
        <v>9.5386918826546038E-6</v>
      </c>
      <c r="P32" s="294"/>
      <c r="Q32" s="295"/>
      <c r="R32" s="296"/>
      <c r="S32" s="86">
        <f>'Absorbance Data Matlab'!V28</f>
        <v>-1.2844136505602484E-5</v>
      </c>
      <c r="T32" s="294"/>
      <c r="U32" s="295"/>
      <c r="V32" s="296"/>
      <c r="W32" s="86">
        <f>'Absorbance Data Matlab'!W28</f>
        <v>-1.2096254876227637E-5</v>
      </c>
      <c r="X32" s="294"/>
      <c r="Y32" s="295"/>
      <c r="Z32" s="296"/>
      <c r="AA32" s="86">
        <f>'Absorbance Data Matlab'!X28</f>
        <v>1.9700535239065113E-5</v>
      </c>
      <c r="AB32" s="294"/>
      <c r="AC32" s="295"/>
      <c r="AD32" s="296"/>
      <c r="AE32" s="86">
        <f>'Absorbance Data Matlab'!Y28</f>
        <v>-8.7045613016078611E-6</v>
      </c>
      <c r="AF32" s="262"/>
      <c r="AG32" s="263"/>
      <c r="AH32" s="264"/>
      <c r="AI32" s="86">
        <f>'Absorbance Data Matlab'!Z28</f>
        <v>-4.0932115833788569E-6</v>
      </c>
      <c r="AJ32" s="294"/>
      <c r="AK32" s="295"/>
      <c r="AL32" s="296"/>
      <c r="AM32" s="86">
        <f>'Absorbance Data Matlab'!AA28</f>
        <v>3.0366157976596226E-6</v>
      </c>
      <c r="AN32" s="86">
        <f t="shared" si="32"/>
        <v>3.7957697470745284E-4</v>
      </c>
      <c r="AO32" s="86">
        <f t="shared" si="9"/>
        <v>1.2932729116229026E-3</v>
      </c>
      <c r="AP32" s="85">
        <f t="shared" si="33"/>
        <v>15625</v>
      </c>
      <c r="AQ32" s="86">
        <f>'Absorbance Data Matlab'!AB28</f>
        <v>1.5559126560776536E-5</v>
      </c>
      <c r="AR32" s="294"/>
      <c r="AS32" s="295"/>
      <c r="AT32" s="296"/>
      <c r="AU32" s="79">
        <f>'Absorbance Data Matlab'!AC28</f>
        <v>8.0830862392264961E-6</v>
      </c>
      <c r="AV32" s="262"/>
      <c r="AW32" s="263"/>
      <c r="AX32" s="264"/>
      <c r="AY32" s="79">
        <f>'Absorbance Data Matlab'!AD28</f>
        <v>1.1787776651042891E-5</v>
      </c>
      <c r="AZ32" s="262"/>
      <c r="BA32" s="263"/>
      <c r="BB32" s="264"/>
      <c r="BC32" s="79">
        <f>'Absorbance Data Matlab'!AE28</f>
        <v>7.3992798375990302E-6</v>
      </c>
      <c r="BD32" s="262"/>
      <c r="BE32" s="263"/>
      <c r="BF32" s="264"/>
    </row>
    <row r="33" spans="1:58">
      <c r="B33" s="85">
        <v>130</v>
      </c>
      <c r="C33" s="89">
        <f>'Absorbance Data Matlab'!R29</f>
        <v>5.402418845434216E-6</v>
      </c>
      <c r="D33" s="94"/>
      <c r="E33" s="95"/>
      <c r="F33" s="96"/>
      <c r="G33" s="93">
        <f>'Absorbance Data Matlab'!S29</f>
        <v>-1.7655132007749325E-5</v>
      </c>
      <c r="H33" s="294"/>
      <c r="I33" s="295"/>
      <c r="J33" s="296"/>
      <c r="K33" s="86">
        <f>'Absorbance Data Matlab'!T29</f>
        <v>6.6685835571905413E-6</v>
      </c>
      <c r="L33" s="294"/>
      <c r="M33" s="295"/>
      <c r="N33" s="296"/>
      <c r="O33" s="86">
        <f>'Absorbance Data Matlab'!U29</f>
        <v>-9.5041125748204957E-6</v>
      </c>
      <c r="P33" s="294"/>
      <c r="Q33" s="295"/>
      <c r="R33" s="296"/>
      <c r="S33" s="86">
        <f>'Absorbance Data Matlab'!V29</f>
        <v>-7.0698539630227477E-6</v>
      </c>
      <c r="T33" s="294"/>
      <c r="U33" s="295"/>
      <c r="V33" s="296"/>
      <c r="W33" s="86">
        <f>'Absorbance Data Matlab'!W29</f>
        <v>-2.9754589648489074E-6</v>
      </c>
      <c r="X33" s="294"/>
      <c r="Y33" s="295"/>
      <c r="Z33" s="296"/>
      <c r="AA33" s="86">
        <f>'Absorbance Data Matlab'!X29</f>
        <v>2.1898814220443011E-5</v>
      </c>
      <c r="AB33" s="294"/>
      <c r="AC33" s="295"/>
      <c r="AD33" s="296"/>
      <c r="AE33" s="86">
        <f>'Absorbance Data Matlab'!Y29</f>
        <v>-1.4691311038812716E-5</v>
      </c>
      <c r="AF33" s="262"/>
      <c r="AG33" s="263"/>
      <c r="AH33" s="264"/>
      <c r="AI33" s="86">
        <f>'Absorbance Data Matlab'!Z29</f>
        <v>-4.590681173079296E-6</v>
      </c>
      <c r="AJ33" s="294"/>
      <c r="AK33" s="295"/>
      <c r="AL33" s="296"/>
      <c r="AM33" s="86">
        <f>'Absorbance Data Matlab'!AA29</f>
        <v>-9.2413282897511424E-6</v>
      </c>
      <c r="AN33" s="291"/>
      <c r="AO33" s="292"/>
      <c r="AP33" s="293"/>
      <c r="AQ33" s="86">
        <f>'Absorbance Data Matlab'!AB29</f>
        <v>-1.7041364423920435E-5</v>
      </c>
      <c r="AR33" s="294"/>
      <c r="AS33" s="295"/>
      <c r="AT33" s="296"/>
      <c r="AU33" s="79">
        <f>'Absorbance Data Matlab'!AC29</f>
        <v>-3.3597094066247188E-6</v>
      </c>
      <c r="AV33" s="262"/>
      <c r="AW33" s="263"/>
      <c r="AX33" s="264"/>
      <c r="AY33" s="79">
        <f>'Absorbance Data Matlab'!AD29</f>
        <v>-1.4128811205244487E-5</v>
      </c>
      <c r="AZ33" s="262"/>
      <c r="BA33" s="263"/>
      <c r="BB33" s="264"/>
      <c r="BC33" s="79">
        <f>'Absorbance Data Matlab'!AE29</f>
        <v>1.7515049725050138E-5</v>
      </c>
      <c r="BD33" s="262"/>
      <c r="BE33" s="263"/>
      <c r="BF33" s="264"/>
    </row>
    <row r="34" spans="1:58">
      <c r="B34" s="85">
        <v>135</v>
      </c>
      <c r="C34" s="89">
        <f>'Absorbance Data Matlab'!R30</f>
        <v>-1.4912872375203369E-5</v>
      </c>
      <c r="D34" s="94"/>
      <c r="E34" s="95"/>
      <c r="F34" s="96"/>
      <c r="G34" s="93">
        <f>'Absorbance Data Matlab'!S30</f>
        <v>5.7700452877376796E-6</v>
      </c>
      <c r="H34" s="294"/>
      <c r="I34" s="295"/>
      <c r="J34" s="296"/>
      <c r="K34" s="86">
        <f>'Absorbance Data Matlab'!T30</f>
        <v>1.1505643312019096E-5</v>
      </c>
      <c r="L34" s="294"/>
      <c r="M34" s="295"/>
      <c r="N34" s="296"/>
      <c r="O34" s="86">
        <f>'Absorbance Data Matlab'!U30</f>
        <v>-6.3615707037681E-6</v>
      </c>
      <c r="P34" s="294"/>
      <c r="Q34" s="295"/>
      <c r="R34" s="296"/>
      <c r="S34" s="86">
        <f>'Absorbance Data Matlab'!V30</f>
        <v>4.6663802659816983E-6</v>
      </c>
      <c r="T34" s="294"/>
      <c r="U34" s="295"/>
      <c r="V34" s="296"/>
      <c r="W34" s="86">
        <f>'Absorbance Data Matlab'!W30</f>
        <v>-1.0041834108401126E-5</v>
      </c>
      <c r="X34" s="294"/>
      <c r="Y34" s="295"/>
      <c r="Z34" s="296"/>
      <c r="AA34" s="86">
        <f>'Absorbance Data Matlab'!X30</f>
        <v>-4.8477358594688962E-6</v>
      </c>
      <c r="AB34" s="294"/>
      <c r="AC34" s="295"/>
      <c r="AD34" s="296"/>
      <c r="AE34" s="86">
        <f>'Absorbance Data Matlab'!Y30</f>
        <v>1.3248769524917696E-5</v>
      </c>
      <c r="AF34" s="262"/>
      <c r="AG34" s="263"/>
      <c r="AH34" s="264"/>
      <c r="AI34" s="86">
        <f>'Absorbance Data Matlab'!Z30</f>
        <v>-1.8994984704147827E-5</v>
      </c>
      <c r="AJ34" s="294"/>
      <c r="AK34" s="295"/>
      <c r="AL34" s="296"/>
      <c r="AM34" s="86">
        <f>'Absorbance Data Matlab'!AA30</f>
        <v>1.6490301343903965E-5</v>
      </c>
      <c r="AN34" s="294"/>
      <c r="AO34" s="295"/>
      <c r="AP34" s="296"/>
      <c r="AQ34" s="86">
        <f>'Absorbance Data Matlab'!AB30</f>
        <v>4.560141889500685E-6</v>
      </c>
      <c r="AR34" s="294"/>
      <c r="AS34" s="295"/>
      <c r="AT34" s="296"/>
      <c r="AU34" s="79">
        <f>'Absorbance Data Matlab'!AC30</f>
        <v>-7.4159757476017627E-6</v>
      </c>
      <c r="AV34" s="262"/>
      <c r="AW34" s="263"/>
      <c r="AX34" s="264"/>
      <c r="AY34" s="79">
        <f>'Absorbance Data Matlab'!AD30</f>
        <v>-1.0418053864009962E-6</v>
      </c>
      <c r="AZ34" s="262"/>
      <c r="BA34" s="263"/>
      <c r="BB34" s="264"/>
      <c r="BC34" s="79">
        <f>'Absorbance Data Matlab'!AE30</f>
        <v>1.2046635930748808E-5</v>
      </c>
      <c r="BD34" s="262"/>
      <c r="BE34" s="263"/>
      <c r="BF34" s="264"/>
    </row>
    <row r="35" spans="1:58">
      <c r="B35" s="85">
        <v>140</v>
      </c>
      <c r="C35" s="89">
        <f>'Absorbance Data Matlab'!R31</f>
        <v>-1.4873296743473652E-5</v>
      </c>
      <c r="D35" s="94"/>
      <c r="E35" s="95"/>
      <c r="F35" s="96"/>
      <c r="G35" s="93">
        <f>'Absorbance Data Matlab'!S31</f>
        <v>7.2453012869182588E-6</v>
      </c>
      <c r="H35" s="294"/>
      <c r="I35" s="295"/>
      <c r="J35" s="296"/>
      <c r="K35" s="86">
        <f>'Absorbance Data Matlab'!T31</f>
        <v>7.3835224990046545E-6</v>
      </c>
      <c r="L35" s="294"/>
      <c r="M35" s="295"/>
      <c r="N35" s="296"/>
      <c r="O35" s="86">
        <f>'Absorbance Data Matlab'!U31</f>
        <v>4.9910643315547607E-6</v>
      </c>
      <c r="P35" s="294"/>
      <c r="Q35" s="295"/>
      <c r="R35" s="296"/>
      <c r="S35" s="86">
        <f>'Absorbance Data Matlab'!V31</f>
        <v>-1.0098439133084056E-5</v>
      </c>
      <c r="T35" s="294"/>
      <c r="U35" s="295"/>
      <c r="V35" s="296"/>
      <c r="W35" s="86">
        <f>'Absorbance Data Matlab'!W31</f>
        <v>4.7913647068346197E-6</v>
      </c>
      <c r="X35" s="294"/>
      <c r="Y35" s="295"/>
      <c r="Z35" s="296"/>
      <c r="AA35" s="86">
        <f>'Absorbance Data Matlab'!X31</f>
        <v>-4.5310896227373109E-7</v>
      </c>
      <c r="AB35" s="294"/>
      <c r="AC35" s="295"/>
      <c r="AD35" s="296"/>
      <c r="AE35" s="86">
        <f>'Absorbance Data Matlab'!Y31</f>
        <v>5.429310976678646E-6</v>
      </c>
      <c r="AF35" s="262"/>
      <c r="AG35" s="263"/>
      <c r="AH35" s="264"/>
      <c r="AI35" s="86">
        <f>'Absorbance Data Matlab'!Z31</f>
        <v>1.2138428305272377E-5</v>
      </c>
      <c r="AJ35" s="294"/>
      <c r="AK35" s="295"/>
      <c r="AL35" s="296"/>
      <c r="AM35" s="86">
        <f>'Absorbance Data Matlab'!AA31</f>
        <v>1.2310793293655036E-6</v>
      </c>
      <c r="AN35" s="294"/>
      <c r="AO35" s="295"/>
      <c r="AP35" s="296"/>
      <c r="AQ35" s="86">
        <f>'Absorbance Data Matlab'!AB31</f>
        <v>-2.0127855130620654E-6</v>
      </c>
      <c r="AR35" s="294"/>
      <c r="AS35" s="295"/>
      <c r="AT35" s="296"/>
      <c r="AU35" s="79">
        <f>'Absorbance Data Matlab'!AC31</f>
        <v>-4.3527393130403641E-6</v>
      </c>
      <c r="AV35" s="262"/>
      <c r="AW35" s="263"/>
      <c r="AX35" s="264"/>
      <c r="AY35" s="79">
        <f>'Absorbance Data Matlab'!AD31</f>
        <v>-5.2860767568202541E-6</v>
      </c>
      <c r="AZ35" s="262"/>
      <c r="BA35" s="263"/>
      <c r="BB35" s="264"/>
      <c r="BC35" s="79">
        <f>'Absorbance Data Matlab'!AE31</f>
        <v>-1.2639516332316335E-5</v>
      </c>
      <c r="BD35" s="262"/>
      <c r="BE35" s="263"/>
      <c r="BF35" s="264"/>
    </row>
    <row r="36" spans="1:58">
      <c r="B36" s="85">
        <v>145</v>
      </c>
      <c r="C36" s="89">
        <f>'Absorbance Data Matlab'!R32</f>
        <v>5.7905634238168736E-6</v>
      </c>
      <c r="D36" s="94"/>
      <c r="E36" s="95"/>
      <c r="F36" s="96"/>
      <c r="G36" s="93">
        <f>'Absorbance Data Matlab'!S32</f>
        <v>4.0306543998126761E-6</v>
      </c>
      <c r="H36" s="294"/>
      <c r="I36" s="295"/>
      <c r="J36" s="296"/>
      <c r="K36" s="86">
        <f>'Absorbance Data Matlab'!T32</f>
        <v>1.2259189310120605E-5</v>
      </c>
      <c r="L36" s="294"/>
      <c r="M36" s="295"/>
      <c r="N36" s="296"/>
      <c r="O36" s="86">
        <f>'Absorbance Data Matlab'!U32</f>
        <v>-1.6068908595772594E-5</v>
      </c>
      <c r="P36" s="294"/>
      <c r="Q36" s="295"/>
      <c r="R36" s="296"/>
      <c r="S36" s="86">
        <f>'Absorbance Data Matlab'!V32</f>
        <v>4.3361340089638705E-6</v>
      </c>
      <c r="T36" s="294"/>
      <c r="U36" s="295"/>
      <c r="V36" s="296"/>
      <c r="W36" s="86">
        <f>'Absorbance Data Matlab'!W32</f>
        <v>-4.0840080364423639E-6</v>
      </c>
      <c r="X36" s="294"/>
      <c r="Y36" s="295"/>
      <c r="Z36" s="296"/>
      <c r="AA36" s="86">
        <f>'Absorbance Data Matlab'!X32</f>
        <v>-4.5874061037825815E-6</v>
      </c>
      <c r="AB36" s="294"/>
      <c r="AC36" s="295"/>
      <c r="AD36" s="296"/>
      <c r="AE36" s="86">
        <f>'Absorbance Data Matlab'!Y32</f>
        <v>9.5249864668424913E-6</v>
      </c>
      <c r="AF36" s="262"/>
      <c r="AG36" s="263"/>
      <c r="AH36" s="264"/>
      <c r="AI36" s="86">
        <f>'Absorbance Data Matlab'!Z32</f>
        <v>-5.7530847030697338E-6</v>
      </c>
      <c r="AJ36" s="294"/>
      <c r="AK36" s="295"/>
      <c r="AL36" s="296"/>
      <c r="AM36" s="86">
        <f>'Absorbance Data Matlab'!AA32</f>
        <v>5.221267575437125E-6</v>
      </c>
      <c r="AN36" s="294"/>
      <c r="AO36" s="295"/>
      <c r="AP36" s="296"/>
      <c r="AQ36" s="86">
        <f>'Absorbance Data Matlab'!AB32</f>
        <v>-2.0446411842469721E-6</v>
      </c>
      <c r="AR36" s="294"/>
      <c r="AS36" s="295"/>
      <c r="AT36" s="296"/>
      <c r="AU36" s="79">
        <f>'Absorbance Data Matlab'!AC32</f>
        <v>6.692300643124957E-6</v>
      </c>
      <c r="AV36" s="262"/>
      <c r="AW36" s="263"/>
      <c r="AX36" s="264"/>
      <c r="AY36" s="79">
        <f>'Absorbance Data Matlab'!AD32</f>
        <v>-5.4011416276725827E-7</v>
      </c>
      <c r="AZ36" s="262"/>
      <c r="BA36" s="263"/>
      <c r="BB36" s="264"/>
      <c r="BC36" s="79">
        <f>'Absorbance Data Matlab'!AE32</f>
        <v>-2.2939192371776649E-5</v>
      </c>
      <c r="BD36" s="262"/>
      <c r="BE36" s="263"/>
      <c r="BF36" s="264"/>
    </row>
    <row r="37" spans="1:58">
      <c r="B37" s="85">
        <v>150</v>
      </c>
      <c r="C37" s="89">
        <f>'Absorbance Data Matlab'!R33</f>
        <v>-1.5448105786514838E-5</v>
      </c>
      <c r="D37" s="94"/>
      <c r="E37" s="95"/>
      <c r="F37" s="96"/>
      <c r="G37" s="93">
        <f>'Absorbance Data Matlab'!S33</f>
        <v>-4.6130769097844041E-6</v>
      </c>
      <c r="H37" s="294"/>
      <c r="I37" s="295"/>
      <c r="J37" s="296"/>
      <c r="K37" s="86">
        <f>'Absorbance Data Matlab'!T33</f>
        <v>-3.5877585533987777E-6</v>
      </c>
      <c r="L37" s="294"/>
      <c r="M37" s="295"/>
      <c r="N37" s="296"/>
      <c r="O37" s="86">
        <f>'Absorbance Data Matlab'!U33</f>
        <v>-1.0633442989033098E-5</v>
      </c>
      <c r="P37" s="294"/>
      <c r="Q37" s="295"/>
      <c r="R37" s="296"/>
      <c r="S37" s="86">
        <f>'Absorbance Data Matlab'!V33</f>
        <v>3.0749251852287465E-6</v>
      </c>
      <c r="T37" s="294"/>
      <c r="U37" s="295"/>
      <c r="V37" s="296"/>
      <c r="W37" s="86">
        <f>'Absorbance Data Matlab'!W33</f>
        <v>-7.1280786811927081E-6</v>
      </c>
      <c r="X37" s="294"/>
      <c r="Y37" s="295"/>
      <c r="Z37" s="296"/>
      <c r="AA37" s="86">
        <f>'Absorbance Data Matlab'!X33</f>
        <v>7.4804928283977347E-7</v>
      </c>
      <c r="AB37" s="294"/>
      <c r="AC37" s="295"/>
      <c r="AD37" s="296"/>
      <c r="AE37" s="86">
        <f>'Absorbance Data Matlab'!Y33</f>
        <v>2.9972209369585918E-6</v>
      </c>
      <c r="AF37" s="262"/>
      <c r="AG37" s="263"/>
      <c r="AH37" s="264"/>
      <c r="AI37" s="86">
        <f>'Absorbance Data Matlab'!Z33</f>
        <v>-4.8504008434923124E-6</v>
      </c>
      <c r="AJ37" s="294"/>
      <c r="AK37" s="295"/>
      <c r="AL37" s="296"/>
      <c r="AM37" s="86">
        <f>'Absorbance Data Matlab'!AA33</f>
        <v>-9.3774592740931896E-6</v>
      </c>
      <c r="AN37" s="294"/>
      <c r="AO37" s="295"/>
      <c r="AP37" s="296"/>
      <c r="AQ37" s="86">
        <f>'Absorbance Data Matlab'!AB33</f>
        <v>7.9309792276025658E-6</v>
      </c>
      <c r="AR37" s="294"/>
      <c r="AS37" s="295"/>
      <c r="AT37" s="296"/>
      <c r="AU37" s="79">
        <f>'Absorbance Data Matlab'!AC33</f>
        <v>-6.6697779173341241E-7</v>
      </c>
      <c r="AV37" s="262"/>
      <c r="AW37" s="263"/>
      <c r="AX37" s="264"/>
      <c r="AY37" s="79">
        <f>'Absorbance Data Matlab'!AD33</f>
        <v>-5.1577991497961807E-6</v>
      </c>
      <c r="AZ37" s="262"/>
      <c r="BA37" s="263"/>
      <c r="BB37" s="264"/>
      <c r="BC37" s="79">
        <f>'Absorbance Data Matlab'!AE33</f>
        <v>8.8836339576012767E-6</v>
      </c>
      <c r="BD37" s="262"/>
      <c r="BE37" s="263"/>
      <c r="BF37" s="264"/>
    </row>
    <row r="38" spans="1:58">
      <c r="B38" s="85">
        <v>155</v>
      </c>
      <c r="C38" s="89">
        <f>'Absorbance Data Matlab'!R34</f>
        <v>-5.4447604486523967E-7</v>
      </c>
      <c r="D38" s="94"/>
      <c r="E38" s="95"/>
      <c r="F38" s="96"/>
      <c r="G38" s="93">
        <f>'Absorbance Data Matlab'!S34</f>
        <v>8.1667882246414843E-6</v>
      </c>
      <c r="H38" s="294"/>
      <c r="I38" s="295"/>
      <c r="J38" s="296"/>
      <c r="K38" s="86">
        <f>'Absorbance Data Matlab'!T34</f>
        <v>-9.7740231326815578E-6</v>
      </c>
      <c r="L38" s="294"/>
      <c r="M38" s="295"/>
      <c r="N38" s="296"/>
      <c r="O38" s="86">
        <f>'Absorbance Data Matlab'!U34</f>
        <v>-1.273152598442931E-6</v>
      </c>
      <c r="P38" s="294"/>
      <c r="Q38" s="295"/>
      <c r="R38" s="296"/>
      <c r="S38" s="86">
        <f>'Absorbance Data Matlab'!V34</f>
        <v>1.0281769632379373E-5</v>
      </c>
      <c r="T38" s="294"/>
      <c r="U38" s="295"/>
      <c r="V38" s="296"/>
      <c r="W38" s="86">
        <f>'Absorbance Data Matlab'!W34</f>
        <v>5.7855859296097073E-6</v>
      </c>
      <c r="X38" s="294"/>
      <c r="Y38" s="295"/>
      <c r="Z38" s="296"/>
      <c r="AA38" s="86">
        <f>'Absorbance Data Matlab'!X34</f>
        <v>-9.0494827036646769E-6</v>
      </c>
      <c r="AB38" s="294"/>
      <c r="AC38" s="295"/>
      <c r="AD38" s="296"/>
      <c r="AE38" s="86">
        <f>'Absorbance Data Matlab'!Y34</f>
        <v>-1.4631361198155333E-5</v>
      </c>
      <c r="AF38" s="262"/>
      <c r="AG38" s="263"/>
      <c r="AH38" s="264"/>
      <c r="AI38" s="86">
        <f>'Absorbance Data Matlab'!Z34</f>
        <v>1.7114108846440856E-5</v>
      </c>
      <c r="AJ38" s="294"/>
      <c r="AK38" s="295"/>
      <c r="AL38" s="296"/>
      <c r="AM38" s="86">
        <f>'Absorbance Data Matlab'!AA34</f>
        <v>8.4119515275715195E-6</v>
      </c>
      <c r="AN38" s="294"/>
      <c r="AO38" s="295"/>
      <c r="AP38" s="296"/>
      <c r="AQ38" s="86">
        <f>'Absorbance Data Matlab'!AB34</f>
        <v>1.7472843001801351E-8</v>
      </c>
      <c r="AR38" s="294"/>
      <c r="AS38" s="295"/>
      <c r="AT38" s="296"/>
      <c r="AU38" s="79">
        <f>'Absorbance Data Matlab'!AC34</f>
        <v>5.7161043745059016E-6</v>
      </c>
      <c r="AV38" s="262"/>
      <c r="AW38" s="263"/>
      <c r="AX38" s="264"/>
      <c r="AY38" s="79">
        <f>'Absorbance Data Matlab'!AD34</f>
        <v>-5.7121697374935957E-6</v>
      </c>
      <c r="AZ38" s="262"/>
      <c r="BA38" s="263"/>
      <c r="BB38" s="264"/>
      <c r="BC38" s="79">
        <f>'Absorbance Data Matlab'!AE34</f>
        <v>-1.8080245276097267E-5</v>
      </c>
      <c r="BD38" s="262"/>
      <c r="BE38" s="263"/>
      <c r="BF38" s="264"/>
    </row>
    <row r="39" spans="1:58">
      <c r="B39" s="85">
        <v>160</v>
      </c>
      <c r="C39" s="89">
        <f>'Absorbance Data Matlab'!R35</f>
        <v>3.2567456469623521E-6</v>
      </c>
      <c r="D39" s="94"/>
      <c r="E39" s="95"/>
      <c r="F39" s="96"/>
      <c r="G39" s="93">
        <f>'Absorbance Data Matlab'!S35</f>
        <v>3.7255187216173132E-6</v>
      </c>
      <c r="H39" s="294"/>
      <c r="I39" s="295"/>
      <c r="J39" s="296"/>
      <c r="K39" s="86">
        <f>'Absorbance Data Matlab'!T35</f>
        <v>1.3217508958754935E-5</v>
      </c>
      <c r="L39" s="294"/>
      <c r="M39" s="295"/>
      <c r="N39" s="296"/>
      <c r="O39" s="86">
        <f>'Absorbance Data Matlab'!U35</f>
        <v>4.7258649393092889E-6</v>
      </c>
      <c r="P39" s="294"/>
      <c r="Q39" s="295"/>
      <c r="R39" s="296"/>
      <c r="S39" s="86">
        <f>'Absorbance Data Matlab'!V35</f>
        <v>9.2513995009516766E-7</v>
      </c>
      <c r="T39" s="294"/>
      <c r="U39" s="295"/>
      <c r="V39" s="296"/>
      <c r="W39" s="86">
        <f>'Absorbance Data Matlab'!W35</f>
        <v>9.091893364443228E-6</v>
      </c>
      <c r="X39" s="294"/>
      <c r="Y39" s="295"/>
      <c r="Z39" s="296"/>
      <c r="AA39" s="86">
        <f>'Absorbance Data Matlab'!X35</f>
        <v>-1.8905913220267184E-5</v>
      </c>
      <c r="AB39" s="294"/>
      <c r="AC39" s="295"/>
      <c r="AD39" s="296"/>
      <c r="AE39" s="86">
        <f>'Absorbance Data Matlab'!Y35</f>
        <v>6.4669830781405176E-6</v>
      </c>
      <c r="AF39" s="262"/>
      <c r="AG39" s="263"/>
      <c r="AH39" s="264"/>
      <c r="AI39" s="86">
        <f>'Absorbance Data Matlab'!Z35</f>
        <v>2.8321999867930781E-6</v>
      </c>
      <c r="AJ39" s="294"/>
      <c r="AK39" s="295"/>
      <c r="AL39" s="296"/>
      <c r="AM39" s="86">
        <f>'Absorbance Data Matlab'!AA35</f>
        <v>3.832916788347046E-6</v>
      </c>
      <c r="AN39" s="294"/>
      <c r="AO39" s="295"/>
      <c r="AP39" s="296"/>
      <c r="AQ39" s="86">
        <f>'Absorbance Data Matlab'!AB35</f>
        <v>-3.4521334085635988E-6</v>
      </c>
      <c r="AR39" s="294"/>
      <c r="AS39" s="295"/>
      <c r="AT39" s="296"/>
      <c r="AU39" s="79">
        <f>'Absorbance Data Matlab'!AC35</f>
        <v>-3.7199607015840216E-6</v>
      </c>
      <c r="AV39" s="262"/>
      <c r="AW39" s="263"/>
      <c r="AX39" s="264"/>
      <c r="AY39" s="79">
        <f>'Absorbance Data Matlab'!AD35</f>
        <v>8.8764031434570593E-6</v>
      </c>
      <c r="AZ39" s="262"/>
      <c r="BA39" s="263"/>
      <c r="BB39" s="264"/>
      <c r="BC39" s="79">
        <f>'Absorbance Data Matlab'!AE35</f>
        <v>6.575266381928979E-7</v>
      </c>
      <c r="BD39" s="262"/>
      <c r="BE39" s="263"/>
      <c r="BF39" s="264"/>
    </row>
    <row r="40" spans="1:58">
      <c r="B40" s="85">
        <v>165</v>
      </c>
      <c r="C40" s="89">
        <f>'Absorbance Data Matlab'!R36</f>
        <v>-5.9013695376166881E-6</v>
      </c>
      <c r="D40" s="94"/>
      <c r="E40" s="95"/>
      <c r="F40" s="96"/>
      <c r="G40" s="93">
        <f>'Absorbance Data Matlab'!S36</f>
        <v>-7.1322104085884259E-6</v>
      </c>
      <c r="H40" s="294"/>
      <c r="I40" s="295"/>
      <c r="J40" s="296"/>
      <c r="K40" s="86">
        <f>'Absorbance Data Matlab'!T36</f>
        <v>-6.2731043161690493E-6</v>
      </c>
      <c r="L40" s="294"/>
      <c r="M40" s="295"/>
      <c r="N40" s="296"/>
      <c r="O40" s="86">
        <f>'Absorbance Data Matlab'!U36</f>
        <v>-1.0679935319427075E-5</v>
      </c>
      <c r="P40" s="294"/>
      <c r="Q40" s="295"/>
      <c r="R40" s="296"/>
      <c r="S40" s="86">
        <f>'Absorbance Data Matlab'!V36</f>
        <v>9.7700465288554853E-6</v>
      </c>
      <c r="T40" s="294"/>
      <c r="U40" s="295"/>
      <c r="V40" s="296"/>
      <c r="W40" s="86">
        <f>'Absorbance Data Matlab'!W36</f>
        <v>-1.1475497725299543E-5</v>
      </c>
      <c r="X40" s="294"/>
      <c r="Y40" s="295"/>
      <c r="Z40" s="296"/>
      <c r="AA40" s="86">
        <f>'Absorbance Data Matlab'!X36</f>
        <v>-3.5894916036379593E-7</v>
      </c>
      <c r="AB40" s="294"/>
      <c r="AC40" s="295"/>
      <c r="AD40" s="296"/>
      <c r="AE40" s="86">
        <f>'Absorbance Data Matlab'!Y36</f>
        <v>1.5292748969412175E-7</v>
      </c>
      <c r="AF40" s="262"/>
      <c r="AG40" s="263"/>
      <c r="AH40" s="264"/>
      <c r="AI40" s="86">
        <f>'Absorbance Data Matlab'!Z36</f>
        <v>-2.8275962769632182E-6</v>
      </c>
      <c r="AJ40" s="294"/>
      <c r="AK40" s="295"/>
      <c r="AL40" s="296"/>
      <c r="AM40" s="86">
        <f>'Absorbance Data Matlab'!AA36</f>
        <v>-1.1386109554431337E-5</v>
      </c>
      <c r="AN40" s="294"/>
      <c r="AO40" s="295"/>
      <c r="AP40" s="296"/>
      <c r="AQ40" s="86">
        <f>'Absorbance Data Matlab'!AB36</f>
        <v>1.0998677546221567E-5</v>
      </c>
      <c r="AR40" s="294"/>
      <c r="AS40" s="295"/>
      <c r="AT40" s="296"/>
      <c r="AU40" s="79">
        <f>'Absorbance Data Matlab'!AC36</f>
        <v>-3.623959320726563E-6</v>
      </c>
      <c r="AV40" s="262"/>
      <c r="AW40" s="263"/>
      <c r="AX40" s="264"/>
      <c r="AY40" s="79">
        <f>'Absorbance Data Matlab'!AD36</f>
        <v>8.6899019803726138E-7</v>
      </c>
      <c r="AZ40" s="262"/>
      <c r="BA40" s="263"/>
      <c r="BB40" s="264"/>
      <c r="BC40" s="79">
        <f>'Absorbance Data Matlab'!AE36</f>
        <v>3.4945755496301376E-7</v>
      </c>
      <c r="BD40" s="262"/>
      <c r="BE40" s="263"/>
      <c r="BF40" s="264"/>
    </row>
    <row r="41" spans="1:58">
      <c r="B41" s="85">
        <v>170</v>
      </c>
      <c r="C41" s="89">
        <f>'Absorbance Data Matlab'!R37</f>
        <v>-5.4576785885871269E-6</v>
      </c>
      <c r="D41" s="94"/>
      <c r="E41" s="95"/>
      <c r="F41" s="96"/>
      <c r="G41" s="93">
        <f>'Absorbance Data Matlab'!S37</f>
        <v>6.0337555793768819E-6</v>
      </c>
      <c r="H41" s="294"/>
      <c r="I41" s="295"/>
      <c r="J41" s="296"/>
      <c r="K41" s="86">
        <f>'Absorbance Data Matlab'!T37</f>
        <v>8.9777005879373158E-6</v>
      </c>
      <c r="L41" s="294"/>
      <c r="M41" s="295"/>
      <c r="N41" s="296"/>
      <c r="O41" s="86">
        <f>'Absorbance Data Matlab'!U37</f>
        <v>-1.7460642183231988E-5</v>
      </c>
      <c r="P41" s="294"/>
      <c r="Q41" s="295"/>
      <c r="R41" s="296"/>
      <c r="S41" s="86">
        <f>'Absorbance Data Matlab'!V37</f>
        <v>-5.3048304595091838E-6</v>
      </c>
      <c r="T41" s="294"/>
      <c r="U41" s="295"/>
      <c r="V41" s="296"/>
      <c r="W41" s="86">
        <f>'Absorbance Data Matlab'!W37</f>
        <v>-2.074905737735287E-7</v>
      </c>
      <c r="X41" s="294"/>
      <c r="Y41" s="295"/>
      <c r="Z41" s="296"/>
      <c r="AA41" s="86">
        <f>'Absorbance Data Matlab'!X37</f>
        <v>-1.2066957218516607E-5</v>
      </c>
      <c r="AB41" s="294"/>
      <c r="AC41" s="295"/>
      <c r="AD41" s="296"/>
      <c r="AE41" s="86">
        <f>'Absorbance Data Matlab'!Y37</f>
        <v>2.37081077124376E-6</v>
      </c>
      <c r="AF41" s="262"/>
      <c r="AG41" s="263"/>
      <c r="AH41" s="264"/>
      <c r="AI41" s="86">
        <f>'Absorbance Data Matlab'!Z37</f>
        <v>-5.7405927966074965E-6</v>
      </c>
      <c r="AJ41" s="294"/>
      <c r="AK41" s="295"/>
      <c r="AL41" s="296"/>
      <c r="AM41" s="86">
        <f>'Absorbance Data Matlab'!AA37</f>
        <v>3.9142302329747956E-7</v>
      </c>
      <c r="AN41" s="294"/>
      <c r="AO41" s="295"/>
      <c r="AP41" s="296"/>
      <c r="AQ41" s="86">
        <f>'Absorbance Data Matlab'!AB37</f>
        <v>-2.4662409346494263E-6</v>
      </c>
      <c r="AR41" s="294"/>
      <c r="AS41" s="295"/>
      <c r="AT41" s="296"/>
      <c r="AU41" s="79">
        <f>'Absorbance Data Matlab'!AC37</f>
        <v>1.0823951301259478E-6</v>
      </c>
      <c r="AV41" s="262"/>
      <c r="AW41" s="263"/>
      <c r="AX41" s="264"/>
      <c r="AY41" s="79">
        <f>'Absorbance Data Matlab'!AD37</f>
        <v>7.0067731033138621E-6</v>
      </c>
      <c r="AZ41" s="262"/>
      <c r="BA41" s="263"/>
      <c r="BB41" s="264"/>
      <c r="BC41" s="79">
        <f>'Absorbance Data Matlab'!AE37</f>
        <v>2.1936640081277516E-5</v>
      </c>
      <c r="BD41" s="262"/>
      <c r="BE41" s="263"/>
      <c r="BF41" s="264"/>
    </row>
    <row r="42" spans="1:58">
      <c r="B42" s="85">
        <v>175</v>
      </c>
      <c r="C42" s="89">
        <f>'Absorbance Data Matlab'!R38</f>
        <v>1.5995471336592364E-5</v>
      </c>
      <c r="D42" s="94"/>
      <c r="E42" s="95"/>
      <c r="F42" s="96"/>
      <c r="G42" s="93">
        <f>'Absorbance Data Matlab'!S38</f>
        <v>-9.1024095814213796E-6</v>
      </c>
      <c r="H42" s="294"/>
      <c r="I42" s="295"/>
      <c r="J42" s="296"/>
      <c r="K42" s="86">
        <f>'Absorbance Data Matlab'!T38</f>
        <v>3.4910527546847345E-6</v>
      </c>
      <c r="L42" s="294"/>
      <c r="M42" s="295"/>
      <c r="N42" s="296"/>
      <c r="O42" s="86">
        <f>'Absorbance Data Matlab'!U38</f>
        <v>2.2795219832412076E-6</v>
      </c>
      <c r="P42" s="294"/>
      <c r="Q42" s="295"/>
      <c r="R42" s="296"/>
      <c r="S42" s="86">
        <f>'Absorbance Data Matlab'!V38</f>
        <v>9.7890421853508146E-6</v>
      </c>
      <c r="T42" s="294"/>
      <c r="U42" s="295"/>
      <c r="V42" s="296"/>
      <c r="W42" s="86">
        <f>'Absorbance Data Matlab'!W38</f>
        <v>5.2225989851708048E-6</v>
      </c>
      <c r="X42" s="294"/>
      <c r="Y42" s="295"/>
      <c r="Z42" s="296"/>
      <c r="AA42" s="86">
        <f>'Absorbance Data Matlab'!X38</f>
        <v>-1.8738153315332021E-5</v>
      </c>
      <c r="AB42" s="294"/>
      <c r="AC42" s="295"/>
      <c r="AD42" s="296"/>
      <c r="AE42" s="86">
        <f>'Absorbance Data Matlab'!Y38</f>
        <v>1.0829897847289941E-6</v>
      </c>
      <c r="AF42" s="262"/>
      <c r="AG42" s="263"/>
      <c r="AH42" s="264"/>
      <c r="AI42" s="86">
        <f>'Absorbance Data Matlab'!Z38</f>
        <v>1.5884597968782399E-5</v>
      </c>
      <c r="AJ42" s="294"/>
      <c r="AK42" s="295"/>
      <c r="AL42" s="296"/>
      <c r="AM42" s="86">
        <f>'Absorbance Data Matlab'!AA38</f>
        <v>-4.4382009097357666E-6</v>
      </c>
      <c r="AN42" s="294"/>
      <c r="AO42" s="295"/>
      <c r="AP42" s="296"/>
      <c r="AQ42" s="86">
        <f>'Absorbance Data Matlab'!AB38</f>
        <v>-2.4306651440633679E-6</v>
      </c>
      <c r="AR42" s="294"/>
      <c r="AS42" s="295"/>
      <c r="AT42" s="296"/>
      <c r="AU42" s="79">
        <f>'Absorbance Data Matlab'!AC38</f>
        <v>2.4766781231547147E-6</v>
      </c>
      <c r="AV42" s="262"/>
      <c r="AW42" s="263"/>
      <c r="AX42" s="264"/>
      <c r="AY42" s="79">
        <f>'Absorbance Data Matlab'!AD38</f>
        <v>7.5987956064394131E-6</v>
      </c>
      <c r="AZ42" s="262"/>
      <c r="BA42" s="263"/>
      <c r="BB42" s="264"/>
      <c r="BC42" s="79">
        <f>'Absorbance Data Matlab'!AE38</f>
        <v>-6.8173039738655726E-7</v>
      </c>
      <c r="BD42" s="262"/>
      <c r="BE42" s="263"/>
      <c r="BF42" s="264"/>
    </row>
    <row r="43" spans="1:58">
      <c r="B43" s="85">
        <v>180</v>
      </c>
      <c r="C43" s="89">
        <f>'Absorbance Data Matlab'!R39</f>
        <v>-1.1782686984605973E-5</v>
      </c>
      <c r="D43" s="97"/>
      <c r="E43" s="98"/>
      <c r="F43" s="99"/>
      <c r="G43" s="93">
        <f>'Absorbance Data Matlab'!S39</f>
        <v>-1.3064209839069283E-5</v>
      </c>
      <c r="H43" s="297"/>
      <c r="I43" s="298"/>
      <c r="J43" s="299"/>
      <c r="K43" s="86">
        <f>'Absorbance Data Matlab'!T39</f>
        <v>5.9026129527189163E-6</v>
      </c>
      <c r="L43" s="297"/>
      <c r="M43" s="298"/>
      <c r="N43" s="299"/>
      <c r="O43" s="86">
        <f>'Absorbance Data Matlab'!U39</f>
        <v>-1.7211804423242075E-6</v>
      </c>
      <c r="P43" s="297"/>
      <c r="Q43" s="298"/>
      <c r="R43" s="299"/>
      <c r="S43" s="86">
        <f>'Absorbance Data Matlab'!V39</f>
        <v>3.7987469480600366E-6</v>
      </c>
      <c r="T43" s="297"/>
      <c r="U43" s="298"/>
      <c r="V43" s="299"/>
      <c r="W43" s="86">
        <f>'Absorbance Data Matlab'!W39</f>
        <v>-7.605086547882476E-7</v>
      </c>
      <c r="X43" s="297"/>
      <c r="Y43" s="298"/>
      <c r="Z43" s="299"/>
      <c r="AA43" s="86">
        <f>'Absorbance Data Matlab'!X39</f>
        <v>2.3385318976916594E-5</v>
      </c>
      <c r="AB43" s="297"/>
      <c r="AC43" s="298"/>
      <c r="AD43" s="299"/>
      <c r="AE43" s="86">
        <f>'Absorbance Data Matlab'!Y39</f>
        <v>-1.1416120185578465E-5</v>
      </c>
      <c r="AF43" s="265"/>
      <c r="AG43" s="266"/>
      <c r="AH43" s="267"/>
      <c r="AI43" s="86">
        <f>'Absorbance Data Matlab'!Z39</f>
        <v>-1.1963891191239937E-5</v>
      </c>
      <c r="AJ43" s="297"/>
      <c r="AK43" s="298"/>
      <c r="AL43" s="299"/>
      <c r="AM43" s="86">
        <f>'Absorbance Data Matlab'!AA39</f>
        <v>1.0760448658689558E-6</v>
      </c>
      <c r="AN43" s="297"/>
      <c r="AO43" s="298"/>
      <c r="AP43" s="299"/>
      <c r="AQ43" s="86">
        <f>'Absorbance Data Matlab'!AB39</f>
        <v>2.0892320255549652E-5</v>
      </c>
      <c r="AR43" s="297"/>
      <c r="AS43" s="298"/>
      <c r="AT43" s="299"/>
      <c r="AU43" s="79">
        <f>'Absorbance Data Matlab'!AC39</f>
        <v>9.6816830914907232E-7</v>
      </c>
      <c r="AV43" s="265"/>
      <c r="AW43" s="266"/>
      <c r="AX43" s="267"/>
      <c r="AY43" s="79">
        <f>'Absorbance Data Matlab'!AD39</f>
        <v>1.2205091607299184E-5</v>
      </c>
      <c r="AZ43" s="265"/>
      <c r="BA43" s="266"/>
      <c r="BB43" s="267"/>
      <c r="BC43" s="79">
        <f>'Absorbance Data Matlab'!AE39</f>
        <v>-4.9969122593271538E-6</v>
      </c>
      <c r="BD43" s="265"/>
      <c r="BE43" s="266"/>
      <c r="BF43" s="267"/>
    </row>
    <row r="44" spans="1:58" ht="17" thickBot="1">
      <c r="P44" s="128"/>
      <c r="W44" s="128"/>
    </row>
    <row r="45" spans="1:58">
      <c r="A45" s="129" t="s">
        <v>109</v>
      </c>
      <c r="B45" s="130"/>
      <c r="C45" s="269" t="s">
        <v>13</v>
      </c>
      <c r="D45" s="269"/>
      <c r="E45" s="269"/>
      <c r="F45" s="269"/>
      <c r="G45" s="270" t="s">
        <v>14</v>
      </c>
      <c r="H45" s="270"/>
      <c r="I45" s="270"/>
      <c r="J45" s="270"/>
      <c r="K45" s="271" t="s">
        <v>15</v>
      </c>
      <c r="L45" s="271"/>
      <c r="M45" s="271"/>
      <c r="N45" s="271"/>
      <c r="O45" s="270" t="s">
        <v>16</v>
      </c>
      <c r="P45" s="270"/>
      <c r="Q45" s="270"/>
      <c r="R45" s="270"/>
      <c r="S45" s="245" t="s">
        <v>17</v>
      </c>
      <c r="T45" s="245"/>
      <c r="U45" s="245"/>
      <c r="V45" s="245"/>
      <c r="W45" s="246" t="s">
        <v>18</v>
      </c>
      <c r="X45" s="246"/>
      <c r="Y45" s="246"/>
      <c r="Z45" s="246"/>
      <c r="AA45" s="245" t="s">
        <v>19</v>
      </c>
      <c r="AB45" s="245"/>
      <c r="AC45" s="245"/>
      <c r="AD45" s="245"/>
      <c r="AE45" s="274" t="s">
        <v>20</v>
      </c>
      <c r="AF45" s="274"/>
      <c r="AG45" s="274"/>
      <c r="AH45" s="274"/>
      <c r="AI45" s="275" t="s">
        <v>21</v>
      </c>
      <c r="AJ45" s="275"/>
      <c r="AK45" s="275"/>
      <c r="AL45" s="275"/>
      <c r="AM45" s="274" t="s">
        <v>22</v>
      </c>
      <c r="AN45" s="274"/>
      <c r="AO45" s="274"/>
      <c r="AP45" s="274"/>
      <c r="AQ45" s="253" t="s">
        <v>23</v>
      </c>
      <c r="AR45" s="253"/>
      <c r="AS45" s="253"/>
      <c r="AT45" s="253"/>
      <c r="AU45" s="253" t="s">
        <v>24</v>
      </c>
      <c r="AV45" s="253"/>
      <c r="AW45" s="253"/>
      <c r="AX45" s="253"/>
      <c r="AY45" s="253" t="s">
        <v>25</v>
      </c>
      <c r="AZ45" s="253"/>
      <c r="BA45" s="253"/>
      <c r="BB45" s="253"/>
      <c r="BC45" s="253" t="s">
        <v>96</v>
      </c>
      <c r="BD45" s="253"/>
      <c r="BE45" s="253"/>
      <c r="BF45" s="253"/>
    </row>
    <row r="46" spans="1:58" ht="34">
      <c r="A46" s="276" t="s">
        <v>115</v>
      </c>
      <c r="B46" s="268"/>
      <c r="C46" s="100" t="s">
        <v>136</v>
      </c>
      <c r="D46" s="100" t="s">
        <v>116</v>
      </c>
      <c r="E46" s="100" t="s">
        <v>117</v>
      </c>
      <c r="F46" s="101" t="s">
        <v>118</v>
      </c>
      <c r="G46" s="100" t="s">
        <v>136</v>
      </c>
      <c r="H46" s="100" t="s">
        <v>116</v>
      </c>
      <c r="I46" s="100" t="s">
        <v>117</v>
      </c>
      <c r="J46" s="101" t="s">
        <v>118</v>
      </c>
      <c r="K46" s="100" t="s">
        <v>136</v>
      </c>
      <c r="L46" s="100" t="s">
        <v>116</v>
      </c>
      <c r="M46" s="100" t="s">
        <v>117</v>
      </c>
      <c r="N46" s="101" t="s">
        <v>118</v>
      </c>
      <c r="O46" s="100" t="s">
        <v>136</v>
      </c>
      <c r="P46" s="100" t="s">
        <v>116</v>
      </c>
      <c r="Q46" s="100" t="s">
        <v>117</v>
      </c>
      <c r="R46" s="101" t="s">
        <v>118</v>
      </c>
      <c r="S46" s="100" t="s">
        <v>136</v>
      </c>
      <c r="T46" s="100" t="s">
        <v>116</v>
      </c>
      <c r="U46" s="100" t="s">
        <v>117</v>
      </c>
      <c r="V46" s="101" t="s">
        <v>118</v>
      </c>
      <c r="W46" s="100" t="s">
        <v>136</v>
      </c>
      <c r="X46" s="100" t="s">
        <v>116</v>
      </c>
      <c r="Y46" s="100" t="s">
        <v>117</v>
      </c>
      <c r="Z46" s="101" t="s">
        <v>118</v>
      </c>
      <c r="AA46" s="100" t="s">
        <v>136</v>
      </c>
      <c r="AB46" s="100" t="s">
        <v>116</v>
      </c>
      <c r="AC46" s="100" t="s">
        <v>117</v>
      </c>
      <c r="AD46" s="101" t="s">
        <v>118</v>
      </c>
      <c r="AE46" s="100" t="s">
        <v>136</v>
      </c>
      <c r="AF46" s="100" t="s">
        <v>116</v>
      </c>
      <c r="AG46" s="100" t="s">
        <v>117</v>
      </c>
      <c r="AH46" s="101" t="s">
        <v>118</v>
      </c>
      <c r="AI46" s="100" t="s">
        <v>136</v>
      </c>
      <c r="AJ46" s="100" t="s">
        <v>116</v>
      </c>
      <c r="AK46" s="100" t="s">
        <v>117</v>
      </c>
      <c r="AL46" s="101" t="s">
        <v>118</v>
      </c>
      <c r="AM46" s="100" t="s">
        <v>136</v>
      </c>
      <c r="AN46" s="100" t="s">
        <v>116</v>
      </c>
      <c r="AO46" s="100" t="s">
        <v>117</v>
      </c>
      <c r="AP46" s="101" t="s">
        <v>118</v>
      </c>
      <c r="AQ46" s="100" t="s">
        <v>136</v>
      </c>
      <c r="AR46" s="100" t="s">
        <v>116</v>
      </c>
      <c r="AS46" s="100" t="s">
        <v>117</v>
      </c>
      <c r="AT46" s="101" t="s">
        <v>118</v>
      </c>
      <c r="AU46" s="100" t="s">
        <v>136</v>
      </c>
      <c r="AV46" s="100" t="s">
        <v>116</v>
      </c>
      <c r="AW46" s="100" t="s">
        <v>117</v>
      </c>
      <c r="AX46" s="101" t="s">
        <v>118</v>
      </c>
      <c r="AY46" s="100" t="s">
        <v>136</v>
      </c>
      <c r="AZ46" s="100" t="s">
        <v>116</v>
      </c>
      <c r="BA46" s="100" t="s">
        <v>117</v>
      </c>
      <c r="BB46" s="101" t="s">
        <v>118</v>
      </c>
      <c r="BC46" s="100" t="s">
        <v>136</v>
      </c>
      <c r="BD46" s="100" t="s">
        <v>116</v>
      </c>
      <c r="BE46" s="100" t="s">
        <v>117</v>
      </c>
      <c r="BF46" s="101" t="s">
        <v>118</v>
      </c>
    </row>
    <row r="47" spans="1:58">
      <c r="A47" s="276"/>
      <c r="B47" s="268"/>
      <c r="C47" s="126">
        <v>35</v>
      </c>
      <c r="D47" s="126">
        <v>0.02</v>
      </c>
      <c r="E47" s="126">
        <v>2E-3</v>
      </c>
      <c r="F47" s="131">
        <v>2</v>
      </c>
      <c r="G47" s="126">
        <v>35</v>
      </c>
      <c r="H47" s="126">
        <v>0.02</v>
      </c>
      <c r="I47" s="126">
        <v>2E-3</v>
      </c>
      <c r="J47" s="131">
        <v>1</v>
      </c>
      <c r="K47" s="126">
        <v>35</v>
      </c>
      <c r="L47" s="126">
        <v>0.02</v>
      </c>
      <c r="M47" s="126">
        <v>2E-3</v>
      </c>
      <c r="N47" s="131">
        <v>3</v>
      </c>
      <c r="O47" s="126">
        <v>35</v>
      </c>
      <c r="P47" s="126">
        <v>0.02</v>
      </c>
      <c r="Q47" s="126">
        <v>2E-3</v>
      </c>
      <c r="R47" s="131">
        <v>4</v>
      </c>
      <c r="S47" s="126">
        <v>35</v>
      </c>
      <c r="T47" s="126">
        <v>0.01</v>
      </c>
      <c r="U47" s="126">
        <v>2E-3</v>
      </c>
      <c r="V47" s="131">
        <v>2</v>
      </c>
      <c r="W47" s="126">
        <v>35</v>
      </c>
      <c r="X47" s="126">
        <v>0.03</v>
      </c>
      <c r="Y47" s="126">
        <v>2E-3</v>
      </c>
      <c r="Z47" s="131">
        <v>2</v>
      </c>
      <c r="AA47" s="126">
        <v>35</v>
      </c>
      <c r="AB47" s="126">
        <v>0.04</v>
      </c>
      <c r="AC47" s="126">
        <v>2E-3</v>
      </c>
      <c r="AD47" s="131">
        <v>2</v>
      </c>
      <c r="AE47" s="126">
        <v>35</v>
      </c>
      <c r="AF47" s="126">
        <v>0.02</v>
      </c>
      <c r="AG47" s="126">
        <v>1E-3</v>
      </c>
      <c r="AH47" s="131">
        <v>2</v>
      </c>
      <c r="AI47" s="126">
        <v>35</v>
      </c>
      <c r="AJ47" s="126">
        <v>0.02</v>
      </c>
      <c r="AK47" s="126">
        <v>3.0000000000000001E-3</v>
      </c>
      <c r="AL47" s="131">
        <v>2</v>
      </c>
      <c r="AM47" s="126">
        <v>35</v>
      </c>
      <c r="AN47" s="126">
        <v>0.02</v>
      </c>
      <c r="AO47" s="126">
        <v>4.0000000000000001E-3</v>
      </c>
      <c r="AP47" s="131">
        <v>2</v>
      </c>
      <c r="AQ47" s="126">
        <v>30</v>
      </c>
      <c r="AR47" s="126">
        <v>0.02</v>
      </c>
      <c r="AS47" s="126">
        <v>2E-3</v>
      </c>
      <c r="AT47" s="131">
        <v>2</v>
      </c>
      <c r="AU47" s="126">
        <v>33</v>
      </c>
      <c r="AV47" s="126">
        <v>0.02</v>
      </c>
      <c r="AW47" s="126">
        <v>2E-3</v>
      </c>
      <c r="AX47" s="131">
        <v>2</v>
      </c>
      <c r="AY47" s="126">
        <v>40</v>
      </c>
      <c r="AZ47" s="126">
        <v>0.02</v>
      </c>
      <c r="BA47" s="126">
        <v>2E-3</v>
      </c>
      <c r="BB47" s="131">
        <v>2</v>
      </c>
      <c r="BC47" s="126">
        <v>38</v>
      </c>
      <c r="BD47" s="126">
        <v>0.02</v>
      </c>
      <c r="BE47" s="126">
        <v>2E-3</v>
      </c>
      <c r="BF47" s="131">
        <v>2</v>
      </c>
    </row>
    <row r="48" spans="1:58">
      <c r="A48" s="80"/>
      <c r="B48" s="81" t="s">
        <v>119</v>
      </c>
      <c r="D48" s="126">
        <f t="shared" ref="D48:E48" si="42">D47*650/1</f>
        <v>13</v>
      </c>
      <c r="E48" s="126">
        <f t="shared" si="42"/>
        <v>1.3</v>
      </c>
      <c r="F48" s="131">
        <f>F47*650/13.6</f>
        <v>95.588235294117652</v>
      </c>
      <c r="H48" s="126">
        <f t="shared" ref="H48:I48" si="43">H47*650/1</f>
        <v>13</v>
      </c>
      <c r="I48" s="126">
        <f t="shared" si="43"/>
        <v>1.3</v>
      </c>
      <c r="J48" s="131">
        <f>J47*650/13.6</f>
        <v>47.794117647058826</v>
      </c>
      <c r="L48" s="126">
        <f t="shared" ref="L48:M48" si="44">L47*650/1</f>
        <v>13</v>
      </c>
      <c r="M48" s="126">
        <f t="shared" si="44"/>
        <v>1.3</v>
      </c>
      <c r="N48" s="131">
        <f>N47*650/13.6</f>
        <v>143.38235294117646</v>
      </c>
      <c r="P48" s="126">
        <f t="shared" ref="P48:Q48" si="45">P47*650/1</f>
        <v>13</v>
      </c>
      <c r="Q48" s="126">
        <f t="shared" si="45"/>
        <v>1.3</v>
      </c>
      <c r="R48" s="131">
        <f>R47*650/13.6</f>
        <v>191.1764705882353</v>
      </c>
      <c r="T48" s="126">
        <f t="shared" ref="T48:U48" si="46">T47*650/1</f>
        <v>6.5</v>
      </c>
      <c r="U48" s="126">
        <f t="shared" si="46"/>
        <v>1.3</v>
      </c>
      <c r="V48" s="131">
        <f>V47*650/13.6</f>
        <v>95.588235294117652</v>
      </c>
      <c r="X48" s="126">
        <f t="shared" ref="X48:Y48" si="47">X47*650/1</f>
        <v>19.5</v>
      </c>
      <c r="Y48" s="126">
        <f t="shared" si="47"/>
        <v>1.3</v>
      </c>
      <c r="Z48" s="131">
        <f>Z47*650/13.6</f>
        <v>95.588235294117652</v>
      </c>
      <c r="AB48" s="126">
        <f t="shared" ref="AB48:AC48" si="48">AB47*650/1</f>
        <v>26</v>
      </c>
      <c r="AC48" s="126">
        <f t="shared" si="48"/>
        <v>1.3</v>
      </c>
      <c r="AD48" s="131">
        <f>AD47*650/13.6</f>
        <v>95.588235294117652</v>
      </c>
      <c r="AF48" s="126">
        <f t="shared" ref="AF48:AG48" si="49">AF47*650/1</f>
        <v>13</v>
      </c>
      <c r="AG48" s="126">
        <f t="shared" si="49"/>
        <v>0.65</v>
      </c>
      <c r="AH48" s="131">
        <f>AH47*650/13.6</f>
        <v>95.588235294117652</v>
      </c>
      <c r="AJ48" s="126">
        <f t="shared" ref="AJ48:AK48" si="50">AJ47*650/1</f>
        <v>13</v>
      </c>
      <c r="AK48" s="126">
        <f t="shared" si="50"/>
        <v>1.95</v>
      </c>
      <c r="AL48" s="131">
        <f>AL47*650/13.6</f>
        <v>95.588235294117652</v>
      </c>
      <c r="AN48" s="126">
        <f t="shared" ref="AN48:AO48" si="51">AN47*650/1</f>
        <v>13</v>
      </c>
      <c r="AO48" s="126">
        <f t="shared" si="51"/>
        <v>2.6</v>
      </c>
      <c r="AP48" s="131">
        <f>AP47*650/13.6</f>
        <v>95.588235294117652</v>
      </c>
      <c r="AR48" s="126">
        <f t="shared" ref="AR48:AS48" si="52">AR47*650/1</f>
        <v>13</v>
      </c>
      <c r="AS48" s="126">
        <f t="shared" si="52"/>
        <v>1.3</v>
      </c>
      <c r="AT48" s="131">
        <f>AT47*650/13.6</f>
        <v>95.588235294117652</v>
      </c>
      <c r="AV48" s="126">
        <f t="shared" ref="AV48:AW48" si="53">AV47*650/1</f>
        <v>13</v>
      </c>
      <c r="AW48" s="126">
        <f t="shared" si="53"/>
        <v>1.3</v>
      </c>
      <c r="AX48" s="131">
        <f>AX47*650/13.6</f>
        <v>95.588235294117652</v>
      </c>
      <c r="AZ48" s="126">
        <f t="shared" ref="AZ48:BA48" si="54">AZ47*650/1</f>
        <v>13</v>
      </c>
      <c r="BA48" s="126">
        <f t="shared" si="54"/>
        <v>1.3</v>
      </c>
      <c r="BB48" s="131">
        <f>BB47*650/13.6</f>
        <v>95.588235294117652</v>
      </c>
      <c r="BD48" s="126">
        <f t="shared" ref="BD48:BE48" si="55">BD47*650/1</f>
        <v>13</v>
      </c>
      <c r="BE48" s="126">
        <f t="shared" si="55"/>
        <v>1.3</v>
      </c>
      <c r="BF48" s="131">
        <f>BF47*650/13.6</f>
        <v>95.588235294117652</v>
      </c>
    </row>
    <row r="49" spans="1:58">
      <c r="A49" s="80"/>
      <c r="B49" s="81" t="s">
        <v>120</v>
      </c>
      <c r="D49" s="126">
        <f t="shared" ref="D49:E49" si="56">D48*1</f>
        <v>13</v>
      </c>
      <c r="E49" s="126">
        <f t="shared" si="56"/>
        <v>1.3</v>
      </c>
      <c r="F49" s="131">
        <f>F48*1*0.79</f>
        <v>75.514705882352942</v>
      </c>
      <c r="H49" s="126">
        <f t="shared" ref="H49:I49" si="57">H48*1</f>
        <v>13</v>
      </c>
      <c r="I49" s="126">
        <f t="shared" si="57"/>
        <v>1.3</v>
      </c>
      <c r="J49" s="131">
        <f>J48*1*0.79</f>
        <v>37.757352941176471</v>
      </c>
      <c r="L49" s="126">
        <f t="shared" ref="L49:M49" si="58">L48*1</f>
        <v>13</v>
      </c>
      <c r="M49" s="126">
        <f t="shared" si="58"/>
        <v>1.3</v>
      </c>
      <c r="N49" s="131">
        <f>N48*1*0.79</f>
        <v>113.27205882352941</v>
      </c>
      <c r="P49" s="126">
        <f t="shared" ref="P49:Q49" si="59">P48*1</f>
        <v>13</v>
      </c>
      <c r="Q49" s="126">
        <f t="shared" si="59"/>
        <v>1.3</v>
      </c>
      <c r="R49" s="131">
        <f>R48*1*0.79</f>
        <v>151.02941176470588</v>
      </c>
      <c r="T49" s="126">
        <f t="shared" ref="T49:U49" si="60">T48*1</f>
        <v>6.5</v>
      </c>
      <c r="U49" s="126">
        <f t="shared" si="60"/>
        <v>1.3</v>
      </c>
      <c r="V49" s="131">
        <f>V48*1*0.79</f>
        <v>75.514705882352942</v>
      </c>
      <c r="X49" s="126">
        <f t="shared" ref="X49:Y49" si="61">X48*1</f>
        <v>19.5</v>
      </c>
      <c r="Y49" s="126">
        <f t="shared" si="61"/>
        <v>1.3</v>
      </c>
      <c r="Z49" s="131">
        <f>Z48*1*0.79</f>
        <v>75.514705882352942</v>
      </c>
      <c r="AB49" s="126">
        <f t="shared" ref="AB49:AC49" si="62">AB48*1</f>
        <v>26</v>
      </c>
      <c r="AC49" s="126">
        <f t="shared" si="62"/>
        <v>1.3</v>
      </c>
      <c r="AD49" s="131">
        <f>AD48*1*0.79</f>
        <v>75.514705882352942</v>
      </c>
      <c r="AF49" s="126">
        <f t="shared" ref="AF49:AG49" si="63">AF48*1</f>
        <v>13</v>
      </c>
      <c r="AG49" s="126">
        <f t="shared" si="63"/>
        <v>0.65</v>
      </c>
      <c r="AH49" s="131">
        <f>AH48*1*0.79</f>
        <v>75.514705882352942</v>
      </c>
      <c r="AJ49" s="126">
        <f t="shared" ref="AJ49:AK49" si="64">AJ48*1</f>
        <v>13</v>
      </c>
      <c r="AK49" s="126">
        <f t="shared" si="64"/>
        <v>1.95</v>
      </c>
      <c r="AL49" s="131">
        <f>AL48*1*0.79</f>
        <v>75.514705882352942</v>
      </c>
      <c r="AN49" s="126">
        <f t="shared" ref="AN49:AO49" si="65">AN48*1</f>
        <v>13</v>
      </c>
      <c r="AO49" s="126">
        <f t="shared" si="65"/>
        <v>2.6</v>
      </c>
      <c r="AP49" s="131">
        <f>AP48*1*0.79</f>
        <v>75.514705882352942</v>
      </c>
      <c r="AR49" s="126">
        <f t="shared" ref="AR49:AS49" si="66">AR48*1</f>
        <v>13</v>
      </c>
      <c r="AS49" s="126">
        <f t="shared" si="66"/>
        <v>1.3</v>
      </c>
      <c r="AT49" s="131">
        <f>AT48*1*0.79</f>
        <v>75.514705882352942</v>
      </c>
      <c r="AV49" s="126">
        <f t="shared" ref="AV49:AW49" si="67">AV48*1</f>
        <v>13</v>
      </c>
      <c r="AW49" s="126">
        <f t="shared" si="67"/>
        <v>1.3</v>
      </c>
      <c r="AX49" s="131">
        <f>AX48*1*0.79</f>
        <v>75.514705882352942</v>
      </c>
      <c r="AZ49" s="126">
        <f t="shared" ref="AZ49:BA49" si="68">AZ48*1</f>
        <v>13</v>
      </c>
      <c r="BA49" s="126">
        <f t="shared" si="68"/>
        <v>1.3</v>
      </c>
      <c r="BB49" s="131">
        <f>BB48*1*0.79</f>
        <v>75.514705882352942</v>
      </c>
      <c r="BD49" s="126">
        <f t="shared" ref="BD49:BE49" si="69">BD48*1</f>
        <v>13</v>
      </c>
      <c r="BE49" s="126">
        <f t="shared" si="69"/>
        <v>1.3</v>
      </c>
      <c r="BF49" s="131">
        <f>BF48*1*0.79</f>
        <v>75.514705882352942</v>
      </c>
    </row>
    <row r="50" spans="1:58">
      <c r="A50" s="80"/>
      <c r="B50" s="81" t="s">
        <v>121</v>
      </c>
      <c r="D50" s="126">
        <f>(D49/1)*1/650</f>
        <v>0.02</v>
      </c>
      <c r="E50" s="126">
        <f>(E49/1)*0.1/650</f>
        <v>2.0000000000000001E-4</v>
      </c>
      <c r="F50" s="131">
        <f>(F49/0.79)*13.6/650</f>
        <v>1.9999999999999996</v>
      </c>
      <c r="H50" s="126">
        <f>(H49/1)*1/650</f>
        <v>0.02</v>
      </c>
      <c r="I50" s="126">
        <f>(I49/1)*0.1/650</f>
        <v>2.0000000000000001E-4</v>
      </c>
      <c r="J50" s="131">
        <f>(J49/0.79)*13.6/650</f>
        <v>0.99999999999999978</v>
      </c>
      <c r="L50" s="126">
        <f>(L49/1)*1/650</f>
        <v>0.02</v>
      </c>
      <c r="M50" s="126">
        <f>(M49/1)*0.1/650</f>
        <v>2.0000000000000001E-4</v>
      </c>
      <c r="N50" s="131">
        <f>(N49/0.79)*13.6/650</f>
        <v>2.9999999999999996</v>
      </c>
      <c r="P50" s="126">
        <f>(P49/1)*1/650</f>
        <v>0.02</v>
      </c>
      <c r="Q50" s="126">
        <f>(Q49/1)*0.1/650</f>
        <v>2.0000000000000001E-4</v>
      </c>
      <c r="R50" s="131">
        <f>(R49/0.79)*13.6/650</f>
        <v>3.9999999999999991</v>
      </c>
      <c r="T50" s="126">
        <f>(T49/1)*1/650</f>
        <v>0.01</v>
      </c>
      <c r="U50" s="126">
        <f>(U49/1)*0.1/650</f>
        <v>2.0000000000000001E-4</v>
      </c>
      <c r="V50" s="131">
        <f>(V49/0.79)*13.6/650</f>
        <v>1.9999999999999996</v>
      </c>
      <c r="X50" s="126">
        <f>(X49/1)*1/650</f>
        <v>0.03</v>
      </c>
      <c r="Y50" s="126">
        <f>(Y49/1)*0.1/650</f>
        <v>2.0000000000000001E-4</v>
      </c>
      <c r="Z50" s="131">
        <f>(Z49/0.79)*13.6/650</f>
        <v>1.9999999999999996</v>
      </c>
      <c r="AB50" s="126">
        <f>(AB49/1)*1/650</f>
        <v>0.04</v>
      </c>
      <c r="AC50" s="126">
        <f>(AC49/1)*0.1/650</f>
        <v>2.0000000000000001E-4</v>
      </c>
      <c r="AD50" s="131">
        <f>(AD49/0.79)*13.6/650</f>
        <v>1.9999999999999996</v>
      </c>
      <c r="AF50" s="126">
        <f>(AF49/1)*1/650</f>
        <v>0.02</v>
      </c>
      <c r="AG50" s="126">
        <f>(AG49/1)*0.1/650</f>
        <v>1E-4</v>
      </c>
      <c r="AH50" s="131">
        <f>(AH49/0.79)*13.6/650</f>
        <v>1.9999999999999996</v>
      </c>
      <c r="AJ50" s="126">
        <f>(AJ49/1)*1/650</f>
        <v>0.02</v>
      </c>
      <c r="AK50" s="126">
        <f>(AK49/1)*0.1/650</f>
        <v>3.0000000000000003E-4</v>
      </c>
      <c r="AL50" s="131">
        <f>(AL49/0.79)*13.6/650</f>
        <v>1.9999999999999996</v>
      </c>
      <c r="AN50" s="126">
        <f>(AN49/1)*1/650</f>
        <v>0.02</v>
      </c>
      <c r="AO50" s="126">
        <f>(AO49/1)*0.1/650</f>
        <v>4.0000000000000002E-4</v>
      </c>
      <c r="AP50" s="131">
        <f>(AP49/0.79)*13.6/650</f>
        <v>1.9999999999999996</v>
      </c>
      <c r="AR50" s="126">
        <f>(AR49/1)*1/650</f>
        <v>0.02</v>
      </c>
      <c r="AS50" s="126">
        <f>(AS49/1)*0.1/650</f>
        <v>2.0000000000000001E-4</v>
      </c>
      <c r="AT50" s="131">
        <f>(AT49/0.79)*13.6/650</f>
        <v>1.9999999999999996</v>
      </c>
      <c r="AV50" s="126">
        <f>(AV49/1)*1/650</f>
        <v>0.02</v>
      </c>
      <c r="AW50" s="126">
        <f>(AW49/1)*0.1/650</f>
        <v>2.0000000000000001E-4</v>
      </c>
      <c r="AX50" s="131">
        <f>(AX49/0.79)*13.6/650</f>
        <v>1.9999999999999996</v>
      </c>
      <c r="AZ50" s="126">
        <f>(AZ49/1)*1/650</f>
        <v>0.02</v>
      </c>
      <c r="BA50" s="126">
        <f>(BA49/1)*0.1/650</f>
        <v>2.0000000000000001E-4</v>
      </c>
      <c r="BB50" s="131">
        <f>(BB49/0.79)*13.6/650</f>
        <v>1.9999999999999996</v>
      </c>
      <c r="BD50" s="126">
        <f>(BD49/1)*1/650</f>
        <v>0.02</v>
      </c>
      <c r="BE50" s="126">
        <f>(BE49/1)*0.1/650</f>
        <v>2.0000000000000001E-4</v>
      </c>
      <c r="BF50" s="131">
        <f>(BF49/0.79)*13.6/650</f>
        <v>1.9999999999999996</v>
      </c>
    </row>
    <row r="51" spans="1:58">
      <c r="A51" s="80"/>
      <c r="B51" s="81" t="s">
        <v>122</v>
      </c>
      <c r="D51" s="126">
        <f t="shared" ref="D51:F51" si="70">D50*SQRT((0.0001/D49)^2)</f>
        <v>1.5384615384615385E-7</v>
      </c>
      <c r="E51" s="126">
        <f t="shared" si="70"/>
        <v>1.5384615384615385E-8</v>
      </c>
      <c r="F51" s="131">
        <f t="shared" si="70"/>
        <v>2.6484907497565723E-6</v>
      </c>
      <c r="H51" s="126">
        <f t="shared" ref="H51:J51" si="71">H50*SQRT((0.0001/H49)^2)</f>
        <v>1.5384615384615385E-7</v>
      </c>
      <c r="I51" s="126">
        <f t="shared" si="71"/>
        <v>1.5384615384615385E-8</v>
      </c>
      <c r="J51" s="131">
        <f t="shared" si="71"/>
        <v>2.6484907497565723E-6</v>
      </c>
      <c r="L51" s="126">
        <f t="shared" ref="L51:N51" si="72">L50*SQRT((0.0001/L49)^2)</f>
        <v>1.5384615384615385E-7</v>
      </c>
      <c r="M51" s="126">
        <f t="shared" si="72"/>
        <v>1.5384615384615385E-8</v>
      </c>
      <c r="N51" s="131">
        <f t="shared" si="72"/>
        <v>2.6484907497565723E-6</v>
      </c>
      <c r="P51" s="126">
        <f t="shared" ref="P51:R51" si="73">P50*SQRT((0.0001/P49)^2)</f>
        <v>1.5384615384615385E-7</v>
      </c>
      <c r="Q51" s="126">
        <f t="shared" si="73"/>
        <v>1.5384615384615385E-8</v>
      </c>
      <c r="R51" s="131">
        <f t="shared" si="73"/>
        <v>2.6484907497565723E-6</v>
      </c>
      <c r="T51" s="126">
        <f t="shared" ref="T51:V51" si="74">T50*SQRT((0.0001/T49)^2)</f>
        <v>1.5384615384615385E-7</v>
      </c>
      <c r="U51" s="126">
        <f t="shared" si="74"/>
        <v>1.5384615384615385E-8</v>
      </c>
      <c r="V51" s="131">
        <f t="shared" si="74"/>
        <v>2.6484907497565723E-6</v>
      </c>
      <c r="X51" s="126">
        <f t="shared" ref="X51:Z51" si="75">X50*SQRT((0.0001/X49)^2)</f>
        <v>1.5384615384615385E-7</v>
      </c>
      <c r="Y51" s="126">
        <f t="shared" si="75"/>
        <v>1.5384615384615385E-8</v>
      </c>
      <c r="Z51" s="131">
        <f t="shared" si="75"/>
        <v>2.6484907497565723E-6</v>
      </c>
      <c r="AB51" s="126">
        <f t="shared" ref="AB51:AD51" si="76">AB50*SQRT((0.0001/AB49)^2)</f>
        <v>1.5384615384615385E-7</v>
      </c>
      <c r="AC51" s="126">
        <f t="shared" si="76"/>
        <v>1.5384615384615385E-8</v>
      </c>
      <c r="AD51" s="131">
        <f t="shared" si="76"/>
        <v>2.6484907497565723E-6</v>
      </c>
      <c r="AF51" s="126">
        <f t="shared" ref="AF51:AH51" si="77">AF50*SQRT((0.0001/AF49)^2)</f>
        <v>1.5384615384615385E-7</v>
      </c>
      <c r="AG51" s="126">
        <f t="shared" si="77"/>
        <v>1.5384615384615385E-8</v>
      </c>
      <c r="AH51" s="131">
        <f t="shared" si="77"/>
        <v>2.6484907497565723E-6</v>
      </c>
      <c r="AJ51" s="126">
        <f t="shared" ref="AJ51:AL51" si="78">AJ50*SQRT((0.0001/AJ49)^2)</f>
        <v>1.5384615384615385E-7</v>
      </c>
      <c r="AK51" s="126">
        <f t="shared" si="78"/>
        <v>1.5384615384615389E-8</v>
      </c>
      <c r="AL51" s="131">
        <f t="shared" si="78"/>
        <v>2.6484907497565723E-6</v>
      </c>
      <c r="AN51" s="126">
        <f t="shared" ref="AN51:AP51" si="79">AN50*SQRT((0.0001/AN49)^2)</f>
        <v>1.5384615384615385E-7</v>
      </c>
      <c r="AO51" s="126">
        <f t="shared" si="79"/>
        <v>1.5384615384615385E-8</v>
      </c>
      <c r="AP51" s="131">
        <f t="shared" si="79"/>
        <v>2.6484907497565723E-6</v>
      </c>
      <c r="AR51" s="126">
        <f t="shared" ref="AR51:AT51" si="80">AR50*SQRT((0.0001/AR49)^2)</f>
        <v>1.5384615384615385E-7</v>
      </c>
      <c r="AS51" s="126">
        <f t="shared" si="80"/>
        <v>1.5384615384615385E-8</v>
      </c>
      <c r="AT51" s="131">
        <f t="shared" si="80"/>
        <v>2.6484907497565723E-6</v>
      </c>
      <c r="AV51" s="126">
        <f t="shared" ref="AV51:AX51" si="81">AV50*SQRT((0.0001/AV49)^2)</f>
        <v>1.5384615384615385E-7</v>
      </c>
      <c r="AW51" s="126">
        <f t="shared" si="81"/>
        <v>1.5384615384615385E-8</v>
      </c>
      <c r="AX51" s="131">
        <f t="shared" si="81"/>
        <v>2.6484907497565723E-6</v>
      </c>
      <c r="AZ51" s="126">
        <f t="shared" ref="AZ51:BB51" si="82">AZ50*SQRT((0.0001/AZ49)^2)</f>
        <v>1.5384615384615385E-7</v>
      </c>
      <c r="BA51" s="126">
        <f t="shared" si="82"/>
        <v>1.5384615384615385E-8</v>
      </c>
      <c r="BB51" s="131">
        <f t="shared" si="82"/>
        <v>2.6484907497565723E-6</v>
      </c>
      <c r="BD51" s="126">
        <f t="shared" ref="BD51:BF51" si="83">BD50*SQRT((0.0001/BD49)^2)</f>
        <v>1.5384615384615385E-7</v>
      </c>
      <c r="BE51" s="126">
        <f t="shared" si="83"/>
        <v>1.5384615384615385E-8</v>
      </c>
      <c r="BF51" s="131">
        <f t="shared" si="83"/>
        <v>2.6484907497565723E-6</v>
      </c>
    </row>
    <row r="52" spans="1:58" ht="17" thickBot="1">
      <c r="A52" s="82"/>
      <c r="B52" s="83" t="s">
        <v>123</v>
      </c>
      <c r="C52" s="132"/>
      <c r="D52" s="133">
        <f t="shared" ref="D52:F52" si="84">D51/D50</f>
        <v>7.6923076923076919E-6</v>
      </c>
      <c r="E52" s="133">
        <f t="shared" si="84"/>
        <v>7.6923076923076926E-5</v>
      </c>
      <c r="F52" s="134">
        <f t="shared" si="84"/>
        <v>1.3242453748782864E-6</v>
      </c>
      <c r="G52" s="133"/>
      <c r="H52" s="133">
        <f t="shared" ref="H52:J52" si="85">H51/H50</f>
        <v>7.6923076923076919E-6</v>
      </c>
      <c r="I52" s="133">
        <f t="shared" si="85"/>
        <v>7.6923076923076926E-5</v>
      </c>
      <c r="J52" s="134">
        <f t="shared" si="85"/>
        <v>2.6484907497565727E-6</v>
      </c>
      <c r="K52" s="133"/>
      <c r="L52" s="133">
        <f t="shared" ref="L52:N52" si="86">L51/L50</f>
        <v>7.6923076923076919E-6</v>
      </c>
      <c r="M52" s="133">
        <f t="shared" si="86"/>
        <v>7.6923076923076926E-5</v>
      </c>
      <c r="N52" s="134">
        <f t="shared" si="86"/>
        <v>8.8283024991885761E-7</v>
      </c>
      <c r="O52" s="133"/>
      <c r="P52" s="133">
        <f t="shared" ref="P52:R52" si="87">P51/P50</f>
        <v>7.6923076923076919E-6</v>
      </c>
      <c r="Q52" s="133">
        <f t="shared" si="87"/>
        <v>7.6923076923076926E-5</v>
      </c>
      <c r="R52" s="134">
        <f t="shared" si="87"/>
        <v>6.6212268743914318E-7</v>
      </c>
      <c r="S52" s="133"/>
      <c r="T52" s="133">
        <f t="shared" ref="T52:V52" si="88">T51/T50</f>
        <v>1.5384615384615384E-5</v>
      </c>
      <c r="U52" s="133">
        <f t="shared" si="88"/>
        <v>7.6923076923076926E-5</v>
      </c>
      <c r="V52" s="134">
        <f t="shared" si="88"/>
        <v>1.3242453748782864E-6</v>
      </c>
      <c r="W52" s="133"/>
      <c r="X52" s="133">
        <f t="shared" ref="X52:Z52" si="89">X51/X50</f>
        <v>5.1282051282051288E-6</v>
      </c>
      <c r="Y52" s="133">
        <f t="shared" si="89"/>
        <v>7.6923076923076926E-5</v>
      </c>
      <c r="Z52" s="134">
        <f t="shared" si="89"/>
        <v>1.3242453748782864E-6</v>
      </c>
      <c r="AA52" s="133"/>
      <c r="AB52" s="133">
        <f t="shared" ref="AB52:AD52" si="90">AB51/AB50</f>
        <v>3.8461538461538459E-6</v>
      </c>
      <c r="AC52" s="133">
        <f t="shared" si="90"/>
        <v>7.6923076923076926E-5</v>
      </c>
      <c r="AD52" s="134">
        <f t="shared" si="90"/>
        <v>1.3242453748782864E-6</v>
      </c>
      <c r="AE52" s="133"/>
      <c r="AF52" s="133">
        <f t="shared" ref="AF52:AH52" si="91">AF51/AF50</f>
        <v>7.6923076923076919E-6</v>
      </c>
      <c r="AG52" s="133">
        <f t="shared" si="91"/>
        <v>1.5384615384615385E-4</v>
      </c>
      <c r="AH52" s="134">
        <f t="shared" si="91"/>
        <v>1.3242453748782864E-6</v>
      </c>
      <c r="AI52" s="133"/>
      <c r="AJ52" s="133">
        <f t="shared" ref="AJ52:AL52" si="92">AJ51/AJ50</f>
        <v>7.6923076923076919E-6</v>
      </c>
      <c r="AK52" s="133">
        <f t="shared" si="92"/>
        <v>5.1282051282051293E-5</v>
      </c>
      <c r="AL52" s="134">
        <f t="shared" si="92"/>
        <v>1.3242453748782864E-6</v>
      </c>
      <c r="AM52" s="133"/>
      <c r="AN52" s="133">
        <f t="shared" ref="AN52:AP52" si="93">AN51/AN50</f>
        <v>7.6923076923076919E-6</v>
      </c>
      <c r="AO52" s="133">
        <f t="shared" si="93"/>
        <v>3.8461538461538463E-5</v>
      </c>
      <c r="AP52" s="134">
        <f t="shared" si="93"/>
        <v>1.3242453748782864E-6</v>
      </c>
      <c r="AQ52" s="133"/>
      <c r="AR52" s="133">
        <f t="shared" ref="AR52:AT52" si="94">AR51/AR50</f>
        <v>7.6923076923076919E-6</v>
      </c>
      <c r="AS52" s="133">
        <f t="shared" si="94"/>
        <v>7.6923076923076926E-5</v>
      </c>
      <c r="AT52" s="134">
        <f t="shared" si="94"/>
        <v>1.3242453748782864E-6</v>
      </c>
      <c r="AU52" s="133"/>
      <c r="AV52" s="133">
        <f t="shared" ref="AV52:AX52" si="95">AV51/AV50</f>
        <v>7.6923076923076919E-6</v>
      </c>
      <c r="AW52" s="133">
        <f t="shared" si="95"/>
        <v>7.6923076923076926E-5</v>
      </c>
      <c r="AX52" s="134">
        <f t="shared" si="95"/>
        <v>1.3242453748782864E-6</v>
      </c>
      <c r="AY52" s="133"/>
      <c r="AZ52" s="133">
        <f t="shared" ref="AZ52:BB52" si="96">AZ51/AZ50</f>
        <v>7.6923076923076919E-6</v>
      </c>
      <c r="BA52" s="133">
        <f t="shared" si="96"/>
        <v>7.6923076923076926E-5</v>
      </c>
      <c r="BB52" s="134">
        <f t="shared" si="96"/>
        <v>1.3242453748782864E-6</v>
      </c>
      <c r="BC52" s="133"/>
      <c r="BD52" s="133">
        <f t="shared" ref="BD52:BF52" si="97">BD51/BD50</f>
        <v>7.6923076923076919E-6</v>
      </c>
      <c r="BE52" s="133">
        <f t="shared" si="97"/>
        <v>7.6923076923076926E-5</v>
      </c>
      <c r="BF52" s="134">
        <f t="shared" si="97"/>
        <v>1.3242453748782864E-6</v>
      </c>
    </row>
    <row r="53" spans="1:58">
      <c r="A53" s="272" t="s">
        <v>124</v>
      </c>
      <c r="B53" s="135"/>
      <c r="C53" s="126" t="s">
        <v>125</v>
      </c>
      <c r="D53" s="136" t="s">
        <v>126</v>
      </c>
      <c r="E53" s="126" t="s">
        <v>127</v>
      </c>
      <c r="F53" s="131"/>
      <c r="G53" s="126" t="s">
        <v>125</v>
      </c>
      <c r="H53" s="136" t="s">
        <v>126</v>
      </c>
      <c r="I53" s="126" t="s">
        <v>127</v>
      </c>
      <c r="J53" s="131"/>
      <c r="K53" s="126" t="s">
        <v>125</v>
      </c>
      <c r="L53" s="136" t="s">
        <v>126</v>
      </c>
      <c r="M53" s="126" t="s">
        <v>127</v>
      </c>
      <c r="N53" s="135"/>
      <c r="O53" s="126" t="s">
        <v>125</v>
      </c>
      <c r="P53" s="136" t="s">
        <v>126</v>
      </c>
      <c r="Q53" s="126" t="s">
        <v>127</v>
      </c>
      <c r="R53" s="131"/>
      <c r="S53" s="126" t="s">
        <v>125</v>
      </c>
      <c r="T53" s="136" t="s">
        <v>126</v>
      </c>
      <c r="U53" s="126" t="s">
        <v>127</v>
      </c>
      <c r="V53" s="135"/>
      <c r="W53" s="126" t="s">
        <v>125</v>
      </c>
      <c r="X53" s="136" t="s">
        <v>126</v>
      </c>
      <c r="Y53" s="126" t="s">
        <v>127</v>
      </c>
      <c r="Z53" s="135"/>
      <c r="AA53" s="126" t="s">
        <v>125</v>
      </c>
      <c r="AB53" s="136" t="s">
        <v>126</v>
      </c>
      <c r="AC53" s="126" t="s">
        <v>127</v>
      </c>
      <c r="AD53" s="135"/>
      <c r="AE53" s="126" t="s">
        <v>125</v>
      </c>
      <c r="AF53" s="136" t="s">
        <v>126</v>
      </c>
      <c r="AG53" s="126" t="s">
        <v>127</v>
      </c>
      <c r="AH53" s="135"/>
      <c r="AI53" s="126" t="s">
        <v>125</v>
      </c>
      <c r="AJ53" s="136" t="s">
        <v>126</v>
      </c>
      <c r="AK53" s="126" t="s">
        <v>127</v>
      </c>
      <c r="AL53" s="135"/>
      <c r="AM53" s="126" t="s">
        <v>125</v>
      </c>
      <c r="AN53" s="136" t="s">
        <v>126</v>
      </c>
      <c r="AO53" s="126" t="s">
        <v>127</v>
      </c>
      <c r="AP53" s="135"/>
      <c r="AQ53" s="126" t="s">
        <v>125</v>
      </c>
      <c r="AR53" s="136" t="s">
        <v>126</v>
      </c>
      <c r="AS53" s="126" t="s">
        <v>127</v>
      </c>
      <c r="AT53" s="135"/>
      <c r="AU53" s="126" t="s">
        <v>125</v>
      </c>
      <c r="AV53" s="136" t="s">
        <v>126</v>
      </c>
      <c r="AW53" s="126" t="s">
        <v>127</v>
      </c>
      <c r="AX53" s="135"/>
      <c r="AY53" s="126" t="s">
        <v>125</v>
      </c>
      <c r="AZ53" s="136" t="s">
        <v>126</v>
      </c>
      <c r="BA53" s="126" t="s">
        <v>127</v>
      </c>
      <c r="BB53" s="131"/>
      <c r="BC53" s="126" t="s">
        <v>125</v>
      </c>
      <c r="BD53" s="136" t="s">
        <v>126</v>
      </c>
      <c r="BE53" s="126" t="s">
        <v>127</v>
      </c>
      <c r="BF53" s="131"/>
    </row>
    <row r="54" spans="1:58">
      <c r="A54" s="272"/>
      <c r="B54" s="131" t="s">
        <v>129</v>
      </c>
      <c r="C54" s="137">
        <f>(16*SUM(D7:D21)-SUM(C7:C21)*SUM($B$7:$B$21))/(16*SUM(F7:F21)-SUM($B$7:$B$21)^2)</f>
        <v>-2.4296046757700575E-5</v>
      </c>
      <c r="D54" s="136">
        <v>0</v>
      </c>
      <c r="E54" s="138">
        <f t="shared" ref="E54:E60" si="98">D54/C54</f>
        <v>0</v>
      </c>
      <c r="F54" s="139"/>
      <c r="G54" s="137">
        <f>(23*SUM(H7:H29)-SUM(G7:G29)*SUM($B$7:$B$29))/(23*SUM(J7:J29)-SUM($B$7:$B$29)^2)</f>
        <v>-1.7765186785686771E-5</v>
      </c>
      <c r="H54" s="136">
        <v>0</v>
      </c>
      <c r="I54" s="138">
        <f t="shared" ref="I54:I60" si="99">H54/G54</f>
        <v>0</v>
      </c>
      <c r="J54" s="139"/>
      <c r="K54" s="137">
        <f>(8*SUM(L7:L14)-SUM(K7:K14)*SUM($B$7:$B$14))/(8*SUM(N7:N14)-SUM($B$7:$B$14)^2)</f>
        <v>-5.1180055793556212E-5</v>
      </c>
      <c r="L54" s="136">
        <v>0</v>
      </c>
      <c r="M54" s="138">
        <f t="shared" ref="M54" si="100">L54/K54</f>
        <v>0</v>
      </c>
      <c r="N54" s="139"/>
      <c r="O54" s="137">
        <f>(8*SUM(P7:P14)-SUM(O7:O14)*SUM($B$7:$B$14))/(8*SUM(R7:R14)-SUM($B$7:$B$14)^2)</f>
        <v>-5.8331486353736202E-5</v>
      </c>
      <c r="P54" s="136">
        <v>0</v>
      </c>
      <c r="Q54" s="138">
        <f t="shared" ref="Q54" si="101">P54/O54</f>
        <v>0</v>
      </c>
      <c r="R54" s="139"/>
      <c r="S54" s="137">
        <f>(23*SUM(T7:T30)-SUM(S7:S30)*SUM($B$7:$B$30))/(23*SUM(V7:V30)-SUM($B$7:$B$30)^2)</f>
        <v>-2.2956516561296374E-5</v>
      </c>
      <c r="T54" s="136">
        <v>0</v>
      </c>
      <c r="U54" s="138">
        <f t="shared" ref="U54" si="102">T54/S54</f>
        <v>0</v>
      </c>
      <c r="V54" s="139"/>
      <c r="W54" s="137">
        <f>(8*SUM(X7:X14)-SUM(W7:W14)*SUM($B$7:$B$14))/(8*SUM(Z7:Z14)-SUM($B$7:$B$14)^2)</f>
        <v>-5.0099951923661522E-5</v>
      </c>
      <c r="X54" s="136">
        <v>0</v>
      </c>
      <c r="Y54" s="138">
        <f t="shared" ref="Y54" si="103">X54/W54</f>
        <v>0</v>
      </c>
      <c r="Z54" s="139"/>
      <c r="AA54" s="137">
        <f>(6*SUM(AB7:AB12)-SUM(AA7:AA12)*SUM($B$7:$B$12))/(6*SUM(AD7:AD12)-SUM($B$7:$B$12)^2)</f>
        <v>-6.9322921957927562E-5</v>
      </c>
      <c r="AB54" s="136">
        <v>0</v>
      </c>
      <c r="AC54" s="138">
        <f t="shared" ref="AC54" si="104">AB54/AA54</f>
        <v>0</v>
      </c>
      <c r="AD54" s="139"/>
      <c r="AE54" s="137">
        <f>(7*SUM(AF7:AF13)-SUM(AE7:AE13)*SUM($B$7:$B$13))/(7*SUM(AH7:AH13)-SUM($B$7:$B$13)^2)</f>
        <v>-3.2025386222083746E-5</v>
      </c>
      <c r="AF54" s="136">
        <v>0</v>
      </c>
      <c r="AG54" s="138">
        <f t="shared" ref="AG54" si="105">AF54/AE54</f>
        <v>0</v>
      </c>
      <c r="AH54" s="139"/>
      <c r="AI54" s="137">
        <f>(19*SUM(AJ7:AJ24)-SUM(AI7:AI24)*SUM($B$7:$B$24))/(19*SUM(AL7:AL24)-SUM($B$7:$B$24)^2)</f>
        <v>-2.8176075422848589E-5</v>
      </c>
      <c r="AJ54" s="136">
        <v>0</v>
      </c>
      <c r="AK54" s="138">
        <f t="shared" ref="AK54:AK61" si="106">AJ54/AI54</f>
        <v>0</v>
      </c>
      <c r="AL54" s="139"/>
      <c r="AM54" s="137">
        <f>(26*SUM(AN7:AN32)-SUM(AM7:AM32)*SUM($B$7:$B$32))/(26*SUM(AP7:AP32)-SUM($B$7:$B$32)^2)</f>
        <v>-3.4858990800215544E-5</v>
      </c>
      <c r="AN54" s="136">
        <v>0</v>
      </c>
      <c r="AO54" s="138">
        <f t="shared" ref="AO54:AO57" si="107">AN54/AM54</f>
        <v>0</v>
      </c>
      <c r="AP54" s="139"/>
      <c r="AQ54" s="137">
        <f>(21*SUM(AR7:AR27)-SUM(AQ7:AQ27)*SUM($B$7:$B$27))/(21*SUM(AT7:AT27)-SUM($B$7:$B$27)^2)</f>
        <v>-2.0164306641165824E-5</v>
      </c>
      <c r="AR54" s="136">
        <v>0</v>
      </c>
      <c r="AS54" s="138">
        <f t="shared" ref="AS54:AS57" si="108">AR54/AQ54</f>
        <v>0</v>
      </c>
      <c r="AT54" s="139"/>
      <c r="AU54" s="137">
        <f>(14*SUM(AV7:AV20)-SUM(AU7:AU20)*SUM($B$7:$B$20))/(14*SUM(AX7:AX20)-SUM($B$7:$B$20)^2)</f>
        <v>-2.8961186878021161E-5</v>
      </c>
      <c r="AV54" s="136">
        <v>0</v>
      </c>
      <c r="AW54" s="138">
        <f t="shared" ref="AW54:AW57" si="109">AV54/AU54</f>
        <v>0</v>
      </c>
      <c r="AX54" s="139"/>
      <c r="AY54" s="137">
        <f>(15*SUM(AZ7:AZ21)-SUM(AY7:AY21)*SUM($B$7:$B$21))/(15*SUM(BB7:BB21)-SUM($B$7:$B$21)^2)</f>
        <v>-2.7958302941672489E-5</v>
      </c>
      <c r="AZ54" s="136">
        <v>0</v>
      </c>
      <c r="BA54" s="138">
        <f t="shared" ref="BA54:BA57" si="110">AZ54/AY54</f>
        <v>0</v>
      </c>
      <c r="BB54" s="139"/>
      <c r="BC54" s="137">
        <f>(16*SUM(BD7:BD22)-SUM(BC7:BC22)*SUM($B$7:$B$22))/(16*SUM(BF7:BF22)-SUM($B$7:$B$22)^2)</f>
        <v>-2.9310230468010709E-5</v>
      </c>
      <c r="BD54" s="136">
        <v>0</v>
      </c>
      <c r="BE54" s="138">
        <f t="shared" ref="BE54:BE57" si="111">BD54/BC54</f>
        <v>0</v>
      </c>
      <c r="BF54" s="139"/>
    </row>
    <row r="55" spans="1:58">
      <c r="A55" s="272"/>
      <c r="B55" s="131" t="s">
        <v>130</v>
      </c>
      <c r="C55" s="126">
        <f>SUM(D7:D21)</f>
        <v>0.23186757541655129</v>
      </c>
      <c r="D55" s="136" cm="1">
        <f t="array" ref="D55">SQRT(SUM(E7:E21^2))</f>
        <v>1.6480986117567813E-3</v>
      </c>
      <c r="E55" s="138">
        <f t="shared" si="98"/>
        <v>7.1079305021237386E-3</v>
      </c>
      <c r="F55" s="131"/>
      <c r="G55" s="126">
        <f>SUM(H7:H29)</f>
        <v>0.89441780988683361</v>
      </c>
      <c r="H55" s="136" cm="1">
        <f t="array" ref="H55">SQRT(SUM(I7:I29^2))</f>
        <v>3.1868092021564431E-3</v>
      </c>
      <c r="I55" s="138">
        <f>H55/G55</f>
        <v>3.5629983738356629E-3</v>
      </c>
      <c r="J55" s="131"/>
      <c r="K55" s="126">
        <f>SUM(L7:L14)</f>
        <v>9.9635776378782598E-2</v>
      </c>
      <c r="L55" s="136" cm="1">
        <f t="array" ref="L55">SQRT(SUM(M7:M14^2))</f>
        <v>6.1208845811861043E-4</v>
      </c>
      <c r="M55" s="138">
        <f>L55/K55</f>
        <v>6.1432597844337609E-3</v>
      </c>
      <c r="N55" s="131"/>
      <c r="O55" s="126">
        <f>SUM(P7:P14)</f>
        <v>5.6114396090259207E-2</v>
      </c>
      <c r="P55" s="136" cm="1">
        <f t="array" ref="P55">SQRT(SUM(Q7:Q14^2))</f>
        <v>6.1208845811861043E-4</v>
      </c>
      <c r="Q55" s="138">
        <f>P55/O55</f>
        <v>1.0907868582138439E-2</v>
      </c>
      <c r="R55" s="131"/>
      <c r="S55" s="126">
        <f>SUM(T7:T30)</f>
        <v>0.85121661670002446</v>
      </c>
      <c r="T55" s="136" cm="1">
        <f t="array" ref="T55">SQRT(SUM(U7:U30^2))</f>
        <v>3.4016765416379244E-3</v>
      </c>
      <c r="U55" s="138">
        <f>T55/S55</f>
        <v>3.9962525107010479E-3</v>
      </c>
      <c r="V55" s="131"/>
      <c r="W55" s="126">
        <f>SUM(X7:X14)</f>
        <v>0.10741832234941678</v>
      </c>
      <c r="X55" s="136" cm="1">
        <f t="array" ref="X55">SQRT(SUM(Y7:Y14^2))</f>
        <v>6.1208845811861043E-4</v>
      </c>
      <c r="Y55" s="138">
        <f>X55/W55</f>
        <v>5.69817555079265E-3</v>
      </c>
      <c r="Z55" s="131"/>
      <c r="AA55" s="126">
        <f>SUM(AB7:AB12)</f>
        <v>5.3486691765013861E-2</v>
      </c>
      <c r="AB55" s="136" cm="1">
        <f t="array" ref="AB55">SQRT(SUM(AC7:AC12^2))</f>
        <v>3.8364674442318295E-4</v>
      </c>
      <c r="AC55" s="138">
        <f>AB55/AA55</f>
        <v>7.1727514221421682E-3</v>
      </c>
      <c r="AD55" s="131"/>
      <c r="AE55" s="126">
        <f>SUM(AF7:AF13)</f>
        <v>2.8206607036413641E-2</v>
      </c>
      <c r="AF55" s="136" cm="1">
        <f t="array" ref="AF55">SQRT(SUM(AG7:AG13^2))</f>
        <v>4.9348149141108797E-4</v>
      </c>
      <c r="AG55" s="138">
        <f>AF55/AE55</f>
        <v>1.7495244669946387E-2</v>
      </c>
      <c r="AH55" s="131"/>
      <c r="AI55" s="126">
        <f>SUM(AJ7:AJ24)</f>
        <v>0.64393274810359369</v>
      </c>
      <c r="AJ55" s="136" cm="1">
        <f t="array" ref="AJ55">SQRT(SUM(AK7:AK24^2))</f>
        <v>2.185592957795602E-3</v>
      </c>
      <c r="AK55" s="138">
        <f t="shared" si="106"/>
        <v>3.3941323286201175E-3</v>
      </c>
      <c r="AL55" s="131"/>
      <c r="AM55" s="126">
        <f>SUM(AN7:AN32)</f>
        <v>1.6316586420080761</v>
      </c>
      <c r="AN55" s="136" cm="1">
        <f t="array" ref="AN55">SQRT(SUM(AO7:AO32^2))</f>
        <v>3.8451768026461679E-3</v>
      </c>
      <c r="AO55" s="138">
        <f t="shared" si="107"/>
        <v>2.3566061574704887E-3</v>
      </c>
      <c r="AP55" s="131"/>
      <c r="AQ55" s="126">
        <f>SUM(AR7:AR27)</f>
        <v>0.62989144334802283</v>
      </c>
      <c r="AR55" s="136" cm="1">
        <f t="array" ref="AR55">SQRT(SUM(AS7:AS27^2))</f>
        <v>2.7713483634363555E-3</v>
      </c>
      <c r="AS55" s="138">
        <f t="shared" si="108"/>
        <v>4.399723782094864E-3</v>
      </c>
      <c r="AT55" s="131"/>
      <c r="AU55" s="126">
        <f>SUM(AV7:AV20)</f>
        <v>0.31572336659690109</v>
      </c>
      <c r="AV55" s="136" cm="1">
        <f t="array" ref="AV55">SQRT(SUM(AW7:AW20^2))</f>
        <v>1.4804444742332638E-3</v>
      </c>
      <c r="AW55" s="138">
        <f t="shared" si="109"/>
        <v>4.6890557711663358E-3</v>
      </c>
      <c r="AX55" s="131"/>
      <c r="AY55" s="126">
        <f>SUM(AZ7:AZ21)</f>
        <v>7.6186451942819394E-2</v>
      </c>
      <c r="AZ55" s="136" cm="1">
        <f t="array" ref="AZ55">SQRT(SUM(BA7:BA21^2))</f>
        <v>1.6480986117567813E-3</v>
      </c>
      <c r="BA55" s="138">
        <f t="shared" si="110"/>
        <v>2.1632436866777009E-2</v>
      </c>
      <c r="BB55" s="131"/>
      <c r="BC55" s="126">
        <f>SUM(BD7:BD22)</f>
        <v>0.12999914367804594</v>
      </c>
      <c r="BD55" s="136" cm="1">
        <f t="array" ref="BD55">SQRT(SUM(BE7:BE22^2))</f>
        <v>1.8216335445671169E-3</v>
      </c>
      <c r="BE55" s="138">
        <f t="shared" si="111"/>
        <v>1.401265803010633E-2</v>
      </c>
      <c r="BF55" s="131"/>
    </row>
    <row r="56" spans="1:58">
      <c r="A56" s="272"/>
      <c r="B56" s="131" t="s">
        <v>131</v>
      </c>
      <c r="C56" s="126">
        <f>C55*16</f>
        <v>3.7098812066648206</v>
      </c>
      <c r="D56" s="136">
        <f>C56*SQRT((D55/C55)^2)</f>
        <v>2.63695777881085E-2</v>
      </c>
      <c r="E56" s="138">
        <f t="shared" si="98"/>
        <v>7.1079305021237386E-3</v>
      </c>
      <c r="F56" s="131"/>
      <c r="G56" s="126">
        <f>G55*23</f>
        <v>20.571609627397173</v>
      </c>
      <c r="H56" s="136">
        <f>G56*SQRT((H55/G55)^2)</f>
        <v>7.3296611649598192E-2</v>
      </c>
      <c r="I56" s="138">
        <f t="shared" si="99"/>
        <v>3.5629983738356629E-3</v>
      </c>
      <c r="J56" s="131"/>
      <c r="K56" s="126">
        <f>K55*8</f>
        <v>0.79708621103026078</v>
      </c>
      <c r="L56" s="136">
        <f>K56*SQRT((L55/K55)^2)</f>
        <v>4.8967076649488834E-3</v>
      </c>
      <c r="M56" s="138">
        <f t="shared" ref="M56:M61" si="112">L56/K56</f>
        <v>6.1432597844337609E-3</v>
      </c>
      <c r="N56" s="131"/>
      <c r="O56" s="126">
        <f>O55*8</f>
        <v>0.44891516872207365</v>
      </c>
      <c r="P56" s="136">
        <f>O56*SQRT((P55/O55)^2)</f>
        <v>4.8967076649488834E-3</v>
      </c>
      <c r="Q56" s="138">
        <f t="shared" ref="Q56:Q61" si="113">P56/O56</f>
        <v>1.0907868582138439E-2</v>
      </c>
      <c r="R56" s="131"/>
      <c r="S56" s="126">
        <f>S55*23</f>
        <v>19.577982184100563</v>
      </c>
      <c r="T56" s="136">
        <f>S56*SQRT((T55/S55)^2)</f>
        <v>7.823856045767226E-2</v>
      </c>
      <c r="U56" s="138">
        <f t="shared" ref="U56:U61" si="114">T56/S56</f>
        <v>3.9962525107010479E-3</v>
      </c>
      <c r="V56" s="131"/>
      <c r="W56" s="126">
        <f>W55*8</f>
        <v>0.85934657879533427</v>
      </c>
      <c r="X56" s="136">
        <f>W56*SQRT((X55/W55)^2)</f>
        <v>4.8967076649488834E-3</v>
      </c>
      <c r="Y56" s="138">
        <f t="shared" ref="Y56:Y61" si="115">X56/W56</f>
        <v>5.69817555079265E-3</v>
      </c>
      <c r="Z56" s="131"/>
      <c r="AA56" s="126">
        <f>AA55*6</f>
        <v>0.32092015059008316</v>
      </c>
      <c r="AB56" s="136">
        <f>AA56*SQRT((AB55/AA55)^2)</f>
        <v>2.3018804665390978E-3</v>
      </c>
      <c r="AC56" s="138">
        <f t="shared" ref="AC56:AC61" si="116">AB56/AA56</f>
        <v>7.1727514221421682E-3</v>
      </c>
      <c r="AD56" s="131"/>
      <c r="AE56" s="126">
        <f>AE55*7</f>
        <v>0.19744624925489548</v>
      </c>
      <c r="AF56" s="136">
        <f>AE56*SQRT((AF55/AE55)^2)</f>
        <v>3.4543704398776161E-3</v>
      </c>
      <c r="AG56" s="138">
        <f t="shared" ref="AG56:AG61" si="117">AF56/AE56</f>
        <v>1.7495244669946387E-2</v>
      </c>
      <c r="AH56" s="131"/>
      <c r="AI56" s="126">
        <f>AI55*19</f>
        <v>12.234722213968279</v>
      </c>
      <c r="AJ56" s="136">
        <f>AI56*SQRT((AJ55/AI55)^2)</f>
        <v>4.1526266198116432E-2</v>
      </c>
      <c r="AK56" s="138">
        <f t="shared" si="106"/>
        <v>3.3941323286201175E-3</v>
      </c>
      <c r="AL56" s="131"/>
      <c r="AM56" s="126">
        <f>AM55*26</f>
        <v>42.423124692209981</v>
      </c>
      <c r="AN56" s="136">
        <f>AM56*SQRT((AN55/AM55)^2)</f>
        <v>9.9974596868800378E-2</v>
      </c>
      <c r="AO56" s="138">
        <f t="shared" si="107"/>
        <v>2.3566061574704887E-3</v>
      </c>
      <c r="AP56" s="131"/>
      <c r="AQ56" s="126">
        <f>AQ55*21</f>
        <v>13.227720310308479</v>
      </c>
      <c r="AR56" s="136">
        <f>AQ56*SQRT((AR55/AQ55)^2)</f>
        <v>5.8198315632163468E-2</v>
      </c>
      <c r="AS56" s="138">
        <f t="shared" si="108"/>
        <v>4.399723782094864E-3</v>
      </c>
      <c r="AT56" s="131"/>
      <c r="AU56" s="126">
        <f>AU55*14</f>
        <v>4.4201271323566154</v>
      </c>
      <c r="AV56" s="136">
        <f>AU56*SQRT((AV55/AU55)^2)</f>
        <v>2.0726222639265695E-2</v>
      </c>
      <c r="AW56" s="138">
        <f t="shared" si="109"/>
        <v>4.6890557711663358E-3</v>
      </c>
      <c r="AX56" s="131"/>
      <c r="AY56" s="126">
        <f>AY55*15</f>
        <v>1.1427967791422908</v>
      </c>
      <c r="AZ56" s="136">
        <f>AY56*SQRT((AZ55/AY55)^2)</f>
        <v>2.4721479176351716E-2</v>
      </c>
      <c r="BA56" s="138">
        <f t="shared" si="110"/>
        <v>2.1632436866777009E-2</v>
      </c>
      <c r="BB56" s="131"/>
      <c r="BC56" s="126">
        <f>BC55*16</f>
        <v>2.079986298848735</v>
      </c>
      <c r="BD56" s="136">
        <f>BC56*SQRT((BD55/BC55)^2)</f>
        <v>2.914613671307387E-2</v>
      </c>
      <c r="BE56" s="138">
        <f t="shared" si="111"/>
        <v>1.401265803010633E-2</v>
      </c>
      <c r="BF56" s="131"/>
    </row>
    <row r="57" spans="1:58">
      <c r="A57" s="272"/>
      <c r="B57" s="131" t="s">
        <v>132</v>
      </c>
      <c r="C57" s="126">
        <f>SUM(C7:C21)</f>
        <v>1.3099958671809587E-2</v>
      </c>
      <c r="D57" s="136">
        <f>SQRT(16*($D$2^2))</f>
        <v>4.1384733171932883E-5</v>
      </c>
      <c r="E57" s="138">
        <f t="shared" si="98"/>
        <v>3.1591499033497427E-3</v>
      </c>
      <c r="F57" s="131"/>
      <c r="G57" s="126">
        <f>SUM(G7:G29)</f>
        <v>2.4434127919358343E-2</v>
      </c>
      <c r="H57" s="136">
        <f>SQRT(22*($D$2^2))</f>
        <v>4.8527901171430364E-5</v>
      </c>
      <c r="I57" s="138">
        <f t="shared" si="99"/>
        <v>1.98607052118211E-3</v>
      </c>
      <c r="J57" s="131"/>
      <c r="K57" s="126">
        <f>SUM(K7:K14)</f>
        <v>8.7642762835438062E-3</v>
      </c>
      <c r="L57" s="136">
        <f>SQRT(8*($D$2^2))</f>
        <v>2.9263425463469598E-5</v>
      </c>
      <c r="M57" s="138">
        <f t="shared" si="112"/>
        <v>3.338943743525738E-3</v>
      </c>
      <c r="N57" s="131"/>
      <c r="O57" s="126">
        <f>SUM(O7:O14)</f>
        <v>6.7064261006675556E-3</v>
      </c>
      <c r="P57" s="136">
        <f>SQRT(8*($D$2^2))</f>
        <v>2.9263425463469598E-5</v>
      </c>
      <c r="Q57" s="138">
        <f t="shared" si="113"/>
        <v>4.3634903336304152E-3</v>
      </c>
      <c r="R57" s="131"/>
      <c r="S57" s="126">
        <f>SUM(S7:S30)</f>
        <v>2.3866941428347044E-2</v>
      </c>
      <c r="T57" s="136">
        <f>SQRT(23*($D$2^2))</f>
        <v>4.9618551982460328E-5</v>
      </c>
      <c r="U57" s="138">
        <f t="shared" si="114"/>
        <v>2.0789656744004824E-3</v>
      </c>
      <c r="V57" s="131"/>
      <c r="W57" s="126">
        <f>SUM(W7:W14)</f>
        <v>9.1441869639577924E-3</v>
      </c>
      <c r="X57" s="136">
        <f>SQRT(8*($D$2^2))</f>
        <v>2.9263425463469598E-5</v>
      </c>
      <c r="Y57" s="138">
        <f t="shared" si="115"/>
        <v>3.2002216904370669E-3</v>
      </c>
      <c r="Z57" s="131"/>
      <c r="AA57" s="126">
        <f>SUM(AA7:AA12)</f>
        <v>6.7052376097285734E-3</v>
      </c>
      <c r="AB57" s="136">
        <f>SQRT(6*($D$2^2))</f>
        <v>2.5342869853117083E-5</v>
      </c>
      <c r="AC57" s="138">
        <f t="shared" si="116"/>
        <v>3.7795632799570481E-3</v>
      </c>
      <c r="AD57" s="131"/>
      <c r="AE57" s="126">
        <f>SUM(AE7:AE13)</f>
        <v>3.3749584927914842E-3</v>
      </c>
      <c r="AF57" s="136">
        <f>SQRT(7*($D$2^2))</f>
        <v>2.7373428011924917E-5</v>
      </c>
      <c r="AG57" s="138">
        <f t="shared" si="117"/>
        <v>8.1107450863147947E-3</v>
      </c>
      <c r="AH57" s="131"/>
      <c r="AI57" s="126">
        <f>SUM(AI7:AI24)</f>
        <v>2.5666886828469886E-2</v>
      </c>
      <c r="AJ57" s="136">
        <f>SQRT(19*($D$2^2))</f>
        <v>4.5097967425462729E-5</v>
      </c>
      <c r="AK57" s="138">
        <f t="shared" si="106"/>
        <v>1.7570485944341234E-3</v>
      </c>
      <c r="AL57" s="131"/>
      <c r="AM57" s="126">
        <f>SUM(AM7:AM32)</f>
        <v>4.6499047890255316E-2</v>
      </c>
      <c r="AN57" s="136">
        <f>SQRT(26*($D$2^2))</f>
        <v>5.2755390502129099E-5</v>
      </c>
      <c r="AO57" s="138">
        <f t="shared" si="107"/>
        <v>1.1345477573355843E-3</v>
      </c>
      <c r="AP57" s="131"/>
      <c r="AQ57" s="126">
        <f>SUM(AQ7:AQ27)</f>
        <v>2.03610869238093E-2</v>
      </c>
      <c r="AR57" s="136">
        <f>SQRT(21*($D$2^2))</f>
        <v>4.7412168093983082E-5</v>
      </c>
      <c r="AS57" s="138">
        <f t="shared" si="108"/>
        <v>2.3285676384270778E-3</v>
      </c>
      <c r="AT57" s="131"/>
      <c r="AU57" s="126">
        <f>SUM(AU7:AU20)</f>
        <v>1.4782772829712198E-2</v>
      </c>
      <c r="AV57" s="136">
        <f>SQRT(14*($D$2^2))</f>
        <v>3.8711873143107806E-5</v>
      </c>
      <c r="AW57" s="138">
        <f t="shared" si="109"/>
        <v>2.6187152835968649E-3</v>
      </c>
      <c r="AX57" s="131"/>
      <c r="AY57" s="126">
        <f>SUM(AY7:AY21)</f>
        <v>7.768416358129338E-3</v>
      </c>
      <c r="AZ57" s="136">
        <f>SQRT(15*($D$2^2))</f>
        <v>4.0070595590533422E-5</v>
      </c>
      <c r="BA57" s="138">
        <f t="shared" si="110"/>
        <v>5.1581421158768273E-3</v>
      </c>
      <c r="BB57" s="131"/>
      <c r="BC57" s="126">
        <f>SUM(BC7:BC22)</f>
        <v>1.0110296070830319E-2</v>
      </c>
      <c r="BD57" s="136">
        <f>SQRT(16*($D$2^2))</f>
        <v>4.1384733171932883E-5</v>
      </c>
      <c r="BE57" s="138">
        <f t="shared" si="111"/>
        <v>4.0933255447715214E-3</v>
      </c>
      <c r="BF57" s="131"/>
    </row>
    <row r="58" spans="1:58">
      <c r="A58" s="272"/>
      <c r="B58" s="131" t="s">
        <v>133</v>
      </c>
      <c r="C58" s="126">
        <f>C57*SUM($B$7:$B$21)</f>
        <v>6.877478302700033</v>
      </c>
      <c r="D58" s="136">
        <f>C58*SQRT((D57/C57)^2)</f>
        <v>2.1726984915264761E-2</v>
      </c>
      <c r="E58" s="138">
        <f t="shared" si="98"/>
        <v>3.1591499033497427E-3</v>
      </c>
      <c r="F58" s="131"/>
      <c r="G58" s="126">
        <f>G57*SUM($B$7:$B$29)</f>
        <v>30.909171817988305</v>
      </c>
      <c r="H58" s="136">
        <f>G58*SQRT((H57/G57)^2)</f>
        <v>6.1387794981859423E-2</v>
      </c>
      <c r="I58" s="138">
        <f t="shared" si="99"/>
        <v>1.98607052118211E-3</v>
      </c>
      <c r="J58" s="131"/>
      <c r="K58" s="126">
        <f>K57*SUM($B$7:$B$14)</f>
        <v>1.226998679696133</v>
      </c>
      <c r="L58" s="136">
        <f>K58*SQRT((L57/K57)^2)</f>
        <v>4.0968795648857444E-3</v>
      </c>
      <c r="M58" s="138">
        <f t="shared" si="112"/>
        <v>3.3389437435257384E-3</v>
      </c>
      <c r="N58" s="131"/>
      <c r="O58" s="126">
        <f>O57*SUM($B$7:$B$14)</f>
        <v>0.93889965409345777</v>
      </c>
      <c r="P58" s="136">
        <f>O58*SQRT((P57/O57)^2)</f>
        <v>4.0968795648857435E-3</v>
      </c>
      <c r="Q58" s="138">
        <f t="shared" si="113"/>
        <v>4.3634903336304152E-3</v>
      </c>
      <c r="R58" s="131"/>
      <c r="S58" s="126">
        <f>S57*SUM($B$7:$B$30)</f>
        <v>32.936379171118922</v>
      </c>
      <c r="T58" s="136">
        <f>S58*SQRT((T57/S57)^2)</f>
        <v>6.8473601735795253E-2</v>
      </c>
      <c r="U58" s="138">
        <f>T58/S58</f>
        <v>2.0789656744004824E-3</v>
      </c>
      <c r="V58" s="131"/>
      <c r="W58" s="126">
        <f>W57*SUM($B$7:$B$14)</f>
        <v>1.280186174954091</v>
      </c>
      <c r="X58" s="136">
        <f>W58*SQRT((X57/W57)^2)</f>
        <v>4.0968795648857435E-3</v>
      </c>
      <c r="Y58" s="138">
        <f t="shared" si="115"/>
        <v>3.2002216904370665E-3</v>
      </c>
      <c r="Z58" s="131"/>
      <c r="AA58" s="126">
        <f>AA57*SUM($B$7:$B$12)</f>
        <v>0.50289282072964303</v>
      </c>
      <c r="AB58" s="136">
        <f>AA58*SQRT((AB57/AA57)^2)</f>
        <v>1.9007152389837814E-3</v>
      </c>
      <c r="AC58" s="138">
        <f t="shared" si="116"/>
        <v>3.7795632799570481E-3</v>
      </c>
      <c r="AD58" s="131"/>
      <c r="AE58" s="126">
        <f>AE57*SUM($B$7:$B$13)</f>
        <v>0.35437064174310584</v>
      </c>
      <c r="AF58" s="136">
        <f>AE58*SQRT((AF57/AE57)^2)</f>
        <v>2.8742099412521161E-3</v>
      </c>
      <c r="AG58" s="138">
        <f t="shared" si="117"/>
        <v>8.1107450863147947E-3</v>
      </c>
      <c r="AH58" s="131"/>
      <c r="AI58" s="126">
        <f>AI57*SUM($B$7:$B$24)</f>
        <v>19.635168423779461</v>
      </c>
      <c r="AJ58" s="136">
        <f>AI58*SQRT((AJ57/AI57)^2)</f>
        <v>3.4499945080478989E-2</v>
      </c>
      <c r="AK58" s="138">
        <f>AJ58/AI58</f>
        <v>1.7570485944341237E-3</v>
      </c>
      <c r="AL58" s="131"/>
      <c r="AM58" s="126">
        <f>AM57*SUM($B$7:$B$27)</f>
        <v>48.824000284768083</v>
      </c>
      <c r="AN58" s="136">
        <f>AM58*SQRT((AN57/AM57)^2)</f>
        <v>5.5393160027235558E-2</v>
      </c>
      <c r="AO58" s="138">
        <f>AN58/AM58</f>
        <v>1.1345477573355843E-3</v>
      </c>
      <c r="AP58" s="131"/>
      <c r="AQ58" s="126">
        <f>AQ57*SUM($B$7:$B$27)</f>
        <v>21.379141269999764</v>
      </c>
      <c r="AR58" s="136">
        <f>AQ58*SQRT((AR57/AQ57)^2)</f>
        <v>4.9782776498682228E-2</v>
      </c>
      <c r="AS58" s="138">
        <f>AR58/AQ58</f>
        <v>2.3285676384270778E-3</v>
      </c>
      <c r="AT58" s="131"/>
      <c r="AU58" s="126">
        <f>AU57*SUM($B$7:$B$20)</f>
        <v>6.7261616375190503</v>
      </c>
      <c r="AV58" s="136">
        <f>AU58*SQRT((AV57/AU57)^2)</f>
        <v>1.7613902280114054E-2</v>
      </c>
      <c r="AW58" s="138">
        <f>AV58/AU58</f>
        <v>2.6187152835968649E-3</v>
      </c>
      <c r="AX58" s="131"/>
      <c r="AY58" s="126">
        <f>AY57*SUM($B$7:$B$21)</f>
        <v>4.078418588017902</v>
      </c>
      <c r="AZ58" s="136">
        <f>AY58*SQRT((AZ57/AY57)^2)</f>
        <v>2.1037062685030045E-2</v>
      </c>
      <c r="BA58" s="138">
        <f>AZ58/AY58</f>
        <v>5.1581421158768273E-3</v>
      </c>
      <c r="BB58" s="131"/>
      <c r="BC58" s="126">
        <f>BC57*SUM($B$7:$B$22)</f>
        <v>6.0661776424981912</v>
      </c>
      <c r="BD58" s="136">
        <f>BC58*SQRT((BD57/BC57)^2)</f>
        <v>2.4830839903159731E-2</v>
      </c>
      <c r="BE58" s="138">
        <f>BD58/BC58</f>
        <v>4.0933255447715214E-3</v>
      </c>
      <c r="BF58" s="131"/>
    </row>
    <row r="59" spans="1:58">
      <c r="A59" s="272"/>
      <c r="B59" s="131" t="s">
        <v>134</v>
      </c>
      <c r="C59" s="126">
        <f>C56-C58</f>
        <v>-3.1675970960352124</v>
      </c>
      <c r="D59" s="136">
        <f>SQRT((D56^2)+(D58^2))</f>
        <v>3.4167477317344451E-2</v>
      </c>
      <c r="E59" s="138">
        <f t="shared" si="98"/>
        <v>-1.0786560374143186E-2</v>
      </c>
      <c r="F59" s="131"/>
      <c r="G59" s="126">
        <f>G56-G58</f>
        <v>-10.337562190591132</v>
      </c>
      <c r="H59" s="136">
        <f>SQRT((H56^2)+(H58^2))</f>
        <v>9.5607816898237025E-2</v>
      </c>
      <c r="I59" s="138">
        <f t="shared" si="99"/>
        <v>-9.2485844472360926E-3</v>
      </c>
      <c r="J59" s="131"/>
      <c r="K59" s="126">
        <f>K56-K58</f>
        <v>-0.42991246866587218</v>
      </c>
      <c r="L59" s="136">
        <f>SQRT((L56^2)+(L58^2))</f>
        <v>6.384525677381802E-3</v>
      </c>
      <c r="M59" s="138">
        <f t="shared" si="112"/>
        <v>-1.4850757172022971E-2</v>
      </c>
      <c r="N59" s="131"/>
      <c r="O59" s="126">
        <f>O56-O58</f>
        <v>-0.48998448537138412</v>
      </c>
      <c r="P59" s="136">
        <f>SQRT((P56^2)+(P58^2))</f>
        <v>6.3845256773818011E-3</v>
      </c>
      <c r="Q59" s="138">
        <f t="shared" si="113"/>
        <v>-1.3030056803824401E-2</v>
      </c>
      <c r="R59" s="131"/>
      <c r="S59" s="126">
        <f>S56-S58</f>
        <v>-13.358396987018359</v>
      </c>
      <c r="T59" s="136">
        <f>SQRT((T56^2)+(T58^2))</f>
        <v>0.1039707000897904</v>
      </c>
      <c r="U59" s="138">
        <f t="shared" si="114"/>
        <v>-7.7831719023494167E-3</v>
      </c>
      <c r="V59" s="131"/>
      <c r="W59" s="126">
        <f>W56-W58</f>
        <v>-0.42083959615875677</v>
      </c>
      <c r="X59" s="136">
        <f>SQRT((X56^2)+(X58^2))</f>
        <v>6.3845256773818011E-3</v>
      </c>
      <c r="Y59" s="138">
        <f t="shared" si="115"/>
        <v>-1.5170924351360974E-2</v>
      </c>
      <c r="Z59" s="131"/>
      <c r="AA59" s="126">
        <f>AA56-AA58</f>
        <v>-0.18197267013955987</v>
      </c>
      <c r="AB59" s="136">
        <f>SQRT((AB56^2)+(AB58^2))</f>
        <v>2.9851921381946972E-3</v>
      </c>
      <c r="AC59" s="138">
        <f t="shared" si="116"/>
        <v>-1.6404617989642462E-2</v>
      </c>
      <c r="AD59" s="131"/>
      <c r="AE59" s="126">
        <f>AE56-AE58</f>
        <v>-0.15692439248821036</v>
      </c>
      <c r="AF59" s="136">
        <f>SQRT((AF56^2)+(AF58^2))</f>
        <v>4.4937465351633675E-3</v>
      </c>
      <c r="AG59" s="138">
        <f t="shared" si="117"/>
        <v>-2.8636380003835161E-2</v>
      </c>
      <c r="AH59" s="131"/>
      <c r="AI59" s="126">
        <f>AI56-AI58</f>
        <v>-7.4004462098111823</v>
      </c>
      <c r="AJ59" s="136">
        <f>SQRT((AJ56^2)+(AJ58^2))</f>
        <v>5.3987748563103594E-2</v>
      </c>
      <c r="AK59" s="138">
        <f t="shared" si="106"/>
        <v>-7.2952018070922588E-3</v>
      </c>
      <c r="AL59" s="131"/>
      <c r="AM59" s="126">
        <f>AM56-AM58</f>
        <v>-6.4008755925581013</v>
      </c>
      <c r="AN59" s="136">
        <f>SQRT((AN56^2)+(AN58^2))</f>
        <v>0.11429489138575739</v>
      </c>
      <c r="AO59" s="138">
        <f t="shared" ref="AO59:AO61" si="118">AN59/AM59</f>
        <v>-1.7856133857474268E-2</v>
      </c>
      <c r="AP59" s="131"/>
      <c r="AQ59" s="126">
        <f>AQ56-AQ58</f>
        <v>-8.1514209596912846</v>
      </c>
      <c r="AR59" s="136">
        <f>SQRT((AR56^2)+(AR58^2))</f>
        <v>7.6585695650941699E-2</v>
      </c>
      <c r="AS59" s="138">
        <f t="shared" ref="AS59:AS61" si="119">AR59/AQ59</f>
        <v>-9.3953797785266378E-3</v>
      </c>
      <c r="AT59" s="131"/>
      <c r="AU59" s="126">
        <f>AU56-AU58</f>
        <v>-2.3060345051624349</v>
      </c>
      <c r="AV59" s="136">
        <f>SQRT((AV56^2)+(AV58^2))</f>
        <v>2.719974004334999E-2</v>
      </c>
      <c r="AW59" s="138">
        <f t="shared" ref="AW59:AW61" si="120">AV59/AU59</f>
        <v>-1.1795027343458621E-2</v>
      </c>
      <c r="AX59" s="131"/>
      <c r="AY59" s="126">
        <f>AY56-AY58</f>
        <v>-2.9356218088756112</v>
      </c>
      <c r="AZ59" s="136">
        <f>SQRT((AZ56^2)+(AZ58^2))</f>
        <v>3.2460892456626561E-2</v>
      </c>
      <c r="BA59" s="138">
        <f t="shared" ref="BA59:BA61" si="121">AZ59/AY59</f>
        <v>-1.1057586627297741E-2</v>
      </c>
      <c r="BB59" s="131"/>
      <c r="BC59" s="126">
        <f>BC56-BC58</f>
        <v>-3.9861913436494563</v>
      </c>
      <c r="BD59" s="136">
        <f>SQRT((BD56^2)+(BD58^2))</f>
        <v>3.8289266062351501E-2</v>
      </c>
      <c r="BE59" s="138">
        <f t="shared" ref="BE59:BE61" si="122">BD59/BC59</f>
        <v>-9.6054761955548119E-3</v>
      </c>
      <c r="BF59" s="131"/>
    </row>
    <row r="60" spans="1:58" ht="17" thickBot="1">
      <c r="A60" s="272"/>
      <c r="B60" s="131" t="s">
        <v>135</v>
      </c>
      <c r="C60" s="126">
        <f>16*(SUM(F7:F21))-SUM($B$7:$B$21)^2</f>
        <v>130375</v>
      </c>
      <c r="D60" s="136">
        <v>0</v>
      </c>
      <c r="E60" s="138">
        <f t="shared" si="98"/>
        <v>0</v>
      </c>
      <c r="F60" s="131"/>
      <c r="G60" s="126">
        <f>22*(SUM(J7:J29))-SUM($B$7:$B$29)^2</f>
        <v>487025</v>
      </c>
      <c r="H60" s="136">
        <v>0</v>
      </c>
      <c r="I60" s="138">
        <f t="shared" si="99"/>
        <v>0</v>
      </c>
      <c r="J60" s="131"/>
      <c r="K60" s="126">
        <f>8*(SUM(N7:N14))-SUM($B$7:$B$14)^2</f>
        <v>8400</v>
      </c>
      <c r="L60" s="136">
        <v>0</v>
      </c>
      <c r="M60" s="138">
        <f t="shared" si="112"/>
        <v>0</v>
      </c>
      <c r="N60" s="131"/>
      <c r="O60" s="126">
        <f>8*(SUM(R7:R14))-SUM($B$7:$B$14)^2</f>
        <v>8400</v>
      </c>
      <c r="P60" s="136">
        <v>0</v>
      </c>
      <c r="Q60" s="138">
        <f t="shared" si="113"/>
        <v>0</v>
      </c>
      <c r="R60" s="131"/>
      <c r="S60" s="126">
        <f>23*(SUM(V7:V30))-SUM($B$7:$B$30)^2</f>
        <v>581900</v>
      </c>
      <c r="T60" s="136">
        <v>0</v>
      </c>
      <c r="U60" s="138">
        <f t="shared" si="114"/>
        <v>0</v>
      </c>
      <c r="V60" s="131"/>
      <c r="W60" s="126">
        <f>8*(SUM(Z7:Z14))-SUM($B$7:$B$14)^2</f>
        <v>8400</v>
      </c>
      <c r="X60" s="136">
        <v>0</v>
      </c>
      <c r="Y60" s="138">
        <f t="shared" si="115"/>
        <v>0</v>
      </c>
      <c r="Z60" s="131"/>
      <c r="AA60" s="126">
        <f>6*(SUM(AD7:AD12))-SUM($B$7:$B$12)^2</f>
        <v>2625</v>
      </c>
      <c r="AB60" s="136">
        <v>0</v>
      </c>
      <c r="AC60" s="138">
        <f t="shared" si="116"/>
        <v>0</v>
      </c>
      <c r="AD60" s="131"/>
      <c r="AE60" s="126">
        <f>7*(SUM(AH7:AH13))-SUM($B$7:$B$13)^2</f>
        <v>4900</v>
      </c>
      <c r="AF60" s="136">
        <v>0</v>
      </c>
      <c r="AG60" s="138">
        <f t="shared" si="117"/>
        <v>0</v>
      </c>
      <c r="AH60" s="131"/>
      <c r="AI60" s="126">
        <f>19*(SUM(AL7:AL24))-SUM($B$7:$B$24)^2</f>
        <v>262650</v>
      </c>
      <c r="AJ60" s="136">
        <v>0</v>
      </c>
      <c r="AK60" s="138">
        <f t="shared" si="106"/>
        <v>0</v>
      </c>
      <c r="AL60" s="131"/>
      <c r="AM60" s="126">
        <f>26*(SUM(AP7:AP32))-SUM($B$7:$B$32)^2</f>
        <v>950625</v>
      </c>
      <c r="AN60" s="136">
        <v>0</v>
      </c>
      <c r="AO60" s="138">
        <f t="shared" si="118"/>
        <v>0</v>
      </c>
      <c r="AP60" s="131"/>
      <c r="AQ60" s="126">
        <f>21*(SUM(AT7:AT27))-SUM($B$7:$B$27)^2</f>
        <v>404250</v>
      </c>
      <c r="AR60" s="136">
        <v>0</v>
      </c>
      <c r="AS60" s="138">
        <f t="shared" si="119"/>
        <v>0</v>
      </c>
      <c r="AT60" s="131"/>
      <c r="AU60" s="126">
        <f>14*(SUM(AX7:AX20))-SUM($B$7:$B$20)^2</f>
        <v>79625</v>
      </c>
      <c r="AV60" s="136">
        <v>0</v>
      </c>
      <c r="AW60" s="138">
        <f t="shared" si="120"/>
        <v>0</v>
      </c>
      <c r="AX60" s="131"/>
      <c r="AY60" s="126">
        <f>15*(SUM(BB7:BB21))-SUM($B$7:$B$21)^2</f>
        <v>105000</v>
      </c>
      <c r="AZ60" s="136">
        <v>0</v>
      </c>
      <c r="BA60" s="138">
        <f t="shared" si="121"/>
        <v>0</v>
      </c>
      <c r="BB60" s="131"/>
      <c r="BC60" s="126">
        <f>16*(SUM(BF7:BF22))-SUM($B$7:$B$22)^2</f>
        <v>136000</v>
      </c>
      <c r="BD60" s="136">
        <v>0</v>
      </c>
      <c r="BE60" s="138">
        <f t="shared" si="122"/>
        <v>0</v>
      </c>
      <c r="BF60" s="131"/>
    </row>
    <row r="61" spans="1:58" ht="17" thickBot="1">
      <c r="A61" s="272"/>
      <c r="B61" s="140" t="s">
        <v>124</v>
      </c>
      <c r="C61" s="141">
        <f>'Rate Order'!B2</f>
        <v>3.5603761671836853E-5</v>
      </c>
      <c r="D61" s="142">
        <f>'Rate Order'!C2</f>
        <v>9.1039586771500099E-7</v>
      </c>
      <c r="E61" s="143">
        <f>D61/C61</f>
        <v>2.5570215757149579E-2</v>
      </c>
      <c r="F61" s="144"/>
      <c r="G61" s="142">
        <f>'Rate Order'!B3</f>
        <v>1.5291130185579056E-5</v>
      </c>
      <c r="H61" s="142">
        <f>'Rate Order'!C3/10</f>
        <v>2.0311613792484796E-7</v>
      </c>
      <c r="I61" s="143">
        <f>H61/G61</f>
        <v>1.3283265230218574E-2</v>
      </c>
      <c r="J61" s="144"/>
      <c r="K61" s="142">
        <f>'Rate Order'!B4</f>
        <v>4.9796106288533329E-5</v>
      </c>
      <c r="L61" s="142">
        <f>K61*SQRT((L59/K59)^2)</f>
        <v>7.3950988260325457E-7</v>
      </c>
      <c r="M61" s="143">
        <f t="shared" si="112"/>
        <v>1.4850757172022971E-2</v>
      </c>
      <c r="N61" s="144"/>
      <c r="O61" s="142">
        <f>'Rate Order'!B5</f>
        <v>6.0233703341133311E-5</v>
      </c>
      <c r="P61" s="142">
        <f>O61*SQRT((P59/O59)^2)</f>
        <v>7.8484857603967461E-7</v>
      </c>
      <c r="Q61" s="143">
        <f t="shared" si="113"/>
        <v>1.3030056803824401E-2</v>
      </c>
      <c r="R61" s="144"/>
      <c r="S61" s="142">
        <f>'Rate Order'!B6</f>
        <v>1.7092112773550642E-5</v>
      </c>
      <c r="T61" s="142">
        <f>S61*SQRT((T59/S59)^2)</f>
        <v>1.3303085189088692E-7</v>
      </c>
      <c r="U61" s="143">
        <f t="shared" si="114"/>
        <v>7.7831719023494176E-3</v>
      </c>
      <c r="V61" s="144"/>
      <c r="W61" s="142">
        <f>'Rate Order'!B7</f>
        <v>4.922021948379913E-5</v>
      </c>
      <c r="X61" s="142">
        <f>W61*SQRT((X59/W59)^2)</f>
        <v>7.4671622634610007E-7</v>
      </c>
      <c r="Y61" s="143">
        <f t="shared" si="115"/>
        <v>1.5170924351360974E-2</v>
      </c>
      <c r="Z61" s="144"/>
      <c r="AA61" s="142">
        <f>'Rate Order'!B8</f>
        <v>6.9322921957927508E-5</v>
      </c>
      <c r="AB61" s="142">
        <f>AA61*SQRT((AB59/AA59)^2)</f>
        <v>1.137216052645598E-6</v>
      </c>
      <c r="AC61" s="143">
        <f t="shared" si="116"/>
        <v>1.6404617989642462E-2</v>
      </c>
      <c r="AD61" s="144"/>
      <c r="AE61" s="142">
        <f>'Rate Order'!B9</f>
        <v>3.2025386222083753E-5</v>
      </c>
      <c r="AF61" s="142">
        <f>AE61*SQRT((AF59/AE59)^2)</f>
        <v>9.1709112962517721E-7</v>
      </c>
      <c r="AG61" s="143">
        <f t="shared" si="117"/>
        <v>2.8636380003835161E-2</v>
      </c>
      <c r="AH61" s="144"/>
      <c r="AI61" s="142">
        <f>'Rate Order'!B10</f>
        <v>3.6250784774920497E-5</v>
      </c>
      <c r="AJ61" s="142">
        <f>AI61*SQRT((AJ59/AI59)^2)</f>
        <v>2.6445679059851256E-7</v>
      </c>
      <c r="AK61" s="143">
        <f t="shared" si="106"/>
        <v>7.2952018070922588E-3</v>
      </c>
      <c r="AL61" s="144"/>
      <c r="AM61" s="142">
        <f>'Rate Order'!B11</f>
        <v>3.0548922167122984E-5</v>
      </c>
      <c r="AN61" s="142">
        <f>AM61*SQRT((AN59/AM59)^2)</f>
        <v>5.4548564341771093E-7</v>
      </c>
      <c r="AO61" s="143">
        <f t="shared" si="118"/>
        <v>1.7856133857474268E-2</v>
      </c>
      <c r="AP61" s="144"/>
      <c r="AQ61" s="142">
        <f>'Rate Order'!B12</f>
        <v>1.9455872324302388E-5</v>
      </c>
      <c r="AR61" s="142">
        <f>AQ61*SQRT((AR59/AQ59)^2)</f>
        <v>1.827953094093467E-7</v>
      </c>
      <c r="AS61" s="143">
        <f t="shared" si="119"/>
        <v>9.3953797785266378E-3</v>
      </c>
      <c r="AT61" s="144"/>
      <c r="AU61" s="142">
        <f>'Rate Order'!B13</f>
        <v>2.8865602401719184E-5</v>
      </c>
      <c r="AV61" s="142">
        <f>AU61*SQRT((AV59/AU59)^2)</f>
        <v>3.404705696136826E-7</v>
      </c>
      <c r="AW61" s="143">
        <f t="shared" si="120"/>
        <v>1.1795027343458621E-2</v>
      </c>
      <c r="AX61" s="144"/>
      <c r="AY61" s="142">
        <f>'Rate Order'!B14</f>
        <v>5.7767406474787095E-5</v>
      </c>
      <c r="AZ61" s="142">
        <f>AY61*SQRT((AZ59/AY59)^2)</f>
        <v>6.387681013292787E-7</v>
      </c>
      <c r="BA61" s="143">
        <f t="shared" si="121"/>
        <v>1.1057586627297741E-2</v>
      </c>
      <c r="BB61" s="144"/>
      <c r="BC61" s="142">
        <f>'Rate Order'!B15</f>
        <v>4.5263350685578487E-5</v>
      </c>
      <c r="BD61" s="142">
        <f>BC61*SQRT((BD59/BC59)^2)</f>
        <v>4.3477603754137375E-7</v>
      </c>
      <c r="BE61" s="143">
        <f t="shared" si="122"/>
        <v>9.6054761955548119E-3</v>
      </c>
      <c r="BF61" s="144"/>
    </row>
    <row r="62" spans="1:58" ht="17" thickBot="1">
      <c r="A62" s="272" t="s">
        <v>144</v>
      </c>
      <c r="B62" s="135"/>
      <c r="C62" s="273" t="s">
        <v>137</v>
      </c>
      <c r="D62" s="273"/>
      <c r="E62" s="273"/>
      <c r="F62" s="273"/>
      <c r="G62" s="250" t="s">
        <v>148</v>
      </c>
      <c r="H62" s="250"/>
      <c r="I62" s="250"/>
      <c r="J62" s="250"/>
      <c r="K62" s="273" t="s">
        <v>149</v>
      </c>
      <c r="L62" s="273"/>
      <c r="M62" s="273"/>
      <c r="N62" s="273"/>
      <c r="O62" s="250" t="s">
        <v>147</v>
      </c>
      <c r="P62" s="250"/>
      <c r="Q62" s="250"/>
      <c r="R62" s="250"/>
      <c r="S62" s="273" t="s">
        <v>150</v>
      </c>
      <c r="T62" s="273"/>
      <c r="U62" s="273"/>
      <c r="V62" s="273"/>
      <c r="W62" s="250" t="s">
        <v>151</v>
      </c>
      <c r="X62" s="250"/>
      <c r="Y62" s="250"/>
      <c r="Z62" s="250"/>
    </row>
    <row r="63" spans="1:58" ht="17" thickBot="1">
      <c r="A63" s="272"/>
      <c r="B63" s="131"/>
      <c r="C63" s="126" t="s">
        <v>125</v>
      </c>
      <c r="D63" s="136" t="s">
        <v>126</v>
      </c>
      <c r="E63" s="126" t="s">
        <v>127</v>
      </c>
      <c r="F63" s="131" t="s">
        <v>128</v>
      </c>
      <c r="G63" s="126" t="s">
        <v>125</v>
      </c>
      <c r="H63" s="136" t="s">
        <v>126</v>
      </c>
      <c r="I63" s="126" t="s">
        <v>127</v>
      </c>
      <c r="J63" s="131" t="s">
        <v>128</v>
      </c>
      <c r="K63" s="126" t="s">
        <v>125</v>
      </c>
      <c r="L63" s="136" t="s">
        <v>126</v>
      </c>
      <c r="M63" s="126" t="s">
        <v>127</v>
      </c>
      <c r="N63" s="131" t="s">
        <v>128</v>
      </c>
      <c r="O63" s="126" t="s">
        <v>125</v>
      </c>
      <c r="P63" s="136" t="s">
        <v>126</v>
      </c>
      <c r="Q63" s="126" t="s">
        <v>127</v>
      </c>
      <c r="R63" s="131" t="s">
        <v>128</v>
      </c>
      <c r="S63" s="126" t="s">
        <v>125</v>
      </c>
      <c r="T63" s="136" t="s">
        <v>126</v>
      </c>
      <c r="U63" s="126" t="s">
        <v>127</v>
      </c>
      <c r="V63" s="131" t="s">
        <v>128</v>
      </c>
      <c r="W63" s="126" t="s">
        <v>125</v>
      </c>
      <c r="X63" s="136" t="s">
        <v>126</v>
      </c>
      <c r="Y63" s="126" t="s">
        <v>127</v>
      </c>
      <c r="Z63" s="131" t="s">
        <v>128</v>
      </c>
    </row>
    <row r="64" spans="1:58" ht="17" thickBot="1">
      <c r="A64" s="272"/>
      <c r="B64" s="131" t="s">
        <v>138</v>
      </c>
      <c r="C64" s="145">
        <f>C61/G61</f>
        <v>2.3283930775381454</v>
      </c>
      <c r="D64" s="145">
        <f>C64*SQRT((D61/C61)^2+(H61/G61)^2)</f>
        <v>6.7091710965411222E-2</v>
      </c>
      <c r="E64" s="146">
        <f t="shared" ref="E64:E68" si="123">D64/C64</f>
        <v>2.8814598193337947E-2</v>
      </c>
      <c r="F64" s="131"/>
      <c r="G64" s="145">
        <f>C61/K61</f>
        <v>0.71499087630543146</v>
      </c>
      <c r="H64" s="145">
        <f>G64*SQRT((D61/C61)^2+(L61/K61)^2)</f>
        <v>2.1142232124500743E-2</v>
      </c>
      <c r="I64" s="146">
        <f t="shared" ref="I64" si="124">H64/G64</f>
        <v>2.9569932743406302E-2</v>
      </c>
      <c r="J64" s="131"/>
      <c r="K64" s="145">
        <f>C61/O61</f>
        <v>0.59109368504531601</v>
      </c>
      <c r="L64" s="145">
        <f>K64*SQRT((D61/C61)^2+(P61/O61)^2)</f>
        <v>1.6963650538524926E-2</v>
      </c>
      <c r="M64" s="146">
        <f t="shared" ref="M64" si="125">L64/K64</f>
        <v>2.8698751090911103E-2</v>
      </c>
      <c r="N64" s="131"/>
      <c r="O64" s="145">
        <f>O61/S61</f>
        <v>3.5240642358937948</v>
      </c>
      <c r="P64" s="145">
        <f>O64*SQRT((H61/G61)^2+(L61/K61)^2)</f>
        <v>7.0215609061959644E-2</v>
      </c>
      <c r="Q64" s="146">
        <f t="shared" ref="Q64:Q68" si="126">P64/O64</f>
        <v>1.992461100645946E-2</v>
      </c>
      <c r="R64" s="131"/>
      <c r="S64" s="145">
        <f>S61/W61</f>
        <v>0.34725795522257924</v>
      </c>
      <c r="T64" s="145">
        <f>S64*SQRT((T61/S61)^2+(X61/W61)^2)</f>
        <v>5.9210761440266994E-3</v>
      </c>
      <c r="U64" s="146">
        <f t="shared" ref="U64:U68" si="127">T64/S64</f>
        <v>1.7050944564341263E-2</v>
      </c>
      <c r="V64" s="131"/>
      <c r="W64" s="145">
        <f>K61/O61</f>
        <v>0.82671500383287577</v>
      </c>
      <c r="X64" s="145">
        <f>W64*SQRT((L61/K61)^2+(P61/O61)^2)</f>
        <v>1.6333163956790159E-2</v>
      </c>
      <c r="Y64" s="146">
        <f t="shared" ref="Y64:Y68" si="128">X64/W64</f>
        <v>1.9756704403652001E-2</v>
      </c>
      <c r="Z64" s="131"/>
    </row>
    <row r="65" spans="1:26" ht="17" thickBot="1">
      <c r="A65" s="272"/>
      <c r="B65" s="131" t="s">
        <v>139</v>
      </c>
      <c r="C65" s="147">
        <f>LN(C64)</f>
        <v>0.84517836335576935</v>
      </c>
      <c r="D65" s="145">
        <f>D64/C64</f>
        <v>2.8814598193337947E-2</v>
      </c>
      <c r="E65" s="146">
        <f>D65/C65</f>
        <v>3.4092919841120839E-2</v>
      </c>
      <c r="F65" s="131"/>
      <c r="G65" s="147">
        <f>LN(G64)</f>
        <v>-0.33548549678152811</v>
      </c>
      <c r="H65" s="145">
        <f>H64/G64</f>
        <v>2.9569932743406302E-2</v>
      </c>
      <c r="I65" s="146">
        <f>H65/G65</f>
        <v>-8.8140718532051993E-2</v>
      </c>
      <c r="J65" s="131"/>
      <c r="K65" s="147">
        <f>LN(K64)</f>
        <v>-0.5257807546037111</v>
      </c>
      <c r="L65" s="145">
        <f>L64/K64</f>
        <v>2.8698751090911103E-2</v>
      </c>
      <c r="M65" s="146">
        <f>L65/K65</f>
        <v>-5.4583114424836231E-2</v>
      </c>
      <c r="N65" s="131"/>
      <c r="O65" s="147">
        <f>LN(O64)</f>
        <v>1.2596149360274951</v>
      </c>
      <c r="P65" s="145">
        <f>P64/O64</f>
        <v>1.992461100645946E-2</v>
      </c>
      <c r="Q65" s="146">
        <f t="shared" si="126"/>
        <v>1.5818017424671552E-2</v>
      </c>
      <c r="R65" s="131"/>
      <c r="S65" s="147">
        <f>LN(S64)</f>
        <v>-1.0576873884018043</v>
      </c>
      <c r="T65" s="145">
        <f>T64/S64</f>
        <v>1.7050944564341263E-2</v>
      </c>
      <c r="U65" s="146">
        <f t="shared" si="127"/>
        <v>-1.6120968020717091E-2</v>
      </c>
      <c r="V65" s="131"/>
      <c r="W65" s="147">
        <f>LN(W64)</f>
        <v>-0.19029525782218301</v>
      </c>
      <c r="X65" s="145">
        <f>X64/W64</f>
        <v>1.9756704403652001E-2</v>
      </c>
      <c r="Y65" s="146">
        <f t="shared" si="128"/>
        <v>-0.10382131761850416</v>
      </c>
      <c r="Z65" s="131"/>
    </row>
    <row r="66" spans="1:26" ht="17" thickBot="1">
      <c r="A66" s="272"/>
      <c r="B66" s="131" t="s">
        <v>140</v>
      </c>
      <c r="C66" s="147">
        <f>F47/J47</f>
        <v>2</v>
      </c>
      <c r="D66" s="147">
        <f>C66*SQRT((F51/F50)^2+(J51/J50)^2)</f>
        <v>5.9222053542350808E-6</v>
      </c>
      <c r="E66" s="146">
        <f>D66/C66</f>
        <v>2.9611026771175404E-6</v>
      </c>
      <c r="F66" s="131"/>
      <c r="G66" s="147">
        <f>F47/N47</f>
        <v>0.66666666666666663</v>
      </c>
      <c r="H66" s="147">
        <f>G66*SQRT((J51/J50)^2+(N51/N50)^2)</f>
        <v>1.861169584692847E-6</v>
      </c>
      <c r="I66" s="146">
        <f>H66/G66</f>
        <v>2.7917543770392707E-6</v>
      </c>
      <c r="J66" s="131"/>
      <c r="K66" s="147">
        <f>F47/R47</f>
        <v>0.5</v>
      </c>
      <c r="L66" s="147">
        <f>K66*SQRT((N51/N50)^2+(R51/R50)^2)</f>
        <v>5.5176890619928602E-7</v>
      </c>
      <c r="M66" s="146">
        <f>L66/K66</f>
        <v>1.103537812398572E-6</v>
      </c>
      <c r="N66" s="131"/>
      <c r="O66" s="147">
        <f>J47/N47</f>
        <v>0.33333333333333331</v>
      </c>
      <c r="P66" s="147">
        <f>O66*SQRT((J51/J50)^2+(N51/N50)^2)</f>
        <v>9.3058479234642348E-7</v>
      </c>
      <c r="Q66" s="146">
        <f t="shared" si="126"/>
        <v>2.7917543770392707E-6</v>
      </c>
      <c r="R66" s="131"/>
      <c r="S66" s="147">
        <f>T47/X47</f>
        <v>0.33333333333333337</v>
      </c>
      <c r="T66" s="147">
        <f>S66*SQRT((T51/T50)^2+(X51/X50)^2)</f>
        <v>5.4056028378946654E-6</v>
      </c>
      <c r="U66" s="146">
        <f t="shared" si="127"/>
        <v>1.6216808513683994E-5</v>
      </c>
      <c r="V66" s="131"/>
      <c r="W66" s="147">
        <f>N47/R47</f>
        <v>0.75</v>
      </c>
      <c r="X66" s="147">
        <f>W66*SQRT((X51/X50)^2+(AB51/AB50)^2)</f>
        <v>4.807692307692307E-6</v>
      </c>
      <c r="Y66" s="146">
        <f t="shared" si="128"/>
        <v>6.4102564102564091E-6</v>
      </c>
      <c r="Z66" s="131"/>
    </row>
    <row r="67" spans="1:26" ht="17" thickBot="1">
      <c r="A67" s="272"/>
      <c r="B67" s="131" t="s">
        <v>141</v>
      </c>
      <c r="C67" s="147">
        <f>LN(C66)</f>
        <v>0.69314718055994529</v>
      </c>
      <c r="D67" s="147">
        <f>D66/C66</f>
        <v>2.9611026771175404E-6</v>
      </c>
      <c r="E67" s="146">
        <f t="shared" si="123"/>
        <v>4.2719681478405088E-6</v>
      </c>
      <c r="F67" s="131"/>
      <c r="G67" s="147">
        <f>LN(G66)</f>
        <v>-0.40546510810816444</v>
      </c>
      <c r="H67" s="147">
        <f>H66/G66</f>
        <v>2.7917543770392707E-6</v>
      </c>
      <c r="I67" s="146">
        <f t="shared" ref="I67:I68" si="129">H67/G67</f>
        <v>-6.8853134861965108E-6</v>
      </c>
      <c r="J67" s="131"/>
      <c r="K67" s="147">
        <f>LN(K66)</f>
        <v>-0.69314718055994529</v>
      </c>
      <c r="L67" s="147">
        <f>L66/K66</f>
        <v>1.103537812398572E-6</v>
      </c>
      <c r="M67" s="146">
        <f t="shared" ref="M67:M68" si="130">L67/K67</f>
        <v>-1.5920685293808752E-6</v>
      </c>
      <c r="N67" s="131"/>
      <c r="O67" s="147">
        <f>LN(O66)</f>
        <v>-1.0986122886681098</v>
      </c>
      <c r="P67" s="147">
        <f>P66/O66</f>
        <v>2.7917543770392707E-6</v>
      </c>
      <c r="Q67" s="146">
        <f t="shared" si="126"/>
        <v>-2.5411643450883138E-6</v>
      </c>
      <c r="R67" s="131"/>
      <c r="S67" s="147">
        <f>LN(S66)</f>
        <v>-1.0986122886681096</v>
      </c>
      <c r="T67" s="147">
        <f>T66/S66</f>
        <v>1.6216808513683994E-5</v>
      </c>
      <c r="U67" s="146">
        <f t="shared" si="127"/>
        <v>-1.4761175239851233E-5</v>
      </c>
      <c r="V67" s="131"/>
      <c r="W67" s="147">
        <f>LN(W66)</f>
        <v>-0.2876820724517809</v>
      </c>
      <c r="X67" s="147">
        <f>X66/W66</f>
        <v>6.4102564102564091E-6</v>
      </c>
      <c r="Y67" s="146">
        <f t="shared" si="128"/>
        <v>-2.2282432671680813E-5</v>
      </c>
      <c r="Z67" s="131"/>
    </row>
    <row r="68" spans="1:26" ht="17" thickBot="1">
      <c r="A68" s="272"/>
      <c r="B68" s="131" t="s">
        <v>145</v>
      </c>
      <c r="C68" s="147">
        <f>C65/C67</f>
        <v>1.2193346334800188</v>
      </c>
      <c r="D68" s="145">
        <f>C68*SQRT((D67/C67)^2+(D65/C65)^2)</f>
        <v>4.1570678245087575E-2</v>
      </c>
      <c r="E68" s="146">
        <f t="shared" si="123"/>
        <v>3.4092920108767494E-2</v>
      </c>
      <c r="F68" s="131"/>
      <c r="G68" s="147">
        <f>G65/G67</f>
        <v>0.82740904228935985</v>
      </c>
      <c r="H68" s="145">
        <f>G68*SQRT((H67/G67)^2+(H65/G65)^2)</f>
        <v>7.29284277298171E-2</v>
      </c>
      <c r="I68" s="146">
        <f t="shared" si="129"/>
        <v>8.8140718800982981E-2</v>
      </c>
      <c r="J68" s="131"/>
      <c r="K68" s="147">
        <f>K65/K67</f>
        <v>0.75854128726163106</v>
      </c>
      <c r="L68" s="145">
        <f>K68*SQRT((L67/K67)^2+(L65/K65)^2)</f>
        <v>4.1403545896176411E-2</v>
      </c>
      <c r="M68" s="146">
        <f t="shared" si="130"/>
        <v>5.458311444805479E-2</v>
      </c>
      <c r="N68" s="131"/>
      <c r="O68" s="147">
        <f>O65/O67*-1</f>
        <v>1.1465509252172803</v>
      </c>
      <c r="P68" s="145">
        <f>O68*SQRT((P67/O67)^2+(P65/O65)^2)</f>
        <v>1.8136162747393072E-2</v>
      </c>
      <c r="Q68" s="146">
        <f t="shared" si="126"/>
        <v>1.5818017628790565E-2</v>
      </c>
      <c r="R68" s="131"/>
      <c r="S68" s="147">
        <f>S65/S67</f>
        <v>0.96274855043181784</v>
      </c>
      <c r="T68" s="145">
        <f>S68*SQRT((T67/S67)^2+(T65/S65)^2)</f>
        <v>1.5520445099794951E-2</v>
      </c>
      <c r="U68" s="146">
        <f t="shared" si="127"/>
        <v>1.6120974778755705E-2</v>
      </c>
      <c r="V68" s="131"/>
      <c r="W68" s="147">
        <f>W65/W67</f>
        <v>0.66147763814541782</v>
      </c>
      <c r="X68" s="145">
        <f>W68*SQRT((X67/W67)^2+(X65/W65)^2)</f>
        <v>6.8675481549132375E-2</v>
      </c>
      <c r="Y68" s="146">
        <f t="shared" si="128"/>
        <v>0.10382132000966433</v>
      </c>
      <c r="Z68" s="131"/>
    </row>
    <row r="69" spans="1:26" ht="17" thickBot="1">
      <c r="A69" s="272"/>
      <c r="B69" s="148" t="s">
        <v>146</v>
      </c>
      <c r="C69" s="149">
        <f>'Rate Order'!B34</f>
        <v>0.98760236033683424</v>
      </c>
      <c r="D69" s="150">
        <f>C69*SQRT((SQRT((D68^2)+(H68^2)+(L68^2)+(P68^2)+(T68^2)+X68^2)/SUM(C68,G68,K68,O68,S68,W68,))^2)</f>
        <v>2.0991679614001446E-2</v>
      </c>
      <c r="E69" s="151">
        <f>D69/C69</f>
        <v>2.125519384830345E-2</v>
      </c>
      <c r="F69" s="148"/>
      <c r="G69" s="149"/>
      <c r="H69" s="150"/>
      <c r="I69" s="151"/>
      <c r="J69" s="131"/>
      <c r="K69" s="149"/>
      <c r="L69" s="150"/>
      <c r="M69" s="151"/>
      <c r="N69" s="131"/>
      <c r="R69" s="131"/>
      <c r="T69" s="128"/>
      <c r="V69" s="131"/>
      <c r="Z69" s="131"/>
    </row>
    <row r="70" spans="1:26" ht="17" thickBot="1">
      <c r="A70" s="272" t="s">
        <v>161</v>
      </c>
      <c r="B70" s="131"/>
      <c r="C70" s="251" t="s">
        <v>155</v>
      </c>
      <c r="D70" s="277"/>
      <c r="E70" s="277"/>
      <c r="F70" s="278"/>
      <c r="G70" s="252" t="s">
        <v>156</v>
      </c>
      <c r="H70" s="252"/>
      <c r="I70" s="252"/>
      <c r="J70" s="252"/>
      <c r="K70" s="277" t="s">
        <v>157</v>
      </c>
      <c r="L70" s="277"/>
      <c r="M70" s="277"/>
      <c r="N70" s="277"/>
      <c r="O70" s="252" t="s">
        <v>158</v>
      </c>
      <c r="P70" s="252"/>
      <c r="Q70" s="252"/>
      <c r="R70" s="252"/>
      <c r="S70" s="251" t="s">
        <v>159</v>
      </c>
      <c r="T70" s="251"/>
      <c r="U70" s="251"/>
      <c r="V70" s="251"/>
      <c r="W70" s="252" t="s">
        <v>160</v>
      </c>
      <c r="X70" s="252"/>
      <c r="Y70" s="252"/>
      <c r="Z70" s="252"/>
    </row>
    <row r="71" spans="1:26" ht="17" thickBot="1">
      <c r="A71" s="272"/>
      <c r="B71" s="131"/>
      <c r="C71" s="126" t="s">
        <v>125</v>
      </c>
      <c r="D71" s="136" t="s">
        <v>126</v>
      </c>
      <c r="E71" s="126" t="s">
        <v>127</v>
      </c>
      <c r="F71" s="131" t="s">
        <v>128</v>
      </c>
      <c r="G71" s="126" t="s">
        <v>125</v>
      </c>
      <c r="H71" s="136" t="s">
        <v>126</v>
      </c>
      <c r="I71" s="126" t="s">
        <v>127</v>
      </c>
      <c r="J71" s="131" t="s">
        <v>128</v>
      </c>
      <c r="K71" s="126" t="s">
        <v>125</v>
      </c>
      <c r="L71" s="136" t="s">
        <v>126</v>
      </c>
      <c r="M71" s="126" t="s">
        <v>127</v>
      </c>
      <c r="N71" s="131" t="s">
        <v>128</v>
      </c>
      <c r="O71" s="126" t="s">
        <v>125</v>
      </c>
      <c r="P71" s="136" t="s">
        <v>126</v>
      </c>
      <c r="Q71" s="126" t="s">
        <v>127</v>
      </c>
      <c r="R71" s="131" t="s">
        <v>128</v>
      </c>
      <c r="S71" s="126" t="s">
        <v>125</v>
      </c>
      <c r="T71" s="136" t="s">
        <v>126</v>
      </c>
      <c r="U71" s="126" t="s">
        <v>127</v>
      </c>
      <c r="V71" s="131" t="s">
        <v>128</v>
      </c>
      <c r="W71" s="126" t="s">
        <v>125</v>
      </c>
      <c r="X71" s="136" t="s">
        <v>126</v>
      </c>
      <c r="Y71" s="126" t="s">
        <v>127</v>
      </c>
      <c r="Z71" s="131" t="s">
        <v>128</v>
      </c>
    </row>
    <row r="72" spans="1:26">
      <c r="A72" s="272"/>
      <c r="B72" s="131" t="s">
        <v>138</v>
      </c>
      <c r="C72" s="145">
        <f>C61/S61</f>
        <v>2.0830521155308692</v>
      </c>
      <c r="D72" s="145">
        <f>C72*SQRT((D61/C61)^2+(T61/S61)^2)</f>
        <v>5.5676896909943603E-2</v>
      </c>
      <c r="E72" s="146">
        <f>D72/C72</f>
        <v>2.6728518453679809E-2</v>
      </c>
      <c r="F72" s="131"/>
      <c r="G72" s="145">
        <f>C61/W61</f>
        <v>0.72335641826131747</v>
      </c>
      <c r="H72" s="145">
        <f>G72*SQRT((D61/C61)^2+(X61/W61)^2)</f>
        <v>2.1506845867998059E-2</v>
      </c>
      <c r="I72" s="146">
        <f t="shared" ref="I72" si="131">H72/G72</f>
        <v>2.9732017750934731E-2</v>
      </c>
      <c r="J72" s="131"/>
      <c r="K72" s="145">
        <f>C61/AA61</f>
        <v>0.51359291654562667</v>
      </c>
      <c r="L72" s="145">
        <f>K72*SQRT((D61/C61)^2+(AB61/AA61)^2)</f>
        <v>1.5602978376535384E-2</v>
      </c>
      <c r="M72" s="146">
        <f t="shared" ref="M72" si="132">L72/K72</f>
        <v>3.0380049790171209E-2</v>
      </c>
      <c r="N72" s="131"/>
      <c r="O72" s="145">
        <f>S61/W61</f>
        <v>0.34725795522257924</v>
      </c>
      <c r="P72" s="145">
        <f>O72*SQRT((T61/S61)^2+(X61/W61)^2)</f>
        <v>5.9210761440266994E-3</v>
      </c>
      <c r="Q72" s="146">
        <f t="shared" ref="Q72" si="133">P72/O72</f>
        <v>1.7050944564341263E-2</v>
      </c>
      <c r="R72" s="131"/>
      <c r="S72" s="152">
        <f>S61/AA61</f>
        <v>0.24655788144538895</v>
      </c>
      <c r="T72" s="152">
        <f>S72*SQRT((T61/S61)^2+(AB61/AA61)^2)</f>
        <v>4.476837050874539E-3</v>
      </c>
      <c r="U72" s="126">
        <f t="shared" ref="U72" si="134">T72/S72</f>
        <v>1.8157347169882015E-2</v>
      </c>
      <c r="V72" s="131"/>
      <c r="W72" s="152">
        <f>W61/AA61</f>
        <v>0.71001363032087961</v>
      </c>
      <c r="X72" s="152">
        <f>W72*SQRT((X61/W61)^2+(AB61/AA61)^2)</f>
        <v>1.5864768595334085E-2</v>
      </c>
      <c r="Y72" s="126">
        <f t="shared" ref="Y72" si="135">X72/W72</f>
        <v>2.2344315542455501E-2</v>
      </c>
      <c r="Z72" s="131"/>
    </row>
    <row r="73" spans="1:26">
      <c r="A73" s="272"/>
      <c r="B73" s="131" t="s">
        <v>139</v>
      </c>
      <c r="C73" s="147">
        <f>LN(C72)</f>
        <v>0.73383418142378398</v>
      </c>
      <c r="D73" s="145">
        <f>D72/C72</f>
        <v>2.6728518453679809E-2</v>
      </c>
      <c r="E73" s="146">
        <f>D73/C73</f>
        <v>3.6423103652409833E-2</v>
      </c>
      <c r="F73" s="131"/>
      <c r="G73" s="147">
        <f>LN(G72)</f>
        <v>-0.32385320697802034</v>
      </c>
      <c r="H73" s="145">
        <f>H72/G72</f>
        <v>2.9732017750934731E-2</v>
      </c>
      <c r="I73" s="146">
        <f>H73/G73</f>
        <v>-9.1807081450184985E-2</v>
      </c>
      <c r="J73" s="131"/>
      <c r="K73" s="147">
        <f>LN(K72)</f>
        <v>-0.66632431847402673</v>
      </c>
      <c r="L73" s="145">
        <f>L72/K72</f>
        <v>3.0380049790171209E-2</v>
      </c>
      <c r="M73" s="146">
        <f>L73/K73</f>
        <v>-4.5593487957554441E-2</v>
      </c>
      <c r="N73" s="131"/>
      <c r="O73" s="147">
        <f>LN(O72)</f>
        <v>-1.0576873884018043</v>
      </c>
      <c r="P73" s="145">
        <f>P72/O72</f>
        <v>1.7050944564341263E-2</v>
      </c>
      <c r="Q73" s="146">
        <f>P73/O73</f>
        <v>-1.6120968020717091E-2</v>
      </c>
      <c r="R73" s="131"/>
      <c r="S73" s="126">
        <f>LN(S72)</f>
        <v>-1.4001584998978107</v>
      </c>
      <c r="T73" s="126">
        <f>T72/S72</f>
        <v>1.8157347169882015E-2</v>
      </c>
      <c r="U73" s="126">
        <f>T73/S73</f>
        <v>-1.2968065523444105E-2</v>
      </c>
      <c r="V73" s="131"/>
      <c r="W73" s="126">
        <f>LN(W72)</f>
        <v>-0.34247111149600651</v>
      </c>
      <c r="X73" s="126">
        <f>X72/W72</f>
        <v>2.2344315542455501E-2</v>
      </c>
      <c r="Y73" s="126">
        <f>X73/W73</f>
        <v>-6.5244380598554669E-2</v>
      </c>
      <c r="Z73" s="131"/>
    </row>
    <row r="74" spans="1:26">
      <c r="A74" s="272"/>
      <c r="B74" s="131" t="s">
        <v>140</v>
      </c>
      <c r="C74" s="147">
        <f>D50/T50</f>
        <v>2</v>
      </c>
      <c r="D74" s="147">
        <f>C74*SQRT((D51/D50)^2+(T51/T50)^2)</f>
        <v>3.4401045807689068E-5</v>
      </c>
      <c r="E74" s="146">
        <f>D74/C74</f>
        <v>1.7200522903844534E-5</v>
      </c>
      <c r="F74" s="131"/>
      <c r="G74" s="147">
        <f>D50/X50</f>
        <v>0.66666666666666674</v>
      </c>
      <c r="H74" s="147">
        <f>G74*SQRT((D51/D50)^2+(X51/X50)^2)</f>
        <v>6.1633355136136571E-6</v>
      </c>
      <c r="I74" s="146">
        <f>H74/G74</f>
        <v>9.2450032704204847E-6</v>
      </c>
      <c r="J74" s="131"/>
      <c r="K74" s="147">
        <f>D50/AB50</f>
        <v>0.5</v>
      </c>
      <c r="L74" s="147">
        <f>K74*SQRT((D51/D50)^2+(AB51/AB50)^2)</f>
        <v>4.3001307259611335E-6</v>
      </c>
      <c r="M74" s="146">
        <f>L74/K74</f>
        <v>8.6002614519222669E-6</v>
      </c>
      <c r="N74" s="131"/>
      <c r="O74" s="147">
        <f>T50/AF50</f>
        <v>0.5</v>
      </c>
      <c r="P74" s="147">
        <f>O74*SQRT((H51/H50)^2+(AF51/AF50)^2)</f>
        <v>5.4392829322042113E-6</v>
      </c>
      <c r="Q74" s="146">
        <f>P74/O74</f>
        <v>1.0878565864408423E-5</v>
      </c>
      <c r="R74" s="131"/>
      <c r="S74" s="126">
        <f>T50/AB50</f>
        <v>0.25</v>
      </c>
      <c r="T74" s="126">
        <f>S74*SQRT((L51/L50)^2+(AJ51/AJ50)^2)</f>
        <v>2.7196414661021056E-6</v>
      </c>
      <c r="U74" s="126">
        <f>T74/S74</f>
        <v>1.0878565864408423E-5</v>
      </c>
      <c r="V74" s="131"/>
      <c r="W74" s="126">
        <f>X50/AB50</f>
        <v>0.75</v>
      </c>
      <c r="X74" s="126">
        <f>W74*SQRT((P51/P50)^2+(AN51/AN50)^2)</f>
        <v>8.1589243983063165E-6</v>
      </c>
      <c r="Y74" s="126">
        <f>X74/W74</f>
        <v>1.0878565864408423E-5</v>
      </c>
      <c r="Z74" s="131"/>
    </row>
    <row r="75" spans="1:26">
      <c r="A75" s="272"/>
      <c r="B75" s="131" t="s">
        <v>141</v>
      </c>
      <c r="C75" s="147">
        <f>LN(C74)</f>
        <v>0.69314718055994529</v>
      </c>
      <c r="D75" s="147">
        <f>D74/C74</f>
        <v>1.7200522903844534E-5</v>
      </c>
      <c r="E75" s="146">
        <f t="shared" ref="E75:E76" si="136">D75/C75</f>
        <v>2.4815109094073543E-5</v>
      </c>
      <c r="F75" s="131"/>
      <c r="G75" s="147">
        <f>LN(G74)</f>
        <v>-0.40546510810816427</v>
      </c>
      <c r="H75" s="147">
        <f>H74/G74</f>
        <v>9.2450032704204847E-6</v>
      </c>
      <c r="I75" s="146">
        <f t="shared" ref="I75:I76" si="137">H75/G75</f>
        <v>-2.2800983575519481E-5</v>
      </c>
      <c r="J75" s="131"/>
      <c r="K75" s="147">
        <f>LN(K74)</f>
        <v>-0.69314718055994529</v>
      </c>
      <c r="L75" s="147">
        <f>L74/K74</f>
        <v>8.6002614519222669E-6</v>
      </c>
      <c r="M75" s="146">
        <f t="shared" ref="M75:M76" si="138">L75/K75</f>
        <v>-1.2407554547036771E-5</v>
      </c>
      <c r="N75" s="131"/>
      <c r="O75" s="147">
        <f>LN(O74)</f>
        <v>-0.69314718055994529</v>
      </c>
      <c r="P75" s="147">
        <f>P74/O74</f>
        <v>1.0878565864408423E-5</v>
      </c>
      <c r="Q75" s="146">
        <f t="shared" ref="Q75:Q76" si="139">P75/O75</f>
        <v>-1.569445302456599E-5</v>
      </c>
      <c r="R75" s="131"/>
      <c r="S75" s="126">
        <f>LN(S74)</f>
        <v>-1.3862943611198906</v>
      </c>
      <c r="T75" s="126">
        <f>T74/S74</f>
        <v>1.0878565864408423E-5</v>
      </c>
      <c r="U75" s="126">
        <f t="shared" ref="U75:U76" si="140">T75/S75</f>
        <v>-7.847226512282995E-6</v>
      </c>
      <c r="V75" s="131"/>
      <c r="W75" s="126">
        <f>LN(W74)</f>
        <v>-0.2876820724517809</v>
      </c>
      <c r="X75" s="126">
        <f>X74/W74</f>
        <v>1.0878565864408423E-5</v>
      </c>
      <c r="Y75" s="126">
        <f t="shared" ref="Y75:Y76" si="141">X75/W75</f>
        <v>-3.7814542184347638E-5</v>
      </c>
      <c r="Z75" s="131"/>
    </row>
    <row r="76" spans="1:26">
      <c r="A76" s="272"/>
      <c r="B76" s="131" t="s">
        <v>142</v>
      </c>
      <c r="C76" s="147">
        <f>C73/C75</f>
        <v>1.0586989343749051</v>
      </c>
      <c r="D76" s="145">
        <f>C76*SQRT((D75/C75)^2+(D73/C73)^2)</f>
        <v>3.8561109972914155E-2</v>
      </c>
      <c r="E76" s="146">
        <f t="shared" si="136"/>
        <v>3.642311210569231E-2</v>
      </c>
      <c r="F76" s="131"/>
      <c r="G76" s="147">
        <f>G73/G75</f>
        <v>0.79872028567160291</v>
      </c>
      <c r="H76" s="145">
        <f>G76*SQRT((H75/G75)^2+(H73/G73)^2)</f>
        <v>7.3328180584063207E-2</v>
      </c>
      <c r="I76" s="146">
        <f t="shared" si="137"/>
        <v>9.1807084281583379E-2</v>
      </c>
      <c r="J76" s="131"/>
      <c r="K76" s="147">
        <f>K73/K75</f>
        <v>0.96130278988619666</v>
      </c>
      <c r="L76" s="145">
        <f>K76*SQRT((L75/K75)^2+(L73/K73)^2)</f>
        <v>4.3829148797169717E-2</v>
      </c>
      <c r="M76" s="146">
        <f t="shared" si="138"/>
        <v>4.5593489645815354E-2</v>
      </c>
      <c r="N76" s="131"/>
      <c r="O76" s="147">
        <f>O73/O75</f>
        <v>1.525920350058082</v>
      </c>
      <c r="P76" s="145">
        <f>O76*SQRT((P75/O75)^2+(P73/O73)^2)</f>
        <v>2.4599324822883201E-2</v>
      </c>
      <c r="Q76" s="146">
        <f t="shared" si="139"/>
        <v>1.612097566032648E-2</v>
      </c>
      <c r="R76" s="131"/>
      <c r="S76" s="126">
        <f>S73/S75</f>
        <v>1.010000862130551</v>
      </c>
      <c r="T76" s="126">
        <f>S76*SQRT((T75/S75)^2+(T73/S73)^2)</f>
        <v>1.3097759756842429E-2</v>
      </c>
      <c r="U76" s="126">
        <f t="shared" si="140"/>
        <v>1.2968067897697928E-2</v>
      </c>
      <c r="V76" s="131"/>
      <c r="W76" s="126">
        <f>W73/W75</f>
        <v>1.1904499594892515</v>
      </c>
      <c r="X76" s="126">
        <f>W76*SQRT((X75/W75)^2+(X73/W73)^2)</f>
        <v>7.7670183285799457E-2</v>
      </c>
      <c r="Y76" s="126">
        <f t="shared" si="141"/>
        <v>6.5244391556889075E-2</v>
      </c>
      <c r="Z76" s="131"/>
    </row>
    <row r="77" spans="1:26" ht="17" thickBot="1">
      <c r="A77" s="272"/>
      <c r="B77" s="148" t="s">
        <v>143</v>
      </c>
      <c r="C77" s="149">
        <f>'Rate Order'!B35</f>
        <v>1.0013967898387588</v>
      </c>
      <c r="D77" s="150">
        <f>C77*SQRT((SQRT((D76^2)+(H76^2)+(L76^2)+(P76^2)+(T76^2)+X76^2)/SUM(C76,G76,K76,O76,S76,W76,))^2)</f>
        <v>1.9106162043818889E-2</v>
      </c>
      <c r="E77" s="151">
        <f>D77/C77</f>
        <v>1.9079511975363225E-2</v>
      </c>
      <c r="F77" s="140"/>
      <c r="J77" s="131"/>
      <c r="N77" s="131"/>
      <c r="R77" s="131"/>
      <c r="V77" s="131"/>
      <c r="X77" s="128"/>
      <c r="Y77" s="128"/>
      <c r="Z77" s="131"/>
    </row>
    <row r="78" spans="1:26">
      <c r="A78" s="276" t="s">
        <v>152</v>
      </c>
      <c r="B78" s="131"/>
      <c r="C78" s="284" t="s">
        <v>162</v>
      </c>
      <c r="D78" s="284"/>
      <c r="E78" s="284"/>
      <c r="F78" s="284"/>
      <c r="G78" s="285" t="s">
        <v>163</v>
      </c>
      <c r="H78" s="285"/>
      <c r="I78" s="285"/>
      <c r="J78" s="285"/>
      <c r="K78" s="284" t="s">
        <v>164</v>
      </c>
      <c r="L78" s="284"/>
      <c r="M78" s="284"/>
      <c r="N78" s="284"/>
      <c r="O78" s="285" t="s">
        <v>165</v>
      </c>
      <c r="P78" s="285"/>
      <c r="Q78" s="285"/>
      <c r="R78" s="285"/>
      <c r="S78" s="249" t="s">
        <v>166</v>
      </c>
      <c r="T78" s="249"/>
      <c r="U78" s="249"/>
      <c r="V78" s="249"/>
      <c r="W78" s="256" t="s">
        <v>167</v>
      </c>
      <c r="X78" s="256"/>
      <c r="Y78" s="256"/>
      <c r="Z78" s="256"/>
    </row>
    <row r="79" spans="1:26">
      <c r="A79" s="276"/>
      <c r="B79" s="131"/>
      <c r="C79" s="126" t="s">
        <v>125</v>
      </c>
      <c r="D79" s="136" t="s">
        <v>126</v>
      </c>
      <c r="E79" s="126" t="s">
        <v>127</v>
      </c>
      <c r="F79" s="131" t="s">
        <v>128</v>
      </c>
      <c r="G79" s="126" t="s">
        <v>125</v>
      </c>
      <c r="H79" s="136" t="s">
        <v>126</v>
      </c>
      <c r="I79" s="126" t="s">
        <v>127</v>
      </c>
      <c r="J79" s="131" t="s">
        <v>128</v>
      </c>
      <c r="K79" s="126" t="s">
        <v>125</v>
      </c>
      <c r="L79" s="136" t="s">
        <v>126</v>
      </c>
      <c r="M79" s="126" t="s">
        <v>127</v>
      </c>
      <c r="N79" s="131" t="s">
        <v>128</v>
      </c>
      <c r="O79" s="126" t="s">
        <v>125</v>
      </c>
      <c r="P79" s="136" t="s">
        <v>126</v>
      </c>
      <c r="Q79" s="126" t="s">
        <v>127</v>
      </c>
      <c r="R79" s="131" t="s">
        <v>128</v>
      </c>
      <c r="S79" s="126" t="s">
        <v>125</v>
      </c>
      <c r="T79" s="136" t="s">
        <v>126</v>
      </c>
      <c r="U79" s="126" t="s">
        <v>127</v>
      </c>
      <c r="V79" s="131" t="s">
        <v>128</v>
      </c>
      <c r="W79" s="126" t="s">
        <v>125</v>
      </c>
      <c r="X79" s="136" t="s">
        <v>126</v>
      </c>
      <c r="Y79" s="126" t="s">
        <v>127</v>
      </c>
      <c r="Z79" s="131" t="s">
        <v>128</v>
      </c>
    </row>
    <row r="80" spans="1:26">
      <c r="A80" s="276"/>
      <c r="B80" s="131" t="s">
        <v>138</v>
      </c>
      <c r="C80" s="145">
        <f>C61/AE61</f>
        <v>1.111735590788459</v>
      </c>
      <c r="D80" s="145">
        <f>C80*SQRT((D61/C61)^2+(AF61/AE61)^2)</f>
        <v>4.2680775903848292E-2</v>
      </c>
      <c r="E80" s="146">
        <f>D80/C80</f>
        <v>3.8391121285933166E-2</v>
      </c>
      <c r="F80" s="131"/>
      <c r="G80" s="145">
        <f>C61/AI61</f>
        <v>0.98215147321358742</v>
      </c>
      <c r="H80" s="145">
        <f>G80*SQRT((D61/C61)^2+(AJ61/AI61)^2)</f>
        <v>2.6115921150700813E-2</v>
      </c>
      <c r="I80" s="146">
        <f>H80/G80</f>
        <v>2.6590522809327815E-2</v>
      </c>
      <c r="J80" s="131"/>
      <c r="K80" s="145">
        <f>C61/AM61</f>
        <v>1.1654670327503054</v>
      </c>
      <c r="L80" s="145">
        <f>K80*SQRT((D61/C61)^2+(AN61/AM61)^2)</f>
        <v>3.6348326217250884E-2</v>
      </c>
      <c r="M80" s="146">
        <f>L80/K80</f>
        <v>3.1187777256534637E-2</v>
      </c>
      <c r="N80" s="131"/>
      <c r="O80" s="145">
        <f>AE61/AI61</f>
        <v>0.8834398047084483</v>
      </c>
      <c r="P80" s="145">
        <f>O80*SQRT((AF61/AE61)^2+(AJ61/AI61)^2)</f>
        <v>2.6106539058049161E-2</v>
      </c>
      <c r="Q80" s="146">
        <f>P80/O80</f>
        <v>2.9551010627899891E-2</v>
      </c>
      <c r="R80" s="131"/>
      <c r="S80" s="145">
        <f>AE61/AM61</f>
        <v>1.048331134135716</v>
      </c>
      <c r="T80" s="145">
        <f>S80*SQRT((AF61/AE61)^2+(AN61/AM61)^2)</f>
        <v>3.5378399936774087E-2</v>
      </c>
      <c r="U80" s="146">
        <f>T80/S80</f>
        <v>3.3747352134057704E-2</v>
      </c>
      <c r="V80" s="131"/>
      <c r="W80" s="145">
        <f>AI61/AM61</f>
        <v>1.1866469323076121</v>
      </c>
      <c r="X80" s="145">
        <f>W80*SQRT((AJ61/AI61)^2+(AN61/AM61)^2)</f>
        <v>2.2889108553707887E-2</v>
      </c>
      <c r="Y80" s="146">
        <f>X80/W80</f>
        <v>1.9288895399743374E-2</v>
      </c>
      <c r="Z80" s="131"/>
    </row>
    <row r="81" spans="1:42">
      <c r="A81" s="276"/>
      <c r="B81" s="131" t="s">
        <v>139</v>
      </c>
      <c r="C81" s="147">
        <f>LN(C80)</f>
        <v>0.10592238948677125</v>
      </c>
      <c r="D81" s="145">
        <f>D80/C80</f>
        <v>3.8391121285933166E-2</v>
      </c>
      <c r="E81" s="146">
        <f>D81/C81</f>
        <v>0.36244576309079457</v>
      </c>
      <c r="F81" s="131"/>
      <c r="G81" s="147">
        <f>LN(G80)</f>
        <v>-1.8009732814596717E-2</v>
      </c>
      <c r="H81" s="145">
        <f>H80/G80</f>
        <v>2.6590522809327815E-2</v>
      </c>
      <c r="I81" s="146">
        <f>H81/G81</f>
        <v>-1.4764529314824955</v>
      </c>
      <c r="J81" s="131"/>
      <c r="K81" s="147">
        <f>LN(K80)</f>
        <v>0.15312189316509645</v>
      </c>
      <c r="L81" s="145">
        <f>L80/K80</f>
        <v>3.1187777256534637E-2</v>
      </c>
      <c r="M81" s="146">
        <f>L81/K81</f>
        <v>0.20367941260305533</v>
      </c>
      <c r="N81" s="131"/>
      <c r="O81" s="147">
        <f>LN(O80)</f>
        <v>-0.12393212230136781</v>
      </c>
      <c r="P81" s="145">
        <f>P80/O80</f>
        <v>2.9551010627899891E-2</v>
      </c>
      <c r="Q81" s="146">
        <f>P81/O81</f>
        <v>-0.23844512689002617</v>
      </c>
      <c r="R81" s="131"/>
      <c r="S81" s="147">
        <f>LN(S80)</f>
        <v>4.7199503678325233E-2</v>
      </c>
      <c r="T81" s="145">
        <f>T80/S80</f>
        <v>3.3747352134057704E-2</v>
      </c>
      <c r="U81" s="146">
        <f>T81/S81</f>
        <v>0.71499379239352101</v>
      </c>
      <c r="V81" s="131"/>
      <c r="W81" s="147">
        <f>LN(W80)</f>
        <v>0.17113162597969314</v>
      </c>
      <c r="X81" s="145">
        <f>X80/W80</f>
        <v>1.9288895399743374E-2</v>
      </c>
      <c r="Y81" s="146">
        <f>X81/W81</f>
        <v>0.11271379728509234</v>
      </c>
      <c r="Z81" s="131"/>
    </row>
    <row r="82" spans="1:42">
      <c r="A82" s="276"/>
      <c r="B82" s="131" t="s">
        <v>140</v>
      </c>
      <c r="C82" s="147">
        <f>E50/AG50</f>
        <v>2</v>
      </c>
      <c r="D82" s="147">
        <f>C82*SQRT((E51/E50)^2+(AG51/AG50)^2)</f>
        <v>3.4401045807689072E-4</v>
      </c>
      <c r="E82" s="146">
        <f>D82/C82</f>
        <v>1.7200522903844536E-4</v>
      </c>
      <c r="F82" s="131"/>
      <c r="G82" s="147">
        <f>E50/AK50</f>
        <v>0.66666666666666663</v>
      </c>
      <c r="H82" s="147">
        <f>G82*SQRT((I51/I50)^2+(AK51/AK50)^2)</f>
        <v>6.1633355136136574E-5</v>
      </c>
      <c r="I82" s="146">
        <f>H82/G82</f>
        <v>9.2450032704204861E-5</v>
      </c>
      <c r="J82" s="131"/>
      <c r="K82" s="147">
        <f>E50/AO50</f>
        <v>0.5</v>
      </c>
      <c r="L82" s="147">
        <f>K82*SQRT((M51/M50)^2+(AO51/AO50)^2)</f>
        <v>4.300130725961134E-5</v>
      </c>
      <c r="M82" s="146">
        <f>L82/K82</f>
        <v>8.6002614519222679E-5</v>
      </c>
      <c r="N82" s="131"/>
      <c r="O82" s="147">
        <f>AG50/AK50</f>
        <v>0.33333333333333331</v>
      </c>
      <c r="P82" s="147">
        <f>O82*SQRT((Q51/Q50)^2+(AS51/AS50)^2)</f>
        <v>3.6261886214694745E-5</v>
      </c>
      <c r="Q82" s="146">
        <f>P82/O82</f>
        <v>1.0878565864408424E-4</v>
      </c>
      <c r="R82" s="131"/>
      <c r="S82" s="147">
        <f>AG50/AO50</f>
        <v>0.25</v>
      </c>
      <c r="T82" s="147">
        <f>S82*SQRT((U51/U50)^2+(AW51/AW50)^2)</f>
        <v>2.7196414661021061E-5</v>
      </c>
      <c r="U82" s="146">
        <f>T82/S82</f>
        <v>1.0878565864408424E-4</v>
      </c>
      <c r="V82" s="131"/>
      <c r="W82" s="147">
        <f>AK50/AO50</f>
        <v>0.75</v>
      </c>
      <c r="X82" s="147">
        <f>W82*SQRT((AK51/AK50)^2+(AO51/AO50)^2)</f>
        <v>4.807692307692309E-5</v>
      </c>
      <c r="Y82" s="146">
        <f>X82/W82</f>
        <v>6.4102564102564116E-5</v>
      </c>
      <c r="Z82" s="131"/>
    </row>
    <row r="83" spans="1:42">
      <c r="A83" s="276"/>
      <c r="B83" s="131" t="s">
        <v>141</v>
      </c>
      <c r="C83" s="147">
        <f>LN(C82)</f>
        <v>0.69314718055994529</v>
      </c>
      <c r="D83" s="147">
        <f>D82/C82</f>
        <v>1.7200522903844536E-4</v>
      </c>
      <c r="E83" s="146">
        <f t="shared" ref="E83:E84" si="142">D83/C83</f>
        <v>2.4815109094073547E-4</v>
      </c>
      <c r="F83" s="131"/>
      <c r="G83" s="147">
        <f>LN(G82)</f>
        <v>-0.40546510810816444</v>
      </c>
      <c r="H83" s="147">
        <f>H82/G82</f>
        <v>9.2450032704204861E-5</v>
      </c>
      <c r="I83" s="146">
        <f t="shared" ref="I83:I84" si="143">H83/G83</f>
        <v>-2.2800983575519475E-4</v>
      </c>
      <c r="J83" s="131"/>
      <c r="K83" s="147">
        <f>LN(K82)</f>
        <v>-0.69314718055994529</v>
      </c>
      <c r="L83" s="147">
        <f>L82/K82</f>
        <v>8.6002614519222679E-5</v>
      </c>
      <c r="M83" s="146">
        <f t="shared" ref="M83:M84" si="144">L83/K83</f>
        <v>-1.2407554547036773E-4</v>
      </c>
      <c r="N83" s="131"/>
      <c r="O83" s="147">
        <f>LN(O82)</f>
        <v>-1.0986122886681098</v>
      </c>
      <c r="P83" s="147">
        <f>P82/O82</f>
        <v>1.0878565864408424E-4</v>
      </c>
      <c r="Q83" s="146">
        <f t="shared" ref="Q83:Q84" si="145">P83/O83</f>
        <v>-9.9020973792282363E-5</v>
      </c>
      <c r="R83" s="131"/>
      <c r="S83" s="147">
        <f>LN(S82)</f>
        <v>-1.3862943611198906</v>
      </c>
      <c r="T83" s="147">
        <f>T82/S82</f>
        <v>1.0878565864408424E-4</v>
      </c>
      <c r="U83" s="146">
        <f t="shared" ref="U83:U84" si="146">T83/S83</f>
        <v>-7.8472265122829971E-5</v>
      </c>
      <c r="V83" s="131"/>
      <c r="W83" s="147">
        <f>LN(W82)</f>
        <v>-0.2876820724517809</v>
      </c>
      <c r="X83" s="147">
        <f>X82/W82</f>
        <v>6.4102564102564116E-5</v>
      </c>
      <c r="Y83" s="146">
        <f t="shared" ref="Y83:Y84" si="147">X83/W83</f>
        <v>-2.228243267168082E-4</v>
      </c>
      <c r="Z83" s="131"/>
    </row>
    <row r="84" spans="1:42">
      <c r="A84" s="276"/>
      <c r="B84" s="131" t="s">
        <v>153</v>
      </c>
      <c r="C84" s="147">
        <f>C81/C83</f>
        <v>0.15281370603167416</v>
      </c>
      <c r="D84" s="145">
        <f>C84*SQRT((D83/C83)^2+(D81/C81)^2)</f>
        <v>5.538669327478489E-2</v>
      </c>
      <c r="E84" s="146">
        <f t="shared" si="142"/>
        <v>0.36244584803999663</v>
      </c>
      <c r="F84" s="131"/>
      <c r="G84" s="147">
        <f>G81/G83</f>
        <v>4.4417466397114316E-2</v>
      </c>
      <c r="H84" s="145">
        <f>G84*SQRT((H83/G83)^2+(H81/G81)^2)</f>
        <v>6.5580299253052934E-2</v>
      </c>
      <c r="I84" s="146">
        <f t="shared" si="143"/>
        <v>1.4764529490883682</v>
      </c>
      <c r="J84" s="131"/>
      <c r="K84" s="147">
        <f>K81/K83</f>
        <v>-0.22090819592081432</v>
      </c>
      <c r="L84" s="145">
        <f>K84*SQRT((L83/K83)^2+(L81/K81)^2)</f>
        <v>-4.4994459932825095E-2</v>
      </c>
      <c r="M84" s="146">
        <f t="shared" si="144"/>
        <v>0.20367945039464988</v>
      </c>
      <c r="N84" s="131"/>
      <c r="O84" s="147">
        <f>O81/O83</f>
        <v>0.11280787915781966</v>
      </c>
      <c r="P84" s="145">
        <f>O84*SQRT((P83/O83)^2+(P81/O81)^2)</f>
        <v>2.6898491379379458E-2</v>
      </c>
      <c r="Q84" s="146">
        <f t="shared" si="145"/>
        <v>0.23844514745063264</v>
      </c>
      <c r="R84" s="131"/>
      <c r="S84" s="147">
        <f>S81/S83</f>
        <v>-3.40472449445701E-2</v>
      </c>
      <c r="T84" s="145">
        <f>S84*SQRT((T83/S83)^2+(T81/S81)^2)</f>
        <v>-2.4343568930085557E-2</v>
      </c>
      <c r="U84" s="146">
        <f t="shared" si="146"/>
        <v>0.71499379669977969</v>
      </c>
      <c r="V84" s="131"/>
      <c r="W84" s="147">
        <f>W81/W83</f>
        <v>-0.59486371368649305</v>
      </c>
      <c r="X84" s="145">
        <f>W84*SQRT((X83/W83)^2+(X81/W81)^2)</f>
        <v>-6.7049479055988806E-2</v>
      </c>
      <c r="Y84" s="146">
        <f t="shared" si="147"/>
        <v>0.1127140175359989</v>
      </c>
      <c r="Z84" s="131"/>
    </row>
    <row r="85" spans="1:42" ht="17" thickBot="1">
      <c r="A85" s="276"/>
      <c r="B85" s="140" t="s">
        <v>154</v>
      </c>
      <c r="C85" s="153">
        <f>'Rate Order'!B36</f>
        <v>-3.2095770887658728E-4</v>
      </c>
      <c r="D85" s="154">
        <f>C85*SQRT((SQRT((D84^2)+(H84^2)+(L84^2)+(P84^2)+(T84^2)+X84^2)/SUM(C84,G84,K84,O84,S84,W84,))^2)</f>
        <v>-7.3319644132638877E-5</v>
      </c>
      <c r="E85" s="155">
        <f>D85/C85</f>
        <v>0.22844020288302627</v>
      </c>
      <c r="F85" s="148"/>
      <c r="G85" s="156"/>
      <c r="H85" s="156"/>
      <c r="I85" s="156"/>
      <c r="J85" s="157"/>
      <c r="K85" s="156"/>
      <c r="L85" s="156"/>
      <c r="M85" s="156"/>
      <c r="N85" s="157"/>
      <c r="O85" s="158"/>
      <c r="P85" s="156"/>
      <c r="Q85" s="156"/>
      <c r="R85" s="157"/>
      <c r="S85" s="156"/>
      <c r="T85" s="156"/>
      <c r="U85" s="156"/>
      <c r="V85" s="157"/>
      <c r="W85" s="156"/>
      <c r="X85" s="156"/>
      <c r="Y85" s="156"/>
      <c r="Z85" s="157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</row>
    <row r="86" spans="1:42" ht="17" thickBot="1">
      <c r="A86" s="272" t="s">
        <v>168</v>
      </c>
      <c r="B86" s="135"/>
      <c r="C86" s="269" t="s">
        <v>13</v>
      </c>
      <c r="D86" s="279"/>
      <c r="E86" s="279"/>
      <c r="F86" s="280"/>
      <c r="G86" s="281" t="s">
        <v>14</v>
      </c>
      <c r="H86" s="281"/>
      <c r="I86" s="281"/>
      <c r="J86" s="281"/>
      <c r="K86" s="271" t="s">
        <v>15</v>
      </c>
      <c r="L86" s="282"/>
      <c r="M86" s="282"/>
      <c r="N86" s="282"/>
      <c r="O86" s="270" t="s">
        <v>16</v>
      </c>
      <c r="P86" s="283"/>
      <c r="Q86" s="283"/>
      <c r="R86" s="283"/>
      <c r="S86" s="245" t="s">
        <v>17</v>
      </c>
      <c r="T86" s="257"/>
      <c r="U86" s="257"/>
      <c r="V86" s="257"/>
      <c r="W86" s="258" t="s">
        <v>18</v>
      </c>
      <c r="X86" s="258"/>
      <c r="Y86" s="258"/>
      <c r="Z86" s="258"/>
      <c r="AA86" s="245" t="s">
        <v>19</v>
      </c>
      <c r="AB86" s="245"/>
      <c r="AC86" s="245"/>
      <c r="AD86" s="245"/>
      <c r="AE86" s="300" t="s">
        <v>20</v>
      </c>
      <c r="AF86" s="300"/>
      <c r="AG86" s="300"/>
      <c r="AH86" s="300"/>
      <c r="AI86" s="301" t="s">
        <v>21</v>
      </c>
      <c r="AJ86" s="301"/>
      <c r="AK86" s="301"/>
      <c r="AL86" s="301"/>
      <c r="AM86" s="300" t="s">
        <v>22</v>
      </c>
      <c r="AN86" s="300"/>
      <c r="AO86" s="300"/>
      <c r="AP86" s="300"/>
    </row>
    <row r="87" spans="1:42" ht="17" thickBot="1">
      <c r="A87" s="272"/>
      <c r="B87" s="131"/>
      <c r="C87" s="126" t="s">
        <v>125</v>
      </c>
      <c r="D87" s="136" t="s">
        <v>126</v>
      </c>
      <c r="E87" s="126" t="s">
        <v>127</v>
      </c>
      <c r="F87" s="131" t="s">
        <v>128</v>
      </c>
      <c r="G87" s="126" t="s">
        <v>125</v>
      </c>
      <c r="H87" s="136" t="s">
        <v>126</v>
      </c>
      <c r="I87" s="126" t="s">
        <v>127</v>
      </c>
      <c r="J87" s="131" t="s">
        <v>128</v>
      </c>
      <c r="K87" s="126" t="s">
        <v>125</v>
      </c>
      <c r="L87" s="136" t="s">
        <v>126</v>
      </c>
      <c r="M87" s="126" t="s">
        <v>127</v>
      </c>
      <c r="N87" s="131" t="s">
        <v>128</v>
      </c>
      <c r="O87" s="126" t="s">
        <v>125</v>
      </c>
      <c r="P87" s="136" t="s">
        <v>126</v>
      </c>
      <c r="Q87" s="126" t="s">
        <v>127</v>
      </c>
      <c r="R87" s="131" t="s">
        <v>128</v>
      </c>
      <c r="S87" s="126" t="s">
        <v>125</v>
      </c>
      <c r="T87" s="136" t="s">
        <v>126</v>
      </c>
      <c r="U87" s="126" t="s">
        <v>127</v>
      </c>
      <c r="V87" s="131" t="s">
        <v>128</v>
      </c>
      <c r="W87" s="126" t="s">
        <v>125</v>
      </c>
      <c r="X87" s="136" t="s">
        <v>126</v>
      </c>
      <c r="Y87" s="126" t="s">
        <v>127</v>
      </c>
      <c r="Z87" s="131" t="s">
        <v>128</v>
      </c>
      <c r="AA87" s="159" t="s">
        <v>125</v>
      </c>
      <c r="AB87" s="160" t="s">
        <v>126</v>
      </c>
      <c r="AC87" s="128" t="s">
        <v>127</v>
      </c>
      <c r="AD87" s="131" t="s">
        <v>128</v>
      </c>
      <c r="AE87" s="126" t="s">
        <v>125</v>
      </c>
      <c r="AF87" s="136" t="s">
        <v>126</v>
      </c>
      <c r="AG87" s="126" t="s">
        <v>127</v>
      </c>
      <c r="AH87" s="131" t="s">
        <v>128</v>
      </c>
      <c r="AI87" s="126" t="s">
        <v>125</v>
      </c>
      <c r="AJ87" s="136" t="s">
        <v>126</v>
      </c>
      <c r="AK87" s="126" t="s">
        <v>127</v>
      </c>
      <c r="AL87" s="131" t="s">
        <v>128</v>
      </c>
      <c r="AM87" s="126" t="s">
        <v>125</v>
      </c>
      <c r="AN87" s="136" t="s">
        <v>126</v>
      </c>
      <c r="AO87" s="126" t="s">
        <v>127</v>
      </c>
      <c r="AP87" s="131" t="s">
        <v>128</v>
      </c>
    </row>
    <row r="88" spans="1:42" ht="17" thickBot="1">
      <c r="A88" s="272"/>
      <c r="B88" s="131" t="s">
        <v>169</v>
      </c>
      <c r="C88" s="147">
        <f>F50^$C$69</f>
        <v>1.9828868573014549</v>
      </c>
      <c r="D88" s="161">
        <f>$D$69*F51/F50</f>
        <v>2.7798134639768228E-8</v>
      </c>
      <c r="E88" s="162">
        <f t="shared" ref="E88:E93" si="148">D88/C88</f>
        <v>1.4019022082580744E-8</v>
      </c>
      <c r="F88" s="131"/>
      <c r="G88" s="147">
        <f>J50^$C$69</f>
        <v>0.99999999999999978</v>
      </c>
      <c r="H88" s="161">
        <f>$D$69*J51/J50</f>
        <v>5.5596269279536457E-8</v>
      </c>
      <c r="I88" s="162">
        <f t="shared" ref="I88:I92" si="149">H88/G88</f>
        <v>5.559626927953647E-8</v>
      </c>
      <c r="J88" s="131"/>
      <c r="K88" s="147">
        <f>N50^$C$69</f>
        <v>2.9594164078391501</v>
      </c>
      <c r="L88" s="161">
        <f>$D$69*N51/N50</f>
        <v>1.8532089759845482E-8</v>
      </c>
      <c r="M88" s="162">
        <f t="shared" ref="M88:M92" si="150">L88/K88</f>
        <v>6.2620757628957286E-9</v>
      </c>
      <c r="N88" s="131"/>
      <c r="O88" s="147">
        <f>R50^$C$69</f>
        <v>3.9318402888588411</v>
      </c>
      <c r="P88" s="161">
        <f>$D$69*R51/R50</f>
        <v>1.3899067319884114E-8</v>
      </c>
      <c r="Q88" s="162">
        <f t="shared" ref="Q88:Q92" si="151">P88/O88</f>
        <v>3.5350030262592671E-9</v>
      </c>
      <c r="R88" s="131"/>
      <c r="S88" s="147">
        <f>V50^$C$69</f>
        <v>1.9828868573014549</v>
      </c>
      <c r="T88" s="161">
        <f>$D$69*V51/V50</f>
        <v>2.7798134639768228E-8</v>
      </c>
      <c r="U88" s="162">
        <f t="shared" ref="U88:U92" si="152">T88/S88</f>
        <v>1.4019022082580744E-8</v>
      </c>
      <c r="V88" s="131"/>
      <c r="W88" s="147">
        <f>Z50^$C$69</f>
        <v>1.9828868573014549</v>
      </c>
      <c r="X88" s="161">
        <f>$D$69*Z51/Z50</f>
        <v>2.7798134639768228E-8</v>
      </c>
      <c r="Y88" s="162">
        <f t="shared" ref="Y88:Y92" si="153">X88/W88</f>
        <v>1.4019022082580744E-8</v>
      </c>
      <c r="Z88" s="131"/>
      <c r="AA88" s="147">
        <f>AD50^$C$69</f>
        <v>1.9828868573014549</v>
      </c>
      <c r="AB88" s="161">
        <f>$D$69*AD51/AD50</f>
        <v>2.7798134639768228E-8</v>
      </c>
      <c r="AC88" s="162">
        <f t="shared" ref="AC88:AC92" si="154">AB88/AA88</f>
        <v>1.4019022082580744E-8</v>
      </c>
      <c r="AD88" s="131"/>
      <c r="AE88" s="147">
        <f>AH50^$C$69</f>
        <v>1.9828868573014549</v>
      </c>
      <c r="AF88" s="161">
        <f>$D$69*AH51/AH50</f>
        <v>2.7798134639768228E-8</v>
      </c>
      <c r="AG88" s="162">
        <f t="shared" ref="AG88:AG92" si="155">AF88/AE88</f>
        <v>1.4019022082580744E-8</v>
      </c>
      <c r="AH88" s="131"/>
      <c r="AI88" s="147">
        <f>AL50^$C$69</f>
        <v>1.9828868573014549</v>
      </c>
      <c r="AJ88" s="161">
        <f>$D$69*AL51/AL50</f>
        <v>2.7798134639768228E-8</v>
      </c>
      <c r="AK88" s="162">
        <f t="shared" ref="AK88:AK92" si="156">AJ88/AI88</f>
        <v>1.4019022082580744E-8</v>
      </c>
      <c r="AL88" s="131"/>
      <c r="AM88" s="147">
        <f>AP50^$C$69</f>
        <v>1.9828868573014549</v>
      </c>
      <c r="AN88" s="161">
        <f>$D$69*AP51/AP50</f>
        <v>2.7798134639768228E-8</v>
      </c>
      <c r="AO88" s="162">
        <f t="shared" ref="AO88:AO92" si="157">AN88/AM88</f>
        <v>1.4019022082580744E-8</v>
      </c>
      <c r="AP88" s="131"/>
    </row>
    <row r="89" spans="1:42" ht="17" thickBot="1">
      <c r="A89" s="272"/>
      <c r="B89" s="131" t="s">
        <v>170</v>
      </c>
      <c r="C89" s="147">
        <f>E50^$C$85</f>
        <v>1.0027373986650787</v>
      </c>
      <c r="D89" s="161">
        <f>$D$85*E51/E50</f>
        <v>-5.6399726255876055E-9</v>
      </c>
      <c r="E89" s="162">
        <f t="shared" si="148"/>
        <v>-5.6245759189753681E-9</v>
      </c>
      <c r="F89" s="131"/>
      <c r="G89" s="147">
        <f>I50^$C$85</f>
        <v>1.0027373986650787</v>
      </c>
      <c r="H89" s="161">
        <f>$D$85*I51/I50</f>
        <v>-5.6399726255876055E-9</v>
      </c>
      <c r="I89" s="162">
        <f t="shared" si="149"/>
        <v>-5.6245759189753681E-9</v>
      </c>
      <c r="J89" s="131"/>
      <c r="K89" s="147">
        <f>M50^$C$85</f>
        <v>1.0027373986650787</v>
      </c>
      <c r="L89" s="161">
        <f>$D$85*M51/M50</f>
        <v>-5.6399726255876055E-9</v>
      </c>
      <c r="M89" s="162">
        <f t="shared" si="150"/>
        <v>-5.6245759189753681E-9</v>
      </c>
      <c r="N89" s="131"/>
      <c r="O89" s="147">
        <f>Q50^$C$85</f>
        <v>1.0027373986650787</v>
      </c>
      <c r="P89" s="161">
        <f>$D$85*Q51/Q50</f>
        <v>-5.6399726255876055E-9</v>
      </c>
      <c r="Q89" s="162">
        <f t="shared" si="151"/>
        <v>-5.6245759189753681E-9</v>
      </c>
      <c r="R89" s="131"/>
      <c r="S89" s="147">
        <f>U50^$C$85</f>
        <v>1.0027373986650787</v>
      </c>
      <c r="T89" s="161">
        <f>$D$85*U51/U50</f>
        <v>-5.6399726255876055E-9</v>
      </c>
      <c r="U89" s="162">
        <f t="shared" si="152"/>
        <v>-5.6245759189753681E-9</v>
      </c>
      <c r="V89" s="131"/>
      <c r="W89" s="147">
        <f>Y50^$C$85</f>
        <v>1.0027373986650787</v>
      </c>
      <c r="X89" s="161">
        <f>$D$85*Y51/Y50</f>
        <v>-5.6399726255876055E-9</v>
      </c>
      <c r="Y89" s="162">
        <f t="shared" si="153"/>
        <v>-5.6245759189753681E-9</v>
      </c>
      <c r="Z89" s="131"/>
      <c r="AA89" s="147">
        <f>AC50^$C$85</f>
        <v>1.0027373986650787</v>
      </c>
      <c r="AB89" s="161">
        <f>$D$85*AC51/AC50</f>
        <v>-5.6399726255876055E-9</v>
      </c>
      <c r="AC89" s="162">
        <f t="shared" si="154"/>
        <v>-5.6245759189753681E-9</v>
      </c>
      <c r="AD89" s="131"/>
      <c r="AE89" s="147">
        <f>AG50^$C$85</f>
        <v>1.0029605034039344</v>
      </c>
      <c r="AF89" s="161">
        <f>$D$85*AG51/AG50</f>
        <v>-1.1279945251175211E-8</v>
      </c>
      <c r="AG89" s="162">
        <f t="shared" si="155"/>
        <v>-1.1246649507026801E-8</v>
      </c>
      <c r="AH89" s="131"/>
      <c r="AI89" s="147">
        <f>AK50^$C$85</f>
        <v>1.0026069137663352</v>
      </c>
      <c r="AJ89" s="161">
        <f>$D$85*AK51/AK50</f>
        <v>-3.7599817503917381E-9</v>
      </c>
      <c r="AK89" s="162">
        <f t="shared" si="156"/>
        <v>-3.7502052885983085E-9</v>
      </c>
      <c r="AL89" s="131"/>
      <c r="AM89" s="147">
        <f>AO50^$C$85</f>
        <v>1.0025143435550214</v>
      </c>
      <c r="AN89" s="161">
        <f>$D$85*AO51/AO50</f>
        <v>-2.8199863127938027E-9</v>
      </c>
      <c r="AO89" s="162">
        <f t="shared" si="157"/>
        <v>-2.8129136814081226E-9</v>
      </c>
      <c r="AP89" s="131"/>
    </row>
    <row r="90" spans="1:42" ht="17" thickBot="1">
      <c r="A90" s="272"/>
      <c r="B90" s="131" t="s">
        <v>171</v>
      </c>
      <c r="C90" s="147">
        <f>D47^$C$77</f>
        <v>1.9891012560138019E-2</v>
      </c>
      <c r="D90" s="161">
        <f>$D$77*D51/D50</f>
        <v>1.4697047726014529E-7</v>
      </c>
      <c r="E90" s="162">
        <f t="shared" si="148"/>
        <v>7.3887881180406582E-6</v>
      </c>
      <c r="F90" s="131"/>
      <c r="G90" s="147">
        <f>H50^$C$77</f>
        <v>1.9891012560138019E-2</v>
      </c>
      <c r="H90" s="161">
        <f>$D$77*H51/H50</f>
        <v>1.4697047726014529E-7</v>
      </c>
      <c r="I90" s="162">
        <f t="shared" si="149"/>
        <v>7.3887881180406582E-6</v>
      </c>
      <c r="J90" s="131"/>
      <c r="K90" s="147">
        <f>L50^$C$77</f>
        <v>1.9891012560138019E-2</v>
      </c>
      <c r="L90" s="161">
        <f>$D$77*L51/L50</f>
        <v>1.4697047726014529E-7</v>
      </c>
      <c r="M90" s="162">
        <f t="shared" si="150"/>
        <v>7.3887881180406582E-6</v>
      </c>
      <c r="N90" s="131"/>
      <c r="O90" s="147">
        <f>P50^$C$77</f>
        <v>1.9891012560138019E-2</v>
      </c>
      <c r="P90" s="161">
        <f>$D$77*P51/P50</f>
        <v>1.4697047726014529E-7</v>
      </c>
      <c r="Q90" s="162">
        <f t="shared" si="151"/>
        <v>7.3887881180406582E-6</v>
      </c>
      <c r="R90" s="131"/>
      <c r="S90" s="147">
        <f>T50^$C$77</f>
        <v>9.9358818902913846E-3</v>
      </c>
      <c r="T90" s="161">
        <f>$D$77*T51/T50</f>
        <v>2.9394095452029059E-7</v>
      </c>
      <c r="U90" s="162">
        <f t="shared" si="152"/>
        <v>2.9583781064014875E-5</v>
      </c>
      <c r="V90" s="131"/>
      <c r="W90" s="147">
        <f>X50^$C$77</f>
        <v>2.9853421524978292E-2</v>
      </c>
      <c r="X90" s="161">
        <f>$D$77*X51/X50</f>
        <v>9.7980318173430204E-8</v>
      </c>
      <c r="Y90" s="162">
        <f t="shared" si="153"/>
        <v>3.282046518234109E-6</v>
      </c>
      <c r="Z90" s="131"/>
      <c r="AA90" s="147">
        <f>AB50^$C$77</f>
        <v>3.9820559970038603E-2</v>
      </c>
      <c r="AB90" s="161">
        <f>$D$77*AB51/AB50</f>
        <v>7.3485238630072647E-8</v>
      </c>
      <c r="AC90" s="162">
        <f t="shared" si="154"/>
        <v>1.8454094740346115E-6</v>
      </c>
      <c r="AD90" s="131"/>
      <c r="AE90" s="147">
        <f>AF50^$C$77</f>
        <v>1.9891012560138019E-2</v>
      </c>
      <c r="AF90" s="161">
        <f>$D$77*AF51/AF50</f>
        <v>1.4697047726014529E-7</v>
      </c>
      <c r="AG90" s="162">
        <f t="shared" si="155"/>
        <v>7.3887881180406582E-6</v>
      </c>
      <c r="AH90" s="131"/>
      <c r="AI90" s="147">
        <f>AJ50^$C$77</f>
        <v>1.9891012560138019E-2</v>
      </c>
      <c r="AJ90" s="161">
        <f>$D$77*AJ51/AJ50</f>
        <v>1.4697047726014529E-7</v>
      </c>
      <c r="AK90" s="162">
        <f t="shared" si="156"/>
        <v>7.3887881180406582E-6</v>
      </c>
      <c r="AL90" s="131"/>
      <c r="AM90" s="147">
        <f>AN50^$C$77</f>
        <v>1.9891012560138019E-2</v>
      </c>
      <c r="AN90" s="161">
        <f>$D$77*AN51/AN50</f>
        <v>1.4697047726014529E-7</v>
      </c>
      <c r="AO90" s="162">
        <f t="shared" si="157"/>
        <v>7.3887881180406582E-6</v>
      </c>
      <c r="AP90" s="131"/>
    </row>
    <row r="91" spans="1:42" ht="17" thickBot="1">
      <c r="A91" s="272"/>
      <c r="B91" s="131" t="s">
        <v>172</v>
      </c>
      <c r="C91" s="147">
        <f>C88*C89*C90</f>
        <v>3.9549594842065106E-2</v>
      </c>
      <c r="D91" s="161">
        <f>C91*SQRT((D90/C90)^2+(D89/C89)^2+(D88/C88)^2)</f>
        <v>2.9222418709566147E-7</v>
      </c>
      <c r="E91" s="162">
        <f t="shared" si="148"/>
        <v>7.3888035582314152E-6</v>
      </c>
      <c r="F91" s="131"/>
      <c r="G91" s="147">
        <f>G88*G89*G90</f>
        <v>1.99454621913672E-2</v>
      </c>
      <c r="H91" s="161">
        <f>G91*SQRT((H90/G90)^2+(H89/G89)^2+(H88/G88)^2)</f>
        <v>1.4737700857113559E-7</v>
      </c>
      <c r="I91" s="162">
        <f t="shared" si="149"/>
        <v>7.3889994203755946E-6</v>
      </c>
      <c r="J91" s="131"/>
      <c r="K91" s="147">
        <f>K88*K89*K90</f>
        <v>5.9026928071067512E-2</v>
      </c>
      <c r="L91" s="161">
        <f>K91*SQRT((L90/K90)^2+(L89/K89)^2+(L88/K88)^2)</f>
        <v>4.3613774777389977E-7</v>
      </c>
      <c r="M91" s="162">
        <f t="shared" si="150"/>
        <v>7.3887929124279795E-6</v>
      </c>
      <c r="N91" s="131"/>
      <c r="O91" s="147">
        <f>O88*O89*O90</f>
        <v>7.8422371823928319E-2</v>
      </c>
      <c r="P91" s="161">
        <f>O91*SQRT((P90/O90)^2+(P89/O89)^2+(P88/O88)^2)</f>
        <v>5.7944652332357337E-7</v>
      </c>
      <c r="Q91" s="162">
        <f t="shared" si="151"/>
        <v>7.3887911044635356E-6</v>
      </c>
      <c r="R91" s="131"/>
      <c r="S91" s="147">
        <f>S88*S89*S90</f>
        <v>1.9755661104308788E-2</v>
      </c>
      <c r="T91" s="161">
        <f>S91*SQRT((T90/S90)^2+(T89/S89)^2+(T88/S88)^2)</f>
        <v>5.8444722906881854E-7</v>
      </c>
      <c r="U91" s="162">
        <f t="shared" si="152"/>
        <v>2.9583784920330926E-5</v>
      </c>
      <c r="V91" s="131"/>
      <c r="W91" s="147">
        <f>W88*W89*W90</f>
        <v>5.9358000121542541E-2</v>
      </c>
      <c r="X91" s="161">
        <f>W91*SQRT((X90/W90)^2+(X89/W89)^2+(X88/W88)^2)</f>
        <v>1.9481778091009208E-7</v>
      </c>
      <c r="Y91" s="162">
        <f t="shared" si="153"/>
        <v>3.2820812781963608E-6</v>
      </c>
      <c r="Z91" s="131"/>
      <c r="AA91" s="147">
        <f>AA88*AA89*AA90</f>
        <v>7.9175809096581007E-2</v>
      </c>
      <c r="AB91" s="161">
        <f>AA91*SQRT((AB90/AA90)^2+(AB89/AA89)^2+(AB88/AA88)^2)</f>
        <v>1.4611668283935824E-7</v>
      </c>
      <c r="AC91" s="162">
        <f t="shared" si="154"/>
        <v>1.8454712936513318E-6</v>
      </c>
      <c r="AD91" s="131"/>
      <c r="AE91" s="147">
        <f>AE88*AE89*AE90</f>
        <v>3.9558394456042638E-2</v>
      </c>
      <c r="AF91" s="161">
        <f>AE91*SQRT((AF90/AE90)^2+(AF89/AE89)^2+(AF88/AE88)^2)</f>
        <v>2.9228945962338547E-7</v>
      </c>
      <c r="AG91" s="162">
        <f t="shared" si="155"/>
        <v>7.3888099768098034E-6</v>
      </c>
      <c r="AH91" s="131"/>
      <c r="AI91" s="147">
        <f>AI88*AI89*AI90</f>
        <v>3.9544448305309635E-2</v>
      </c>
      <c r="AJ91" s="161">
        <f>AI91*SQRT((AJ90/AI90)^2+(AJ89/AI89)^2+(AJ88/AI88)^2)</f>
        <v>2.9218611332489987E-7</v>
      </c>
      <c r="AK91" s="162">
        <f t="shared" si="156"/>
        <v>7.3888023691474294E-6</v>
      </c>
      <c r="AL91" s="131"/>
      <c r="AM91" s="147">
        <f>AM88*AM89*AM90</f>
        <v>3.9540797185528144E-2</v>
      </c>
      <c r="AN91" s="161">
        <f>AM91*SQRT((AN90/AM90)^2+(AN89/AM89)^2+(AN88/AM88)^2)</f>
        <v>2.9215911946253867E-7</v>
      </c>
      <c r="AO91" s="162">
        <f t="shared" si="157"/>
        <v>7.3888019528718135E-6</v>
      </c>
      <c r="AP91" s="131"/>
    </row>
    <row r="92" spans="1:42" ht="17" thickBot="1">
      <c r="A92" s="272"/>
      <c r="B92" s="131" t="s">
        <v>173</v>
      </c>
      <c r="C92" s="145">
        <f>C61/C91</f>
        <v>9.00230756193956E-4</v>
      </c>
      <c r="D92" s="145">
        <f>C92*SQRT((D91/C91)^2+(D61/C61)^2)</f>
        <v>2.3019095628133024E-5</v>
      </c>
      <c r="E92" s="162">
        <f t="shared" si="148"/>
        <v>2.557021682468881E-2</v>
      </c>
      <c r="F92" s="131"/>
      <c r="G92" s="145">
        <f>G61/G91</f>
        <v>7.6664707184360796E-4</v>
      </c>
      <c r="H92" s="145">
        <f>G92*SQRT((H91/G91)^2+(H61/G61)^2)</f>
        <v>1.0183577968817927E-5</v>
      </c>
      <c r="I92" s="162">
        <f t="shared" si="149"/>
        <v>1.3283267285334814E-2</v>
      </c>
      <c r="J92" s="131"/>
      <c r="K92" s="145">
        <f>K61/K91</f>
        <v>8.4361676807201598E-4</v>
      </c>
      <c r="L92" s="145">
        <f>K92*SQRT((L91/K91)^2+(L61/K61)^2)</f>
        <v>1.252834931953358E-5</v>
      </c>
      <c r="M92" s="162">
        <f t="shared" si="150"/>
        <v>1.4850759010119733E-2</v>
      </c>
      <c r="N92" s="131"/>
      <c r="O92" s="145">
        <f>O61/O91</f>
        <v>7.6806786048716187E-4</v>
      </c>
      <c r="P92" s="145">
        <f>O92*SQRT((P91/O91)^2+(P61/O61)^2)</f>
        <v>1.0007969460391409E-5</v>
      </c>
      <c r="Q92" s="162">
        <f t="shared" si="151"/>
        <v>1.3030058898758842E-2</v>
      </c>
      <c r="R92" s="131"/>
      <c r="S92" s="145">
        <f>S61/S91</f>
        <v>8.6517543924778022E-4</v>
      </c>
      <c r="T92" s="145">
        <f>S92*SQRT((T91/S91)^2+(T61/S61)^2)</f>
        <v>6.7338578127051946E-6</v>
      </c>
      <c r="U92" s="162">
        <f t="shared" si="152"/>
        <v>7.7832281260317481E-3</v>
      </c>
      <c r="V92" s="131"/>
      <c r="W92" s="145">
        <f>W61/W91</f>
        <v>8.2920953170617098E-4</v>
      </c>
      <c r="X92" s="145">
        <f>W92*SQRT((X91/W91)^2+(X61/W61)^2)</f>
        <v>1.2579875371330323E-5</v>
      </c>
      <c r="Y92" s="162">
        <f t="shared" si="153"/>
        <v>1.517092470638408E-2</v>
      </c>
      <c r="Z92" s="131"/>
      <c r="AA92" s="145">
        <f>AA61/AA91</f>
        <v>8.7555684935742618E-4</v>
      </c>
      <c r="AB92" s="145">
        <f>AA92*SQRT((AB91/AA91)^2+(AB61/AA61)^2)</f>
        <v>1.4363175732810729E-5</v>
      </c>
      <c r="AC92" s="162">
        <f t="shared" si="154"/>
        <v>1.6404618093447509E-2</v>
      </c>
      <c r="AD92" s="131"/>
      <c r="AE92" s="145">
        <f>AE61/AE91</f>
        <v>8.0957244757924704E-4</v>
      </c>
      <c r="AF92" s="145">
        <f>AE92*SQRT((AF91/AE91)^2+(AF61/AE61)^2)</f>
        <v>2.3183225021228621E-5</v>
      </c>
      <c r="AG92" s="162">
        <f t="shared" si="155"/>
        <v>2.8636380957072126E-2</v>
      </c>
      <c r="AH92" s="131"/>
      <c r="AI92" s="145">
        <f>AI61/AI91</f>
        <v>9.1670983737186448E-4</v>
      </c>
      <c r="AJ92" s="145">
        <f>AI92*SQRT((AJ91/AI91)^2+(AJ61/AI61)^2)</f>
        <v>6.6875866923202383E-6</v>
      </c>
      <c r="AK92" s="162">
        <f t="shared" si="156"/>
        <v>7.295205548893232E-3</v>
      </c>
      <c r="AL92" s="131"/>
      <c r="AM92" s="145">
        <f>AM61/AM91</f>
        <v>7.7259247009576809E-4</v>
      </c>
      <c r="AN92" s="145">
        <f>AM92*SQRT((AN91/AM91)^2+(AN61/AM61)^2)</f>
        <v>1.3795515744391509E-5</v>
      </c>
      <c r="AO92" s="162">
        <f t="shared" si="157"/>
        <v>1.7856135386203623E-2</v>
      </c>
      <c r="AP92" s="131"/>
    </row>
    <row r="93" spans="1:42" ht="17" thickBot="1">
      <c r="A93" s="272"/>
      <c r="B93" s="140" t="s">
        <v>174</v>
      </c>
      <c r="C93" s="163">
        <f>AVERAGE(C92,G92,K92,O92,S92,W92,AA92,AE92,AI92,AM92)</f>
        <v>8.3473790319549984E-4</v>
      </c>
      <c r="D93" s="154">
        <f>C93*SQRT((SQRT(D92^2+H92^2+L92^2+P92^2+T92^2+X92^2+AB92^2+AF92^2+AJ92^2+AN92^2)/SUM(AA92,W92,S92,O92,K92,G92,C92,AE92,AI92,AM92))^2)</f>
        <v>4.5531351050831154E-6</v>
      </c>
      <c r="E93" s="164">
        <f t="shared" si="148"/>
        <v>5.4545685390025326E-3</v>
      </c>
      <c r="F93" s="157"/>
      <c r="G93" s="163"/>
      <c r="H93" s="154"/>
      <c r="I93" s="164"/>
      <c r="J93" s="157"/>
      <c r="K93" s="156"/>
      <c r="L93" s="156"/>
      <c r="M93" s="156"/>
      <c r="N93" s="157"/>
      <c r="O93" s="156"/>
      <c r="P93" s="156"/>
      <c r="Q93" s="156"/>
      <c r="R93" s="157"/>
      <c r="V93" s="157"/>
      <c r="W93" s="158"/>
      <c r="X93" s="156"/>
      <c r="Y93" s="156"/>
      <c r="Z93" s="157"/>
      <c r="AA93" s="158"/>
      <c r="AB93" s="156"/>
      <c r="AC93" s="156"/>
      <c r="AD93" s="157"/>
      <c r="AE93" s="156"/>
      <c r="AF93" s="156"/>
      <c r="AG93" s="156"/>
      <c r="AH93" s="157"/>
      <c r="AI93" s="156"/>
      <c r="AJ93" s="156"/>
      <c r="AK93" s="156"/>
      <c r="AL93" s="157"/>
      <c r="AM93" s="156"/>
      <c r="AN93" s="156"/>
      <c r="AO93" s="156"/>
      <c r="AP93" s="157"/>
    </row>
    <row r="94" spans="1:42" ht="17" thickBot="1">
      <c r="A94" s="272" t="s">
        <v>175</v>
      </c>
      <c r="B94" s="135"/>
      <c r="C94" s="302" t="s">
        <v>13</v>
      </c>
      <c r="D94" s="302"/>
      <c r="E94" s="302"/>
      <c r="F94" s="302"/>
      <c r="G94" s="253" t="s">
        <v>23</v>
      </c>
      <c r="H94" s="254"/>
      <c r="I94" s="254"/>
      <c r="J94" s="254"/>
      <c r="K94" s="253" t="s">
        <v>24</v>
      </c>
      <c r="L94" s="254"/>
      <c r="M94" s="254"/>
      <c r="N94" s="254"/>
      <c r="O94" s="255" t="s">
        <v>25</v>
      </c>
      <c r="P94" s="255"/>
      <c r="Q94" s="255"/>
      <c r="R94" s="255"/>
      <c r="S94" s="253" t="s">
        <v>96</v>
      </c>
      <c r="T94" s="253"/>
      <c r="U94" s="253"/>
      <c r="V94" s="253"/>
    </row>
    <row r="95" spans="1:42" ht="17" thickBot="1">
      <c r="A95" s="272"/>
      <c r="B95" s="131"/>
      <c r="C95" s="126" t="s">
        <v>125</v>
      </c>
      <c r="D95" s="136" t="s">
        <v>126</v>
      </c>
      <c r="E95" s="126" t="s">
        <v>127</v>
      </c>
      <c r="F95" s="131" t="s">
        <v>128</v>
      </c>
      <c r="G95" s="126" t="s">
        <v>125</v>
      </c>
      <c r="H95" s="136" t="s">
        <v>126</v>
      </c>
      <c r="I95" s="126" t="s">
        <v>127</v>
      </c>
      <c r="J95" s="131" t="s">
        <v>128</v>
      </c>
      <c r="K95" s="126" t="s">
        <v>125</v>
      </c>
      <c r="L95" s="136" t="s">
        <v>126</v>
      </c>
      <c r="M95" s="126" t="s">
        <v>127</v>
      </c>
      <c r="N95" s="131" t="s">
        <v>128</v>
      </c>
      <c r="O95" s="126" t="s">
        <v>125</v>
      </c>
      <c r="P95" s="136" t="s">
        <v>126</v>
      </c>
      <c r="Q95" s="126" t="s">
        <v>127</v>
      </c>
      <c r="R95" s="131" t="s">
        <v>128</v>
      </c>
      <c r="S95" s="159" t="s">
        <v>125</v>
      </c>
      <c r="T95" s="160" t="s">
        <v>126</v>
      </c>
      <c r="U95" s="128" t="s">
        <v>127</v>
      </c>
      <c r="V95" s="131" t="s">
        <v>128</v>
      </c>
    </row>
    <row r="96" spans="1:42" ht="17" thickBot="1">
      <c r="A96" s="272"/>
      <c r="B96" s="131" t="s">
        <v>169</v>
      </c>
      <c r="C96" s="147">
        <f>F50^$C$69</f>
        <v>1.9828868573014549</v>
      </c>
      <c r="D96" s="161">
        <f>$D$69*F51/F50</f>
        <v>2.7798134639768228E-8</v>
      </c>
      <c r="E96" s="162">
        <f t="shared" ref="E96:E100" si="158">D96/C96</f>
        <v>1.4019022082580744E-8</v>
      </c>
      <c r="F96" s="131"/>
      <c r="G96" s="147">
        <f>AT50^$C$69</f>
        <v>1.9828868573014549</v>
      </c>
      <c r="H96" s="161">
        <f>$D$69*AT51/AT50</f>
        <v>2.7798134639768228E-8</v>
      </c>
      <c r="I96" s="162">
        <f t="shared" ref="I96:I100" si="159">H96/G96</f>
        <v>1.4019022082580744E-8</v>
      </c>
      <c r="J96" s="131"/>
      <c r="K96" s="147">
        <f>AX50^$C$69</f>
        <v>1.9828868573014549</v>
      </c>
      <c r="L96" s="161">
        <f>$D$69*AX51/AX50</f>
        <v>2.7798134639768228E-8</v>
      </c>
      <c r="M96" s="162">
        <f t="shared" ref="M96:M100" si="160">L96/K96</f>
        <v>1.4019022082580744E-8</v>
      </c>
      <c r="N96" s="131"/>
      <c r="O96" s="147">
        <f>BB50^$C$69</f>
        <v>1.9828868573014549</v>
      </c>
      <c r="P96" s="161">
        <f>$D$69*BB51/BB50</f>
        <v>2.7798134639768228E-8</v>
      </c>
      <c r="Q96" s="162">
        <f t="shared" ref="Q96:Q100" si="161">P96/O96</f>
        <v>1.4019022082580744E-8</v>
      </c>
      <c r="R96" s="131"/>
      <c r="S96" s="147">
        <f>BF50^$C$69</f>
        <v>1.9828868573014549</v>
      </c>
      <c r="T96" s="161">
        <f>$D$69*BF51/BF50</f>
        <v>2.7798134639768228E-8</v>
      </c>
      <c r="U96" s="162">
        <f t="shared" ref="U96:U100" si="162">T96/S96</f>
        <v>1.4019022082580744E-8</v>
      </c>
      <c r="V96" s="131"/>
    </row>
    <row r="97" spans="1:22" ht="17" thickBot="1">
      <c r="A97" s="272"/>
      <c r="B97" s="131" t="s">
        <v>170</v>
      </c>
      <c r="C97" s="147">
        <f>E50^$C$85</f>
        <v>1.0027373986650787</v>
      </c>
      <c r="D97" s="161">
        <f>$D$85*E51/E50</f>
        <v>-5.6399726255876055E-9</v>
      </c>
      <c r="E97" s="162">
        <f t="shared" si="158"/>
        <v>-5.6245759189753681E-9</v>
      </c>
      <c r="F97" s="131"/>
      <c r="G97" s="147">
        <f>AS50^$C$85</f>
        <v>1.0027373986650787</v>
      </c>
      <c r="H97" s="161">
        <f>$D$85*AS51/AS50</f>
        <v>-5.6399726255876055E-9</v>
      </c>
      <c r="I97" s="162">
        <f t="shared" si="159"/>
        <v>-5.6245759189753681E-9</v>
      </c>
      <c r="J97" s="131"/>
      <c r="K97" s="147">
        <f>AW50^$C$85</f>
        <v>1.0027373986650787</v>
      </c>
      <c r="L97" s="161">
        <f>$D$85*AW51/AW50</f>
        <v>-5.6399726255876055E-9</v>
      </c>
      <c r="M97" s="162">
        <f t="shared" si="160"/>
        <v>-5.6245759189753681E-9</v>
      </c>
      <c r="N97" s="131"/>
      <c r="O97" s="147">
        <f>BA50^$C$85</f>
        <v>1.0027373986650787</v>
      </c>
      <c r="P97" s="161">
        <f>$D$85*BA51/BA50</f>
        <v>-5.6399726255876055E-9</v>
      </c>
      <c r="Q97" s="162">
        <f t="shared" si="161"/>
        <v>-5.6245759189753681E-9</v>
      </c>
      <c r="R97" s="131"/>
      <c r="S97" s="147">
        <f>BE50^$C$85</f>
        <v>1.0027373986650787</v>
      </c>
      <c r="T97" s="161">
        <f>$D$85*BE51/BE50</f>
        <v>-5.6399726255876055E-9</v>
      </c>
      <c r="U97" s="162">
        <f t="shared" si="162"/>
        <v>-5.6245759189753681E-9</v>
      </c>
      <c r="V97" s="131"/>
    </row>
    <row r="98" spans="1:22" ht="17" thickBot="1">
      <c r="A98" s="272"/>
      <c r="B98" s="131" t="s">
        <v>171</v>
      </c>
      <c r="C98" s="147">
        <f>D50^$C$77</f>
        <v>1.9891012560138019E-2</v>
      </c>
      <c r="D98" s="161">
        <f>$D$77*D51/D50</f>
        <v>1.4697047726014529E-7</v>
      </c>
      <c r="E98" s="162">
        <f t="shared" si="158"/>
        <v>7.3887881180406582E-6</v>
      </c>
      <c r="F98" s="131"/>
      <c r="G98" s="147">
        <f>AR50^$C$77</f>
        <v>1.9891012560138019E-2</v>
      </c>
      <c r="H98" s="161">
        <f>$D$77*AR51/AR50</f>
        <v>1.4697047726014529E-7</v>
      </c>
      <c r="I98" s="162">
        <f t="shared" si="159"/>
        <v>7.3887881180406582E-6</v>
      </c>
      <c r="J98" s="131"/>
      <c r="K98" s="147">
        <f>AV50^$C$77</f>
        <v>1.9891012560138019E-2</v>
      </c>
      <c r="L98" s="161">
        <f>$D$77*AV51/AV50</f>
        <v>1.4697047726014529E-7</v>
      </c>
      <c r="M98" s="162">
        <f t="shared" si="160"/>
        <v>7.3887881180406582E-6</v>
      </c>
      <c r="N98" s="131"/>
      <c r="O98" s="147">
        <f>AZ50^$C$77</f>
        <v>1.9891012560138019E-2</v>
      </c>
      <c r="P98" s="161">
        <f>$D$77*AZ51/AZ50</f>
        <v>1.4697047726014529E-7</v>
      </c>
      <c r="Q98" s="162">
        <f t="shared" si="161"/>
        <v>7.3887881180406582E-6</v>
      </c>
      <c r="R98" s="131"/>
      <c r="S98" s="147">
        <f>BD50^$C$77</f>
        <v>1.9891012560138019E-2</v>
      </c>
      <c r="T98" s="161">
        <f>$D$77*BD51/BD50</f>
        <v>1.4697047726014529E-7</v>
      </c>
      <c r="U98" s="162">
        <f t="shared" si="162"/>
        <v>7.3887881180406582E-6</v>
      </c>
      <c r="V98" s="131"/>
    </row>
    <row r="99" spans="1:22" ht="17" thickBot="1">
      <c r="A99" s="272"/>
      <c r="B99" s="131" t="s">
        <v>172</v>
      </c>
      <c r="C99" s="147">
        <f>C96*C97*C98</f>
        <v>3.9549594842065106E-2</v>
      </c>
      <c r="D99" s="161">
        <f>C99*SQRT((D98/C98)^2+(D97/C97)^2+(D96/C96)^2)</f>
        <v>2.9222418709566147E-7</v>
      </c>
      <c r="E99" s="162">
        <f t="shared" si="158"/>
        <v>7.3888035582314152E-6</v>
      </c>
      <c r="F99" s="131"/>
      <c r="G99" s="147">
        <f>G96*G97*G98</f>
        <v>3.9549594842065106E-2</v>
      </c>
      <c r="H99" s="161">
        <f>G99*SQRT((H98/G98)^2+(H97/G97)^2+(H96/G96)^2)</f>
        <v>2.9222418709566147E-7</v>
      </c>
      <c r="I99" s="162">
        <f t="shared" si="159"/>
        <v>7.3888035582314152E-6</v>
      </c>
      <c r="J99" s="131"/>
      <c r="K99" s="147">
        <f>K96*K97*K98</f>
        <v>3.9549594842065106E-2</v>
      </c>
      <c r="L99" s="161">
        <f>K99*SQRT((L98/K98)^2+(L97/K97)^2+(L96/K96)^2)</f>
        <v>2.9222418709566147E-7</v>
      </c>
      <c r="M99" s="162">
        <f t="shared" si="160"/>
        <v>7.3888035582314152E-6</v>
      </c>
      <c r="N99" s="131"/>
      <c r="O99" s="147">
        <f>O96*O97*O98</f>
        <v>3.9549594842065106E-2</v>
      </c>
      <c r="P99" s="161">
        <f>O99*SQRT((P98/O98)^2+(P97/O97)^2+(P96/O96)^2)</f>
        <v>2.9222418709566147E-7</v>
      </c>
      <c r="Q99" s="162">
        <f t="shared" si="161"/>
        <v>7.3888035582314152E-6</v>
      </c>
      <c r="R99" s="131"/>
      <c r="S99" s="147">
        <f>S96*S97*S98</f>
        <v>3.9549594842065106E-2</v>
      </c>
      <c r="T99" s="161">
        <f>S99*SQRT((T98/S98)^2+(T97/S97)^2+(T96/S96)^2)</f>
        <v>2.9222418709566147E-7</v>
      </c>
      <c r="U99" s="162">
        <f t="shared" si="162"/>
        <v>7.3888035582314152E-6</v>
      </c>
      <c r="V99" s="131"/>
    </row>
    <row r="100" spans="1:22" ht="17" thickBot="1">
      <c r="A100" s="272"/>
      <c r="B100" s="131" t="s">
        <v>173</v>
      </c>
      <c r="C100" s="145">
        <f>C61/C99</f>
        <v>9.00230756193956E-4</v>
      </c>
      <c r="D100" s="145">
        <f>C100*SQRT((D99/C99)^2+(D69/C69)^2)</f>
        <v>1.9134580387238235E-5</v>
      </c>
      <c r="E100" s="162">
        <f t="shared" si="158"/>
        <v>2.1255195132564058E-2</v>
      </c>
      <c r="F100" s="131"/>
      <c r="G100" s="145">
        <f>AQ61/G99</f>
        <v>4.9193607170936284E-4</v>
      </c>
      <c r="H100" s="145">
        <f>G100*SQRT((H99/G99)^2+(AR61/AQ61)^2)</f>
        <v>4.6219276497301487E-6</v>
      </c>
      <c r="I100" s="162">
        <f t="shared" si="159"/>
        <v>9.3953826839126287E-3</v>
      </c>
      <c r="J100" s="131"/>
      <c r="K100" s="145">
        <f>AU61/K99</f>
        <v>7.2985835928254859E-4</v>
      </c>
      <c r="L100" s="145">
        <f>K100*SQRT((L99/K99)^2+(AV61/AU61)^2)</f>
        <v>8.6087009936991325E-6</v>
      </c>
      <c r="M100" s="162">
        <f t="shared" si="160"/>
        <v>1.1795029657756462E-2</v>
      </c>
      <c r="N100" s="131"/>
      <c r="O100" s="145">
        <f>AY61/O99</f>
        <v>1.4606320672935302E-3</v>
      </c>
      <c r="P100" s="145">
        <f>O100*SQRT((P99/O99)^2+(AZ61/AY61)^2)</f>
        <v>1.6151069220482643E-5</v>
      </c>
      <c r="Q100" s="162">
        <f t="shared" si="161"/>
        <v>1.1057589095938222E-2</v>
      </c>
      <c r="R100" s="131"/>
      <c r="S100" s="145">
        <f>BC61/S99</f>
        <v>1.1444706542843319E-3</v>
      </c>
      <c r="T100" s="145">
        <f>S100*SQRT((T99/S99)^2+(BD61/BC61)^2)</f>
        <v>1.0993188878639113E-5</v>
      </c>
      <c r="U100" s="162">
        <f t="shared" si="162"/>
        <v>9.6054790373925735E-3</v>
      </c>
      <c r="V100" s="131"/>
    </row>
    <row r="101" spans="1:22" ht="17" thickBot="1">
      <c r="A101" s="272"/>
      <c r="B101" s="131"/>
      <c r="C101" s="163"/>
      <c r="D101" s="154"/>
      <c r="E101" s="164"/>
      <c r="F101" s="157"/>
      <c r="G101" s="156"/>
      <c r="H101" s="156"/>
      <c r="I101" s="156"/>
      <c r="J101" s="157"/>
      <c r="K101" s="156"/>
      <c r="L101" s="156"/>
      <c r="M101" s="156"/>
      <c r="N101" s="157"/>
      <c r="O101" s="156"/>
      <c r="P101" s="156"/>
      <c r="Q101" s="156"/>
      <c r="R101" s="157"/>
      <c r="S101" s="158"/>
      <c r="T101" s="156"/>
      <c r="U101" s="156"/>
      <c r="V101" s="157"/>
    </row>
    <row r="102" spans="1:22" ht="17" thickBot="1">
      <c r="A102" s="272" t="s">
        <v>182</v>
      </c>
      <c r="B102" s="135"/>
      <c r="C102" s="126" t="s">
        <v>183</v>
      </c>
      <c r="D102" s="126" t="s">
        <v>184</v>
      </c>
      <c r="E102" s="126" t="s">
        <v>185</v>
      </c>
      <c r="F102" s="126" t="s">
        <v>186</v>
      </c>
      <c r="G102" s="126" t="s">
        <v>187</v>
      </c>
      <c r="H102" s="126" t="s">
        <v>188</v>
      </c>
      <c r="I102" s="126" t="s">
        <v>189</v>
      </c>
      <c r="J102" s="126" t="s">
        <v>190</v>
      </c>
      <c r="K102" s="126" t="s">
        <v>112</v>
      </c>
      <c r="L102" s="126" t="s">
        <v>191</v>
      </c>
      <c r="M102" s="126" t="s">
        <v>114</v>
      </c>
      <c r="N102" s="135" t="s">
        <v>192</v>
      </c>
    </row>
    <row r="103" spans="1:22" ht="17" thickBot="1">
      <c r="A103" s="272"/>
      <c r="B103" s="131" t="s">
        <v>13</v>
      </c>
      <c r="C103" s="152">
        <f>C100</f>
        <v>9.00230756193956E-4</v>
      </c>
      <c r="D103" s="152">
        <f>D100</f>
        <v>1.9134580387238235E-5</v>
      </c>
      <c r="E103" s="126">
        <f>LN(ABS(C103))</f>
        <v>-7.0128594317326796</v>
      </c>
      <c r="F103" s="152">
        <f>D103/C103</f>
        <v>2.1255195132564058E-2</v>
      </c>
      <c r="G103" s="126">
        <v>308</v>
      </c>
      <c r="H103" s="126">
        <f>0.1</f>
        <v>0.1</v>
      </c>
      <c r="I103" s="126">
        <f>1/G103</f>
        <v>3.246753246753247E-3</v>
      </c>
      <c r="J103" s="126">
        <f>I103*SQRT((H103/G103)^2)</f>
        <v>1.0541406645302749E-6</v>
      </c>
      <c r="K103" s="126">
        <f>I103*E103</f>
        <v>-2.2769024129002207E-2</v>
      </c>
      <c r="L103" s="152">
        <f>K103*SQRT((J103/I103)^2+(F103/E103)^2)</f>
        <v>-6.9405196816208354E-5</v>
      </c>
      <c r="M103" s="126">
        <f>I103^2</f>
        <v>1.0541406645302751E-5</v>
      </c>
      <c r="N103" s="131">
        <f>M103*SQRT(2*(J103/I103)^2)</f>
        <v>4.8401948845055257E-9</v>
      </c>
    </row>
    <row r="104" spans="1:22" ht="17" thickBot="1">
      <c r="A104" s="272"/>
      <c r="B104" s="131" t="s">
        <v>23</v>
      </c>
      <c r="C104" s="152">
        <f>G100</f>
        <v>4.9193607170936284E-4</v>
      </c>
      <c r="D104" s="152">
        <f>H100</f>
        <v>4.6219276497301487E-6</v>
      </c>
      <c r="E104" s="126">
        <f t="shared" ref="E104:E107" si="163">LN(ABS(C104))</f>
        <v>-7.617161785464396</v>
      </c>
      <c r="F104" s="152">
        <f t="shared" ref="F104:F107" si="164">D104/C104</f>
        <v>9.3953826839126287E-3</v>
      </c>
      <c r="G104" s="126">
        <v>304</v>
      </c>
      <c r="H104" s="126">
        <f t="shared" ref="H104:H107" si="165">0.1</f>
        <v>0.1</v>
      </c>
      <c r="I104" s="126">
        <f t="shared" ref="I104:I107" si="166">1/G104</f>
        <v>3.2894736842105261E-3</v>
      </c>
      <c r="J104" s="126">
        <f>I104*SQRT((H104/G104)^2)</f>
        <v>1.0820637119113572E-6</v>
      </c>
      <c r="K104" s="126">
        <f t="shared" ref="K104:K107" si="167">I104*E104</f>
        <v>-2.5056453241659195E-2</v>
      </c>
      <c r="L104" s="152">
        <f t="shared" ref="L104:L107" si="168">K104*SQRT((J104/I104)^2+(F104/E104)^2)</f>
        <v>-3.1986046834952388E-5</v>
      </c>
      <c r="M104" s="126">
        <f t="shared" ref="M104:M107" si="169">I104^2</f>
        <v>1.0820637119113572E-5</v>
      </c>
      <c r="N104" s="131">
        <f t="shared" ref="N104:N107" si="170">M104*SQRT(2*(J104/I104)^2)</f>
        <v>5.0337801866342594E-9</v>
      </c>
    </row>
    <row r="105" spans="1:22" ht="17" thickBot="1">
      <c r="A105" s="272"/>
      <c r="B105" s="131" t="s">
        <v>24</v>
      </c>
      <c r="C105" s="152">
        <f>K100</f>
        <v>7.2985835928254859E-4</v>
      </c>
      <c r="D105" s="152">
        <f>L100</f>
        <v>8.6087009936991325E-6</v>
      </c>
      <c r="E105" s="126">
        <f t="shared" si="163"/>
        <v>-7.2226600710278488</v>
      </c>
      <c r="F105" s="152">
        <f t="shared" si="164"/>
        <v>1.1795029657756462E-2</v>
      </c>
      <c r="G105" s="126">
        <v>306</v>
      </c>
      <c r="H105" s="126">
        <f t="shared" si="165"/>
        <v>0.1</v>
      </c>
      <c r="I105" s="126">
        <f t="shared" si="166"/>
        <v>3.2679738562091504E-3</v>
      </c>
      <c r="J105" s="126">
        <f t="shared" ref="J105:J107" si="171">I105*SQRT((H105/G105)^2)</f>
        <v>1.0679653124866506E-6</v>
      </c>
      <c r="K105" s="126">
        <f t="shared" si="167"/>
        <v>-2.3603464284404737E-2</v>
      </c>
      <c r="L105" s="152">
        <f t="shared" si="168"/>
        <v>-3.9310066152123704E-5</v>
      </c>
      <c r="M105" s="126">
        <f t="shared" si="169"/>
        <v>1.0679653124866506E-5</v>
      </c>
      <c r="N105" s="131">
        <f t="shared" si="170"/>
        <v>4.9357223171981763E-9</v>
      </c>
    </row>
    <row r="106" spans="1:22" ht="17" thickBot="1">
      <c r="A106" s="272"/>
      <c r="B106" s="131" t="s">
        <v>25</v>
      </c>
      <c r="C106" s="152">
        <f>O100</f>
        <v>1.4606320672935302E-3</v>
      </c>
      <c r="D106" s="152">
        <f>P100</f>
        <v>1.6151069220482643E-5</v>
      </c>
      <c r="E106" s="126">
        <f t="shared" si="163"/>
        <v>-6.5288860141421434</v>
      </c>
      <c r="F106" s="152">
        <f t="shared" si="164"/>
        <v>1.1057589095938222E-2</v>
      </c>
      <c r="G106" s="165">
        <v>313</v>
      </c>
      <c r="H106" s="126">
        <f t="shared" si="165"/>
        <v>0.1</v>
      </c>
      <c r="I106" s="126">
        <f t="shared" si="166"/>
        <v>3.1948881789137379E-3</v>
      </c>
      <c r="J106" s="126">
        <f t="shared" si="171"/>
        <v>1.0207310475762741E-6</v>
      </c>
      <c r="K106" s="126">
        <f t="shared" si="167"/>
        <v>-2.0859060748057965E-2</v>
      </c>
      <c r="L106" s="152">
        <f t="shared" si="168"/>
        <v>-3.5950837620740332E-5</v>
      </c>
      <c r="M106" s="126">
        <f t="shared" si="169"/>
        <v>1.020731047576274E-5</v>
      </c>
      <c r="N106" s="131">
        <f t="shared" si="170"/>
        <v>4.6119223355196916E-9</v>
      </c>
    </row>
    <row r="107" spans="1:22" ht="17" thickBot="1">
      <c r="A107" s="272"/>
      <c r="B107" s="157" t="s">
        <v>96</v>
      </c>
      <c r="C107" s="166">
        <f>S100</f>
        <v>1.1444706542843319E-3</v>
      </c>
      <c r="D107" s="166">
        <f>T100</f>
        <v>1.0993188878639113E-5</v>
      </c>
      <c r="E107" s="156">
        <f t="shared" si="163"/>
        <v>-6.7728130595431653</v>
      </c>
      <c r="F107" s="166">
        <f t="shared" si="164"/>
        <v>9.6054790373925735E-3</v>
      </c>
      <c r="G107" s="156">
        <v>311</v>
      </c>
      <c r="H107" s="156">
        <f t="shared" si="165"/>
        <v>0.1</v>
      </c>
      <c r="I107" s="126">
        <f t="shared" si="166"/>
        <v>3.2154340836012861E-3</v>
      </c>
      <c r="J107" s="126">
        <f t="shared" si="171"/>
        <v>1.0339016345984842E-6</v>
      </c>
      <c r="K107" s="156">
        <f t="shared" si="167"/>
        <v>-2.1777533953515001E-2</v>
      </c>
      <c r="L107" s="166">
        <f t="shared" si="168"/>
        <v>-3.1669632401576091E-5</v>
      </c>
      <c r="M107" s="156">
        <f t="shared" si="169"/>
        <v>1.0339016345984843E-5</v>
      </c>
      <c r="N107" s="157">
        <f t="shared" si="170"/>
        <v>4.7014717485816343E-9</v>
      </c>
      <c r="O107" s="159"/>
    </row>
    <row r="108" spans="1:22">
      <c r="A108" s="286" t="s">
        <v>176</v>
      </c>
      <c r="B108" s="131"/>
      <c r="C108" s="152" t="s">
        <v>125</v>
      </c>
      <c r="D108" s="136" t="s">
        <v>126</v>
      </c>
      <c r="E108" s="126" t="s">
        <v>127</v>
      </c>
      <c r="F108" s="131" t="s">
        <v>128</v>
      </c>
      <c r="I108" s="129"/>
      <c r="J108" s="129"/>
    </row>
    <row r="109" spans="1:22">
      <c r="A109" s="286"/>
      <c r="B109" s="131" t="s">
        <v>129</v>
      </c>
      <c r="C109" s="147">
        <f>'Activation Energy'!B10</f>
        <v>-9984.3791208256298</v>
      </c>
      <c r="D109" s="147">
        <v>0</v>
      </c>
      <c r="E109" s="162">
        <f t="shared" ref="E109:E121" si="172">D109/C109</f>
        <v>0</v>
      </c>
      <c r="F109" s="131"/>
      <c r="H109" s="244" t="s">
        <v>223</v>
      </c>
      <c r="I109" s="244"/>
      <c r="J109" s="244"/>
      <c r="K109" s="244"/>
      <c r="L109" s="244"/>
      <c r="M109" s="244"/>
    </row>
    <row r="110" spans="1:22">
      <c r="A110" s="286"/>
      <c r="B110" s="131" t="s">
        <v>130</v>
      </c>
      <c r="C110" s="147">
        <f>SUM(K103:K107)</f>
        <v>-0.1140655363566391</v>
      </c>
      <c r="D110" s="147">
        <f t="array" ref="D110">SQRT(SUM(L103:L107^2))</f>
        <v>9.8391555431309873E-5</v>
      </c>
      <c r="E110" s="162">
        <f t="shared" si="172"/>
        <v>-8.6258793474373614E-4</v>
      </c>
      <c r="F110" s="131"/>
      <c r="H110" s="77" t="s">
        <v>185</v>
      </c>
      <c r="I110" s="77">
        <v>-7.0128594317326796</v>
      </c>
      <c r="J110" s="77">
        <v>-7.617161785464396</v>
      </c>
      <c r="K110" s="77">
        <v>-7.2226600710278488</v>
      </c>
      <c r="L110" s="77">
        <v>-6.5288860141421434</v>
      </c>
      <c r="M110" s="77">
        <v>-6.7728130595431653</v>
      </c>
    </row>
    <row r="111" spans="1:22">
      <c r="A111" s="286"/>
      <c r="B111" s="131" t="s">
        <v>131</v>
      </c>
      <c r="C111" s="147">
        <f>5*C110</f>
        <v>-0.57032768178319548</v>
      </c>
      <c r="D111" s="147">
        <f>C111*SQRT((D110/C110)^2)</f>
        <v>-4.919577771565493E-4</v>
      </c>
      <c r="E111" s="162">
        <f t="shared" si="172"/>
        <v>8.6258793474373603E-4</v>
      </c>
      <c r="F111" s="131"/>
      <c r="H111" s="77" t="s">
        <v>186</v>
      </c>
      <c r="I111" s="77">
        <v>2.1255195132564058E-2</v>
      </c>
      <c r="J111" s="77">
        <v>9.3953826839126287E-3</v>
      </c>
      <c r="K111" s="77">
        <v>1.1795029657756462E-2</v>
      </c>
      <c r="L111" s="77">
        <v>1.1057589095938222E-2</v>
      </c>
      <c r="M111" s="77">
        <v>9.6054790373925735E-3</v>
      </c>
    </row>
    <row r="112" spans="1:22">
      <c r="A112" s="286"/>
      <c r="B112" s="131" t="s">
        <v>132</v>
      </c>
      <c r="C112" s="147">
        <f>SUM(E103:E107)</f>
        <v>-35.154380361910235</v>
      </c>
      <c r="D112" s="147">
        <f t="array" ref="D112">SQRT(SUM(F103:F107^2))</f>
        <v>2.9895062546853698E-2</v>
      </c>
      <c r="E112" s="162">
        <f t="shared" si="172"/>
        <v>-8.503936704071448E-4</v>
      </c>
      <c r="F112" s="131"/>
    </row>
    <row r="113" spans="1:6">
      <c r="A113" s="286"/>
      <c r="B113" s="131" t="s">
        <v>177</v>
      </c>
      <c r="C113" s="147">
        <f>SUM(I103:I107)</f>
        <v>1.6214523049687946E-2</v>
      </c>
      <c r="D113" s="147">
        <f t="array" ref="D113">SQRT(SUM(J103:J107^2))</f>
        <v>2.3523326268701882E-6</v>
      </c>
      <c r="E113" s="162">
        <f t="shared" si="172"/>
        <v>1.4507565962080268E-4</v>
      </c>
      <c r="F113" s="131"/>
    </row>
    <row r="114" spans="1:6">
      <c r="A114" s="286"/>
      <c r="B114" s="131" t="s">
        <v>133</v>
      </c>
      <c r="C114" s="147">
        <f>C113*C112</f>
        <v>-0.57001151067569078</v>
      </c>
      <c r="D114" s="147">
        <f>C114*SQRT((D113/C113)^2+(D112/C112)^2)</f>
        <v>-4.9173738442888511E-4</v>
      </c>
      <c r="E114" s="162">
        <f t="shared" si="172"/>
        <v>8.6267974456512352E-4</v>
      </c>
      <c r="F114" s="131"/>
    </row>
    <row r="115" spans="1:6">
      <c r="A115" s="286"/>
      <c r="B115" s="131" t="s">
        <v>134</v>
      </c>
      <c r="C115" s="147">
        <f>C111-C114</f>
        <v>-3.1617110750470356E-4</v>
      </c>
      <c r="D115" s="147">
        <f>SQRT(D111^2+D114^2)</f>
        <v>6.9557753683523605E-4</v>
      </c>
      <c r="E115" s="162">
        <f t="shared" si="172"/>
        <v>-2.2000034801563522</v>
      </c>
      <c r="F115" s="131"/>
    </row>
    <row r="116" spans="1:6">
      <c r="A116" s="286"/>
      <c r="B116" s="131" t="s">
        <v>178</v>
      </c>
      <c r="C116" s="147">
        <f>SUM(M103:M107)</f>
        <v>5.2588023711030411E-5</v>
      </c>
      <c r="D116" s="147">
        <f t="array" ref="D116">SQRT(SUM(N103:N107^2))</f>
        <v>1.079358367324819E-8</v>
      </c>
      <c r="E116" s="162">
        <f t="shared" si="172"/>
        <v>2.0524794262204269E-4</v>
      </c>
      <c r="F116" s="131"/>
    </row>
    <row r="117" spans="1:6">
      <c r="A117" s="286"/>
      <c r="B117" s="131" t="s">
        <v>179</v>
      </c>
      <c r="C117" s="147">
        <f>5*C116</f>
        <v>2.6294011855515205E-4</v>
      </c>
      <c r="D117" s="147">
        <f>C117*SQRT((D116/C116)^2)</f>
        <v>5.396791836624095E-8</v>
      </c>
      <c r="E117" s="162">
        <f t="shared" si="172"/>
        <v>2.0524794262204269E-4</v>
      </c>
      <c r="F117" s="131"/>
    </row>
    <row r="118" spans="1:6">
      <c r="A118" s="286"/>
      <c r="B118" s="131" t="s">
        <v>180</v>
      </c>
      <c r="C118" s="147">
        <f>(C113^2)</f>
        <v>2.6291075772886169E-4</v>
      </c>
      <c r="D118" s="147">
        <f>C118*SQRT(2*(D113/C113)^2)</f>
        <v>5.3940865246570331E-8</v>
      </c>
      <c r="E118" s="162">
        <f t="shared" si="172"/>
        <v>2.0516796540596193E-4</v>
      </c>
      <c r="F118" s="131"/>
    </row>
    <row r="119" spans="1:6">
      <c r="A119" s="286"/>
      <c r="B119" s="131" t="s">
        <v>135</v>
      </c>
      <c r="C119" s="147">
        <f>C117-C118</f>
        <v>2.9360826290364666E-8</v>
      </c>
      <c r="D119" s="147">
        <f>SQRT(D117^2+D118^2)</f>
        <v>7.6303035040120827E-8</v>
      </c>
      <c r="E119" s="162">
        <f t="shared" si="172"/>
        <v>2.5988040760678857</v>
      </c>
      <c r="F119" s="131"/>
    </row>
    <row r="120" spans="1:6">
      <c r="A120" s="286"/>
      <c r="B120" s="140" t="s">
        <v>181</v>
      </c>
      <c r="C120" s="167">
        <f>'Activation Energy'!B10</f>
        <v>-9984.3791208256298</v>
      </c>
      <c r="D120" s="149">
        <f>C120/2*SQRT((D115/C115)^2+(D119/C119)^2)</f>
        <v>-16998.239000978894</v>
      </c>
      <c r="E120" s="168">
        <f t="shared" si="172"/>
        <v>1.7024833287353449</v>
      </c>
      <c r="F120" s="131"/>
    </row>
    <row r="121" spans="1:6" ht="17" thickBot="1">
      <c r="A121" s="286"/>
      <c r="B121" s="140" t="s">
        <v>176</v>
      </c>
      <c r="C121" s="149">
        <f>C120*-8.314</f>
        <v>83010.128010544286</v>
      </c>
      <c r="D121" s="149">
        <f>C121*SQRT((D120/C120)^2)</f>
        <v>141323.35905413853</v>
      </c>
      <c r="E121" s="168">
        <f t="shared" si="172"/>
        <v>1.7024833287353449</v>
      </c>
      <c r="F121" s="157"/>
    </row>
    <row r="122" spans="1:6">
      <c r="A122" s="286" t="s">
        <v>193</v>
      </c>
      <c r="B122" s="135"/>
      <c r="C122" s="169" t="s">
        <v>125</v>
      </c>
      <c r="D122" s="136" t="s">
        <v>126</v>
      </c>
      <c r="E122" s="126" t="s">
        <v>127</v>
      </c>
      <c r="F122" s="131" t="s">
        <v>128</v>
      </c>
    </row>
    <row r="123" spans="1:6">
      <c r="A123" s="286"/>
      <c r="B123" s="131" t="s">
        <v>194</v>
      </c>
      <c r="C123" s="147">
        <f>AVERAGE(E103:E107)</f>
        <v>-7.0308760723820471</v>
      </c>
      <c r="D123" s="145">
        <f>C123*SQRT((SQRT(F103^2+F104^2+F105^2+F106^2+F107^2)/SUM(E103,E104,E105,E106,E107))^2)</f>
        <v>-5.9790125093707397E-3</v>
      </c>
      <c r="E123" s="162">
        <f t="shared" ref="E123:E127" si="173">D123/C123</f>
        <v>8.5039367040714491E-4</v>
      </c>
      <c r="F123" s="131"/>
    </row>
    <row r="124" spans="1:6">
      <c r="A124" s="286"/>
      <c r="B124" s="131" t="s">
        <v>195</v>
      </c>
      <c r="C124" s="147">
        <f>AVERAGE(I103:I107)</f>
        <v>3.2429046099375892E-3</v>
      </c>
      <c r="D124" s="147">
        <f>C124*SQRT((SQRT(J103^2+J104^2+J105^2+J106^2+J107^2)/SUM(I103:I107))^2)</f>
        <v>4.7046652537403757E-7</v>
      </c>
      <c r="E124" s="162">
        <f t="shared" si="173"/>
        <v>1.4507565962080268E-4</v>
      </c>
      <c r="F124" s="131"/>
    </row>
    <row r="125" spans="1:6">
      <c r="A125" s="286"/>
      <c r="B125" s="131" t="s">
        <v>196</v>
      </c>
      <c r="C125" s="147">
        <f>C124*C120</f>
        <v>-32.378389078290049</v>
      </c>
      <c r="D125" s="147">
        <f>C125/2*SQRT((D124/C124)^2+(D120/C120)^2)</f>
        <v>-27.561833908617132</v>
      </c>
      <c r="E125" s="162">
        <f t="shared" si="173"/>
        <v>0.85124166745829699</v>
      </c>
      <c r="F125" s="131"/>
    </row>
    <row r="126" spans="1:6">
      <c r="A126" s="286"/>
      <c r="B126" s="140" t="s">
        <v>197</v>
      </c>
      <c r="C126" s="149">
        <f>'Activation Energy'!C10</f>
        <v>25.354165303051055</v>
      </c>
      <c r="D126" s="149">
        <f>SQRT(D125^2+D123^2)</f>
        <v>27.561834557133306</v>
      </c>
      <c r="E126" s="168">
        <f t="shared" si="173"/>
        <v>1.0870732373830736</v>
      </c>
      <c r="F126" s="131"/>
    </row>
    <row r="127" spans="1:6">
      <c r="A127" s="286"/>
      <c r="B127" s="131" t="s">
        <v>193</v>
      </c>
      <c r="C127" s="149">
        <f>EXP(C126)</f>
        <v>102606313517.79817</v>
      </c>
      <c r="D127" s="149">
        <f>C127*D126</f>
        <v>2828018237694.9038</v>
      </c>
      <c r="E127" s="168">
        <f t="shared" si="173"/>
        <v>27.561834557133306</v>
      </c>
      <c r="F127" s="131"/>
    </row>
    <row r="128" spans="1:6" ht="17" thickBot="1">
      <c r="A128" s="286"/>
      <c r="B128" s="157"/>
      <c r="C128" s="156"/>
      <c r="D128" s="156"/>
      <c r="E128" s="156"/>
      <c r="F128" s="157"/>
    </row>
    <row r="131" spans="4:7" ht="17" thickBot="1"/>
    <row r="132" spans="4:7" ht="17" thickBot="1">
      <c r="D132" s="102" t="s">
        <v>198</v>
      </c>
      <c r="E132" s="103" t="s">
        <v>125</v>
      </c>
      <c r="F132" s="104" t="s">
        <v>126</v>
      </c>
      <c r="G132" s="105" t="s">
        <v>199</v>
      </c>
    </row>
    <row r="133" spans="4:7">
      <c r="D133" s="106" t="s">
        <v>145</v>
      </c>
      <c r="E133" s="171">
        <f>C69</f>
        <v>0.98760236033683424</v>
      </c>
      <c r="F133" s="172">
        <f>D69</f>
        <v>2.0991679614001446E-2</v>
      </c>
      <c r="G133" s="107">
        <f>E69</f>
        <v>2.125519384830345E-2</v>
      </c>
    </row>
    <row r="134" spans="4:7">
      <c r="D134" s="108" t="s">
        <v>200</v>
      </c>
      <c r="E134" s="173">
        <f>C77</f>
        <v>1.0013967898387588</v>
      </c>
      <c r="F134" s="174">
        <f>D77</f>
        <v>1.9106162043818889E-2</v>
      </c>
      <c r="G134" s="111">
        <f>E77</f>
        <v>1.9079511975363225E-2</v>
      </c>
    </row>
    <row r="135" spans="4:7">
      <c r="D135" s="108" t="s">
        <v>142</v>
      </c>
      <c r="E135" s="173">
        <f>C85</f>
        <v>-3.2095770887658728E-4</v>
      </c>
      <c r="F135" s="174">
        <f>D85</f>
        <v>-7.3319644132638877E-5</v>
      </c>
      <c r="G135" s="111">
        <f>E85</f>
        <v>0.22844020288302627</v>
      </c>
    </row>
    <row r="136" spans="4:7">
      <c r="D136" s="108" t="s">
        <v>201</v>
      </c>
      <c r="E136" s="112">
        <f>C93</f>
        <v>8.3473790319549984E-4</v>
      </c>
      <c r="F136" s="110">
        <f>D93</f>
        <v>4.5531351050831154E-6</v>
      </c>
      <c r="G136" s="111">
        <f>E93</f>
        <v>5.4545685390025326E-3</v>
      </c>
    </row>
    <row r="137" spans="4:7">
      <c r="D137" s="108" t="s">
        <v>203</v>
      </c>
      <c r="E137" s="109">
        <f>C121</f>
        <v>83010.128010544286</v>
      </c>
      <c r="F137" s="113">
        <f>D121/20</f>
        <v>7066.1679527069264</v>
      </c>
      <c r="G137" s="111">
        <f>F137/E137</f>
        <v>8.5124166436767248E-2</v>
      </c>
    </row>
    <row r="138" spans="4:7" ht="17" thickBot="1">
      <c r="D138" s="114" t="s">
        <v>202</v>
      </c>
      <c r="E138" s="115">
        <f>C127</f>
        <v>102606313517.79817</v>
      </c>
      <c r="F138" s="116">
        <f>D127/200</f>
        <v>14140091188.47452</v>
      </c>
      <c r="G138" s="117">
        <f>F138/E138</f>
        <v>0.13780917278566654</v>
      </c>
    </row>
  </sheetData>
  <mergeCells count="89">
    <mergeCell ref="AZ22:BB43"/>
    <mergeCell ref="BD23:BF43"/>
    <mergeCell ref="B1:B2"/>
    <mergeCell ref="X15:Z43"/>
    <mergeCell ref="AB13:AD43"/>
    <mergeCell ref="AF14:AH43"/>
    <mergeCell ref="AJ25:AL43"/>
    <mergeCell ref="AN33:AP43"/>
    <mergeCell ref="AR28:AT43"/>
    <mergeCell ref="C4:F4"/>
    <mergeCell ref="G4:J4"/>
    <mergeCell ref="K4:N4"/>
    <mergeCell ref="O4:R4"/>
    <mergeCell ref="BC4:BF4"/>
    <mergeCell ref="AM4:AP4"/>
    <mergeCell ref="AQ4:AT4"/>
    <mergeCell ref="A102:A107"/>
    <mergeCell ref="A108:A121"/>
    <mergeCell ref="A122:A128"/>
    <mergeCell ref="B4:B5"/>
    <mergeCell ref="C6:BF6"/>
    <mergeCell ref="H30:J43"/>
    <mergeCell ref="L15:N43"/>
    <mergeCell ref="P15:R43"/>
    <mergeCell ref="T31:V43"/>
    <mergeCell ref="AA86:AD86"/>
    <mergeCell ref="AE86:AH86"/>
    <mergeCell ref="AI86:AL86"/>
    <mergeCell ref="AM86:AP86"/>
    <mergeCell ref="A94:A101"/>
    <mergeCell ref="C94:F94"/>
    <mergeCell ref="G94:J94"/>
    <mergeCell ref="A78:A85"/>
    <mergeCell ref="C78:F78"/>
    <mergeCell ref="G78:J78"/>
    <mergeCell ref="K78:N78"/>
    <mergeCell ref="O78:R78"/>
    <mergeCell ref="A86:A93"/>
    <mergeCell ref="C86:F86"/>
    <mergeCell ref="G86:J86"/>
    <mergeCell ref="K86:N86"/>
    <mergeCell ref="O86:R86"/>
    <mergeCell ref="A70:A77"/>
    <mergeCell ref="C70:F70"/>
    <mergeCell ref="G70:J70"/>
    <mergeCell ref="K70:N70"/>
    <mergeCell ref="O70:R70"/>
    <mergeCell ref="A53:A61"/>
    <mergeCell ref="AU45:AX45"/>
    <mergeCell ref="AY45:BB45"/>
    <mergeCell ref="BC45:BF45"/>
    <mergeCell ref="A62:A69"/>
    <mergeCell ref="C62:F62"/>
    <mergeCell ref="G62:J62"/>
    <mergeCell ref="K62:N62"/>
    <mergeCell ref="O62:R62"/>
    <mergeCell ref="S62:V62"/>
    <mergeCell ref="AA45:AD45"/>
    <mergeCell ref="AE45:AH45"/>
    <mergeCell ref="AI45:AL45"/>
    <mergeCell ref="AM45:AP45"/>
    <mergeCell ref="AQ45:AT45"/>
    <mergeCell ref="A46:A47"/>
    <mergeCell ref="B46:B47"/>
    <mergeCell ref="C45:F45"/>
    <mergeCell ref="G45:J45"/>
    <mergeCell ref="K45:N45"/>
    <mergeCell ref="O45:R45"/>
    <mergeCell ref="S4:V4"/>
    <mergeCell ref="W4:Z4"/>
    <mergeCell ref="AA4:AD4"/>
    <mergeCell ref="AE4:AH4"/>
    <mergeCell ref="AI4:AL4"/>
    <mergeCell ref="H109:M109"/>
    <mergeCell ref="S45:V45"/>
    <mergeCell ref="W45:Z45"/>
    <mergeCell ref="AU4:AX4"/>
    <mergeCell ref="AY4:BB4"/>
    <mergeCell ref="S78:V78"/>
    <mergeCell ref="W62:Z62"/>
    <mergeCell ref="S70:V70"/>
    <mergeCell ref="W70:Z70"/>
    <mergeCell ref="K94:N94"/>
    <mergeCell ref="O94:R94"/>
    <mergeCell ref="S94:V94"/>
    <mergeCell ref="W78:Z78"/>
    <mergeCell ref="S86:V86"/>
    <mergeCell ref="W86:Z86"/>
    <mergeCell ref="AV21:AX43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1B5A-09BB-D24C-B8A9-A8FBFD7BF7D5}">
  <dimension ref="A1:H26"/>
  <sheetViews>
    <sheetView zoomScale="113" workbookViewId="0">
      <selection activeCell="G10" sqref="G10"/>
    </sheetView>
  </sheetViews>
  <sheetFormatPr baseColWidth="10" defaultColWidth="8.83203125" defaultRowHeight="16"/>
  <cols>
    <col min="2" max="2" width="13.83203125" customWidth="1"/>
    <col min="3" max="3" width="13.6640625" customWidth="1"/>
    <col min="5" max="5" width="16.1640625" customWidth="1"/>
    <col min="6" max="6" width="13.5" customWidth="1"/>
    <col min="7" max="7" width="15.33203125" customWidth="1"/>
    <col min="8" max="8" width="13.83203125" customWidth="1"/>
  </cols>
  <sheetData>
    <row r="1" spans="1:8" ht="17" thickBot="1">
      <c r="A1" s="102" t="s">
        <v>198</v>
      </c>
      <c r="B1" s="103" t="s">
        <v>125</v>
      </c>
      <c r="C1" s="104" t="s">
        <v>126</v>
      </c>
      <c r="F1" s="176" t="s">
        <v>232</v>
      </c>
    </row>
    <row r="2" spans="1:8">
      <c r="A2" s="106" t="s">
        <v>145</v>
      </c>
      <c r="B2" s="171">
        <v>0.98760236033683424</v>
      </c>
      <c r="C2" s="172">
        <v>2.0991679614001446E-2</v>
      </c>
    </row>
    <row r="3" spans="1:8" ht="18">
      <c r="A3" s="108" t="s">
        <v>200</v>
      </c>
      <c r="B3" s="173">
        <v>1.0013967898387588</v>
      </c>
      <c r="C3" s="174">
        <v>1.9106162043818889E-2</v>
      </c>
      <c r="F3" s="175"/>
    </row>
    <row r="4" spans="1:8">
      <c r="A4" s="108" t="s">
        <v>142</v>
      </c>
      <c r="B4" s="173">
        <v>-3.2095770887658728E-4</v>
      </c>
      <c r="C4" s="174">
        <v>-7.3319644132638877E-5</v>
      </c>
    </row>
    <row r="6" spans="1:8">
      <c r="A6" s="122" t="s">
        <v>198</v>
      </c>
      <c r="B6" s="122" t="s">
        <v>206</v>
      </c>
    </row>
    <row r="7" spans="1:8">
      <c r="A7" s="1" t="s">
        <v>205</v>
      </c>
      <c r="B7" s="121">
        <v>102606313517.79817</v>
      </c>
      <c r="C7" s="120">
        <f>B7*(B11)</f>
        <v>166038413387.1431</v>
      </c>
    </row>
    <row r="8" spans="1:8">
      <c r="A8" s="1" t="s">
        <v>227</v>
      </c>
      <c r="B8" s="4">
        <f>83.0101280105443*1000</f>
        <v>83010.1280105443</v>
      </c>
      <c r="C8" s="1">
        <v>498.87559825206137</v>
      </c>
      <c r="F8" s="118" t="s">
        <v>233</v>
      </c>
      <c r="G8" s="118" t="s">
        <v>206</v>
      </c>
      <c r="H8" s="118" t="s">
        <v>126</v>
      </c>
    </row>
    <row r="9" spans="1:8">
      <c r="F9" s="75" t="s">
        <v>176</v>
      </c>
      <c r="G9" s="178">
        <f>83.0101280105443*1000</f>
        <v>83010.1280105443</v>
      </c>
      <c r="H9" s="75">
        <v>498.87559825206137</v>
      </c>
    </row>
    <row r="10" spans="1:8">
      <c r="A10" s="1" t="s">
        <v>228</v>
      </c>
      <c r="B10" s="1">
        <v>25.354165303051055</v>
      </c>
      <c r="F10" s="75" t="s">
        <v>193</v>
      </c>
      <c r="G10" s="9">
        <v>102606313517.79817</v>
      </c>
      <c r="H10" s="9">
        <f>EXP(B10)*B11</f>
        <v>166038413387.1431</v>
      </c>
    </row>
    <row r="11" spans="1:8">
      <c r="A11" s="1" t="s">
        <v>229</v>
      </c>
      <c r="B11" s="1">
        <v>1.6182085457961799</v>
      </c>
      <c r="F11" s="75" t="s">
        <v>234</v>
      </c>
      <c r="G11" s="75">
        <f>G10*EXP(-G9/8.314/353)</f>
        <v>5.338663674243644E-2</v>
      </c>
      <c r="H11" s="179">
        <f>SQRT((EXP(-G9/G13/G12)*H10)^2 + ((G10*(-1/G13/G12)*EXP(-G9/G13/G12))*H9)^2)</f>
        <v>8.6866036130261365E-2</v>
      </c>
    </row>
    <row r="12" spans="1:8">
      <c r="F12" s="75" t="s">
        <v>217</v>
      </c>
      <c r="G12" s="75">
        <v>353</v>
      </c>
      <c r="H12" s="304"/>
    </row>
    <row r="13" spans="1:8">
      <c r="B13" t="s">
        <v>230</v>
      </c>
      <c r="F13" s="75" t="s">
        <v>235</v>
      </c>
      <c r="G13" s="75">
        <v>8.3140000000000001</v>
      </c>
      <c r="H13" s="304"/>
    </row>
    <row r="14" spans="1:8">
      <c r="B14" t="s">
        <v>231</v>
      </c>
      <c r="F14" s="75" t="s">
        <v>145</v>
      </c>
      <c r="G14" s="75">
        <v>0.98760236033683424</v>
      </c>
      <c r="H14" s="75">
        <v>2.0991679614001446E-2</v>
      </c>
    </row>
    <row r="15" spans="1:8">
      <c r="F15" s="75" t="s">
        <v>200</v>
      </c>
      <c r="G15" s="75">
        <v>1.0013967898387588</v>
      </c>
      <c r="H15" s="75">
        <v>1.9106162043818889E-2</v>
      </c>
    </row>
    <row r="16" spans="1:8">
      <c r="B16" t="s">
        <v>246</v>
      </c>
      <c r="F16" s="75" t="s">
        <v>142</v>
      </c>
      <c r="G16" s="75">
        <v>-3.2095770887658728E-4</v>
      </c>
      <c r="H16" s="75">
        <v>-7.3319644132638877E-5</v>
      </c>
    </row>
    <row r="17" spans="6:8">
      <c r="F17" s="75" t="s">
        <v>236</v>
      </c>
      <c r="G17" s="75">
        <f>10/60</f>
        <v>0.16666666666666666</v>
      </c>
      <c r="H17" s="304"/>
    </row>
    <row r="18" spans="6:8">
      <c r="F18" s="75" t="s">
        <v>237</v>
      </c>
      <c r="G18" s="75">
        <f>2-0.4</f>
        <v>1.6</v>
      </c>
      <c r="H18" s="304"/>
    </row>
    <row r="19" spans="6:8">
      <c r="F19" s="75" t="s">
        <v>239</v>
      </c>
      <c r="G19" s="75">
        <v>0.4</v>
      </c>
      <c r="H19" s="304"/>
    </row>
    <row r="20" spans="6:8">
      <c r="F20" s="75" t="s">
        <v>240</v>
      </c>
      <c r="G20" s="180">
        <v>0.21840000000000001</v>
      </c>
      <c r="H20" s="304"/>
    </row>
    <row r="21" spans="6:8">
      <c r="F21" s="75" t="s">
        <v>241</v>
      </c>
      <c r="G21" s="180">
        <v>9.1300000000000006E-2</v>
      </c>
      <c r="H21" s="304"/>
    </row>
    <row r="22" spans="6:8">
      <c r="F22" s="75" t="s">
        <v>238</v>
      </c>
      <c r="G22" s="75">
        <f>G17*(-G18)/G11/G19^G14/G20^G15/G21^G16</f>
        <v>-56.608195146069043</v>
      </c>
      <c r="H22" s="304"/>
    </row>
    <row r="23" spans="6:8">
      <c r="F23" s="75" t="s">
        <v>242</v>
      </c>
      <c r="G23" s="75">
        <f>-G17*G18/(G11*G20^G15*G21^G16)*(G19^G14)*LN(G19)</f>
        <v>8.489842206947948</v>
      </c>
      <c r="H23" s="304"/>
    </row>
    <row r="24" spans="6:8">
      <c r="F24" s="75" t="s">
        <v>243</v>
      </c>
      <c r="G24" s="75">
        <f>-G17*G18/(G11*G19^G14*G21^G16)*(G20^G15)*LN(G20)</f>
        <v>4.0906267615185676</v>
      </c>
      <c r="H24" s="304"/>
    </row>
    <row r="25" spans="6:8">
      <c r="F25" s="75" t="s">
        <v>244</v>
      </c>
      <c r="G25" s="75">
        <f>-G17*G18/(G11*G19^G14*G20^G15)*(G21^G16)*LN(G21)</f>
        <v>135.70598114861497</v>
      </c>
      <c r="H25" s="304"/>
    </row>
    <row r="26" spans="6:8">
      <c r="F26" s="75" t="s">
        <v>245</v>
      </c>
      <c r="G26" s="181">
        <v>56.610799999999998</v>
      </c>
      <c r="H26" s="178">
        <f>SQRT((G22*H11)^2+(G23*H14)^2+(G24*H15)^2+(G25*H16)^2)</f>
        <v>4.9211886779791962</v>
      </c>
    </row>
  </sheetData>
  <mergeCells count="2">
    <mergeCell ref="H12:H13"/>
    <mergeCell ref="H17:H2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AE0F-1F61-4523-A55F-C5D99651B1B9}">
  <dimension ref="A1:T54"/>
  <sheetViews>
    <sheetView workbookViewId="0">
      <selection activeCell="U13" sqref="U13"/>
    </sheetView>
  </sheetViews>
  <sheetFormatPr baseColWidth="10" defaultColWidth="8.83203125" defaultRowHeight="16"/>
  <cols>
    <col min="1" max="1" width="14.1640625" customWidth="1"/>
    <col min="2" max="4" width="19.33203125" customWidth="1"/>
    <col min="6" max="6" width="13.83203125" customWidth="1"/>
    <col min="7" max="7" width="20.1640625" customWidth="1"/>
    <col min="8" max="9" width="19.33203125" customWidth="1"/>
    <col min="10" max="10" width="20.1640625" customWidth="1"/>
    <col min="12" max="12" width="11.83203125" customWidth="1"/>
    <col min="13" max="15" width="19.1640625" customWidth="1"/>
    <col min="17" max="17" width="11.33203125" customWidth="1"/>
    <col min="18" max="18" width="20.1640625" customWidth="1"/>
    <col min="19" max="19" width="12.83203125" customWidth="1"/>
    <col min="20" max="20" width="18.5" customWidth="1"/>
  </cols>
  <sheetData>
    <row r="1" spans="1:20">
      <c r="A1" s="221" t="s">
        <v>247</v>
      </c>
      <c r="B1" s="221"/>
      <c r="C1" s="221"/>
      <c r="D1" s="221"/>
      <c r="F1" s="221" t="s">
        <v>249</v>
      </c>
      <c r="G1" s="221"/>
      <c r="H1" s="221"/>
      <c r="I1" s="221"/>
      <c r="J1" s="177"/>
      <c r="L1" s="305" t="s">
        <v>250</v>
      </c>
      <c r="M1" s="305"/>
      <c r="N1" s="177"/>
      <c r="O1" s="177"/>
      <c r="Q1" s="221" t="s">
        <v>251</v>
      </c>
      <c r="R1" s="221"/>
      <c r="S1" s="221"/>
      <c r="T1" s="221"/>
    </row>
    <row r="2" spans="1:20">
      <c r="A2" s="308">
        <v>0.98760236033683424</v>
      </c>
      <c r="B2" s="308"/>
      <c r="C2" s="307">
        <f>FORECAST(A2,B25:B26,A25:A26)</f>
        <v>23904.580873616633</v>
      </c>
      <c r="D2" s="307"/>
      <c r="F2" s="308">
        <v>1.0013967898387588</v>
      </c>
      <c r="G2" s="308"/>
      <c r="H2" s="307">
        <f>FORECAST(F2,G29:G30,F29:F30)</f>
        <v>6.4101584306577024</v>
      </c>
      <c r="I2" s="307"/>
      <c r="J2" s="177"/>
      <c r="L2" s="184">
        <v>-3.2095770887658728E-4</v>
      </c>
      <c r="M2" s="177"/>
      <c r="N2" s="177"/>
      <c r="O2" s="177"/>
      <c r="Q2" s="306">
        <f>83.0101280105443*1000</f>
        <v>83010.1280105443</v>
      </c>
      <c r="R2" s="306"/>
      <c r="S2" s="307">
        <f>R44</f>
        <v>27.7496537</v>
      </c>
      <c r="T2" s="307"/>
    </row>
    <row r="3" spans="1:20" ht="17" thickBot="1">
      <c r="A3" s="170" t="s">
        <v>145</v>
      </c>
      <c r="B3" s="170" t="s">
        <v>248</v>
      </c>
      <c r="C3" s="170" t="s">
        <v>252</v>
      </c>
      <c r="D3" s="170" t="s">
        <v>253</v>
      </c>
      <c r="F3" s="170" t="s">
        <v>153</v>
      </c>
      <c r="G3" s="170" t="s">
        <v>248</v>
      </c>
      <c r="H3" s="170" t="s">
        <v>254</v>
      </c>
      <c r="I3" s="170" t="s">
        <v>253</v>
      </c>
      <c r="L3" t="s">
        <v>142</v>
      </c>
      <c r="M3" t="s">
        <v>248</v>
      </c>
      <c r="Q3" s="170" t="s">
        <v>176</v>
      </c>
      <c r="R3" s="170" t="s">
        <v>248</v>
      </c>
      <c r="S3" s="170" t="s">
        <v>255</v>
      </c>
      <c r="T3" s="170" t="s">
        <v>256</v>
      </c>
    </row>
    <row r="4" spans="1:20" ht="17" thickBot="1">
      <c r="A4" s="185">
        <v>0.9</v>
      </c>
      <c r="B4" s="185">
        <v>4730.3186900000001</v>
      </c>
      <c r="C4" s="185">
        <f t="shared" ref="C4:C35" si="0">(A4-$A$2)/$A$2*100</f>
        <v>-8.8702056470335222</v>
      </c>
      <c r="D4" s="185">
        <f t="shared" ref="D4:D35" si="1">(B4-$C$2)/$C$2*100</f>
        <v>-80.211664387636972</v>
      </c>
      <c r="F4" s="185">
        <v>0</v>
      </c>
      <c r="G4" s="185">
        <v>27.7496537</v>
      </c>
      <c r="H4" s="186">
        <f t="shared" ref="H4:H35" si="2">(F4-$F$2)/$F$2*100</f>
        <v>-100</v>
      </c>
      <c r="I4" s="186">
        <f t="shared" ref="I4:I35" si="3">(G4-$H$2)/$H$2*100</f>
        <v>332.90121453601574</v>
      </c>
      <c r="J4" s="183"/>
      <c r="L4" s="182">
        <v>0</v>
      </c>
      <c r="M4" s="182">
        <v>27.7496537</v>
      </c>
      <c r="N4" s="183"/>
      <c r="O4" s="183"/>
      <c r="Q4" s="185">
        <v>75000</v>
      </c>
      <c r="R4" s="185">
        <v>27.899024600000001</v>
      </c>
      <c r="S4" s="1">
        <f t="shared" ref="S4:S35" si="4">(Q4-$Q$2)/($Q$2)*100</f>
        <v>-9.6495791568070111</v>
      </c>
      <c r="T4" s="1">
        <f t="shared" ref="T4:T35" si="5">(R4-$S$2)/($S$2)*100</f>
        <v>0.53828023086284849</v>
      </c>
    </row>
    <row r="5" spans="1:20" ht="17" thickBot="1">
      <c r="A5" s="185">
        <v>0.904081633</v>
      </c>
      <c r="B5" s="185">
        <v>5547.5830900000001</v>
      </c>
      <c r="C5" s="186">
        <f t="shared" si="0"/>
        <v>-8.4569185626843222</v>
      </c>
      <c r="D5" s="186">
        <f t="shared" si="1"/>
        <v>-76.792803357105328</v>
      </c>
      <c r="F5" s="185">
        <v>0.9</v>
      </c>
      <c r="G5" s="185">
        <v>5.25542803</v>
      </c>
      <c r="H5" s="186">
        <f t="shared" si="2"/>
        <v>-10.125535738444428</v>
      </c>
      <c r="I5" s="186">
        <f t="shared" si="3"/>
        <v>-18.014069592024473</v>
      </c>
      <c r="J5" s="183"/>
      <c r="L5" s="182">
        <v>0.9</v>
      </c>
      <c r="M5" s="182">
        <v>5.25542803</v>
      </c>
      <c r="N5" s="183"/>
      <c r="O5" s="183"/>
      <c r="Q5" s="185">
        <v>75204.081600000005</v>
      </c>
      <c r="R5" s="185">
        <v>27.901086599999999</v>
      </c>
      <c r="S5" s="1">
        <f t="shared" si="4"/>
        <v>-9.403727710855641</v>
      </c>
      <c r="T5" s="1">
        <f t="shared" si="5"/>
        <v>0.54571095422354643</v>
      </c>
    </row>
    <row r="6" spans="1:20" ht="17" thickBot="1">
      <c r="A6" s="185">
        <v>0.908163265</v>
      </c>
      <c r="B6" s="185">
        <v>6494.5985099999998</v>
      </c>
      <c r="C6" s="186">
        <f t="shared" si="0"/>
        <v>-8.0436315795904481</v>
      </c>
      <c r="D6" s="186">
        <f t="shared" si="1"/>
        <v>-72.83115506464263</v>
      </c>
      <c r="F6" s="185">
        <v>0.904081633</v>
      </c>
      <c r="G6" s="185">
        <v>2.1566451400000002</v>
      </c>
      <c r="H6" s="186">
        <f t="shared" si="2"/>
        <v>-9.7179417615696693</v>
      </c>
      <c r="I6" s="186">
        <f t="shared" si="3"/>
        <v>-66.355821570876188</v>
      </c>
      <c r="J6" s="183"/>
      <c r="L6" s="182">
        <v>0.904081633</v>
      </c>
      <c r="M6" s="182">
        <v>2.1566451400000002</v>
      </c>
      <c r="N6" s="183"/>
      <c r="O6" s="183"/>
      <c r="Q6" s="185">
        <v>75408.1633</v>
      </c>
      <c r="R6" s="185">
        <v>27.899621499999999</v>
      </c>
      <c r="S6" s="1">
        <f t="shared" si="4"/>
        <v>-9.1578761444370578</v>
      </c>
      <c r="T6" s="1">
        <f t="shared" si="5"/>
        <v>0.54043124869698422</v>
      </c>
    </row>
    <row r="7" spans="1:20" ht="17" thickBot="1">
      <c r="A7" s="185">
        <v>0.91224489799999997</v>
      </c>
      <c r="B7" s="185">
        <v>6580.0167600000004</v>
      </c>
      <c r="C7" s="186">
        <f t="shared" si="0"/>
        <v>-7.630344495241248</v>
      </c>
      <c r="D7" s="186">
        <f t="shared" si="1"/>
        <v>-72.473825017938992</v>
      </c>
      <c r="F7" s="185">
        <v>0.908163265</v>
      </c>
      <c r="G7" s="185">
        <v>2.13266095</v>
      </c>
      <c r="H7" s="186">
        <f t="shared" si="2"/>
        <v>-9.3103478845554228</v>
      </c>
      <c r="I7" s="186">
        <f t="shared" si="3"/>
        <v>-66.729980653829458</v>
      </c>
      <c r="J7" s="183"/>
      <c r="L7" s="182">
        <v>0.908163265</v>
      </c>
      <c r="M7" s="182">
        <v>2.13266095</v>
      </c>
      <c r="N7" s="183"/>
      <c r="O7" s="183"/>
      <c r="Q7" s="185">
        <v>75612.244900000005</v>
      </c>
      <c r="R7" s="185">
        <v>27.899559400000001</v>
      </c>
      <c r="S7" s="1">
        <f t="shared" si="4"/>
        <v>-8.9120246984856895</v>
      </c>
      <c r="T7" s="1">
        <f t="shared" si="5"/>
        <v>0.54020746212051463</v>
      </c>
    </row>
    <row r="8" spans="1:20" ht="17" thickBot="1">
      <c r="A8" s="185">
        <v>0.91632653100000006</v>
      </c>
      <c r="B8" s="185">
        <v>7731.2596100000001</v>
      </c>
      <c r="C8" s="185">
        <f t="shared" si="0"/>
        <v>-7.2170574108920373</v>
      </c>
      <c r="D8" s="185">
        <f t="shared" si="1"/>
        <v>-67.657832400931355</v>
      </c>
      <c r="F8" s="185">
        <v>0.91224489799999997</v>
      </c>
      <c r="G8" s="185">
        <v>2.1043669899999999</v>
      </c>
      <c r="H8" s="186">
        <f t="shared" si="2"/>
        <v>-8.9027539076806637</v>
      </c>
      <c r="I8" s="186">
        <f t="shared" si="3"/>
        <v>-67.171373176433562</v>
      </c>
      <c r="J8" s="183"/>
      <c r="L8" s="182">
        <v>0.91224489799999997</v>
      </c>
      <c r="M8" s="182">
        <v>2.1043669899999999</v>
      </c>
      <c r="N8" s="183"/>
      <c r="O8" s="183"/>
      <c r="Q8" s="185">
        <v>75816.326499999996</v>
      </c>
      <c r="R8" s="185">
        <v>27.874358099999998</v>
      </c>
      <c r="S8" s="1">
        <f t="shared" si="4"/>
        <v>-8.6661732525343389</v>
      </c>
      <c r="T8" s="1">
        <f t="shared" si="5"/>
        <v>0.44939083329893525</v>
      </c>
    </row>
    <row r="9" spans="1:20" ht="17" thickBot="1">
      <c r="A9" s="185">
        <v>0.92040816299999995</v>
      </c>
      <c r="B9" s="185">
        <v>9037.8999600000006</v>
      </c>
      <c r="C9" s="185">
        <f t="shared" si="0"/>
        <v>-6.8037704277981739</v>
      </c>
      <c r="D9" s="185">
        <f t="shared" si="1"/>
        <v>-62.191765637794191</v>
      </c>
      <c r="F9" s="185">
        <v>0.91632653100000006</v>
      </c>
      <c r="G9" s="185">
        <v>2.0734714799999998</v>
      </c>
      <c r="H9" s="186">
        <f t="shared" si="2"/>
        <v>-8.495159930805892</v>
      </c>
      <c r="I9" s="186">
        <f t="shared" si="3"/>
        <v>-67.653350499368926</v>
      </c>
      <c r="J9" s="183"/>
      <c r="L9" s="182">
        <v>0.91632653100000006</v>
      </c>
      <c r="M9" s="182">
        <v>2.0734714799999998</v>
      </c>
      <c r="N9" s="183"/>
      <c r="O9" s="183"/>
      <c r="Q9" s="185">
        <v>76020.408200000005</v>
      </c>
      <c r="R9" s="185">
        <v>27.900172699999999</v>
      </c>
      <c r="S9" s="1">
        <f t="shared" si="4"/>
        <v>-8.4203216861157362</v>
      </c>
      <c r="T9" s="1">
        <f t="shared" si="5"/>
        <v>0.54241757979127214</v>
      </c>
    </row>
    <row r="10" spans="1:20" ht="17" thickBot="1">
      <c r="A10" s="185">
        <v>0.92448979600000003</v>
      </c>
      <c r="B10" s="185">
        <v>10556.345799999999</v>
      </c>
      <c r="C10" s="185">
        <f t="shared" si="0"/>
        <v>-6.3904833434489632</v>
      </c>
      <c r="D10" s="185">
        <f t="shared" si="1"/>
        <v>-55.839653262228971</v>
      </c>
      <c r="F10" s="185">
        <v>0.92040816299999995</v>
      </c>
      <c r="G10" s="185">
        <v>2.0785011199999999</v>
      </c>
      <c r="H10" s="186">
        <f t="shared" si="2"/>
        <v>-8.087566053791658</v>
      </c>
      <c r="I10" s="186">
        <f t="shared" si="3"/>
        <v>-67.574886916067385</v>
      </c>
      <c r="J10" s="183"/>
      <c r="L10" s="182">
        <v>0.92040816299999995</v>
      </c>
      <c r="M10" s="182">
        <v>2.0785011199999999</v>
      </c>
      <c r="N10" s="183"/>
      <c r="O10" s="183"/>
      <c r="Q10" s="185">
        <v>76224.489799999996</v>
      </c>
      <c r="R10" s="185">
        <v>27.877376600000002</v>
      </c>
      <c r="S10" s="1">
        <f t="shared" si="4"/>
        <v>-8.1744702401643856</v>
      </c>
      <c r="T10" s="1">
        <f t="shared" si="5"/>
        <v>0.46026844652119742</v>
      </c>
    </row>
    <row r="11" spans="1:20" ht="17" thickBot="1">
      <c r="A11" s="185">
        <v>0.928571429</v>
      </c>
      <c r="B11" s="185">
        <v>11050.6633</v>
      </c>
      <c r="C11" s="185">
        <f t="shared" si="0"/>
        <v>-5.9771962590997649</v>
      </c>
      <c r="D11" s="185">
        <f t="shared" si="1"/>
        <v>-53.771775550365064</v>
      </c>
      <c r="F11" s="185">
        <v>0.92448979600000003</v>
      </c>
      <c r="G11" s="185">
        <v>2.30832791</v>
      </c>
      <c r="H11" s="186">
        <f t="shared" si="2"/>
        <v>-7.6799720769168873</v>
      </c>
      <c r="I11" s="186">
        <f t="shared" si="3"/>
        <v>-63.989534190605667</v>
      </c>
      <c r="J11" s="183"/>
      <c r="L11" s="182">
        <v>0.92448979600000003</v>
      </c>
      <c r="M11" s="182">
        <v>2.30832791</v>
      </c>
      <c r="N11" s="183"/>
      <c r="O11" s="183"/>
      <c r="Q11" s="185">
        <v>76428.571400000001</v>
      </c>
      <c r="R11" s="185">
        <v>27.8845353</v>
      </c>
      <c r="S11" s="1">
        <f t="shared" si="4"/>
        <v>-7.9286187942130173</v>
      </c>
      <c r="T11" s="1">
        <f t="shared" si="5"/>
        <v>0.48606588557175379</v>
      </c>
    </row>
    <row r="12" spans="1:20" ht="17" thickBot="1">
      <c r="A12" s="185">
        <v>0.93265306100000001</v>
      </c>
      <c r="B12" s="185">
        <v>12299.606100000001</v>
      </c>
      <c r="C12" s="185">
        <f t="shared" si="0"/>
        <v>-5.5639092760058899</v>
      </c>
      <c r="D12" s="185">
        <f t="shared" si="1"/>
        <v>-48.547074868085161</v>
      </c>
      <c r="F12" s="185">
        <v>0.928571429</v>
      </c>
      <c r="G12" s="185">
        <v>5.2314502200000002</v>
      </c>
      <c r="H12" s="186">
        <f t="shared" si="2"/>
        <v>-7.2723781000421273</v>
      </c>
      <c r="I12" s="186">
        <f t="shared" si="3"/>
        <v>-18.388129145456443</v>
      </c>
      <c r="J12" s="183"/>
      <c r="L12" s="182">
        <v>0.928571429</v>
      </c>
      <c r="M12" s="182">
        <v>5.2314502200000002</v>
      </c>
      <c r="N12" s="183"/>
      <c r="O12" s="183"/>
      <c r="Q12" s="185">
        <v>76632.653099999996</v>
      </c>
      <c r="R12" s="185">
        <v>27.881291699999998</v>
      </c>
      <c r="S12" s="1">
        <f t="shared" si="4"/>
        <v>-7.6827672277944332</v>
      </c>
      <c r="T12" s="1">
        <f t="shared" si="5"/>
        <v>0.4743770910553699</v>
      </c>
    </row>
    <row r="13" spans="1:20" ht="17" thickBot="1">
      <c r="A13" s="185">
        <v>0.93673469399999998</v>
      </c>
      <c r="B13" s="185">
        <v>12891.3024</v>
      </c>
      <c r="C13" s="185">
        <f t="shared" si="0"/>
        <v>-5.1506221916566908</v>
      </c>
      <c r="D13" s="185">
        <f t="shared" si="1"/>
        <v>-46.071832557298393</v>
      </c>
      <c r="F13" s="185">
        <v>0.93265306100000001</v>
      </c>
      <c r="G13" s="185">
        <v>2.6057382900000001</v>
      </c>
      <c r="H13" s="186">
        <f t="shared" si="2"/>
        <v>-6.8647842230278826</v>
      </c>
      <c r="I13" s="186">
        <f t="shared" si="3"/>
        <v>-59.349861346053459</v>
      </c>
      <c r="J13" s="183"/>
      <c r="L13" s="182">
        <v>0.93265306100000001</v>
      </c>
      <c r="M13" s="182">
        <v>2.6057382900000001</v>
      </c>
      <c r="N13" s="183"/>
      <c r="O13" s="183"/>
      <c r="Q13" s="185">
        <v>76836.734700000001</v>
      </c>
      <c r="R13" s="185">
        <v>27.880804999999999</v>
      </c>
      <c r="S13" s="1">
        <f t="shared" si="4"/>
        <v>-7.4369157818430649</v>
      </c>
      <c r="T13" s="1">
        <f t="shared" si="5"/>
        <v>0.47262319529414193</v>
      </c>
    </row>
    <row r="14" spans="1:20" ht="17" thickBot="1">
      <c r="A14" s="185">
        <v>0.94081632699999995</v>
      </c>
      <c r="B14" s="185">
        <v>13183.5705</v>
      </c>
      <c r="C14" s="185">
        <f t="shared" si="0"/>
        <v>-4.7373351073074916</v>
      </c>
      <c r="D14" s="185">
        <f t="shared" si="1"/>
        <v>-44.849187820102543</v>
      </c>
      <c r="F14" s="185">
        <v>0.93673469399999998</v>
      </c>
      <c r="G14" s="185">
        <v>8.1218364600000008</v>
      </c>
      <c r="H14" s="186">
        <f t="shared" si="2"/>
        <v>-6.4571902461531234</v>
      </c>
      <c r="I14" s="186">
        <f t="shared" si="3"/>
        <v>26.702585401881791</v>
      </c>
      <c r="J14" s="183"/>
      <c r="L14" s="182">
        <v>0.93673469399999998</v>
      </c>
      <c r="M14" s="182">
        <v>8.1218364600000008</v>
      </c>
      <c r="N14" s="183"/>
      <c r="O14" s="183"/>
      <c r="Q14" s="185">
        <v>77040.816300000006</v>
      </c>
      <c r="R14" s="185">
        <v>27.873593899999999</v>
      </c>
      <c r="S14" s="1">
        <f t="shared" si="4"/>
        <v>-7.1910643358916966</v>
      </c>
      <c r="T14" s="1">
        <f t="shared" si="5"/>
        <v>0.44663692505827501</v>
      </c>
    </row>
    <row r="15" spans="1:20" ht="17" thickBot="1">
      <c r="A15" s="185">
        <v>0.94489795899999995</v>
      </c>
      <c r="B15" s="185">
        <v>14386.444799999999</v>
      </c>
      <c r="C15" s="185">
        <f t="shared" si="0"/>
        <v>-4.3240481242136166</v>
      </c>
      <c r="D15" s="185">
        <f t="shared" si="1"/>
        <v>-39.817205429950683</v>
      </c>
      <c r="F15" s="185">
        <v>0.94081632699999995</v>
      </c>
      <c r="G15" s="185">
        <v>4.1955106200000003</v>
      </c>
      <c r="H15" s="186">
        <f t="shared" si="2"/>
        <v>-6.0495962692783634</v>
      </c>
      <c r="I15" s="186">
        <f t="shared" si="3"/>
        <v>-34.549033921934942</v>
      </c>
      <c r="J15" s="183"/>
      <c r="L15" s="182">
        <v>0.94081632699999995</v>
      </c>
      <c r="M15" s="182">
        <v>4.1955106200000003</v>
      </c>
      <c r="N15" s="183"/>
      <c r="O15" s="183"/>
      <c r="Q15" s="185">
        <v>77244.898000000001</v>
      </c>
      <c r="R15" s="185">
        <v>27.871429599999999</v>
      </c>
      <c r="S15" s="1">
        <f t="shared" si="4"/>
        <v>-6.9452127694731125</v>
      </c>
      <c r="T15" s="1">
        <f t="shared" si="5"/>
        <v>0.43883754844839518</v>
      </c>
    </row>
    <row r="16" spans="1:20" ht="17" thickBot="1">
      <c r="A16" s="185">
        <v>0.94897959200000004</v>
      </c>
      <c r="B16" s="185">
        <v>15003.0602</v>
      </c>
      <c r="C16" s="185">
        <f t="shared" si="0"/>
        <v>-3.9107610398644064</v>
      </c>
      <c r="D16" s="185">
        <f t="shared" si="1"/>
        <v>-37.2377190827102</v>
      </c>
      <c r="F16" s="185">
        <v>0.94489795899999995</v>
      </c>
      <c r="G16" s="185">
        <v>1.0313118699999999</v>
      </c>
      <c r="H16" s="186">
        <f t="shared" si="2"/>
        <v>-5.642002392264116</v>
      </c>
      <c r="I16" s="186">
        <f t="shared" si="3"/>
        <v>-83.911288914988887</v>
      </c>
      <c r="J16" s="183"/>
      <c r="L16" s="182">
        <v>0.94489795899999995</v>
      </c>
      <c r="M16" s="182">
        <v>1.0313118699999999</v>
      </c>
      <c r="N16" s="183"/>
      <c r="O16" s="183"/>
      <c r="Q16" s="185">
        <v>77448.979600000006</v>
      </c>
      <c r="R16" s="185">
        <v>27.8635515</v>
      </c>
      <c r="S16" s="1">
        <f t="shared" si="4"/>
        <v>-6.6993613235217433</v>
      </c>
      <c r="T16" s="1">
        <f t="shared" si="5"/>
        <v>0.41044764461330974</v>
      </c>
    </row>
    <row r="17" spans="1:20" ht="17" thickBot="1">
      <c r="A17" s="185">
        <v>0.95306122400000004</v>
      </c>
      <c r="B17" s="185">
        <v>16729.357</v>
      </c>
      <c r="C17" s="185">
        <f t="shared" si="0"/>
        <v>-3.4974740567705318</v>
      </c>
      <c r="D17" s="185">
        <f t="shared" si="1"/>
        <v>-30.016104074578827</v>
      </c>
      <c r="F17" s="185">
        <v>0.94897959200000004</v>
      </c>
      <c r="G17" s="185">
        <v>5.26207622</v>
      </c>
      <c r="H17" s="186">
        <f t="shared" si="2"/>
        <v>-5.2344084153893462</v>
      </c>
      <c r="I17" s="186">
        <f t="shared" si="3"/>
        <v>-17.910356242784868</v>
      </c>
      <c r="J17" s="183"/>
      <c r="L17" s="182">
        <v>0.94897959200000004</v>
      </c>
      <c r="M17" s="182">
        <v>5.26207622</v>
      </c>
      <c r="N17" s="183"/>
      <c r="O17" s="183"/>
      <c r="Q17" s="185">
        <v>77653.061199999996</v>
      </c>
      <c r="R17" s="185">
        <v>27.887911200000001</v>
      </c>
      <c r="S17" s="1">
        <f t="shared" si="4"/>
        <v>-6.4535098775703927</v>
      </c>
      <c r="T17" s="1">
        <f t="shared" si="5"/>
        <v>0.49823144279455173</v>
      </c>
    </row>
    <row r="18" spans="1:20" ht="17" thickBot="1">
      <c r="A18" s="185">
        <v>0.95714285700000001</v>
      </c>
      <c r="B18" s="185">
        <v>17091.963</v>
      </c>
      <c r="C18" s="185">
        <f t="shared" si="0"/>
        <v>-3.0841869724213327</v>
      </c>
      <c r="D18" s="185">
        <f t="shared" si="1"/>
        <v>-28.499214897909734</v>
      </c>
      <c r="F18" s="185">
        <v>0.95306122400000004</v>
      </c>
      <c r="G18" s="185">
        <v>5.26268987</v>
      </c>
      <c r="H18" s="186">
        <f t="shared" si="2"/>
        <v>-4.8268145383750998</v>
      </c>
      <c r="I18" s="186">
        <f t="shared" si="3"/>
        <v>-17.900783156461994</v>
      </c>
      <c r="J18" s="183"/>
      <c r="L18" s="182">
        <v>0.95306122400000004</v>
      </c>
      <c r="M18" s="182">
        <v>5.26268987</v>
      </c>
      <c r="N18" s="183"/>
      <c r="O18" s="183"/>
      <c r="Q18" s="185">
        <v>77857.142900000006</v>
      </c>
      <c r="R18" s="185">
        <v>27.8529008</v>
      </c>
      <c r="S18" s="1">
        <f t="shared" si="4"/>
        <v>-6.2076583111517909</v>
      </c>
      <c r="T18" s="1">
        <f t="shared" si="5"/>
        <v>0.37206626474045268</v>
      </c>
    </row>
    <row r="19" spans="1:20" ht="17" thickBot="1">
      <c r="A19" s="185">
        <v>0.96122448999999999</v>
      </c>
      <c r="B19" s="185">
        <v>17446.201799999999</v>
      </c>
      <c r="C19" s="185">
        <f t="shared" si="0"/>
        <v>-2.6708998880721335</v>
      </c>
      <c r="D19" s="185">
        <f t="shared" si="1"/>
        <v>-27.017328217390812</v>
      </c>
      <c r="F19" s="185">
        <v>0.95714285700000001</v>
      </c>
      <c r="G19" s="185">
        <v>113.892731</v>
      </c>
      <c r="H19" s="186">
        <f t="shared" si="2"/>
        <v>-4.4192205615003406</v>
      </c>
      <c r="I19" s="186">
        <f t="shared" si="3"/>
        <v>1676.753760956798</v>
      </c>
      <c r="J19" s="183"/>
      <c r="L19" s="182">
        <v>0.95714285700000001</v>
      </c>
      <c r="M19" s="182">
        <v>113.892731</v>
      </c>
      <c r="N19" s="183"/>
      <c r="O19" s="183"/>
      <c r="Q19" s="185">
        <v>78061.224499999997</v>
      </c>
      <c r="R19" s="185">
        <v>27.85857</v>
      </c>
      <c r="S19" s="1">
        <f t="shared" si="4"/>
        <v>-5.9618068652004395</v>
      </c>
      <c r="T19" s="1">
        <f t="shared" si="5"/>
        <v>0.39249606923923752</v>
      </c>
    </row>
    <row r="20" spans="1:20" ht="17" thickBot="1">
      <c r="A20" s="185">
        <v>0.96530612199999999</v>
      </c>
      <c r="B20" s="185">
        <v>19370.601699999999</v>
      </c>
      <c r="C20" s="185">
        <f t="shared" si="0"/>
        <v>-2.2576129049782585</v>
      </c>
      <c r="D20" s="185">
        <f t="shared" si="1"/>
        <v>-18.966988785905734</v>
      </c>
      <c r="F20" s="185">
        <v>0.96122448999999999</v>
      </c>
      <c r="G20" s="185">
        <v>15.102525699999999</v>
      </c>
      <c r="H20" s="186">
        <f t="shared" si="2"/>
        <v>-4.0116265846255814</v>
      </c>
      <c r="I20" s="186">
        <f t="shared" si="3"/>
        <v>135.60300206886512</v>
      </c>
      <c r="J20" s="183"/>
      <c r="L20" s="182">
        <v>0.96122448999999999</v>
      </c>
      <c r="M20" s="182">
        <v>15.102525699999999</v>
      </c>
      <c r="N20" s="183"/>
      <c r="O20" s="183"/>
      <c r="Q20" s="185">
        <v>78265.306100000002</v>
      </c>
      <c r="R20" s="185">
        <v>27.838506599999999</v>
      </c>
      <c r="S20" s="1">
        <f t="shared" si="4"/>
        <v>-5.715955419249072</v>
      </c>
      <c r="T20" s="1">
        <f t="shared" si="5"/>
        <v>0.32019462642879443</v>
      </c>
    </row>
    <row r="21" spans="1:20" ht="17" thickBot="1">
      <c r="A21" s="185">
        <v>0.96938775499999996</v>
      </c>
      <c r="B21" s="185">
        <v>20240.065999999999</v>
      </c>
      <c r="C21" s="185">
        <f t="shared" si="0"/>
        <v>-1.8443258206290594</v>
      </c>
      <c r="D21" s="185">
        <f t="shared" si="1"/>
        <v>-15.329759986133624</v>
      </c>
      <c r="F21" s="185">
        <v>0.96530612199999999</v>
      </c>
      <c r="G21" s="185">
        <v>6.8595743899999997</v>
      </c>
      <c r="H21" s="186">
        <f t="shared" si="2"/>
        <v>-3.604032707611335</v>
      </c>
      <c r="I21" s="186">
        <f t="shared" si="3"/>
        <v>7.010996127535428</v>
      </c>
      <c r="J21" s="183"/>
      <c r="L21" s="182">
        <v>0.96530612199999999</v>
      </c>
      <c r="M21" s="182">
        <v>6.8595743899999997</v>
      </c>
      <c r="N21" s="183"/>
      <c r="O21" s="183"/>
      <c r="Q21" s="185">
        <v>78469.387799999997</v>
      </c>
      <c r="R21" s="185">
        <v>27.832195500000001</v>
      </c>
      <c r="S21" s="1">
        <f t="shared" si="4"/>
        <v>-5.4701038528304871</v>
      </c>
      <c r="T21" s="1">
        <f t="shared" si="5"/>
        <v>0.29745163991001927</v>
      </c>
    </row>
    <row r="22" spans="1:20" ht="17" thickBot="1">
      <c r="A22" s="185">
        <v>0.97346938800000005</v>
      </c>
      <c r="B22" s="185">
        <v>20254.446499999998</v>
      </c>
      <c r="C22" s="185">
        <f t="shared" si="0"/>
        <v>-1.4310387362798489</v>
      </c>
      <c r="D22" s="185">
        <f t="shared" si="1"/>
        <v>-15.269602060437167</v>
      </c>
      <c r="F22" s="185">
        <v>0.96938775499999996</v>
      </c>
      <c r="G22" s="185">
        <v>17.339859400000002</v>
      </c>
      <c r="H22" s="186">
        <f t="shared" si="2"/>
        <v>-3.1964387307365754</v>
      </c>
      <c r="I22" s="186">
        <f t="shared" si="3"/>
        <v>170.50594127391759</v>
      </c>
      <c r="J22" s="183"/>
      <c r="L22" s="182">
        <v>0.96938775499999996</v>
      </c>
      <c r="M22" s="182">
        <v>17.339859400000002</v>
      </c>
      <c r="N22" s="183"/>
      <c r="O22" s="183"/>
      <c r="Q22" s="185">
        <v>78673.469400000002</v>
      </c>
      <c r="R22" s="185">
        <v>27.839767299999998</v>
      </c>
      <c r="S22" s="1">
        <f t="shared" si="4"/>
        <v>-5.2242524068791196</v>
      </c>
      <c r="T22" s="1">
        <f t="shared" si="5"/>
        <v>0.32473774618671614</v>
      </c>
    </row>
    <row r="23" spans="1:20" ht="17" thickBot="1">
      <c r="A23" s="185">
        <v>0.97755102000000005</v>
      </c>
      <c r="B23" s="185">
        <v>22363.058099999998</v>
      </c>
      <c r="C23" s="185">
        <f t="shared" si="0"/>
        <v>-1.0177517531859741</v>
      </c>
      <c r="D23" s="185">
        <f t="shared" si="1"/>
        <v>-6.4486500799434872</v>
      </c>
      <c r="F23" s="185">
        <v>0.97346938800000005</v>
      </c>
      <c r="G23" s="185">
        <v>11.148384500000001</v>
      </c>
      <c r="H23" s="186">
        <f t="shared" si="2"/>
        <v>-2.7888447538618051</v>
      </c>
      <c r="I23" s="186">
        <f t="shared" si="3"/>
        <v>73.917456496564967</v>
      </c>
      <c r="J23" s="183"/>
      <c r="L23" s="182">
        <v>0.97346938800000005</v>
      </c>
      <c r="M23" s="182">
        <v>11.148384500000001</v>
      </c>
      <c r="N23" s="183"/>
      <c r="O23" s="183"/>
      <c r="Q23" s="185">
        <v>78877.551000000007</v>
      </c>
      <c r="R23" s="185">
        <v>27.8419834</v>
      </c>
      <c r="S23" s="1">
        <f t="shared" si="4"/>
        <v>-4.9784009609277504</v>
      </c>
      <c r="T23" s="1">
        <f t="shared" si="5"/>
        <v>0.33272379179276212</v>
      </c>
    </row>
    <row r="24" spans="1:20" ht="17" thickBot="1">
      <c r="A24" s="185">
        <v>0.98163265300000002</v>
      </c>
      <c r="B24" s="185">
        <v>22391.514500000001</v>
      </c>
      <c r="C24" s="185">
        <f t="shared" si="0"/>
        <v>-0.60446466883677497</v>
      </c>
      <c r="D24" s="185">
        <f t="shared" si="1"/>
        <v>-6.3296084613079131</v>
      </c>
      <c r="F24" s="185">
        <v>0.97755102000000005</v>
      </c>
      <c r="G24" s="185">
        <v>2.4739484200000001</v>
      </c>
      <c r="H24" s="186">
        <f t="shared" si="2"/>
        <v>-2.3812508768475587</v>
      </c>
      <c r="I24" s="186">
        <f t="shared" si="3"/>
        <v>-61.405814742925699</v>
      </c>
      <c r="J24" s="183"/>
      <c r="L24" s="182">
        <v>0.97755102000000005</v>
      </c>
      <c r="M24" s="182">
        <v>2.4739484200000001</v>
      </c>
      <c r="N24" s="183"/>
      <c r="O24" s="183"/>
      <c r="Q24" s="185">
        <v>79081.632700000002</v>
      </c>
      <c r="R24" s="185">
        <v>27.825158900000002</v>
      </c>
      <c r="S24" s="1">
        <f t="shared" si="4"/>
        <v>-4.7325493945091672</v>
      </c>
      <c r="T24" s="1">
        <f t="shared" si="5"/>
        <v>0.27209420635040954</v>
      </c>
    </row>
    <row r="25" spans="1:20" ht="17" thickBot="1">
      <c r="A25" s="185">
        <v>0.985714286</v>
      </c>
      <c r="B25" s="185">
        <v>23890.6</v>
      </c>
      <c r="C25" s="185">
        <f t="shared" si="0"/>
        <v>-0.19117758448757585</v>
      </c>
      <c r="D25" s="185">
        <f t="shared" si="1"/>
        <v>-5.8486169201422057E-2</v>
      </c>
      <c r="F25" s="185">
        <v>0.98163265300000002</v>
      </c>
      <c r="G25" s="185">
        <v>4.3546809199999998</v>
      </c>
      <c r="H25" s="186">
        <f t="shared" si="2"/>
        <v>-1.973656899972799</v>
      </c>
      <c r="I25" s="186">
        <f t="shared" si="3"/>
        <v>-32.065939288286891</v>
      </c>
      <c r="J25" s="183"/>
      <c r="L25" s="182">
        <v>0.98163265300000002</v>
      </c>
      <c r="M25" s="182">
        <v>4.3546809199999998</v>
      </c>
      <c r="N25" s="183"/>
      <c r="O25" s="183"/>
      <c r="Q25" s="185">
        <v>79285.714300000007</v>
      </c>
      <c r="R25" s="185">
        <v>27.821833300000002</v>
      </c>
      <c r="S25" s="1">
        <f t="shared" si="4"/>
        <v>-4.486697948557798</v>
      </c>
      <c r="T25" s="1">
        <f t="shared" si="5"/>
        <v>0.26010991265091676</v>
      </c>
    </row>
    <row r="26" spans="1:20" ht="17" thickBot="1">
      <c r="A26" s="185">
        <v>0.989795918</v>
      </c>
      <c r="B26" s="185">
        <v>23920.823799999998</v>
      </c>
      <c r="C26" s="185">
        <f t="shared" si="0"/>
        <v>0.22210939860629908</v>
      </c>
      <c r="D26" s="185">
        <f t="shared" si="1"/>
        <v>6.794901140179703E-2</v>
      </c>
      <c r="F26" s="185">
        <v>0.985714286</v>
      </c>
      <c r="G26" s="185">
        <v>19.896885699999999</v>
      </c>
      <c r="H26" s="186">
        <f t="shared" si="2"/>
        <v>-1.5660629230980396</v>
      </c>
      <c r="I26" s="186">
        <f t="shared" si="3"/>
        <v>210.39616126864615</v>
      </c>
      <c r="J26" s="183"/>
      <c r="L26" s="182">
        <v>0.985714286</v>
      </c>
      <c r="M26" s="182">
        <v>19.896885699999999</v>
      </c>
      <c r="N26" s="183"/>
      <c r="O26" s="183"/>
      <c r="Q26" s="185">
        <v>79489.795899999997</v>
      </c>
      <c r="R26" s="185">
        <v>27.821602899999998</v>
      </c>
      <c r="S26" s="1">
        <f t="shared" si="4"/>
        <v>-4.2408465026064475</v>
      </c>
      <c r="T26" s="1">
        <f t="shared" si="5"/>
        <v>0.25927963201933157</v>
      </c>
    </row>
    <row r="27" spans="1:20" ht="17" thickBot="1">
      <c r="A27" s="185">
        <v>0.99387755099999997</v>
      </c>
      <c r="B27" s="185">
        <v>25248.242699999999</v>
      </c>
      <c r="C27" s="185">
        <f t="shared" si="0"/>
        <v>0.63539648295549822</v>
      </c>
      <c r="D27" s="185">
        <f t="shared" si="1"/>
        <v>5.6209386539228516</v>
      </c>
      <c r="F27" s="185">
        <v>0.989795918</v>
      </c>
      <c r="G27" s="185">
        <v>13.2612174</v>
      </c>
      <c r="H27" s="186">
        <f t="shared" si="2"/>
        <v>-1.1584690460837934</v>
      </c>
      <c r="I27" s="186">
        <f t="shared" si="3"/>
        <v>106.8781535348005</v>
      </c>
      <c r="J27" s="183"/>
      <c r="L27" s="182">
        <v>0.989795918</v>
      </c>
      <c r="M27" s="182">
        <v>13.2612174</v>
      </c>
      <c r="N27" s="183"/>
      <c r="O27" s="183"/>
      <c r="Q27" s="185">
        <v>79693.877600000007</v>
      </c>
      <c r="R27" s="185">
        <v>27.817422799999999</v>
      </c>
      <c r="S27" s="1">
        <f t="shared" si="4"/>
        <v>-3.9949949361878456</v>
      </c>
      <c r="T27" s="1">
        <f t="shared" si="5"/>
        <v>0.24421602061289716</v>
      </c>
    </row>
    <row r="28" spans="1:20" ht="17" thickBot="1">
      <c r="A28" s="185">
        <v>0.99795918400000005</v>
      </c>
      <c r="B28" s="185">
        <v>25842.027900000001</v>
      </c>
      <c r="C28" s="185">
        <f t="shared" si="0"/>
        <v>1.0486835673047086</v>
      </c>
      <c r="D28" s="185">
        <f t="shared" si="1"/>
        <v>8.1049194571811931</v>
      </c>
      <c r="F28" s="185">
        <v>0.99387755099999997</v>
      </c>
      <c r="G28" s="185">
        <v>13.069634000000001</v>
      </c>
      <c r="H28" s="186">
        <f t="shared" si="2"/>
        <v>-0.75087506920903391</v>
      </c>
      <c r="I28" s="186">
        <f t="shared" si="3"/>
        <v>103.88940681235262</v>
      </c>
      <c r="J28" s="183"/>
      <c r="L28" s="182">
        <v>0.99387755099999997</v>
      </c>
      <c r="M28" s="182">
        <v>13.069634000000001</v>
      </c>
      <c r="N28" s="183"/>
      <c r="O28" s="183"/>
      <c r="Q28" s="185">
        <v>79897.959199999998</v>
      </c>
      <c r="R28" s="185">
        <v>27.817452400000001</v>
      </c>
      <c r="S28" s="1">
        <f t="shared" si="4"/>
        <v>-3.7491434902364942</v>
      </c>
      <c r="T28" s="1">
        <f t="shared" si="5"/>
        <v>0.24432268861070824</v>
      </c>
    </row>
    <row r="29" spans="1:20" ht="17" thickBot="1">
      <c r="A29" s="185">
        <v>1</v>
      </c>
      <c r="B29" s="185">
        <v>27749.653699999999</v>
      </c>
      <c r="C29" s="185">
        <f t="shared" si="0"/>
        <v>1.2553270588516403</v>
      </c>
      <c r="D29" s="185">
        <f t="shared" si="1"/>
        <v>16.085087819411022</v>
      </c>
      <c r="F29" s="185">
        <v>0.99795918400000005</v>
      </c>
      <c r="G29" s="185">
        <v>19.706085099999999</v>
      </c>
      <c r="H29" s="186">
        <f t="shared" si="2"/>
        <v>-0.3432810923342634</v>
      </c>
      <c r="I29" s="186">
        <f t="shared" si="3"/>
        <v>207.4196264128544</v>
      </c>
      <c r="J29" s="183"/>
      <c r="L29" s="182">
        <v>0.99795918400000005</v>
      </c>
      <c r="M29" s="182">
        <v>19.706085099999999</v>
      </c>
      <c r="N29" s="183"/>
      <c r="O29" s="183"/>
      <c r="Q29" s="185">
        <v>80102.040800000002</v>
      </c>
      <c r="R29" s="185">
        <v>27.822079200000001</v>
      </c>
      <c r="S29" s="1">
        <f t="shared" si="4"/>
        <v>-3.5032920442851263</v>
      </c>
      <c r="T29" s="1">
        <f t="shared" si="5"/>
        <v>0.26099604983539437</v>
      </c>
    </row>
    <row r="30" spans="1:20" ht="17" thickBot="1">
      <c r="A30" s="185">
        <v>1.0020408199999999</v>
      </c>
      <c r="B30" s="185">
        <v>28287.377400000001</v>
      </c>
      <c r="C30" s="185">
        <f t="shared" si="0"/>
        <v>1.4619709554198801</v>
      </c>
      <c r="D30" s="185">
        <f t="shared" si="1"/>
        <v>18.334546627507027</v>
      </c>
      <c r="F30" s="185">
        <v>1.0020408199999999</v>
      </c>
      <c r="G30" s="185">
        <v>3.9191870400000002</v>
      </c>
      <c r="H30" s="186">
        <f t="shared" si="2"/>
        <v>6.431318412203503E-2</v>
      </c>
      <c r="I30" s="186">
        <f t="shared" si="3"/>
        <v>-38.859747658407265</v>
      </c>
      <c r="J30" s="183"/>
      <c r="L30" s="182">
        <v>1.0020408199999999</v>
      </c>
      <c r="M30" s="182">
        <v>3.9191870400000002</v>
      </c>
      <c r="N30" s="183"/>
      <c r="O30" s="183"/>
      <c r="Q30" s="185">
        <v>80306.122399999993</v>
      </c>
      <c r="R30" s="185">
        <v>27.809027799999999</v>
      </c>
      <c r="S30" s="1">
        <f t="shared" si="4"/>
        <v>-3.2574405983337753</v>
      </c>
      <c r="T30" s="1">
        <f t="shared" si="5"/>
        <v>0.2139633908296284</v>
      </c>
    </row>
    <row r="31" spans="1:20" ht="17" thickBot="1">
      <c r="A31" s="185">
        <v>1.0061224499999999</v>
      </c>
      <c r="B31" s="185">
        <v>28588.408899999999</v>
      </c>
      <c r="C31" s="185">
        <f t="shared" si="0"/>
        <v>1.8752577360030955</v>
      </c>
      <c r="D31" s="185">
        <f t="shared" si="1"/>
        <v>19.593851283763286</v>
      </c>
      <c r="F31" s="185">
        <v>1.0061224499999999</v>
      </c>
      <c r="G31" s="185">
        <v>34.269008499999998</v>
      </c>
      <c r="H31" s="186">
        <f t="shared" si="2"/>
        <v>0.47190686141524429</v>
      </c>
      <c r="I31" s="186">
        <f t="shared" si="3"/>
        <v>434.60470393527999</v>
      </c>
      <c r="J31" s="183"/>
      <c r="L31" s="182">
        <v>1.0061224499999999</v>
      </c>
      <c r="M31" s="182">
        <v>34.269008499999998</v>
      </c>
      <c r="N31" s="183"/>
      <c r="O31" s="183"/>
      <c r="Q31" s="185">
        <v>80510.204100000003</v>
      </c>
      <c r="R31" s="185">
        <v>27.809958300000002</v>
      </c>
      <c r="S31" s="1">
        <f t="shared" si="4"/>
        <v>-3.0115890319151735</v>
      </c>
      <c r="T31" s="1">
        <f t="shared" si="5"/>
        <v>0.21731658582824781</v>
      </c>
    </row>
    <row r="32" spans="1:20" ht="17" thickBot="1">
      <c r="A32" s="185">
        <v>1.0102040800000001</v>
      </c>
      <c r="B32" s="185">
        <v>29794.469099999998</v>
      </c>
      <c r="C32" s="185">
        <f t="shared" si="0"/>
        <v>2.2885445165863332</v>
      </c>
      <c r="D32" s="185">
        <f t="shared" si="1"/>
        <v>24.639161244964583</v>
      </c>
      <c r="F32" s="185">
        <v>1.0102040800000001</v>
      </c>
      <c r="G32" s="185">
        <v>12.733863400000001</v>
      </c>
      <c r="H32" s="186">
        <f t="shared" si="2"/>
        <v>0.87950053870847567</v>
      </c>
      <c r="I32" s="186">
        <f t="shared" si="3"/>
        <v>98.651305388928833</v>
      </c>
      <c r="J32" s="183"/>
      <c r="L32" s="182">
        <v>1.0102040800000001</v>
      </c>
      <c r="M32" s="182">
        <v>12.733863400000001</v>
      </c>
      <c r="N32" s="183"/>
      <c r="O32" s="183"/>
      <c r="Q32" s="185">
        <v>80714.285699999993</v>
      </c>
      <c r="R32" s="185">
        <v>27.791971</v>
      </c>
      <c r="S32" s="1">
        <f t="shared" si="4"/>
        <v>-2.7657375859638229</v>
      </c>
      <c r="T32" s="1">
        <f t="shared" si="5"/>
        <v>0.15249667782340851</v>
      </c>
    </row>
    <row r="33" spans="1:20" ht="17" thickBot="1">
      <c r="A33" s="185">
        <v>1.01428571</v>
      </c>
      <c r="B33" s="185">
        <v>30422.6302</v>
      </c>
      <c r="C33" s="185">
        <f t="shared" si="0"/>
        <v>2.7018312971695484</v>
      </c>
      <c r="D33" s="185">
        <f t="shared" si="1"/>
        <v>27.266946702994925</v>
      </c>
      <c r="F33" s="185">
        <v>1.01428571</v>
      </c>
      <c r="G33" s="185">
        <v>5.0078167899999997</v>
      </c>
      <c r="H33" s="186">
        <f t="shared" si="2"/>
        <v>1.2870942160016849</v>
      </c>
      <c r="I33" s="186">
        <f t="shared" si="3"/>
        <v>-21.876863978131318</v>
      </c>
      <c r="J33" s="183"/>
      <c r="L33" s="182">
        <v>1.01428571</v>
      </c>
      <c r="M33" s="182">
        <v>5.0078167899999997</v>
      </c>
      <c r="N33" s="183"/>
      <c r="O33" s="183"/>
      <c r="Q33" s="185">
        <v>80918.367299999998</v>
      </c>
      <c r="R33" s="185">
        <v>27.7990295</v>
      </c>
      <c r="S33" s="1">
        <f t="shared" si="4"/>
        <v>-2.5198861400124546</v>
      </c>
      <c r="T33" s="1">
        <f t="shared" si="5"/>
        <v>0.17793303128680113</v>
      </c>
    </row>
    <row r="34" spans="1:20" ht="17" thickBot="1">
      <c r="A34" s="185">
        <v>1.0183673499999999</v>
      </c>
      <c r="B34" s="185">
        <v>31441.641500000002</v>
      </c>
      <c r="C34" s="185">
        <f t="shared" si="0"/>
        <v>3.115119090306028</v>
      </c>
      <c r="D34" s="185">
        <f t="shared" si="1"/>
        <v>31.529775260364364</v>
      </c>
      <c r="F34" s="185">
        <v>1.0183673499999999</v>
      </c>
      <c r="G34" s="185">
        <v>5.7989270499999996</v>
      </c>
      <c r="H34" s="186">
        <f t="shared" si="2"/>
        <v>1.6946888919000467</v>
      </c>
      <c r="I34" s="186">
        <f t="shared" si="3"/>
        <v>-9.5353552844245151</v>
      </c>
      <c r="J34" s="183"/>
      <c r="L34" s="182">
        <v>1.0183673499999999</v>
      </c>
      <c r="M34" s="182">
        <v>5.7989270499999996</v>
      </c>
      <c r="N34" s="183"/>
      <c r="O34" s="183"/>
      <c r="Q34" s="185">
        <v>81122.448999999993</v>
      </c>
      <c r="R34" s="185">
        <v>27.79203</v>
      </c>
      <c r="S34" s="1">
        <f t="shared" si="4"/>
        <v>-2.2740345735938705</v>
      </c>
      <c r="T34" s="1">
        <f t="shared" si="5"/>
        <v>0.15270929308930731</v>
      </c>
    </row>
    <row r="35" spans="1:20" ht="17" thickBot="1">
      <c r="A35" s="185">
        <v>1.0224489800000001</v>
      </c>
      <c r="B35" s="185">
        <v>32442.3609</v>
      </c>
      <c r="C35" s="185">
        <f t="shared" si="0"/>
        <v>3.5284058708892658</v>
      </c>
      <c r="D35" s="185">
        <f t="shared" si="1"/>
        <v>35.716083337844559</v>
      </c>
      <c r="F35" s="185">
        <v>1.0224489800000001</v>
      </c>
      <c r="G35" s="185">
        <v>5.5032411999999997</v>
      </c>
      <c r="H35" s="186">
        <f t="shared" si="2"/>
        <v>2.1022825691932781</v>
      </c>
      <c r="I35" s="186">
        <f t="shared" si="3"/>
        <v>-14.14812504976808</v>
      </c>
      <c r="J35" s="183"/>
      <c r="L35" s="182">
        <v>1.0224489800000001</v>
      </c>
      <c r="M35" s="182">
        <v>5.5032411999999997</v>
      </c>
      <c r="N35" s="183"/>
      <c r="O35" s="183"/>
      <c r="Q35" s="185">
        <v>81326.530599999998</v>
      </c>
      <c r="R35" s="185">
        <v>27.797158199999998</v>
      </c>
      <c r="S35" s="1">
        <f t="shared" si="4"/>
        <v>-2.0281831276425017</v>
      </c>
      <c r="T35" s="1">
        <f t="shared" si="5"/>
        <v>0.17118952370925886</v>
      </c>
    </row>
    <row r="36" spans="1:20" ht="17" thickBot="1">
      <c r="A36" s="185">
        <v>1.02653061</v>
      </c>
      <c r="B36" s="185">
        <v>33362.837399999997</v>
      </c>
      <c r="C36" s="185">
        <f t="shared" ref="C36:C54" si="6">(A36-$A$2)/$A$2*100</f>
        <v>3.9416926514724815</v>
      </c>
      <c r="D36" s="185">
        <f t="shared" ref="D36:D54" si="7">(B36-$C$2)/$C$2*100</f>
        <v>39.566711403095105</v>
      </c>
      <c r="F36" s="185">
        <v>1.02653061</v>
      </c>
      <c r="G36" s="185">
        <v>184.26351700000001</v>
      </c>
      <c r="H36" s="186">
        <f t="shared" ref="H36:H54" si="8">(F36-$F$2)/$F$2*100</f>
        <v>2.5098762464864874</v>
      </c>
      <c r="I36" s="186">
        <f t="shared" ref="I36:I54" si="9">(G36-$H$2)/$H$2*100</f>
        <v>2774.5548022452545</v>
      </c>
      <c r="J36" s="183"/>
      <c r="L36" s="182">
        <v>1.02653061</v>
      </c>
      <c r="M36" s="182">
        <v>184.26351700000001</v>
      </c>
      <c r="N36" s="183"/>
      <c r="O36" s="183"/>
      <c r="Q36" s="185">
        <v>81530.612200000003</v>
      </c>
      <c r="R36" s="185">
        <v>27.766621700000002</v>
      </c>
      <c r="S36" s="1">
        <f t="shared" ref="S36:S54" si="10">(Q36-$Q$2)/($Q$2)*100</f>
        <v>-1.7823316816911337</v>
      </c>
      <c r="T36" s="1">
        <f t="shared" ref="T36:T54" si="11">(R36-$S$2)/($S$2)*100</f>
        <v>6.1146709012812273E-2</v>
      </c>
    </row>
    <row r="37" spans="1:20" ht="17" thickBot="1">
      <c r="A37" s="185">
        <v>1.03061224</v>
      </c>
      <c r="B37" s="185">
        <v>33531.336600000002</v>
      </c>
      <c r="C37" s="185">
        <f t="shared" si="6"/>
        <v>4.3549794320556963</v>
      </c>
      <c r="D37" s="185">
        <f t="shared" si="7"/>
        <v>40.27159387265548</v>
      </c>
      <c r="F37" s="185">
        <v>1.03061224</v>
      </c>
      <c r="G37" s="185">
        <v>5.6464037300000003</v>
      </c>
      <c r="H37" s="186">
        <f t="shared" si="8"/>
        <v>2.9174699237796964</v>
      </c>
      <c r="I37" s="186">
        <f t="shared" si="9"/>
        <v>-11.914755445121479</v>
      </c>
      <c r="J37" s="183"/>
      <c r="L37" s="182">
        <v>1.03061224</v>
      </c>
      <c r="M37" s="182">
        <v>5.6464037300000003</v>
      </c>
      <c r="N37" s="183"/>
      <c r="O37" s="183"/>
      <c r="Q37" s="185">
        <v>81734.693899999998</v>
      </c>
      <c r="R37" s="185">
        <v>27.779403500000001</v>
      </c>
      <c r="S37" s="1">
        <f t="shared" si="10"/>
        <v>-1.5364801152725494</v>
      </c>
      <c r="T37" s="1">
        <f t="shared" si="11"/>
        <v>0.10720782436287181</v>
      </c>
    </row>
    <row r="38" spans="1:20" ht="17" thickBot="1">
      <c r="A38" s="185">
        <v>1.0346938800000001</v>
      </c>
      <c r="B38" s="185">
        <v>34807.497499999998</v>
      </c>
      <c r="C38" s="185">
        <f t="shared" si="6"/>
        <v>4.7682672251921989</v>
      </c>
      <c r="D38" s="185">
        <f t="shared" si="7"/>
        <v>45.610155994899124</v>
      </c>
      <c r="F38" s="185">
        <v>1.0346938800000001</v>
      </c>
      <c r="G38" s="185">
        <v>1.66542141</v>
      </c>
      <c r="H38" s="186">
        <f t="shared" si="8"/>
        <v>3.3250645996780808</v>
      </c>
      <c r="I38" s="186">
        <f t="shared" si="9"/>
        <v>-74.019028889600733</v>
      </c>
      <c r="J38" s="183"/>
      <c r="L38" s="182">
        <v>1.0346938800000001</v>
      </c>
      <c r="M38" s="182">
        <v>1.66542141</v>
      </c>
      <c r="N38" s="183"/>
      <c r="O38" s="183"/>
      <c r="Q38" s="185">
        <v>81938.775500000003</v>
      </c>
      <c r="R38" s="185">
        <v>27.779272500000001</v>
      </c>
      <c r="S38" s="1">
        <f t="shared" si="10"/>
        <v>-1.290628669321181</v>
      </c>
      <c r="T38" s="1">
        <f t="shared" si="11"/>
        <v>0.10673574639960821</v>
      </c>
    </row>
    <row r="39" spans="1:20" ht="17" thickBot="1">
      <c r="A39" s="185">
        <v>1.03877551</v>
      </c>
      <c r="B39" s="185">
        <v>36837.741999999998</v>
      </c>
      <c r="C39" s="185">
        <f t="shared" si="6"/>
        <v>5.1815540057754141</v>
      </c>
      <c r="D39" s="185">
        <f t="shared" si="7"/>
        <v>54.103274994700413</v>
      </c>
      <c r="F39" s="185">
        <v>1.03877551</v>
      </c>
      <c r="G39" s="185">
        <v>1.6691712400000001</v>
      </c>
      <c r="H39" s="186">
        <f t="shared" si="8"/>
        <v>3.7326582769712893</v>
      </c>
      <c r="I39" s="186">
        <f t="shared" si="9"/>
        <v>-73.960530647465788</v>
      </c>
      <c r="J39" s="183"/>
      <c r="L39" s="182">
        <v>1.03877551</v>
      </c>
      <c r="M39" s="182">
        <v>1.6691712400000001</v>
      </c>
      <c r="N39" s="183"/>
      <c r="O39" s="183"/>
      <c r="Q39" s="185">
        <v>82142.857099999994</v>
      </c>
      <c r="R39" s="185">
        <v>27.780143299999999</v>
      </c>
      <c r="S39" s="1">
        <f t="shared" si="10"/>
        <v>-1.04477722336983</v>
      </c>
      <c r="T39" s="1">
        <f t="shared" si="11"/>
        <v>0.10987380357830999</v>
      </c>
    </row>
    <row r="40" spans="1:20" ht="17" thickBot="1">
      <c r="A40" s="185">
        <v>1.04285714</v>
      </c>
      <c r="B40" s="185">
        <v>39227.985699999997</v>
      </c>
      <c r="C40" s="185">
        <f t="shared" si="6"/>
        <v>5.5948407863586294</v>
      </c>
      <c r="D40" s="185">
        <f t="shared" si="7"/>
        <v>64.102378148347839</v>
      </c>
      <c r="F40" s="185">
        <v>1.04285714</v>
      </c>
      <c r="G40" s="185">
        <v>0.89441693700000002</v>
      </c>
      <c r="H40" s="186">
        <f t="shared" si="8"/>
        <v>4.1402519542644987</v>
      </c>
      <c r="I40" s="186">
        <f t="shared" si="9"/>
        <v>-86.046882511947047</v>
      </c>
      <c r="J40" s="183"/>
      <c r="L40" s="182">
        <v>1.04285714</v>
      </c>
      <c r="M40" s="182">
        <v>0.89441693700000002</v>
      </c>
      <c r="N40" s="183"/>
      <c r="O40" s="183"/>
      <c r="Q40" s="185">
        <v>82346.938800000004</v>
      </c>
      <c r="R40" s="185">
        <v>27.7626709</v>
      </c>
      <c r="S40" s="1">
        <f t="shared" si="10"/>
        <v>-0.7989256569512283</v>
      </c>
      <c r="T40" s="1">
        <f t="shared" si="11"/>
        <v>4.6909414224510386E-2</v>
      </c>
    </row>
    <row r="41" spans="1:20" ht="17" thickBot="1">
      <c r="A41" s="185">
        <v>1.0469387800000001</v>
      </c>
      <c r="B41" s="185">
        <v>40953.730600000003</v>
      </c>
      <c r="C41" s="185">
        <f t="shared" si="6"/>
        <v>6.008128579495132</v>
      </c>
      <c r="D41" s="185">
        <f t="shared" si="7"/>
        <v>71.321684393975019</v>
      </c>
      <c r="F41" s="185">
        <v>1.0469387800000001</v>
      </c>
      <c r="G41" s="185">
        <v>1.55837614</v>
      </c>
      <c r="H41" s="186">
        <f t="shared" si="8"/>
        <v>4.5478466301628826</v>
      </c>
      <c r="I41" s="186">
        <f t="shared" si="9"/>
        <v>-75.688960626202402</v>
      </c>
      <c r="J41" s="183"/>
      <c r="L41" s="182">
        <v>1.0469387800000001</v>
      </c>
      <c r="M41" s="182">
        <v>1.55837614</v>
      </c>
      <c r="N41" s="183"/>
      <c r="O41" s="183"/>
      <c r="Q41" s="185">
        <v>82551.020399999994</v>
      </c>
      <c r="R41" s="185">
        <v>27.770488799999999</v>
      </c>
      <c r="S41" s="1">
        <f t="shared" si="10"/>
        <v>-0.55307421099987752</v>
      </c>
      <c r="T41" s="1">
        <f t="shared" si="11"/>
        <v>7.5082378415408227E-2</v>
      </c>
    </row>
    <row r="42" spans="1:20" ht="17" thickBot="1">
      <c r="A42" s="185">
        <v>1.05102041</v>
      </c>
      <c r="B42" s="185">
        <v>41852.1855</v>
      </c>
      <c r="C42" s="185">
        <f t="shared" si="6"/>
        <v>6.4214153600783472</v>
      </c>
      <c r="D42" s="185">
        <f t="shared" si="7"/>
        <v>75.080189530501457</v>
      </c>
      <c r="F42" s="185">
        <v>1.05102041</v>
      </c>
      <c r="G42" s="185">
        <v>11.8250394</v>
      </c>
      <c r="H42" s="186">
        <f t="shared" si="8"/>
        <v>4.955440307456092</v>
      </c>
      <c r="I42" s="186">
        <f t="shared" si="9"/>
        <v>84.473434282757864</v>
      </c>
      <c r="J42" s="183"/>
      <c r="L42" s="182">
        <v>1.05102041</v>
      </c>
      <c r="M42" s="182">
        <v>11.8250394</v>
      </c>
      <c r="N42" s="183"/>
      <c r="O42" s="183"/>
      <c r="Q42" s="185">
        <v>82755.101999999999</v>
      </c>
      <c r="R42" s="185">
        <v>27.763318099999999</v>
      </c>
      <c r="S42" s="1">
        <f t="shared" si="10"/>
        <v>-0.30722276504850921</v>
      </c>
      <c r="T42" s="1">
        <f t="shared" si="11"/>
        <v>4.9241695581951316E-2</v>
      </c>
    </row>
    <row r="43" spans="1:20" ht="17" thickBot="1">
      <c r="A43" s="185">
        <v>1.05510204</v>
      </c>
      <c r="B43" s="185">
        <v>47595.325599999996</v>
      </c>
      <c r="C43" s="185">
        <f t="shared" si="6"/>
        <v>6.8347021406615625</v>
      </c>
      <c r="D43" s="185">
        <f t="shared" si="7"/>
        <v>99.105459541985624</v>
      </c>
      <c r="F43" s="185">
        <v>1.05510204</v>
      </c>
      <c r="G43" s="185">
        <v>20.3664667</v>
      </c>
      <c r="H43" s="186">
        <f t="shared" si="8"/>
        <v>5.3630339847493014</v>
      </c>
      <c r="I43" s="186">
        <f t="shared" si="9"/>
        <v>217.72173683873112</v>
      </c>
      <c r="J43" s="183"/>
      <c r="L43" s="182">
        <v>1.05510204</v>
      </c>
      <c r="M43" s="182">
        <v>20.3664667</v>
      </c>
      <c r="N43" s="183"/>
      <c r="O43" s="183"/>
      <c r="Q43" s="185">
        <v>82959.183699999994</v>
      </c>
      <c r="R43" s="185">
        <v>27.744747799999999</v>
      </c>
      <c r="S43" s="1">
        <f t="shared" si="10"/>
        <v>-6.1371198629924892E-2</v>
      </c>
      <c r="T43" s="1">
        <f t="shared" si="11"/>
        <v>-1.7679139541841145E-2</v>
      </c>
    </row>
    <row r="44" spans="1:20" ht="17" thickBot="1">
      <c r="A44" s="185">
        <v>1.0591836699999999</v>
      </c>
      <c r="B44" s="185">
        <v>48100.156300000002</v>
      </c>
      <c r="C44" s="185">
        <f t="shared" si="6"/>
        <v>7.2479889212447777</v>
      </c>
      <c r="D44" s="185">
        <f t="shared" si="7"/>
        <v>101.21731710882204</v>
      </c>
      <c r="F44" s="185">
        <v>1.0591836699999999</v>
      </c>
      <c r="G44" s="185">
        <v>0.75380888099999999</v>
      </c>
      <c r="H44" s="186">
        <f t="shared" si="8"/>
        <v>5.7706276620425099</v>
      </c>
      <c r="I44" s="186">
        <f t="shared" si="9"/>
        <v>-88.240401713087508</v>
      </c>
      <c r="J44" s="183"/>
      <c r="L44" s="182">
        <v>1.0591836699999999</v>
      </c>
      <c r="M44" s="182">
        <v>0.75380888099999999</v>
      </c>
      <c r="N44" s="183"/>
      <c r="O44" s="183"/>
      <c r="Q44" s="185">
        <v>83010.127999999997</v>
      </c>
      <c r="R44" s="185">
        <v>27.7496537</v>
      </c>
      <c r="S44" s="1">
        <f t="shared" si="10"/>
        <v>-1.2702429782086363E-8</v>
      </c>
      <c r="T44" s="1">
        <f t="shared" si="11"/>
        <v>0</v>
      </c>
    </row>
    <row r="45" spans="1:20" ht="17" thickBot="1">
      <c r="A45" s="185">
        <v>1.06326531</v>
      </c>
      <c r="B45" s="185">
        <v>53667.250999999997</v>
      </c>
      <c r="C45" s="185">
        <f t="shared" si="6"/>
        <v>7.6612767143812794</v>
      </c>
      <c r="D45" s="185">
        <f t="shared" si="7"/>
        <v>124.50613664275652</v>
      </c>
      <c r="F45" s="185">
        <v>1.06326531</v>
      </c>
      <c r="G45" s="185">
        <v>0.25171647200000002</v>
      </c>
      <c r="H45" s="186">
        <f t="shared" si="8"/>
        <v>6.1782223379408938</v>
      </c>
      <c r="I45" s="186">
        <f t="shared" si="9"/>
        <v>-96.073163015813748</v>
      </c>
      <c r="J45" s="183"/>
      <c r="L45" s="182">
        <v>1.06326531</v>
      </c>
      <c r="M45" s="182">
        <v>0.25171647200000002</v>
      </c>
      <c r="N45" s="183"/>
      <c r="O45" s="183"/>
      <c r="Q45" s="185">
        <v>83163.265299999999</v>
      </c>
      <c r="R45" s="185">
        <v>27.7363286</v>
      </c>
      <c r="S45" s="1">
        <f t="shared" si="10"/>
        <v>0.18448024732144344</v>
      </c>
      <c r="T45" s="1">
        <f t="shared" si="11"/>
        <v>-4.8018977620608735E-2</v>
      </c>
    </row>
    <row r="46" spans="1:20" ht="17" thickBot="1">
      <c r="A46" s="185">
        <v>1.06734694</v>
      </c>
      <c r="B46" s="185">
        <v>55142.767999999996</v>
      </c>
      <c r="C46" s="185">
        <f t="shared" si="6"/>
        <v>8.0745634949644938</v>
      </c>
      <c r="D46" s="185">
        <f t="shared" si="7"/>
        <v>130.6786648615153</v>
      </c>
      <c r="F46" s="185">
        <v>1.06734694</v>
      </c>
      <c r="G46" s="185">
        <v>0.124012181</v>
      </c>
      <c r="H46" s="186">
        <f t="shared" si="8"/>
        <v>6.5858160152341032</v>
      </c>
      <c r="I46" s="186">
        <f t="shared" si="9"/>
        <v>-98.065380406092757</v>
      </c>
      <c r="J46" s="183"/>
      <c r="L46" s="182">
        <v>1.06734694</v>
      </c>
      <c r="M46" s="182">
        <v>0.124012181</v>
      </c>
      <c r="N46" s="183"/>
      <c r="O46" s="183"/>
      <c r="Q46" s="185">
        <v>83367.346900000004</v>
      </c>
      <c r="R46" s="185">
        <v>27.7426016</v>
      </c>
      <c r="S46" s="1">
        <f t="shared" si="10"/>
        <v>0.43033169327281173</v>
      </c>
      <c r="T46" s="1">
        <f t="shared" si="11"/>
        <v>-2.5413290112514912E-2</v>
      </c>
    </row>
    <row r="47" spans="1:20" ht="17" thickBot="1">
      <c r="A47" s="185">
        <v>1.0714285699999999</v>
      </c>
      <c r="B47" s="185">
        <v>56335.6777</v>
      </c>
      <c r="C47" s="185">
        <f t="shared" si="6"/>
        <v>8.4878502755477108</v>
      </c>
      <c r="D47" s="185">
        <f t="shared" si="7"/>
        <v>135.66896235431346</v>
      </c>
      <c r="F47" s="185">
        <v>1.0714285699999999</v>
      </c>
      <c r="G47" s="185">
        <v>8.9585948999999998E-2</v>
      </c>
      <c r="H47" s="186">
        <f t="shared" si="8"/>
        <v>6.9934096925273126</v>
      </c>
      <c r="I47" s="186">
        <f t="shared" si="9"/>
        <v>-98.602437834117495</v>
      </c>
      <c r="J47" s="183"/>
      <c r="L47" s="182">
        <v>1.0714285699999999</v>
      </c>
      <c r="M47" s="182">
        <v>8.9585948999999998E-2</v>
      </c>
      <c r="N47" s="183"/>
      <c r="O47" s="183"/>
      <c r="Q47" s="185">
        <v>83571.428599999999</v>
      </c>
      <c r="R47" s="185">
        <v>27.757653000000001</v>
      </c>
      <c r="S47" s="1">
        <f t="shared" si="10"/>
        <v>0.67618325969139603</v>
      </c>
      <c r="T47" s="1">
        <f t="shared" si="11"/>
        <v>2.8826666042328291E-2</v>
      </c>
    </row>
    <row r="48" spans="1:20" ht="17" thickBot="1">
      <c r="A48" s="185">
        <v>1.0755102000000001</v>
      </c>
      <c r="B48" s="185">
        <v>64008.688699999999</v>
      </c>
      <c r="C48" s="185">
        <f t="shared" si="6"/>
        <v>8.9011370561309473</v>
      </c>
      <c r="D48" s="185">
        <f t="shared" si="7"/>
        <v>167.76745862399147</v>
      </c>
      <c r="F48" s="185">
        <v>1.0755102000000001</v>
      </c>
      <c r="G48" s="185">
        <v>82.437513899999999</v>
      </c>
      <c r="H48" s="186">
        <f t="shared" si="8"/>
        <v>7.4010033698205442</v>
      </c>
      <c r="I48" s="186">
        <f t="shared" si="9"/>
        <v>1186.0448738010621</v>
      </c>
      <c r="J48" s="183"/>
      <c r="L48" s="182">
        <v>1.0755102000000001</v>
      </c>
      <c r="M48" s="182">
        <v>82.437513899999999</v>
      </c>
      <c r="N48" s="183"/>
      <c r="O48" s="183"/>
      <c r="Q48" s="185">
        <v>83775.510200000004</v>
      </c>
      <c r="R48" s="185">
        <v>27.7375471</v>
      </c>
      <c r="S48" s="1">
        <f t="shared" si="10"/>
        <v>0.92203470564276446</v>
      </c>
      <c r="T48" s="1">
        <f t="shared" si="11"/>
        <v>-4.3627931832530185E-2</v>
      </c>
    </row>
    <row r="49" spans="1:20" ht="17" thickBot="1">
      <c r="A49" s="185">
        <v>1.07959184</v>
      </c>
      <c r="B49" s="185">
        <v>74285.065400000007</v>
      </c>
      <c r="C49" s="185">
        <f t="shared" si="6"/>
        <v>9.3144248492674269</v>
      </c>
      <c r="D49" s="185">
        <f t="shared" si="7"/>
        <v>210.75661101420133</v>
      </c>
      <c r="F49" s="185">
        <v>1.07959184</v>
      </c>
      <c r="G49" s="185">
        <v>79.847514099999998</v>
      </c>
      <c r="H49" s="186">
        <f t="shared" si="8"/>
        <v>7.808598045718905</v>
      </c>
      <c r="I49" s="186">
        <f t="shared" si="9"/>
        <v>1145.6402593439082</v>
      </c>
      <c r="J49" s="183"/>
      <c r="L49" s="182">
        <v>1.07959184</v>
      </c>
      <c r="M49" s="182">
        <v>79.847514099999998</v>
      </c>
      <c r="N49" s="183"/>
      <c r="O49" s="183"/>
      <c r="Q49" s="185">
        <v>83979.591799999995</v>
      </c>
      <c r="R49" s="185">
        <v>27.750340300000001</v>
      </c>
      <c r="S49" s="1">
        <f t="shared" si="10"/>
        <v>1.1678861515941152</v>
      </c>
      <c r="T49" s="1">
        <f t="shared" si="11"/>
        <v>2.474265111285504E-3</v>
      </c>
    </row>
    <row r="50" spans="1:20" ht="17" thickBot="1">
      <c r="A50" s="185">
        <v>1.0836734699999999</v>
      </c>
      <c r="B50" s="185">
        <v>84519.582899999994</v>
      </c>
      <c r="C50" s="185">
        <f t="shared" si="6"/>
        <v>9.7277116298506421</v>
      </c>
      <c r="D50" s="185">
        <f t="shared" si="7"/>
        <v>253.57065387113244</v>
      </c>
      <c r="F50" s="185">
        <v>1.0836734699999999</v>
      </c>
      <c r="G50" s="185">
        <v>79.6955186</v>
      </c>
      <c r="H50" s="186">
        <f t="shared" si="8"/>
        <v>8.2161917230121144</v>
      </c>
      <c r="I50" s="186">
        <f t="shared" si="9"/>
        <v>1143.2690933010683</v>
      </c>
      <c r="J50" s="183"/>
      <c r="L50" s="182">
        <v>1.0836734699999999</v>
      </c>
      <c r="M50" s="182">
        <v>79.6955186</v>
      </c>
      <c r="N50" s="183"/>
      <c r="O50" s="183"/>
      <c r="Q50" s="185">
        <v>84183.673500000004</v>
      </c>
      <c r="R50" s="185">
        <v>27.734193000000001</v>
      </c>
      <c r="S50" s="1">
        <f t="shared" si="10"/>
        <v>1.4137377180127171</v>
      </c>
      <c r="T50" s="1">
        <f t="shared" si="11"/>
        <v>-5.5714929516394077E-2</v>
      </c>
    </row>
    <row r="51" spans="1:20" ht="17" thickBot="1">
      <c r="A51" s="185">
        <v>1.0877551000000001</v>
      </c>
      <c r="B51" s="185">
        <v>86038.005499999999</v>
      </c>
      <c r="C51" s="185">
        <f t="shared" si="6"/>
        <v>10.14099841043388</v>
      </c>
      <c r="D51" s="185">
        <f t="shared" si="7"/>
        <v>259.92266902683792</v>
      </c>
      <c r="F51" s="185">
        <v>1.0877551000000001</v>
      </c>
      <c r="G51" s="185">
        <v>79.561685800000006</v>
      </c>
      <c r="H51" s="186">
        <f t="shared" si="8"/>
        <v>8.623785400305346</v>
      </c>
      <c r="I51" s="186">
        <f t="shared" si="9"/>
        <v>1141.1812697090661</v>
      </c>
      <c r="J51" s="183"/>
      <c r="L51" s="182">
        <v>1.0877551000000001</v>
      </c>
      <c r="M51" s="182">
        <v>79.561685800000006</v>
      </c>
      <c r="N51" s="183"/>
      <c r="O51" s="183"/>
      <c r="Q51" s="185">
        <v>84387.755099999995</v>
      </c>
      <c r="R51" s="185">
        <v>27.719467900000001</v>
      </c>
      <c r="S51" s="1">
        <f t="shared" si="10"/>
        <v>1.6595891639640679</v>
      </c>
      <c r="T51" s="1">
        <f t="shared" si="11"/>
        <v>-0.10877901514136068</v>
      </c>
    </row>
    <row r="52" spans="1:20" ht="17" thickBot="1">
      <c r="A52" s="185">
        <v>1.09183673</v>
      </c>
      <c r="B52" s="185">
        <v>94037.234500000006</v>
      </c>
      <c r="C52" s="185">
        <f t="shared" si="6"/>
        <v>10.554285191017096</v>
      </c>
      <c r="D52" s="185">
        <f t="shared" si="7"/>
        <v>293.38583260327493</v>
      </c>
      <c r="F52" s="185">
        <v>1.09183673</v>
      </c>
      <c r="G52" s="185">
        <v>49.962530700000002</v>
      </c>
      <c r="H52" s="186">
        <f t="shared" si="8"/>
        <v>9.0313790775985563</v>
      </c>
      <c r="I52" s="186">
        <f t="shared" si="9"/>
        <v>679.42739232536701</v>
      </c>
      <c r="J52" s="183"/>
      <c r="L52" s="182">
        <v>1.09183673</v>
      </c>
      <c r="M52" s="182">
        <v>49.962530700000002</v>
      </c>
      <c r="N52" s="183"/>
      <c r="O52" s="183"/>
      <c r="Q52" s="185">
        <v>84591.8367</v>
      </c>
      <c r="R52" s="185">
        <v>27.738739299999999</v>
      </c>
      <c r="S52" s="1">
        <f t="shared" si="10"/>
        <v>1.9054406099154362</v>
      </c>
      <c r="T52" s="1">
        <f t="shared" si="11"/>
        <v>-3.9331662001968581E-2</v>
      </c>
    </row>
    <row r="53" spans="1:20" ht="17" thickBot="1">
      <c r="A53" s="185">
        <v>1.0959183699999999</v>
      </c>
      <c r="B53" s="185">
        <v>105133.939</v>
      </c>
      <c r="C53" s="185">
        <f t="shared" si="6"/>
        <v>10.967572984153575</v>
      </c>
      <c r="D53" s="185">
        <f t="shared" si="7"/>
        <v>339.80666114098574</v>
      </c>
      <c r="F53" s="185">
        <v>1.0959183699999999</v>
      </c>
      <c r="G53" s="185">
        <v>15.0026934</v>
      </c>
      <c r="H53" s="186">
        <f t="shared" si="8"/>
        <v>9.4389737534969171</v>
      </c>
      <c r="I53" s="186">
        <f t="shared" si="9"/>
        <v>134.04559438417309</v>
      </c>
      <c r="J53" s="183"/>
      <c r="L53" s="182">
        <v>1.0959183699999999</v>
      </c>
      <c r="M53" s="182">
        <v>15.0026934</v>
      </c>
      <c r="N53" s="183"/>
      <c r="O53" s="183"/>
      <c r="Q53" s="185">
        <v>84795.918399999995</v>
      </c>
      <c r="R53" s="185">
        <v>27.722459099999998</v>
      </c>
      <c r="S53" s="1">
        <f t="shared" si="10"/>
        <v>2.1512921763340205</v>
      </c>
      <c r="T53" s="1">
        <f t="shared" si="11"/>
        <v>-9.7999781525206581E-2</v>
      </c>
    </row>
    <row r="54" spans="1:20" ht="17" thickBot="1">
      <c r="A54" s="185">
        <v>1.1000000000000001</v>
      </c>
      <c r="B54" s="185">
        <v>118101.212</v>
      </c>
      <c r="C54" s="185">
        <f t="shared" si="6"/>
        <v>11.380859764736813</v>
      </c>
      <c r="D54" s="185">
        <f t="shared" si="7"/>
        <v>394.05263628925502</v>
      </c>
      <c r="F54" s="185">
        <v>1.1000000000000001</v>
      </c>
      <c r="G54" s="185">
        <v>35.728647700000003</v>
      </c>
      <c r="H54" s="186">
        <f t="shared" si="8"/>
        <v>9.8465674307901487</v>
      </c>
      <c r="I54" s="186">
        <f t="shared" si="9"/>
        <v>457.37542350157065</v>
      </c>
      <c r="J54" s="183"/>
      <c r="L54" s="182">
        <v>1.1000000000000001</v>
      </c>
      <c r="M54" s="182">
        <v>35.728647700000003</v>
      </c>
      <c r="N54" s="183"/>
      <c r="O54" s="183"/>
      <c r="Q54" s="185">
        <v>85000</v>
      </c>
      <c r="R54" s="185">
        <v>27.7134164</v>
      </c>
      <c r="S54" s="1">
        <f t="shared" si="10"/>
        <v>2.3971436222853888</v>
      </c>
      <c r="T54" s="1">
        <f t="shared" si="11"/>
        <v>-0.13058649449019902</v>
      </c>
    </row>
  </sheetData>
  <mergeCells count="10">
    <mergeCell ref="L1:M1"/>
    <mergeCell ref="A1:D1"/>
    <mergeCell ref="F1:I1"/>
    <mergeCell ref="Q1:T1"/>
    <mergeCell ref="Q2:R2"/>
    <mergeCell ref="S2:T2"/>
    <mergeCell ref="C2:D2"/>
    <mergeCell ref="A2:B2"/>
    <mergeCell ref="F2:G2"/>
    <mergeCell ref="H2:I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Absorbance Data Matlab</vt:lpstr>
      <vt:lpstr>Initial Conditions and Runs</vt:lpstr>
      <vt:lpstr>LINEST on I2 conc. </vt:lpstr>
      <vt:lpstr>Rate Order</vt:lpstr>
      <vt:lpstr>Activation Energy</vt:lpstr>
      <vt:lpstr>Error</vt:lpstr>
      <vt:lpstr>Error Phase 3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Fayeed, Abdul</cp:lastModifiedBy>
  <dcterms:created xsi:type="dcterms:W3CDTF">2021-04-06T18:08:25Z</dcterms:created>
  <dcterms:modified xsi:type="dcterms:W3CDTF">2021-05-16T17:29:32Z</dcterms:modified>
</cp:coreProperties>
</file>